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5.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defaultThemeVersion="166925"/>
  <xr:revisionPtr revIDLastSave="0" documentId="13_ncr:1_{7F9699A6-F09E-4107-8033-AF653A308252}" xr6:coauthVersionLast="47" xr6:coauthVersionMax="47" xr10:uidLastSave="{00000000-0000-0000-0000-000000000000}"/>
  <bookViews>
    <workbookView xWindow="-28920" yWindow="-120" windowWidth="29040" windowHeight="15840" activeTab="5" xr2:uid="{00000000-000D-0000-FFFF-FFFF00000000}"/>
  </bookViews>
  <sheets>
    <sheet name="Read Me" sheetId="15" r:id="rId1"/>
    <sheet name="League Inputs" sheetId="12" r:id="rId2"/>
    <sheet name="Per 60 PP" sheetId="3" state="hidden" r:id="rId3"/>
    <sheet name="Per 60 PK" sheetId="4" state="hidden" r:id="rId4"/>
    <sheet name="Per 60 ES" sheetId="2" state="hidden" r:id="rId5"/>
    <sheet name="Skater Projections" sheetId="5" r:id="rId6"/>
    <sheet name="LW" sheetId="17" state="hidden" r:id="rId7"/>
    <sheet name="RW" sheetId="22" state="hidden" r:id="rId8"/>
    <sheet name="F" sheetId="28" state="hidden" r:id="rId9"/>
    <sheet name="C" sheetId="21" state="hidden" r:id="rId10"/>
    <sheet name="D" sheetId="23" state="hidden" r:id="rId11"/>
    <sheet name="G Per GP" sheetId="24" state="hidden" r:id="rId12"/>
    <sheet name="G" sheetId="26" state="hidden" r:id="rId13"/>
    <sheet name="Std" sheetId="7" state="hidden" r:id="rId14"/>
    <sheet name="Goalie Projections" sheetId="25" r:id="rId15"/>
    <sheet name="Master Rank" sheetId="27" r:id="rId16"/>
    <sheet name="Player Comparison Tool" sheetId="14" r:id="rId17"/>
    <sheet name="Team Strength" sheetId="11" r:id="rId18"/>
  </sheets>
  <externalReferences>
    <externalReference r:id="rId19"/>
    <externalReference r:id="rId20"/>
    <externalReference r:id="rId21"/>
  </externalReferences>
  <definedNames>
    <definedName name="PCT_1920A">OFFSET('[1]Player Lookup sheet'!$C$2,,,COUNTIF('[1]Player Lookup sheet'!$C$2:$C$722,"?*"))</definedName>
    <definedName name="PCT_1920B">OFFSET('[1]Player Lookup sheet'!$G$2,,,COUNTIF('[1]Player Lookup sheet'!$G$2:$G$722,"?*"))</definedName>
    <definedName name="Valadation_a">#REF!</definedName>
    <definedName name="Validation_1920" localSheetId="16">OFFSET([2]Sheet6!$C$1,,,COUNTIF([2]Sheet6!$C$1:$C$721,"?*"))</definedName>
    <definedName name="Validation_1920">OFFSET(#REF!,,,COUNTIF(#REF!,"?*"))</definedName>
    <definedName name="Validation_1920b" localSheetId="16">OFFSET([2]Sheet6!$G$1,,,COUNTIF([2]Sheet6!$G$1:$G$721,"?*"))</definedName>
    <definedName name="Validation_1920b">OFFSET(#REF!,,,COUNTIF(#REF!,"?*"))</definedName>
    <definedName name="Validation_List_a">OFFSET('[3]Player Comparison'!$X$3,,,COUNTIF('[3]Player Comparison'!$X$3:$X$586,"?*"))</definedName>
    <definedName name="Validation_List_B">OFFSET('[3]Player Comparison'!$AB$3,,,COUNTIF('[3]Player Comparison'!$AB$3:$AB$586,"?*"))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56" i="7" l="1"/>
  <c r="E442" i="5"/>
  <c r="F442" i="5"/>
  <c r="G442" i="5"/>
  <c r="M442" i="5"/>
  <c r="N442" i="5"/>
  <c r="O442" i="5"/>
  <c r="Q442" i="5"/>
  <c r="R442" i="5"/>
  <c r="T442" i="5"/>
  <c r="U442" i="5"/>
  <c r="V442" i="5"/>
  <c r="W442" i="5"/>
  <c r="X442" i="5"/>
  <c r="Y442" i="5"/>
  <c r="Z442" i="5"/>
  <c r="L522" i="3"/>
  <c r="C2" i="27"/>
  <c r="C11" i="27"/>
  <c r="C3" i="27"/>
  <c r="C13" i="27"/>
  <c r="C4" i="27"/>
  <c r="C8" i="27"/>
  <c r="C5" i="27"/>
  <c r="C9" i="27"/>
  <c r="C6" i="27"/>
  <c r="C7" i="27"/>
  <c r="C10" i="27"/>
  <c r="C18" i="27"/>
  <c r="C12" i="27"/>
  <c r="C14" i="27"/>
  <c r="C15" i="27"/>
  <c r="C16" i="27"/>
  <c r="C38" i="27"/>
  <c r="C20" i="27"/>
  <c r="C17" i="27"/>
  <c r="C21" i="27"/>
  <c r="C24" i="27"/>
  <c r="C22" i="27"/>
  <c r="C36" i="27"/>
  <c r="C23" i="27"/>
  <c r="C19" i="27"/>
  <c r="C34" i="27"/>
  <c r="C44" i="27"/>
  <c r="C26" i="27"/>
  <c r="C28" i="27"/>
  <c r="C27" i="27"/>
  <c r="C54" i="27"/>
  <c r="C25" i="27"/>
  <c r="C29" i="27"/>
  <c r="C31" i="27"/>
  <c r="C30" i="27"/>
  <c r="C32" i="27"/>
  <c r="C33" i="27"/>
  <c r="C66" i="27"/>
  <c r="C35" i="27"/>
  <c r="C37" i="27"/>
  <c r="C41" i="27"/>
  <c r="C42" i="27"/>
  <c r="C43" i="27"/>
  <c r="C123" i="27"/>
  <c r="C49" i="27"/>
  <c r="C47" i="27"/>
  <c r="C39" i="27"/>
  <c r="C46" i="27"/>
  <c r="C48" i="27"/>
  <c r="C50" i="27"/>
  <c r="C52" i="27"/>
  <c r="C91" i="27"/>
  <c r="C40" i="27"/>
  <c r="C76" i="27"/>
  <c r="C64" i="27"/>
  <c r="C51" i="27"/>
  <c r="C56" i="27"/>
  <c r="C55" i="27"/>
  <c r="C45" i="27"/>
  <c r="C53" i="27"/>
  <c r="C143" i="27"/>
  <c r="C57" i="27"/>
  <c r="C73" i="27"/>
  <c r="C59" i="27"/>
  <c r="C61" i="27"/>
  <c r="C60" i="27"/>
  <c r="C63" i="27"/>
  <c r="C62" i="27"/>
  <c r="C79" i="27"/>
  <c r="C80" i="27"/>
  <c r="C65" i="27"/>
  <c r="C58" i="27"/>
  <c r="C67" i="27"/>
  <c r="C69" i="27"/>
  <c r="C70" i="27"/>
  <c r="C71" i="27"/>
  <c r="C72" i="27"/>
  <c r="C75" i="27"/>
  <c r="C74" i="27"/>
  <c r="C106" i="27"/>
  <c r="C77" i="27"/>
  <c r="C68" i="27"/>
  <c r="C87" i="27"/>
  <c r="C78" i="27"/>
  <c r="C99" i="27"/>
  <c r="C83" i="27"/>
  <c r="C84" i="27"/>
  <c r="C89" i="27"/>
  <c r="C81" i="27"/>
  <c r="C88" i="27"/>
  <c r="C122" i="27"/>
  <c r="C92" i="27"/>
  <c r="C93" i="27"/>
  <c r="C136" i="27"/>
  <c r="C138" i="27"/>
  <c r="C94" i="27"/>
  <c r="C85" i="27"/>
  <c r="C96" i="27"/>
  <c r="C95" i="27"/>
  <c r="C86" i="27"/>
  <c r="C90" i="27"/>
  <c r="C98" i="27"/>
  <c r="C101" i="27"/>
  <c r="C100" i="27"/>
  <c r="C102" i="27"/>
  <c r="C103" i="27"/>
  <c r="C156" i="27"/>
  <c r="C82" i="27"/>
  <c r="C105" i="27"/>
  <c r="C171" i="27"/>
  <c r="C129" i="27"/>
  <c r="C104" i="27"/>
  <c r="C107" i="27"/>
  <c r="C108" i="27"/>
  <c r="C116" i="27"/>
  <c r="C97" i="27"/>
  <c r="C157" i="27"/>
  <c r="C175" i="27"/>
  <c r="C111" i="27"/>
  <c r="C110" i="27"/>
  <c r="C112" i="27"/>
  <c r="C114" i="27"/>
  <c r="C109" i="27"/>
  <c r="C117" i="27"/>
  <c r="C181" i="27"/>
  <c r="C118" i="27"/>
  <c r="C119" i="27"/>
  <c r="C120" i="27"/>
  <c r="C113" i="27"/>
  <c r="C121" i="27"/>
  <c r="C126" i="27"/>
  <c r="C203" i="27"/>
  <c r="C124" i="27"/>
  <c r="C128" i="27"/>
  <c r="C141" i="27"/>
  <c r="C115" i="27"/>
  <c r="C130" i="27"/>
  <c r="C132" i="27"/>
  <c r="C131" i="27"/>
  <c r="C127" i="27"/>
  <c r="C134" i="27"/>
  <c r="C135" i="27"/>
  <c r="C125" i="27"/>
  <c r="C133" i="27"/>
  <c r="C140" i="27"/>
  <c r="C137" i="27"/>
  <c r="C219" i="27"/>
  <c r="C142" i="27"/>
  <c r="C144" i="27"/>
  <c r="C316" i="27"/>
  <c r="C221" i="27"/>
  <c r="C147" i="27"/>
  <c r="C227" i="27"/>
  <c r="C145" i="27"/>
  <c r="C146" i="27"/>
  <c r="C148" i="27"/>
  <c r="C149" i="27"/>
  <c r="C264" i="27"/>
  <c r="C154" i="27"/>
  <c r="C150" i="27"/>
  <c r="C153" i="27"/>
  <c r="C155" i="27"/>
  <c r="C158" i="27"/>
  <c r="C152" i="27"/>
  <c r="C169" i="27"/>
  <c r="C178" i="27"/>
  <c r="C187" i="27"/>
  <c r="C159" i="27"/>
  <c r="C160" i="27"/>
  <c r="C162" i="27"/>
  <c r="C163" i="27"/>
  <c r="C167" i="27"/>
  <c r="C161" i="27"/>
  <c r="C168" i="27"/>
  <c r="C170" i="27"/>
  <c r="C165" i="27"/>
  <c r="C139" i="27"/>
  <c r="C172" i="27"/>
  <c r="C151" i="27"/>
  <c r="C174" i="27"/>
  <c r="C197" i="27"/>
  <c r="C173" i="27"/>
  <c r="C179" i="27"/>
  <c r="C176" i="27"/>
  <c r="C225" i="27"/>
  <c r="C190" i="27"/>
  <c r="C183" i="27"/>
  <c r="C184" i="27"/>
  <c r="C186" i="27"/>
  <c r="C180" i="27"/>
  <c r="C188" i="27"/>
  <c r="C164" i="27"/>
  <c r="C216" i="27"/>
  <c r="C191" i="27"/>
  <c r="C189" i="27"/>
  <c r="C291" i="27"/>
  <c r="C193" i="27"/>
  <c r="C192" i="27"/>
  <c r="C194" i="27"/>
  <c r="C195" i="27"/>
  <c r="C166" i="27"/>
  <c r="C200" i="27"/>
  <c r="C198" i="27"/>
  <c r="C196" i="27"/>
  <c r="C201" i="27"/>
  <c r="C202" i="27"/>
  <c r="C204" i="27"/>
  <c r="C205" i="27"/>
  <c r="C177" i="27"/>
  <c r="C271" i="27"/>
  <c r="C199" i="27"/>
  <c r="C206" i="27"/>
  <c r="C322" i="27"/>
  <c r="C207" i="27"/>
  <c r="C323" i="27"/>
  <c r="C182" i="27"/>
  <c r="C212" i="27"/>
  <c r="C341" i="27"/>
  <c r="C211" i="27"/>
  <c r="C210" i="27"/>
  <c r="C213" i="27"/>
  <c r="C214" i="27"/>
  <c r="C215" i="27"/>
  <c r="C217" i="27"/>
  <c r="C246" i="27"/>
  <c r="C185" i="27"/>
  <c r="C208" i="27"/>
  <c r="C218" i="27"/>
  <c r="C220" i="27"/>
  <c r="C334" i="27"/>
  <c r="C223" i="27"/>
  <c r="C224" i="27"/>
  <c r="C226" i="27"/>
  <c r="C228" i="27"/>
  <c r="C222" i="27"/>
  <c r="C229" i="27"/>
  <c r="C209" i="27"/>
  <c r="C231" i="27"/>
  <c r="C232" i="27"/>
  <c r="C297" i="27"/>
  <c r="C235" i="27"/>
  <c r="C255" i="27"/>
  <c r="C423" i="27"/>
  <c r="C233" i="27"/>
  <c r="C234" i="27"/>
  <c r="C237" i="27"/>
  <c r="C239" i="27"/>
  <c r="C240" i="27"/>
  <c r="C241" i="27"/>
  <c r="C242" i="27"/>
  <c r="C243" i="27"/>
  <c r="C244" i="27"/>
  <c r="C247" i="27"/>
  <c r="C248" i="27"/>
  <c r="C249" i="27"/>
  <c r="C289" i="27"/>
  <c r="C245" i="27"/>
  <c r="C250" i="27"/>
  <c r="C380" i="27"/>
  <c r="C251" i="27"/>
  <c r="C230" i="27"/>
  <c r="C456" i="27"/>
  <c r="C254" i="27"/>
  <c r="C236" i="27"/>
  <c r="C258" i="27"/>
  <c r="C252" i="27"/>
  <c r="C285" i="27"/>
  <c r="C259" i="27"/>
  <c r="C432" i="27"/>
  <c r="C333" i="27"/>
  <c r="C261" i="27"/>
  <c r="C268" i="27"/>
  <c r="C262" i="27"/>
  <c r="C263" i="27"/>
  <c r="C356" i="27"/>
  <c r="C265" i="27"/>
  <c r="C287" i="27"/>
  <c r="C284" i="27"/>
  <c r="C266" i="27"/>
  <c r="C278" i="27"/>
  <c r="C269" i="27"/>
  <c r="C256" i="27"/>
  <c r="C418" i="27"/>
  <c r="C270" i="27"/>
  <c r="C238" i="27"/>
  <c r="C273" i="27"/>
  <c r="C274" i="27"/>
  <c r="C275" i="27"/>
  <c r="C276" i="27"/>
  <c r="C279" i="27"/>
  <c r="C280" i="27"/>
  <c r="C260" i="27"/>
  <c r="C365" i="27"/>
  <c r="C290" i="27"/>
  <c r="C281" i="27"/>
  <c r="C286" i="27"/>
  <c r="C295" i="27"/>
  <c r="C328" i="27"/>
  <c r="C277" i="27"/>
  <c r="C294" i="27"/>
  <c r="C272" i="27"/>
  <c r="C302" i="27"/>
  <c r="C288" i="27"/>
  <c r="C257" i="27"/>
  <c r="C306" i="27"/>
  <c r="C292" i="27"/>
  <c r="C296" i="27"/>
  <c r="C300" i="27"/>
  <c r="C301" i="27"/>
  <c r="C298" i="27"/>
  <c r="C309" i="27"/>
  <c r="C299" i="27"/>
  <c r="C304" i="27"/>
  <c r="C305" i="27"/>
  <c r="C319" i="27"/>
  <c r="C303" i="27"/>
  <c r="C307" i="27"/>
  <c r="C283" i="27"/>
  <c r="C311" i="27"/>
  <c r="C458" i="27"/>
  <c r="C310" i="27"/>
  <c r="C312" i="27"/>
  <c r="C308" i="27"/>
  <c r="C315" i="27"/>
  <c r="C313" i="27"/>
  <c r="C362" i="27"/>
  <c r="C314" i="27"/>
  <c r="C317" i="27"/>
  <c r="C318" i="27"/>
  <c r="C282" i="27"/>
  <c r="C320" i="27"/>
  <c r="C325" i="27"/>
  <c r="C326" i="27"/>
  <c r="C327" i="27"/>
  <c r="C330" i="27"/>
  <c r="C331" i="27"/>
  <c r="C267" i="27"/>
  <c r="C332" i="27"/>
  <c r="C324" i="27"/>
  <c r="C329" i="27"/>
  <c r="C339" i="27"/>
  <c r="C335" i="27"/>
  <c r="C350" i="27"/>
  <c r="C340" i="27"/>
  <c r="C411" i="27"/>
  <c r="C342" i="27"/>
  <c r="C343" i="27"/>
  <c r="C337" i="27"/>
  <c r="C366" i="27"/>
  <c r="C347" i="27"/>
  <c r="C346" i="27"/>
  <c r="C407" i="27"/>
  <c r="C349" i="27"/>
  <c r="C338" i="27"/>
  <c r="C352" i="27"/>
  <c r="C355" i="27"/>
  <c r="C348" i="27"/>
  <c r="C358" i="27"/>
  <c r="C359" i="27"/>
  <c r="C406" i="27"/>
  <c r="C357" i="27"/>
  <c r="C402" i="27"/>
  <c r="C424" i="27"/>
  <c r="C473" i="27"/>
  <c r="C367" i="27"/>
  <c r="C368" i="27"/>
  <c r="C363" i="27"/>
  <c r="C361" i="27"/>
  <c r="C253" i="27"/>
  <c r="C371" i="27"/>
  <c r="C336" i="27"/>
  <c r="C397" i="27"/>
  <c r="C370" i="27"/>
  <c r="C375" i="27"/>
  <c r="C372" i="27"/>
  <c r="C374" i="27"/>
  <c r="C344" i="27"/>
  <c r="C377" i="27"/>
  <c r="C379" i="27"/>
  <c r="C381" i="27"/>
  <c r="C467" i="27"/>
  <c r="C382" i="27"/>
  <c r="C383" i="27"/>
  <c r="C373" i="27"/>
  <c r="C385" i="27"/>
  <c r="C386" i="27"/>
  <c r="C353" i="27"/>
  <c r="C391" i="27"/>
  <c r="C387" i="27"/>
  <c r="C389" i="27"/>
  <c r="C384" i="27"/>
  <c r="C351" i="27"/>
  <c r="C354" i="27"/>
  <c r="C394" i="27"/>
  <c r="C392" i="27"/>
  <c r="C393" i="27"/>
  <c r="C378" i="27"/>
  <c r="C434" i="27"/>
  <c r="C447" i="27"/>
  <c r="C399" i="27"/>
  <c r="C398" i="27"/>
  <c r="C404" i="27"/>
  <c r="C395" i="27"/>
  <c r="C401" i="27"/>
  <c r="C360" i="27"/>
  <c r="C465" i="27"/>
  <c r="C364" i="27"/>
  <c r="C405" i="27"/>
  <c r="C409" i="27"/>
  <c r="C410" i="27"/>
  <c r="C457" i="27"/>
  <c r="C413" i="27"/>
  <c r="C426" i="27"/>
  <c r="C414" i="27"/>
  <c r="C415" i="27"/>
  <c r="C408" i="27"/>
  <c r="C422" i="27"/>
  <c r="C417" i="27"/>
  <c r="C419" i="27"/>
  <c r="C420" i="27"/>
  <c r="C421" i="27"/>
  <c r="C427" i="27"/>
  <c r="C403" i="27"/>
  <c r="C425" i="27"/>
  <c r="C412" i="27"/>
  <c r="C388" i="27"/>
  <c r="C429" i="27"/>
  <c r="C431" i="27"/>
  <c r="C428" i="27"/>
  <c r="C454" i="27"/>
  <c r="C293" i="27"/>
  <c r="C525" i="27"/>
  <c r="C400" i="27"/>
  <c r="C396" i="27"/>
  <c r="C437" i="27"/>
  <c r="C441" i="27"/>
  <c r="C438" i="27"/>
  <c r="C443" i="27"/>
  <c r="C435" i="27"/>
  <c r="C442" i="27"/>
  <c r="C446" i="27"/>
  <c r="C448" i="27"/>
  <c r="C445" i="27"/>
  <c r="C451" i="27"/>
  <c r="C452" i="27"/>
  <c r="C449" i="27"/>
  <c r="C469" i="27"/>
  <c r="C459" i="27"/>
  <c r="C460" i="27"/>
  <c r="C569" i="27"/>
  <c r="C461" i="27"/>
  <c r="C462" i="27"/>
  <c r="C476" i="27"/>
  <c r="C433" i="27"/>
  <c r="C416" i="27"/>
  <c r="C439" i="27"/>
  <c r="C463" i="27"/>
  <c r="C455" i="27"/>
  <c r="C369" i="27"/>
  <c r="C482" i="27"/>
  <c r="C471" i="27"/>
  <c r="C466" i="27"/>
  <c r="C499" i="27"/>
  <c r="C472" i="27"/>
  <c r="C474" i="27"/>
  <c r="C475" i="27"/>
  <c r="C613" i="27"/>
  <c r="C468" i="27"/>
  <c r="C444" i="27"/>
  <c r="C450" i="27"/>
  <c r="C479" i="27"/>
  <c r="C453" i="27"/>
  <c r="C496" i="27"/>
  <c r="C481" i="27"/>
  <c r="C538" i="27"/>
  <c r="C376" i="27"/>
  <c r="C484" i="27"/>
  <c r="C486" i="27"/>
  <c r="C488" i="27"/>
  <c r="C321" i="27"/>
  <c r="C489" i="27"/>
  <c r="C490" i="27"/>
  <c r="C491" i="27"/>
  <c r="C492" i="27"/>
  <c r="C430" i="27"/>
  <c r="C497" i="27"/>
  <c r="C494" i="27"/>
  <c r="C495" i="27"/>
  <c r="C464" i="27"/>
  <c r="C498" i="27"/>
  <c r="C485" i="27"/>
  <c r="C478" i="27"/>
  <c r="C493" i="27"/>
  <c r="C390" i="27"/>
  <c r="C503" i="27"/>
  <c r="C500" i="27"/>
  <c r="C345" i="27"/>
  <c r="C440" i="27"/>
  <c r="C504" i="27"/>
  <c r="C508" i="27"/>
  <c r="C501" i="27"/>
  <c r="C505" i="27"/>
  <c r="C483" i="27"/>
  <c r="C480" i="27"/>
  <c r="C511" i="27"/>
  <c r="C470" i="27"/>
  <c r="C477" i="27"/>
  <c r="C512" i="27"/>
  <c r="C513" i="27"/>
  <c r="C514" i="27"/>
  <c r="C519" i="27"/>
  <c r="C518" i="27"/>
  <c r="C520" i="27"/>
  <c r="C510" i="27"/>
  <c r="C516" i="27"/>
  <c r="C524" i="27"/>
  <c r="C515" i="27"/>
  <c r="C517" i="27"/>
  <c r="C530" i="27"/>
  <c r="C531" i="27"/>
  <c r="C543" i="27"/>
  <c r="C533" i="27"/>
  <c r="C526" i="27"/>
  <c r="C555" i="27"/>
  <c r="C509" i="27"/>
  <c r="C534" i="27"/>
  <c r="C535" i="27"/>
  <c r="C558" i="27"/>
  <c r="C539" i="27"/>
  <c r="C521" i="27"/>
  <c r="C542" i="27"/>
  <c r="C507" i="27"/>
  <c r="C545" i="27"/>
  <c r="C506" i="27"/>
  <c r="C546" i="27"/>
  <c r="C547" i="27"/>
  <c r="C548" i="27"/>
  <c r="C577" i="27"/>
  <c r="C550" i="27"/>
  <c r="C549" i="27"/>
  <c r="C532" i="27"/>
  <c r="C528" i="27"/>
  <c r="C554" i="27"/>
  <c r="C523" i="27"/>
  <c r="C522" i="27"/>
  <c r="C560" i="27"/>
  <c r="C561" i="27"/>
  <c r="C436" i="27"/>
  <c r="C562" i="27"/>
  <c r="C571" i="27"/>
  <c r="C564" i="27"/>
  <c r="C556" i="27"/>
  <c r="C529" i="27"/>
  <c r="C568" i="27"/>
  <c r="C567" i="27"/>
  <c r="C540" i="27"/>
  <c r="C565" i="27"/>
  <c r="C602" i="27"/>
  <c r="C572" i="27"/>
  <c r="C573" i="27"/>
  <c r="C541" i="27"/>
  <c r="C623" i="27"/>
  <c r="C557" i="27"/>
  <c r="C581" i="27"/>
  <c r="C579" i="27"/>
  <c r="C575" i="27"/>
  <c r="C552" i="27"/>
  <c r="C630" i="27"/>
  <c r="C553" i="27"/>
  <c r="C583" i="27"/>
  <c r="C585" i="27"/>
  <c r="C584" i="27"/>
  <c r="C587" i="27"/>
  <c r="C536" i="27"/>
  <c r="C502" i="27"/>
  <c r="C570" i="27"/>
  <c r="C627" i="27"/>
  <c r="C591" i="27"/>
  <c r="C590" i="27"/>
  <c r="C566" i="27"/>
  <c r="C589" i="27"/>
  <c r="C563" i="27"/>
  <c r="C628" i="27"/>
  <c r="C574" i="27"/>
  <c r="C599" i="27"/>
  <c r="C600" i="27"/>
  <c r="C601" i="27"/>
  <c r="C596" i="27"/>
  <c r="C597" i="27"/>
  <c r="C603" i="27"/>
  <c r="C637" i="27"/>
  <c r="C605" i="27"/>
  <c r="C612" i="27"/>
  <c r="C614" i="27"/>
  <c r="C624" i="27"/>
  <c r="C615" i="27"/>
  <c r="C598" i="27"/>
  <c r="C620" i="27"/>
  <c r="C621" i="27"/>
  <c r="C618" i="27"/>
  <c r="C592" i="27"/>
  <c r="C582" i="27"/>
  <c r="C487" i="27"/>
  <c r="C595" i="27"/>
  <c r="C626" i="27"/>
  <c r="C578" i="27"/>
  <c r="C625" i="27"/>
  <c r="C537" i="27"/>
  <c r="C594" i="27"/>
  <c r="C588" i="27"/>
  <c r="C631" i="27"/>
  <c r="C593" i="27"/>
  <c r="C632" i="27"/>
  <c r="C606" i="27"/>
  <c r="C633" i="27"/>
  <c r="C659" i="27"/>
  <c r="C527" i="27"/>
  <c r="C611" i="27"/>
  <c r="C639" i="27"/>
  <c r="C608" i="27"/>
  <c r="C642" i="27"/>
  <c r="C622" i="27"/>
  <c r="C661" i="27"/>
  <c r="C645" i="27"/>
  <c r="C617" i="27"/>
  <c r="C636" i="27"/>
  <c r="C641" i="27"/>
  <c r="C616" i="27"/>
  <c r="C551" i="27"/>
  <c r="C646" i="27"/>
  <c r="C619" i="27"/>
  <c r="C647" i="27"/>
  <c r="C576" i="27"/>
  <c r="C629" i="27"/>
  <c r="C652" i="27"/>
  <c r="C656" i="27"/>
  <c r="C660" i="27"/>
  <c r="C691" i="27"/>
  <c r="C650" i="27"/>
  <c r="C559" i="27"/>
  <c r="C663" i="27"/>
  <c r="C664" i="27"/>
  <c r="C658" i="27"/>
  <c r="C665" i="27"/>
  <c r="C644" i="27"/>
  <c r="C657" i="27"/>
  <c r="C653" i="27"/>
  <c r="C643" i="27"/>
  <c r="C669" i="27"/>
  <c r="C668" i="27"/>
  <c r="C651" i="27"/>
  <c r="C607" i="27"/>
  <c r="C634" i="27"/>
  <c r="C580" i="27"/>
  <c r="C655" i="27"/>
  <c r="C670" i="27"/>
  <c r="C640" i="27"/>
  <c r="C544" i="27"/>
  <c r="C672" i="27"/>
  <c r="C677" i="27"/>
  <c r="C676" i="27"/>
  <c r="C604" i="27"/>
  <c r="C609" i="27"/>
  <c r="C680" i="27"/>
  <c r="C667" i="27"/>
  <c r="C682" i="27"/>
  <c r="C695" i="27"/>
  <c r="C586" i="27"/>
  <c r="C685" i="27"/>
  <c r="C684" i="27"/>
  <c r="C654" i="27"/>
  <c r="C689" i="27"/>
  <c r="C703" i="27"/>
  <c r="C688" i="27"/>
  <c r="C690" i="27"/>
  <c r="C693" i="27"/>
  <c r="C694" i="27"/>
  <c r="C648" i="27"/>
  <c r="C675" i="27"/>
  <c r="C701" i="27"/>
  <c r="C674" i="27"/>
  <c r="C678" i="27"/>
  <c r="C673" i="27"/>
  <c r="C697" i="27"/>
  <c r="C698" i="27"/>
  <c r="C700" i="27"/>
  <c r="C705" i="27"/>
  <c r="C686" i="27"/>
  <c r="C635" i="27"/>
  <c r="C712" i="27"/>
  <c r="C662" i="27"/>
  <c r="C683" i="27"/>
  <c r="C714" i="27"/>
  <c r="C718" i="27"/>
  <c r="C713" i="27"/>
  <c r="C708" i="27"/>
  <c r="C649" i="27"/>
  <c r="C734" i="27"/>
  <c r="C755" i="27"/>
  <c r="C610" i="27"/>
  <c r="C726" i="27"/>
  <c r="C727" i="27"/>
  <c r="C699" i="27"/>
  <c r="C706" i="27"/>
  <c r="C679" i="27"/>
  <c r="C707" i="27"/>
  <c r="C709" i="27"/>
  <c r="C711" i="27"/>
  <c r="C733" i="27"/>
  <c r="C671" i="27"/>
  <c r="C737" i="27"/>
  <c r="C731" i="27"/>
  <c r="C739" i="27"/>
  <c r="C715" i="27"/>
  <c r="C681" i="27"/>
  <c r="C696" i="27"/>
  <c r="C740" i="27"/>
  <c r="C716" i="27"/>
  <c r="C730" i="27"/>
  <c r="C719" i="27"/>
  <c r="C724" i="27"/>
  <c r="C742" i="27"/>
  <c r="C743" i="27"/>
  <c r="C741" i="27"/>
  <c r="C692" i="27"/>
  <c r="C747" i="27"/>
  <c r="C744" i="27"/>
  <c r="C720" i="27"/>
  <c r="C745" i="27"/>
  <c r="C758" i="27"/>
  <c r="C687" i="27"/>
  <c r="C638" i="27"/>
  <c r="C748" i="27"/>
  <c r="C750" i="27"/>
  <c r="C753" i="27"/>
  <c r="C717" i="27"/>
  <c r="C704" i="27"/>
  <c r="C757" i="27"/>
  <c r="C752" i="27"/>
  <c r="C702" i="27"/>
  <c r="C666" i="27"/>
  <c r="C764" i="27"/>
  <c r="C738" i="27"/>
  <c r="C760" i="27"/>
  <c r="C759" i="27"/>
  <c r="C761" i="27"/>
  <c r="C751" i="27"/>
  <c r="C725" i="27"/>
  <c r="C736" i="27"/>
  <c r="C768" i="27"/>
  <c r="C766" i="27"/>
  <c r="C765" i="27"/>
  <c r="C770" i="27"/>
  <c r="C771" i="27"/>
  <c r="C772" i="27"/>
  <c r="C798" i="27"/>
  <c r="C763" i="27"/>
  <c r="C762" i="27"/>
  <c r="C774" i="27"/>
  <c r="C721" i="27"/>
  <c r="C728" i="27"/>
  <c r="C777" i="27"/>
  <c r="C710" i="27"/>
  <c r="C735" i="27"/>
  <c r="C723" i="27"/>
  <c r="C729" i="27"/>
  <c r="C782" i="27"/>
  <c r="C722" i="27"/>
  <c r="C732" i="27"/>
  <c r="C787" i="27"/>
  <c r="C781" i="27"/>
  <c r="C746" i="27"/>
  <c r="C786" i="27"/>
  <c r="C783" i="27"/>
  <c r="C797" i="27"/>
  <c r="C795" i="27"/>
  <c r="C788" i="27"/>
  <c r="C749" i="27"/>
  <c r="C792" i="27"/>
  <c r="C784" i="27"/>
  <c r="C805" i="27"/>
  <c r="C794" i="27"/>
  <c r="C803" i="27"/>
  <c r="C754" i="27"/>
  <c r="C756" i="27"/>
  <c r="C769" i="27"/>
  <c r="C778" i="27"/>
  <c r="C812" i="27"/>
  <c r="C791" i="27"/>
  <c r="C767" i="27"/>
  <c r="C799" i="27"/>
  <c r="C796" i="27"/>
  <c r="C773" i="27"/>
  <c r="C779" i="27"/>
  <c r="C785" i="27"/>
  <c r="C775" i="27"/>
  <c r="C776" i="27"/>
  <c r="C814" i="27"/>
  <c r="C789" i="27"/>
  <c r="C780" i="27"/>
  <c r="C816" i="27"/>
  <c r="C815" i="27"/>
  <c r="C790" i="27"/>
  <c r="C800" i="27"/>
  <c r="C801" i="27"/>
  <c r="C825" i="27"/>
  <c r="C793" i="27"/>
  <c r="C809" i="27"/>
  <c r="C802" i="27"/>
  <c r="C821" i="27"/>
  <c r="C826" i="27"/>
  <c r="C807" i="27"/>
  <c r="C810" i="27"/>
  <c r="C808" i="27"/>
  <c r="C813" i="27"/>
  <c r="C804" i="27"/>
  <c r="C833" i="27"/>
  <c r="C806" i="27"/>
  <c r="C831" i="27"/>
  <c r="C811" i="27"/>
  <c r="C818" i="27"/>
  <c r="C819" i="27"/>
  <c r="C820" i="27"/>
  <c r="C838" i="27"/>
  <c r="C817" i="27"/>
  <c r="C823" i="27"/>
  <c r="C828" i="27"/>
  <c r="C824" i="27"/>
  <c r="C827" i="27"/>
  <c r="C822" i="27"/>
  <c r="C829" i="27"/>
  <c r="C834" i="27"/>
  <c r="C832" i="27"/>
  <c r="C837" i="27"/>
  <c r="C830" i="27"/>
  <c r="C836" i="27"/>
  <c r="C835" i="27"/>
  <c r="G497" i="28"/>
  <c r="E497" i="28"/>
  <c r="E496" i="28"/>
  <c r="B496" i="28"/>
  <c r="E495" i="28"/>
  <c r="E494" i="28"/>
  <c r="I422" i="27"/>
  <c r="I832" i="27"/>
  <c r="I789" i="27"/>
  <c r="I835" i="27"/>
  <c r="I808" i="27"/>
  <c r="I722" i="27"/>
  <c r="I686" i="27"/>
  <c r="I809" i="27"/>
  <c r="I822" i="27"/>
  <c r="I774" i="27"/>
  <c r="I205" i="27"/>
  <c r="I620" i="27"/>
  <c r="I676" i="27"/>
  <c r="I812" i="27"/>
  <c r="I718" i="27"/>
  <c r="I746" i="27"/>
  <c r="I664" i="27"/>
  <c r="I609" i="27"/>
  <c r="I796" i="27"/>
  <c r="I765" i="27"/>
  <c r="I779" i="27"/>
  <c r="I436" i="27"/>
  <c r="I754" i="27"/>
  <c r="I783" i="27"/>
  <c r="I599" i="27"/>
  <c r="I828" i="27"/>
  <c r="I811" i="27"/>
  <c r="I607" i="27"/>
  <c r="I641" i="27"/>
  <c r="I834" i="27"/>
  <c r="I827" i="27"/>
  <c r="I830" i="27"/>
  <c r="I837" i="27"/>
  <c r="I823" i="27"/>
  <c r="I836" i="27"/>
  <c r="I804" i="27"/>
  <c r="I817" i="27"/>
  <c r="I838" i="27"/>
  <c r="I807" i="27"/>
  <c r="I816" i="27"/>
  <c r="I826" i="27"/>
  <c r="I775" i="27"/>
  <c r="I785" i="27"/>
  <c r="I825" i="27"/>
  <c r="I780" i="27"/>
  <c r="I799" i="27"/>
  <c r="I831" i="27"/>
  <c r="I820" i="27"/>
  <c r="I803" i="27"/>
  <c r="I810" i="27"/>
  <c r="I814" i="27"/>
  <c r="I769" i="27"/>
  <c r="I787" i="27"/>
  <c r="I782" i="27"/>
  <c r="I824" i="27"/>
  <c r="I833" i="27"/>
  <c r="I829" i="27"/>
  <c r="I801" i="27"/>
  <c r="I813" i="27"/>
  <c r="I777" i="27"/>
  <c r="I821" i="27"/>
  <c r="I806" i="27"/>
  <c r="I818" i="27"/>
  <c r="I800" i="27"/>
  <c r="I793" i="27"/>
  <c r="I762" i="27"/>
  <c r="I815" i="27"/>
  <c r="I802" i="27"/>
  <c r="I738" i="27"/>
  <c r="I748" i="27"/>
  <c r="I790" i="27"/>
  <c r="I702" i="27"/>
  <c r="I750" i="27"/>
  <c r="I761" i="27"/>
  <c r="I724" i="27"/>
  <c r="I776" i="27"/>
  <c r="I752" i="27"/>
  <c r="I638" i="27"/>
  <c r="I773" i="27"/>
  <c r="I749" i="27"/>
  <c r="I792" i="27"/>
  <c r="I819" i="27"/>
  <c r="I767" i="27"/>
  <c r="I791" i="27"/>
  <c r="I778" i="27"/>
  <c r="I805" i="27"/>
  <c r="I794" i="27"/>
  <c r="I756" i="27"/>
  <c r="I751" i="27"/>
  <c r="I717" i="27"/>
  <c r="I735" i="27"/>
  <c r="I788" i="27"/>
  <c r="I797" i="27"/>
  <c r="I795" i="27"/>
  <c r="I736" i="27"/>
  <c r="I784" i="27"/>
  <c r="I690" i="27"/>
  <c r="I739" i="27"/>
  <c r="I723" i="27"/>
  <c r="I781" i="27"/>
  <c r="I681" i="27"/>
  <c r="I720" i="27"/>
  <c r="I729" i="27"/>
  <c r="I710" i="27"/>
  <c r="I728" i="27"/>
  <c r="I665" i="27"/>
  <c r="I734" i="27"/>
  <c r="I786" i="27"/>
  <c r="I763" i="27"/>
  <c r="I687" i="27"/>
  <c r="I798" i="27"/>
  <c r="I721" i="27"/>
  <c r="I699" i="27"/>
  <c r="I770" i="27"/>
  <c r="I772" i="27"/>
  <c r="I771" i="27"/>
  <c r="I753" i="27"/>
  <c r="I758" i="27"/>
  <c r="I666" i="27"/>
  <c r="I744" i="27"/>
  <c r="I766" i="27"/>
  <c r="I709" i="27"/>
  <c r="I662" i="27"/>
  <c r="I747" i="27"/>
  <c r="I768" i="27"/>
  <c r="I764" i="27"/>
  <c r="I725" i="27"/>
  <c r="I701" i="27"/>
  <c r="I760" i="27"/>
  <c r="I742" i="27"/>
  <c r="I719" i="27"/>
  <c r="I716" i="27"/>
  <c r="I635" i="27"/>
  <c r="I740" i="27"/>
  <c r="I671" i="27"/>
  <c r="I757" i="27"/>
  <c r="I704" i="27"/>
  <c r="I606" i="27"/>
  <c r="I732" i="27"/>
  <c r="I759" i="27"/>
  <c r="I670" i="27"/>
  <c r="I730" i="27"/>
  <c r="I741" i="27"/>
  <c r="I745" i="27"/>
  <c r="I692" i="27"/>
  <c r="I714" i="27"/>
  <c r="I654" i="27"/>
  <c r="I743" i="27"/>
  <c r="I559" i="27"/>
  <c r="I649" i="27"/>
  <c r="I696" i="27"/>
  <c r="I737" i="27"/>
  <c r="I733" i="27"/>
  <c r="I711" i="27"/>
  <c r="I678" i="27"/>
  <c r="I705" i="27"/>
  <c r="I673" i="27"/>
  <c r="I731" i="27"/>
  <c r="I697" i="27"/>
  <c r="I655" i="27"/>
  <c r="I679" i="27"/>
  <c r="I706" i="27"/>
  <c r="I726" i="27"/>
  <c r="I755" i="27"/>
  <c r="I715" i="27"/>
  <c r="I610" i="27"/>
  <c r="I604" i="27"/>
  <c r="I713" i="27"/>
  <c r="I708" i="27"/>
  <c r="I597" i="27"/>
  <c r="I707" i="27"/>
  <c r="I683" i="27"/>
  <c r="I693" i="27"/>
  <c r="I712" i="27"/>
  <c r="I632" i="27"/>
  <c r="I537" i="27"/>
  <c r="I698" i="27"/>
  <c r="I700" i="27"/>
  <c r="I674" i="27"/>
  <c r="I522" i="27"/>
  <c r="I657" i="27"/>
  <c r="I675" i="27"/>
  <c r="I680" i="27"/>
  <c r="I563" i="27"/>
  <c r="I650" i="27"/>
  <c r="I631" i="27"/>
  <c r="I544" i="27"/>
  <c r="I694" i="27"/>
  <c r="I648" i="27"/>
  <c r="I669" i="27"/>
  <c r="I677" i="27"/>
  <c r="I682" i="27"/>
  <c r="I668" i="27"/>
  <c r="I688" i="27"/>
  <c r="I695" i="27"/>
  <c r="I703" i="27"/>
  <c r="I689" i="27"/>
  <c r="I541" i="27"/>
  <c r="I640" i="27"/>
  <c r="I727" i="27"/>
  <c r="I685" i="27"/>
  <c r="I667" i="27"/>
  <c r="I672" i="27"/>
  <c r="I629" i="27"/>
  <c r="I591" i="27"/>
  <c r="I580" i="27"/>
  <c r="I661" i="27"/>
  <c r="I634" i="27"/>
  <c r="I529" i="27"/>
  <c r="I608" i="27"/>
  <c r="I653" i="27"/>
  <c r="I663" i="27"/>
  <c r="I642" i="27"/>
  <c r="I651" i="27"/>
  <c r="I684" i="27"/>
  <c r="I636" i="27"/>
  <c r="I643" i="27"/>
  <c r="I593" i="27"/>
  <c r="I644" i="27"/>
  <c r="I633" i="27"/>
  <c r="I558" i="27"/>
  <c r="I586" i="27"/>
  <c r="I691" i="27"/>
  <c r="I588" i="27"/>
  <c r="I660" i="27"/>
  <c r="I615" i="27"/>
  <c r="I656" i="27"/>
  <c r="I637" i="27"/>
  <c r="I598" i="27"/>
  <c r="I577" i="27"/>
  <c r="I646" i="27"/>
  <c r="I566" i="27"/>
  <c r="I619" i="27"/>
  <c r="I621" i="27"/>
  <c r="I495" i="27"/>
  <c r="I574" i="27"/>
  <c r="I624" i="27"/>
  <c r="I622" i="27"/>
  <c r="I617" i="27"/>
  <c r="I645" i="27"/>
  <c r="I582" i="27"/>
  <c r="I639" i="27"/>
  <c r="I551" i="27"/>
  <c r="I611" i="27"/>
  <c r="I659" i="27"/>
  <c r="I594" i="27"/>
  <c r="I658" i="27"/>
  <c r="I625" i="27"/>
  <c r="I592" i="27"/>
  <c r="I618" i="27"/>
  <c r="I626" i="27"/>
  <c r="I595" i="27"/>
  <c r="I487" i="27"/>
  <c r="I570" i="27"/>
  <c r="I576" i="27"/>
  <c r="I579" i="27"/>
  <c r="I605" i="27"/>
  <c r="I630" i="27"/>
  <c r="I612" i="27"/>
  <c r="I614" i="27"/>
  <c r="I647" i="27"/>
  <c r="I584" i="27"/>
  <c r="I483" i="27"/>
  <c r="I548" i="27"/>
  <c r="I603" i="27"/>
  <c r="I601" i="27"/>
  <c r="I596" i="27"/>
  <c r="I600" i="27"/>
  <c r="I567" i="27"/>
  <c r="I652" i="27"/>
  <c r="I568" i="27"/>
  <c r="I627" i="27"/>
  <c r="I589" i="27"/>
  <c r="I628" i="27"/>
  <c r="I572" i="27"/>
  <c r="I616" i="27"/>
  <c r="I528" i="27"/>
  <c r="I502" i="27"/>
  <c r="I536" i="27"/>
  <c r="I578" i="27"/>
  <c r="I552" i="27"/>
  <c r="I532" i="27"/>
  <c r="I553" i="27"/>
  <c r="I583" i="27"/>
  <c r="I521" i="27"/>
  <c r="I602" i="27"/>
  <c r="I575" i="27"/>
  <c r="I587" i="27"/>
  <c r="I581" i="27"/>
  <c r="I438" i="27"/>
  <c r="I557" i="27"/>
  <c r="I623" i="27"/>
  <c r="I526" i="27"/>
  <c r="I555" i="27"/>
  <c r="I540" i="27"/>
  <c r="I539" i="27"/>
  <c r="I545" i="27"/>
  <c r="I564" i="27"/>
  <c r="I556" i="27"/>
  <c r="I590" i="27"/>
  <c r="I571" i="27"/>
  <c r="I562" i="27"/>
  <c r="I561" i="27"/>
  <c r="I477" i="27"/>
  <c r="I560" i="27"/>
  <c r="I512" i="27"/>
  <c r="I554" i="27"/>
  <c r="I533" i="27"/>
  <c r="I549" i="27"/>
  <c r="I573" i="27"/>
  <c r="I547" i="27"/>
  <c r="I546" i="27"/>
  <c r="I514" i="27"/>
  <c r="I565" i="27"/>
  <c r="I535" i="27"/>
  <c r="I506" i="27"/>
  <c r="I523" i="27"/>
  <c r="I507" i="27"/>
  <c r="I542" i="27"/>
  <c r="I517" i="27"/>
  <c r="I524" i="27"/>
  <c r="I509" i="27"/>
  <c r="I515" i="27"/>
  <c r="I519" i="27"/>
  <c r="I543" i="27"/>
  <c r="I530" i="27"/>
  <c r="I531" i="27"/>
  <c r="I516" i="27"/>
  <c r="I510" i="27"/>
  <c r="I520" i="27"/>
  <c r="I486" i="27"/>
  <c r="I479" i="27"/>
  <c r="I518" i="27"/>
  <c r="I489" i="27"/>
  <c r="I492" i="27"/>
  <c r="I470" i="27"/>
  <c r="I505" i="27"/>
  <c r="I513" i="27"/>
  <c r="I511" i="27"/>
  <c r="I446" i="27"/>
  <c r="I411" i="27"/>
  <c r="I501" i="27"/>
  <c r="I480" i="27"/>
  <c r="I389" i="27"/>
  <c r="I390" i="27"/>
  <c r="I488" i="27"/>
  <c r="I497" i="27"/>
  <c r="I504" i="27"/>
  <c r="I474" i="27"/>
  <c r="I500" i="27"/>
  <c r="I503" i="27"/>
  <c r="I440" i="27"/>
  <c r="I293" i="27"/>
  <c r="I493" i="27"/>
  <c r="I478" i="27"/>
  <c r="I485" i="27"/>
  <c r="I498" i="27"/>
  <c r="I310" i="27"/>
  <c r="I464" i="27"/>
  <c r="I494" i="27"/>
  <c r="I430" i="27"/>
  <c r="I374" i="27"/>
  <c r="I550" i="27"/>
  <c r="I490" i="27"/>
  <c r="I345" i="27"/>
  <c r="I433" i="27"/>
  <c r="I321" i="27"/>
  <c r="I461" i="27"/>
  <c r="I452" i="27"/>
  <c r="I444" i="27"/>
  <c r="I527" i="27"/>
  <c r="I376" i="27"/>
  <c r="I538" i="27"/>
  <c r="I496" i="27"/>
  <c r="I508" i="27"/>
  <c r="I613" i="27"/>
  <c r="I453" i="27"/>
  <c r="I491" i="27"/>
  <c r="I253" i="27"/>
  <c r="I439" i="27"/>
  <c r="I472" i="27"/>
  <c r="I442" i="27"/>
  <c r="I408" i="27"/>
  <c r="I396" i="27"/>
  <c r="I484" i="27"/>
  <c r="I499" i="27"/>
  <c r="I466" i="27"/>
  <c r="I585" i="27"/>
  <c r="I471" i="27"/>
  <c r="I482" i="27"/>
  <c r="I450" i="27"/>
  <c r="I569" i="27"/>
  <c r="I476" i="27"/>
  <c r="I462" i="27"/>
  <c r="I449" i="27"/>
  <c r="I460" i="27"/>
  <c r="I469" i="27"/>
  <c r="I445" i="27"/>
  <c r="I441" i="27"/>
  <c r="I451" i="27"/>
  <c r="I435" i="27"/>
  <c r="I448" i="27"/>
  <c r="I443" i="27"/>
  <c r="I393" i="27"/>
  <c r="I399" i="27"/>
  <c r="I534" i="27"/>
  <c r="I365" i="27"/>
  <c r="I416" i="27"/>
  <c r="I428" i="27"/>
  <c r="I525" i="27"/>
  <c r="I454" i="27"/>
  <c r="I391" i="27"/>
  <c r="I413" i="27"/>
  <c r="I388" i="27"/>
  <c r="I395" i="27"/>
  <c r="I431" i="27"/>
  <c r="I427" i="27"/>
  <c r="I421" i="27"/>
  <c r="I420" i="27"/>
  <c r="I417" i="27"/>
  <c r="I403" i="27"/>
  <c r="I405" i="27"/>
  <c r="I415" i="27"/>
  <c r="I414" i="27"/>
  <c r="I429" i="27"/>
  <c r="I426" i="27"/>
  <c r="I455" i="27"/>
  <c r="I410" i="27"/>
  <c r="I409" i="27"/>
  <c r="I360" i="27"/>
  <c r="I473" i="27"/>
  <c r="I475" i="27"/>
  <c r="I406" i="27"/>
  <c r="I398" i="27"/>
  <c r="I392" i="27"/>
  <c r="I401" i="27"/>
  <c r="I434" i="27"/>
  <c r="I447" i="27"/>
  <c r="I459" i="27"/>
  <c r="I437" i="27"/>
  <c r="I377" i="27"/>
  <c r="I354" i="27"/>
  <c r="I351" i="27"/>
  <c r="I394" i="27"/>
  <c r="I338" i="27"/>
  <c r="I346" i="27"/>
  <c r="I373" i="27"/>
  <c r="I387" i="27"/>
  <c r="I353" i="27"/>
  <c r="I384" i="27"/>
  <c r="I349" i="27"/>
  <c r="I386" i="27"/>
  <c r="I385" i="27"/>
  <c r="I370" i="27"/>
  <c r="I383" i="27"/>
  <c r="I382" i="27"/>
  <c r="I468" i="27"/>
  <c r="I467" i="27"/>
  <c r="I379" i="27"/>
  <c r="I344" i="27"/>
  <c r="I340" i="27"/>
  <c r="I375" i="27"/>
  <c r="I397" i="27"/>
  <c r="I372" i="27"/>
  <c r="I371" i="27"/>
  <c r="I378" i="27"/>
  <c r="I331" i="27"/>
  <c r="I336" i="27"/>
  <c r="I247" i="27"/>
  <c r="I357" i="27"/>
  <c r="I424" i="27"/>
  <c r="I361" i="27"/>
  <c r="I363" i="27"/>
  <c r="I481" i="27"/>
  <c r="I412" i="27"/>
  <c r="I404" i="27"/>
  <c r="I348" i="27"/>
  <c r="I465" i="27"/>
  <c r="I359" i="27"/>
  <c r="I358" i="27"/>
  <c r="I337" i="27"/>
  <c r="I352" i="27"/>
  <c r="I407" i="27"/>
  <c r="I332" i="27"/>
  <c r="I366" i="27"/>
  <c r="I364" i="27"/>
  <c r="I342" i="27"/>
  <c r="I343" i="27"/>
  <c r="I368" i="27"/>
  <c r="I267" i="27"/>
  <c r="I350" i="27"/>
  <c r="I335" i="27"/>
  <c r="I457" i="27"/>
  <c r="I329" i="27"/>
  <c r="I347" i="27"/>
  <c r="I330" i="27"/>
  <c r="I324" i="27"/>
  <c r="I318" i="27"/>
  <c r="I315" i="27"/>
  <c r="I325" i="27"/>
  <c r="I285" i="27"/>
  <c r="I320" i="27"/>
  <c r="I282" i="27"/>
  <c r="I314" i="27"/>
  <c r="I362" i="27"/>
  <c r="I313" i="27"/>
  <c r="I458" i="27"/>
  <c r="I256" i="27"/>
  <c r="I283" i="27"/>
  <c r="I307" i="27"/>
  <c r="I305" i="27"/>
  <c r="I402" i="27"/>
  <c r="I304" i="27"/>
  <c r="I319" i="27"/>
  <c r="I300" i="27"/>
  <c r="I299" i="27"/>
  <c r="I298" i="27"/>
  <c r="I369" i="27"/>
  <c r="I309" i="27"/>
  <c r="I418" i="27"/>
  <c r="I296" i="27"/>
  <c r="I288" i="27"/>
  <c r="I311" i="27"/>
  <c r="I306" i="27"/>
  <c r="I257" i="27"/>
  <c r="I277" i="27"/>
  <c r="I301" i="27"/>
  <c r="I328" i="27"/>
  <c r="I272" i="27"/>
  <c r="I294" i="27"/>
  <c r="I286" i="27"/>
  <c r="I260" i="27"/>
  <c r="I292" i="27"/>
  <c r="I245" i="27"/>
  <c r="I275" i="27"/>
  <c r="I302" i="27"/>
  <c r="I268" i="27"/>
  <c r="I290" i="27"/>
  <c r="I287" i="27"/>
  <c r="I317" i="27"/>
  <c r="I281" i="27"/>
  <c r="I273" i="27"/>
  <c r="I269" i="27"/>
  <c r="I279" i="27"/>
  <c r="I367" i="27"/>
  <c r="I251" i="27"/>
  <c r="I278" i="27"/>
  <c r="I266" i="27"/>
  <c r="I265" i="27"/>
  <c r="I356" i="27"/>
  <c r="I263" i="27"/>
  <c r="I262" i="27"/>
  <c r="I231" i="27"/>
  <c r="I333" i="27"/>
  <c r="I419" i="27"/>
  <c r="I289" i="27"/>
  <c r="I432" i="27"/>
  <c r="I284" i="27"/>
  <c r="I252" i="27"/>
  <c r="I270" i="27"/>
  <c r="I274" i="27"/>
  <c r="I258" i="27"/>
  <c r="I355" i="27"/>
  <c r="I254" i="27"/>
  <c r="I456" i="27"/>
  <c r="I259" i="27"/>
  <c r="I230" i="27"/>
  <c r="I326" i="27"/>
  <c r="I400" i="27"/>
  <c r="I380" i="27"/>
  <c r="I238" i="27"/>
  <c r="I244" i="27"/>
  <c r="I250" i="27"/>
  <c r="I229" i="27"/>
  <c r="I248" i="27"/>
  <c r="I463" i="27"/>
  <c r="I334" i="27"/>
  <c r="I243" i="27"/>
  <c r="I381" i="27"/>
  <c r="I242" i="27"/>
  <c r="I234" i="27"/>
  <c r="I276" i="27"/>
  <c r="I241" i="27"/>
  <c r="I240" i="27"/>
  <c r="I239" i="27"/>
  <c r="I233" i="27"/>
  <c r="I423" i="27"/>
  <c r="I255" i="27"/>
  <c r="I235" i="27"/>
  <c r="I297" i="27"/>
  <c r="I232" i="27"/>
  <c r="I209" i="27"/>
  <c r="I228" i="27"/>
  <c r="I226" i="27"/>
  <c r="I425" i="27"/>
  <c r="I249" i="27"/>
  <c r="I222" i="27"/>
  <c r="I295" i="27"/>
  <c r="I224" i="27"/>
  <c r="I223" i="27"/>
  <c r="I177" i="27"/>
  <c r="I220" i="27"/>
  <c r="I214" i="27"/>
  <c r="I218" i="27"/>
  <c r="I185" i="27"/>
  <c r="I217" i="27"/>
  <c r="I215" i="27"/>
  <c r="I327" i="27"/>
  <c r="I210" i="27"/>
  <c r="I341" i="27"/>
  <c r="I204" i="27"/>
  <c r="I176" i="27"/>
  <c r="I237" i="27"/>
  <c r="I212" i="27"/>
  <c r="I323" i="27"/>
  <c r="I207" i="27"/>
  <c r="I322" i="27"/>
  <c r="I271" i="27"/>
  <c r="I199" i="27"/>
  <c r="I339" i="27"/>
  <c r="I206" i="27"/>
  <c r="I197" i="27"/>
  <c r="I308" i="27"/>
  <c r="I202" i="27"/>
  <c r="I312" i="27"/>
  <c r="I201" i="27"/>
  <c r="I192" i="27"/>
  <c r="I261" i="27"/>
  <c r="I165" i="27"/>
  <c r="I196" i="27"/>
  <c r="I198" i="27"/>
  <c r="I166" i="27"/>
  <c r="I195" i="27"/>
  <c r="I189" i="27"/>
  <c r="I193" i="27"/>
  <c r="I194" i="27"/>
  <c r="I169" i="27"/>
  <c r="I191" i="27"/>
  <c r="I216" i="27"/>
  <c r="I188" i="27"/>
  <c r="I164" i="27"/>
  <c r="I280" i="27"/>
  <c r="I184" i="27"/>
  <c r="I180" i="27"/>
  <c r="I182" i="27"/>
  <c r="I158" i="27"/>
  <c r="I183" i="27"/>
  <c r="I151" i="27"/>
  <c r="I225" i="27"/>
  <c r="I179" i="27"/>
  <c r="I173" i="27"/>
  <c r="I186" i="27"/>
  <c r="I246" i="27"/>
  <c r="I170" i="27"/>
  <c r="I172" i="27"/>
  <c r="I167" i="27"/>
  <c r="I291" i="27"/>
  <c r="I161" i="27"/>
  <c r="I316" i="27"/>
  <c r="I163" i="27"/>
  <c r="I132" i="27"/>
  <c r="I152" i="27"/>
  <c r="I160" i="27"/>
  <c r="I187" i="27"/>
  <c r="I150" i="27"/>
  <c r="I178" i="27"/>
  <c r="I155" i="27"/>
  <c r="I153" i="27"/>
  <c r="I154" i="27"/>
  <c r="I264" i="27"/>
  <c r="I190" i="27"/>
  <c r="I139" i="27"/>
  <c r="I159" i="27"/>
  <c r="I221" i="27"/>
  <c r="I149" i="27"/>
  <c r="I145" i="27"/>
  <c r="I147" i="27"/>
  <c r="I144" i="27"/>
  <c r="I227" i="27"/>
  <c r="I236" i="27"/>
  <c r="I142" i="27"/>
  <c r="I219" i="27"/>
  <c r="I140" i="27"/>
  <c r="I133" i="27"/>
  <c r="I208" i="27"/>
  <c r="I137" i="27"/>
  <c r="I213" i="27"/>
  <c r="I303" i="27"/>
  <c r="I125" i="27"/>
  <c r="I134" i="27"/>
  <c r="I211" i="27"/>
  <c r="I115" i="27"/>
  <c r="I131" i="27"/>
  <c r="I203" i="27"/>
  <c r="I117" i="27"/>
  <c r="I128" i="27"/>
  <c r="I124" i="27"/>
  <c r="I118" i="27"/>
  <c r="I121" i="27"/>
  <c r="I126" i="27"/>
  <c r="I113" i="27"/>
  <c r="I108" i="27"/>
  <c r="I127" i="27"/>
  <c r="I119" i="27"/>
  <c r="I109" i="27"/>
  <c r="I200" i="27"/>
  <c r="I181" i="27"/>
  <c r="I110" i="27"/>
  <c r="I104" i="27"/>
  <c r="I111" i="27"/>
  <c r="I175" i="27"/>
  <c r="I157" i="27"/>
  <c r="I174" i="27"/>
  <c r="I97" i="27"/>
  <c r="I82" i="27"/>
  <c r="I107" i="27"/>
  <c r="I129" i="27"/>
  <c r="I105" i="27"/>
  <c r="I171" i="27"/>
  <c r="I168" i="27"/>
  <c r="I148" i="27"/>
  <c r="I94" i="27"/>
  <c r="I116" i="27"/>
  <c r="I156" i="27"/>
  <c r="I103" i="27"/>
  <c r="I101" i="27"/>
  <c r="I120" i="27"/>
  <c r="I162" i="27"/>
  <c r="I100" i="27"/>
  <c r="I77" i="27"/>
  <c r="I146" i="27"/>
  <c r="I98" i="27"/>
  <c r="I90" i="27"/>
  <c r="I95" i="27"/>
  <c r="I86" i="27"/>
  <c r="I85" i="27"/>
  <c r="I81" i="27"/>
  <c r="I99" i="27"/>
  <c r="I136" i="27"/>
  <c r="I138" i="27"/>
  <c r="I78" i="27"/>
  <c r="I93" i="27"/>
  <c r="I130" i="27"/>
  <c r="I141" i="27"/>
  <c r="I92" i="27"/>
  <c r="I122" i="27"/>
  <c r="I112" i="27"/>
  <c r="I84" i="27"/>
  <c r="I106" i="27"/>
  <c r="I89" i="27"/>
  <c r="I87" i="27"/>
  <c r="I68" i="27"/>
  <c r="I96" i="27"/>
  <c r="I72" i="27"/>
  <c r="I83" i="27"/>
  <c r="I63" i="27"/>
  <c r="I71" i="27"/>
  <c r="I102" i="27"/>
  <c r="I67" i="27"/>
  <c r="I69" i="27"/>
  <c r="I65" i="27"/>
  <c r="I80" i="27"/>
  <c r="I79" i="27"/>
  <c r="I62" i="27"/>
  <c r="I60" i="27"/>
  <c r="I56" i="27"/>
  <c r="I59" i="27"/>
  <c r="I74" i="27"/>
  <c r="I75" i="27"/>
  <c r="I143" i="27"/>
  <c r="I57" i="27"/>
  <c r="I45" i="27"/>
  <c r="I53" i="27"/>
  <c r="I55" i="27"/>
  <c r="I58" i="27"/>
  <c r="I51" i="27"/>
  <c r="I135" i="27"/>
  <c r="I91" i="27"/>
  <c r="I123" i="27"/>
  <c r="I76" i="27"/>
  <c r="I64" i="27"/>
  <c r="I50" i="27"/>
  <c r="I73" i="27"/>
  <c r="I70" i="27"/>
  <c r="I35" i="27"/>
  <c r="I88" i="27"/>
  <c r="I52" i="27"/>
  <c r="I48" i="27"/>
  <c r="I39" i="27"/>
  <c r="I49" i="27"/>
  <c r="I66" i="27"/>
  <c r="I47" i="27"/>
  <c r="I46" i="27"/>
  <c r="I114" i="27"/>
  <c r="I42" i="27"/>
  <c r="I41" i="27"/>
  <c r="I37" i="27"/>
  <c r="I32" i="27"/>
  <c r="I31" i="27"/>
  <c r="I61" i="27"/>
  <c r="I25" i="27"/>
  <c r="I54" i="27"/>
  <c r="I28" i="27"/>
  <c r="I27" i="27"/>
  <c r="I26" i="27"/>
  <c r="I23" i="27"/>
  <c r="I40" i="27"/>
  <c r="I34" i="27"/>
  <c r="I44" i="27"/>
  <c r="I19" i="27"/>
  <c r="I43" i="27"/>
  <c r="I29" i="27"/>
  <c r="I20" i="27"/>
  <c r="I22" i="27"/>
  <c r="I30" i="27"/>
  <c r="I24" i="27"/>
  <c r="I36" i="27"/>
  <c r="I21" i="27"/>
  <c r="I16" i="27"/>
  <c r="I17" i="27"/>
  <c r="I33" i="27"/>
  <c r="I15" i="27"/>
  <c r="I14" i="27"/>
  <c r="I12" i="27"/>
  <c r="I10" i="27"/>
  <c r="I38" i="27"/>
  <c r="I6" i="27"/>
  <c r="I8" i="27"/>
  <c r="I4" i="27"/>
  <c r="I9" i="27"/>
  <c r="I13" i="27"/>
  <c r="I5" i="27"/>
  <c r="I3" i="27"/>
  <c r="I18" i="27"/>
  <c r="I11" i="27"/>
  <c r="I7" i="27"/>
  <c r="I2" i="27"/>
  <c r="P442" i="5" l="1"/>
  <c r="S442" i="5"/>
  <c r="B494" i="28"/>
  <c r="B152" i="7"/>
  <c r="E168" i="5"/>
  <c r="F168" i="5"/>
  <c r="G168" i="5"/>
  <c r="M168" i="5"/>
  <c r="N168" i="5"/>
  <c r="O168" i="5"/>
  <c r="Q168" i="5"/>
  <c r="R168" i="5"/>
  <c r="T168" i="5"/>
  <c r="U168" i="5"/>
  <c r="V168" i="5"/>
  <c r="W168" i="5"/>
  <c r="X168" i="5"/>
  <c r="Y168" i="5"/>
  <c r="Z168" i="5"/>
  <c r="N2" i="5"/>
  <c r="C25" i="11"/>
  <c r="A4" i="11" a="1"/>
  <c r="T3" i="5"/>
  <c r="T4" i="5"/>
  <c r="T5" i="5"/>
  <c r="T6" i="5"/>
  <c r="T7" i="5"/>
  <c r="T8" i="5"/>
  <c r="T9" i="5"/>
  <c r="T11" i="5"/>
  <c r="T10" i="5"/>
  <c r="T12" i="5"/>
  <c r="T14" i="5"/>
  <c r="T13" i="5"/>
  <c r="T15" i="5"/>
  <c r="T16" i="5"/>
  <c r="T17" i="5"/>
  <c r="T19" i="5"/>
  <c r="T20" i="5"/>
  <c r="T25" i="5"/>
  <c r="T18" i="5"/>
  <c r="T23" i="5"/>
  <c r="T24" i="5"/>
  <c r="T21" i="5"/>
  <c r="T22" i="5"/>
  <c r="T26" i="5"/>
  <c r="T28" i="5"/>
  <c r="T30" i="5"/>
  <c r="T27" i="5"/>
  <c r="T31" i="5"/>
  <c r="T29" i="5"/>
  <c r="T45" i="5"/>
  <c r="T36" i="5"/>
  <c r="T32" i="5"/>
  <c r="T43" i="5"/>
  <c r="T34" i="5"/>
  <c r="T35" i="5"/>
  <c r="T33" i="5"/>
  <c r="T39" i="5"/>
  <c r="T37" i="5"/>
  <c r="T38" i="5"/>
  <c r="T46" i="5"/>
  <c r="T41" i="5"/>
  <c r="T42" i="5"/>
  <c r="T44" i="5"/>
  <c r="T40" i="5"/>
  <c r="T49" i="5"/>
  <c r="T47" i="5"/>
  <c r="T51" i="5"/>
  <c r="T54" i="5"/>
  <c r="T57" i="5"/>
  <c r="T50" i="5"/>
  <c r="T48" i="5"/>
  <c r="T56" i="5"/>
  <c r="T58" i="5"/>
  <c r="T59" i="5"/>
  <c r="T53" i="5"/>
  <c r="T55" i="5"/>
  <c r="T52" i="5"/>
  <c r="T63" i="5"/>
  <c r="T62" i="5"/>
  <c r="T60" i="5"/>
  <c r="T65" i="5"/>
  <c r="T64" i="5"/>
  <c r="T68" i="5"/>
  <c r="T69" i="5"/>
  <c r="T61" i="5"/>
  <c r="T73" i="5"/>
  <c r="T72" i="5"/>
  <c r="T70" i="5"/>
  <c r="T77" i="5"/>
  <c r="T71" i="5"/>
  <c r="T76" i="5"/>
  <c r="T75" i="5"/>
  <c r="T66" i="5"/>
  <c r="T81" i="5"/>
  <c r="T74" i="5"/>
  <c r="T82" i="5"/>
  <c r="T85" i="5"/>
  <c r="T80" i="5"/>
  <c r="T79" i="5"/>
  <c r="T78" i="5"/>
  <c r="T84" i="5"/>
  <c r="T89" i="5"/>
  <c r="T91" i="5"/>
  <c r="T67" i="5"/>
  <c r="T90" i="5"/>
  <c r="T95" i="5"/>
  <c r="T88" i="5"/>
  <c r="T87" i="5"/>
  <c r="T86" i="5"/>
  <c r="T83" i="5"/>
  <c r="T98" i="5"/>
  <c r="T93" i="5"/>
  <c r="T92" i="5"/>
  <c r="T96" i="5"/>
  <c r="T105" i="5"/>
  <c r="T108" i="5"/>
  <c r="T102" i="5"/>
  <c r="T97" i="5"/>
  <c r="T104" i="5"/>
  <c r="T99" i="5"/>
  <c r="T101" i="5"/>
  <c r="T103" i="5"/>
  <c r="T100" i="5"/>
  <c r="T111" i="5"/>
  <c r="T113" i="5"/>
  <c r="T112" i="5"/>
  <c r="T109" i="5"/>
  <c r="T114" i="5"/>
  <c r="T110" i="5"/>
  <c r="T118" i="5"/>
  <c r="T125" i="5"/>
  <c r="T116" i="5"/>
  <c r="T121" i="5"/>
  <c r="T106" i="5"/>
  <c r="T119" i="5"/>
  <c r="T117" i="5"/>
  <c r="T115" i="5"/>
  <c r="T124" i="5"/>
  <c r="T120" i="5"/>
  <c r="T122" i="5"/>
  <c r="T127" i="5"/>
  <c r="T132" i="5"/>
  <c r="T123" i="5"/>
  <c r="T126" i="5"/>
  <c r="T131" i="5"/>
  <c r="T129" i="5"/>
  <c r="T128" i="5"/>
  <c r="T143" i="5"/>
  <c r="T137" i="5"/>
  <c r="T136" i="5"/>
  <c r="T141" i="5"/>
  <c r="T144" i="5"/>
  <c r="T107" i="5"/>
  <c r="T142" i="5"/>
  <c r="T140" i="5"/>
  <c r="T138" i="5"/>
  <c r="T135" i="5"/>
  <c r="T147" i="5"/>
  <c r="T139" i="5"/>
  <c r="T159" i="5"/>
  <c r="T148" i="5"/>
  <c r="T145" i="5"/>
  <c r="T146" i="5"/>
  <c r="T151" i="5"/>
  <c r="T134" i="5"/>
  <c r="T158" i="5"/>
  <c r="T157" i="5"/>
  <c r="T152" i="5"/>
  <c r="T155" i="5"/>
  <c r="T153" i="5"/>
  <c r="T150" i="5"/>
  <c r="T156" i="5"/>
  <c r="T166" i="5"/>
  <c r="T169" i="5"/>
  <c r="T163" i="5"/>
  <c r="T167" i="5"/>
  <c r="T161" i="5"/>
  <c r="T154" i="5"/>
  <c r="T133" i="5"/>
  <c r="T176" i="5"/>
  <c r="T164" i="5"/>
  <c r="T160" i="5"/>
  <c r="T130" i="5"/>
  <c r="T165" i="5"/>
  <c r="T162" i="5"/>
  <c r="T182" i="5"/>
  <c r="T174" i="5"/>
  <c r="T172" i="5"/>
  <c r="T173" i="5"/>
  <c r="T181" i="5"/>
  <c r="T175" i="5"/>
  <c r="T180" i="5"/>
  <c r="T178" i="5"/>
  <c r="T177" i="5"/>
  <c r="T183" i="5"/>
  <c r="T171" i="5"/>
  <c r="T194" i="5"/>
  <c r="T198" i="5"/>
  <c r="T199" i="5"/>
  <c r="T200" i="5"/>
  <c r="T195" i="5"/>
  <c r="T186" i="5"/>
  <c r="T184" i="5"/>
  <c r="T179" i="5"/>
  <c r="T185" i="5"/>
  <c r="T190" i="5"/>
  <c r="T189" i="5"/>
  <c r="T197" i="5"/>
  <c r="T210" i="5"/>
  <c r="T149" i="5"/>
  <c r="T203" i="5"/>
  <c r="T204" i="5"/>
  <c r="T201" i="5"/>
  <c r="T202" i="5"/>
  <c r="T205" i="5"/>
  <c r="T170" i="5"/>
  <c r="T188" i="5"/>
  <c r="T218" i="5"/>
  <c r="T94" i="5"/>
  <c r="T206" i="5"/>
  <c r="T209" i="5"/>
  <c r="T196" i="5"/>
  <c r="T208" i="5"/>
  <c r="T207" i="5"/>
  <c r="T211" i="5"/>
  <c r="T212" i="5"/>
  <c r="T227" i="5"/>
  <c r="T193" i="5"/>
  <c r="T216" i="5"/>
  <c r="T234" i="5"/>
  <c r="T192" i="5"/>
  <c r="T215" i="5"/>
  <c r="T217" i="5"/>
  <c r="T224" i="5"/>
  <c r="T187" i="5"/>
  <c r="T233" i="5"/>
  <c r="T232" i="5"/>
  <c r="T219" i="5"/>
  <c r="T191" i="5"/>
  <c r="T223" i="5"/>
  <c r="T230" i="5"/>
  <c r="T231" i="5"/>
  <c r="T222" i="5"/>
  <c r="T305" i="5"/>
  <c r="T226" i="5"/>
  <c r="T243" i="5"/>
  <c r="T238" i="5"/>
  <c r="T220" i="5"/>
  <c r="T228" i="5"/>
  <c r="T245" i="5"/>
  <c r="T240" i="5"/>
  <c r="T242" i="5"/>
  <c r="T236" i="5"/>
  <c r="T237" i="5"/>
  <c r="T221" i="5"/>
  <c r="T241" i="5"/>
  <c r="T251" i="5"/>
  <c r="T253" i="5"/>
  <c r="T225" i="5"/>
  <c r="T252" i="5"/>
  <c r="T312" i="5"/>
  <c r="T254" i="5"/>
  <c r="T250" i="5"/>
  <c r="T255" i="5"/>
  <c r="T264" i="5"/>
  <c r="T265" i="5"/>
  <c r="T257" i="5"/>
  <c r="T256" i="5"/>
  <c r="T248" i="5"/>
  <c r="T239" i="5"/>
  <c r="T235" i="5"/>
  <c r="T260" i="5"/>
  <c r="T273" i="5"/>
  <c r="T259" i="5"/>
  <c r="T276" i="5"/>
  <c r="T214" i="5"/>
  <c r="T229" i="5"/>
  <c r="T271" i="5"/>
  <c r="T258" i="5"/>
  <c r="T262" i="5"/>
  <c r="T275" i="5"/>
  <c r="T263" i="5"/>
  <c r="T268" i="5"/>
  <c r="T274" i="5"/>
  <c r="T267" i="5"/>
  <c r="T272" i="5"/>
  <c r="T286" i="5"/>
  <c r="T296" i="5"/>
  <c r="T297" i="5"/>
  <c r="T246" i="5"/>
  <c r="T269" i="5"/>
  <c r="T266" i="5"/>
  <c r="T247" i="5"/>
  <c r="T293" i="5"/>
  <c r="T289" i="5"/>
  <c r="T284" i="5"/>
  <c r="T285" i="5"/>
  <c r="T277" i="5"/>
  <c r="T290" i="5"/>
  <c r="T282" i="5"/>
  <c r="T295" i="5"/>
  <c r="T278" i="5"/>
  <c r="T291" i="5"/>
  <c r="T294" i="5"/>
  <c r="T292" i="5"/>
  <c r="T288" i="5"/>
  <c r="T304" i="5"/>
  <c r="T301" i="5"/>
  <c r="T300" i="5"/>
  <c r="T303" i="5"/>
  <c r="T283" i="5"/>
  <c r="T287" i="5"/>
  <c r="T280" i="5"/>
  <c r="T281" i="5"/>
  <c r="T279" i="5"/>
  <c r="T298" i="5"/>
  <c r="T313" i="5"/>
  <c r="T302" i="5"/>
  <c r="T314" i="5"/>
  <c r="T316" i="5"/>
  <c r="T244" i="5"/>
  <c r="T261" i="5"/>
  <c r="T307" i="5"/>
  <c r="T270" i="5"/>
  <c r="T315" i="5"/>
  <c r="T299" i="5"/>
  <c r="T308" i="5"/>
  <c r="T310" i="5"/>
  <c r="T318" i="5"/>
  <c r="T309" i="5"/>
  <c r="T325" i="5"/>
  <c r="T249" i="5"/>
  <c r="T319" i="5"/>
  <c r="T324" i="5"/>
  <c r="T311" i="5"/>
  <c r="T326" i="5"/>
  <c r="T322" i="5"/>
  <c r="T321" i="5"/>
  <c r="T323" i="5"/>
  <c r="T306" i="5"/>
  <c r="T320" i="5"/>
  <c r="T330" i="5"/>
  <c r="T337" i="5"/>
  <c r="T317" i="5"/>
  <c r="T335" i="5"/>
  <c r="T328" i="5"/>
  <c r="T336" i="5"/>
  <c r="T333" i="5"/>
  <c r="T338" i="5"/>
  <c r="T334" i="5"/>
  <c r="T361" i="5"/>
  <c r="T332" i="5"/>
  <c r="T327" i="5"/>
  <c r="T355" i="5"/>
  <c r="T329" i="5"/>
  <c r="T352" i="5"/>
  <c r="T360" i="5"/>
  <c r="T331" i="5"/>
  <c r="T358" i="5"/>
  <c r="T342" i="5"/>
  <c r="T349" i="5"/>
  <c r="T356" i="5"/>
  <c r="T344" i="5"/>
  <c r="T400" i="5"/>
  <c r="T348" i="5"/>
  <c r="T357" i="5"/>
  <c r="T339" i="5"/>
  <c r="T350" i="5"/>
  <c r="T353" i="5"/>
  <c r="T345" i="5"/>
  <c r="T363" i="5"/>
  <c r="T359" i="5"/>
  <c r="T351" i="5"/>
  <c r="T362" i="5"/>
  <c r="T343" i="5"/>
  <c r="T354" i="5"/>
  <c r="T371" i="5"/>
  <c r="T373" i="5"/>
  <c r="T377" i="5"/>
  <c r="T369" i="5"/>
  <c r="T378" i="5"/>
  <c r="T370" i="5"/>
  <c r="T376" i="5"/>
  <c r="T366" i="5"/>
  <c r="T367" i="5"/>
  <c r="T375" i="5"/>
  <c r="T365" i="5"/>
  <c r="T341" i="5"/>
  <c r="T346" i="5"/>
  <c r="T374" i="5"/>
  <c r="T340" i="5"/>
  <c r="T347" i="5"/>
  <c r="T379" i="5"/>
  <c r="T372" i="5"/>
  <c r="T383" i="5"/>
  <c r="T368" i="5"/>
  <c r="T390" i="5"/>
  <c r="T380" i="5"/>
  <c r="T364" i="5"/>
  <c r="T392" i="5"/>
  <c r="T385" i="5"/>
  <c r="T403" i="5"/>
  <c r="T408" i="5"/>
  <c r="T406" i="5"/>
  <c r="T387" i="5"/>
  <c r="T398" i="5"/>
  <c r="T382" i="5"/>
  <c r="T404" i="5"/>
  <c r="T389" i="5"/>
  <c r="T393" i="5"/>
  <c r="T381" i="5"/>
  <c r="T407" i="5"/>
  <c r="T402" i="5"/>
  <c r="T405" i="5"/>
  <c r="T396" i="5"/>
  <c r="T399" i="5"/>
  <c r="T391" i="5"/>
  <c r="T386" i="5"/>
  <c r="T397" i="5"/>
  <c r="T395" i="5"/>
  <c r="T419" i="5"/>
  <c r="T435" i="5"/>
  <c r="T423" i="5"/>
  <c r="T401" i="5"/>
  <c r="T433" i="5"/>
  <c r="T420" i="5"/>
  <c r="T421" i="5"/>
  <c r="T415" i="5"/>
  <c r="T412" i="5"/>
  <c r="T436" i="5"/>
  <c r="T411" i="5"/>
  <c r="T418" i="5"/>
  <c r="T409" i="5"/>
  <c r="T394" i="5"/>
  <c r="T416" i="5"/>
  <c r="T410" i="5"/>
  <c r="T413" i="5"/>
  <c r="T434" i="5"/>
  <c r="T414" i="5"/>
  <c r="T417" i="5"/>
  <c r="T448" i="5"/>
  <c r="T424" i="5"/>
  <c r="T445" i="5"/>
  <c r="T439" i="5"/>
  <c r="T441" i="5"/>
  <c r="T447" i="5"/>
  <c r="T429" i="5"/>
  <c r="T388" i="5"/>
  <c r="T426" i="5"/>
  <c r="T422" i="5"/>
  <c r="T438" i="5"/>
  <c r="T446" i="5"/>
  <c r="T425" i="5"/>
  <c r="T428" i="5"/>
  <c r="T443" i="5"/>
  <c r="T432" i="5"/>
  <c r="T431" i="5"/>
  <c r="T430" i="5"/>
  <c r="T427" i="5"/>
  <c r="T456" i="5"/>
  <c r="T444" i="5"/>
  <c r="T465" i="5"/>
  <c r="T458" i="5"/>
  <c r="T452" i="5"/>
  <c r="T462" i="5"/>
  <c r="T463" i="5"/>
  <c r="T454" i="5"/>
  <c r="T449" i="5"/>
  <c r="T440" i="5"/>
  <c r="T453" i="5"/>
  <c r="T451" i="5"/>
  <c r="T437" i="5"/>
  <c r="T464" i="5"/>
  <c r="T455" i="5"/>
  <c r="T474" i="5"/>
  <c r="T459" i="5"/>
  <c r="T450" i="5"/>
  <c r="T482" i="5"/>
  <c r="T473" i="5"/>
  <c r="T471" i="5"/>
  <c r="T481" i="5"/>
  <c r="T469" i="5"/>
  <c r="T461" i="5"/>
  <c r="T480" i="5"/>
  <c r="T470" i="5"/>
  <c r="T468" i="5"/>
  <c r="T460" i="5"/>
  <c r="T472" i="5"/>
  <c r="T478" i="5"/>
  <c r="T477" i="5"/>
  <c r="T479" i="5"/>
  <c r="T457" i="5"/>
  <c r="T502" i="5"/>
  <c r="T466" i="5"/>
  <c r="T490" i="5"/>
  <c r="T483" i="5"/>
  <c r="T486" i="5"/>
  <c r="T509" i="5"/>
  <c r="T489" i="5"/>
  <c r="T506" i="5"/>
  <c r="T476" i="5"/>
  <c r="T484" i="5"/>
  <c r="T475" i="5"/>
  <c r="T500" i="5"/>
  <c r="T488" i="5"/>
  <c r="T492" i="5"/>
  <c r="T507" i="5"/>
  <c r="T384" i="5"/>
  <c r="T467" i="5"/>
  <c r="T487" i="5"/>
  <c r="T491" i="5"/>
  <c r="T485" i="5"/>
  <c r="T505" i="5"/>
  <c r="T495" i="5"/>
  <c r="T503" i="5"/>
  <c r="T504" i="5"/>
  <c r="T524" i="5"/>
  <c r="T508" i="5"/>
  <c r="T499" i="5"/>
  <c r="T498" i="5"/>
  <c r="T530" i="5"/>
  <c r="T501" i="5"/>
  <c r="T497" i="5"/>
  <c r="T523" i="5"/>
  <c r="T496" i="5"/>
  <c r="T493" i="5"/>
  <c r="T533" i="5"/>
  <c r="T512" i="5"/>
  <c r="T532" i="5"/>
  <c r="T525" i="5"/>
  <c r="T527" i="5"/>
  <c r="T529" i="5"/>
  <c r="T528" i="5"/>
  <c r="T531" i="5"/>
  <c r="T516" i="5"/>
  <c r="T518" i="5"/>
  <c r="T519" i="5"/>
  <c r="T510" i="5"/>
  <c r="T517" i="5"/>
  <c r="T494" i="5"/>
  <c r="T521" i="5"/>
  <c r="T537" i="5"/>
  <c r="T551" i="5"/>
  <c r="T522" i="5"/>
  <c r="T514" i="5"/>
  <c r="T553" i="5"/>
  <c r="T515" i="5"/>
  <c r="T511" i="5"/>
  <c r="T546" i="5"/>
  <c r="T513" i="5"/>
  <c r="T547" i="5"/>
  <c r="T557" i="5"/>
  <c r="T540" i="5"/>
  <c r="T550" i="5"/>
  <c r="T542" i="5"/>
  <c r="T213" i="5"/>
  <c r="T544" i="5"/>
  <c r="T558" i="5"/>
  <c r="T554" i="5"/>
  <c r="T552" i="5"/>
  <c r="T526" i="5"/>
  <c r="T520" i="5"/>
  <c r="T573" i="5"/>
  <c r="T578" i="5"/>
  <c r="T545" i="5"/>
  <c r="T567" i="5"/>
  <c r="T541" i="5"/>
  <c r="T548" i="5"/>
  <c r="T560" i="5"/>
  <c r="T577" i="5"/>
  <c r="T564" i="5"/>
  <c r="T575" i="5"/>
  <c r="T571" i="5"/>
  <c r="T566" i="5"/>
  <c r="T556" i="5"/>
  <c r="T534" i="5"/>
  <c r="T543" i="5"/>
  <c r="T579" i="5"/>
  <c r="T576" i="5"/>
  <c r="T549" i="5"/>
  <c r="T565" i="5"/>
  <c r="T536" i="5"/>
  <c r="T568" i="5"/>
  <c r="T535" i="5"/>
  <c r="T538" i="5"/>
  <c r="T555" i="5"/>
  <c r="T574" i="5"/>
  <c r="T539" i="5"/>
  <c r="T572" i="5"/>
  <c r="T590" i="5"/>
  <c r="T592" i="5"/>
  <c r="T593" i="5"/>
  <c r="T609" i="5"/>
  <c r="T570" i="5"/>
  <c r="T608" i="5"/>
  <c r="T591" i="5"/>
  <c r="T594" i="5"/>
  <c r="T561" i="5"/>
  <c r="T569" i="5"/>
  <c r="T581" i="5"/>
  <c r="T589" i="5"/>
  <c r="T583" i="5"/>
  <c r="T585" i="5"/>
  <c r="T587" i="5"/>
  <c r="T563" i="5"/>
  <c r="T559" i="5"/>
  <c r="T586" i="5"/>
  <c r="T606" i="5"/>
  <c r="T595" i="5"/>
  <c r="T580" i="5"/>
  <c r="T588" i="5"/>
  <c r="T596" i="5"/>
  <c r="T562" i="5"/>
  <c r="T582" i="5"/>
  <c r="T584" i="5"/>
  <c r="T603" i="5"/>
  <c r="T618" i="5"/>
  <c r="T607" i="5"/>
  <c r="T599" i="5"/>
  <c r="T627" i="5"/>
  <c r="T616" i="5"/>
  <c r="T601" i="5"/>
  <c r="T612" i="5"/>
  <c r="T623" i="5"/>
  <c r="T620" i="5"/>
  <c r="T610" i="5"/>
  <c r="T597" i="5"/>
  <c r="T621" i="5"/>
  <c r="T605" i="5"/>
  <c r="T613" i="5"/>
  <c r="T611" i="5"/>
  <c r="T625" i="5"/>
  <c r="T602" i="5"/>
  <c r="T622" i="5"/>
  <c r="T604" i="5"/>
  <c r="T617" i="5"/>
  <c r="T624" i="5"/>
  <c r="T598" i="5"/>
  <c r="T615" i="5"/>
  <c r="T614" i="5"/>
  <c r="T626" i="5"/>
  <c r="T619" i="5"/>
  <c r="T600" i="5"/>
  <c r="T630" i="5"/>
  <c r="T634" i="5"/>
  <c r="T668" i="5"/>
  <c r="T660" i="5"/>
  <c r="T640" i="5"/>
  <c r="T629" i="5"/>
  <c r="T638" i="5"/>
  <c r="T635" i="5"/>
  <c r="T666" i="5"/>
  <c r="T628" i="5"/>
  <c r="T651" i="5"/>
  <c r="T636" i="5"/>
  <c r="T657" i="5"/>
  <c r="T649" i="5"/>
  <c r="T665" i="5"/>
  <c r="T658" i="5"/>
  <c r="T646" i="5"/>
  <c r="T667" i="5"/>
  <c r="T654" i="5"/>
  <c r="T637" i="5"/>
  <c r="T663" i="5"/>
  <c r="T632" i="5"/>
  <c r="T631" i="5"/>
  <c r="T664" i="5"/>
  <c r="T641" i="5"/>
  <c r="T653" i="5"/>
  <c r="T669" i="5"/>
  <c r="T633" i="5"/>
  <c r="T639" i="5"/>
  <c r="T655" i="5"/>
  <c r="T686" i="5"/>
  <c r="T650" i="5"/>
  <c r="T645" i="5"/>
  <c r="T644" i="5"/>
  <c r="T688" i="5"/>
  <c r="T659" i="5"/>
  <c r="T691" i="5"/>
  <c r="T647" i="5"/>
  <c r="T656" i="5"/>
  <c r="T642" i="5"/>
  <c r="T648" i="5"/>
  <c r="T652" i="5"/>
  <c r="T689" i="5"/>
  <c r="T662" i="5"/>
  <c r="T643" i="5"/>
  <c r="T694" i="5"/>
  <c r="T682" i="5"/>
  <c r="T661" i="5"/>
  <c r="T693" i="5"/>
  <c r="T687" i="5"/>
  <c r="T685" i="5"/>
  <c r="T679" i="5"/>
  <c r="T690" i="5"/>
  <c r="T681" i="5"/>
  <c r="T700" i="5"/>
  <c r="T703" i="5"/>
  <c r="T684" i="5"/>
  <c r="T674" i="5"/>
  <c r="T672" i="5"/>
  <c r="T676" i="5"/>
  <c r="T678" i="5"/>
  <c r="T671" i="5"/>
  <c r="T670" i="5"/>
  <c r="T701" i="5"/>
  <c r="T677" i="5"/>
  <c r="T683" i="5"/>
  <c r="T702" i="5"/>
  <c r="T675" i="5"/>
  <c r="T673" i="5"/>
  <c r="T680" i="5"/>
  <c r="T705" i="5"/>
  <c r="T692" i="5"/>
  <c r="T720" i="5"/>
  <c r="T714" i="5"/>
  <c r="T711" i="5"/>
  <c r="T697" i="5"/>
  <c r="T710" i="5"/>
  <c r="T712" i="5"/>
  <c r="T698" i="5"/>
  <c r="T696" i="5"/>
  <c r="T695" i="5"/>
  <c r="T704" i="5"/>
  <c r="T718" i="5"/>
  <c r="T721" i="5"/>
  <c r="T713" i="5"/>
  <c r="T699" i="5"/>
  <c r="T716" i="5"/>
  <c r="T709" i="5"/>
  <c r="T715" i="5"/>
  <c r="T717" i="5"/>
  <c r="T708" i="5"/>
  <c r="T719" i="5"/>
  <c r="T706" i="5"/>
  <c r="T749" i="5"/>
  <c r="T727" i="5"/>
  <c r="T723" i="5"/>
  <c r="T750" i="5"/>
  <c r="T732" i="5"/>
  <c r="T722" i="5"/>
  <c r="T733" i="5"/>
  <c r="T753" i="5"/>
  <c r="T728" i="5"/>
  <c r="T740" i="5"/>
  <c r="T743" i="5"/>
  <c r="T734" i="5"/>
  <c r="T748" i="5"/>
  <c r="T737" i="5"/>
  <c r="T731" i="5"/>
  <c r="T752" i="5"/>
  <c r="T736" i="5"/>
  <c r="T747" i="5"/>
  <c r="T741" i="5"/>
  <c r="T726" i="5"/>
  <c r="T724" i="5"/>
  <c r="T754" i="5"/>
  <c r="T729" i="5"/>
  <c r="T744" i="5"/>
  <c r="T707" i="5"/>
  <c r="T746" i="5"/>
  <c r="T742" i="5"/>
  <c r="T735" i="5"/>
  <c r="T745" i="5"/>
  <c r="T730" i="5"/>
  <c r="T725" i="5"/>
  <c r="T739" i="5"/>
  <c r="T738" i="5"/>
  <c r="T755" i="5"/>
  <c r="T751" i="5"/>
  <c r="T756" i="5"/>
  <c r="T2" i="5"/>
  <c r="O2" i="5"/>
  <c r="R3" i="5"/>
  <c r="R4" i="5"/>
  <c r="R5" i="5"/>
  <c r="R6" i="5"/>
  <c r="R7" i="5"/>
  <c r="R8" i="5"/>
  <c r="R9" i="5"/>
  <c r="R11" i="5"/>
  <c r="R10" i="5"/>
  <c r="R12" i="5"/>
  <c r="R14" i="5"/>
  <c r="R13" i="5"/>
  <c r="R15" i="5"/>
  <c r="R16" i="5"/>
  <c r="R17" i="5"/>
  <c r="R19" i="5"/>
  <c r="R20" i="5"/>
  <c r="R25" i="5"/>
  <c r="R18" i="5"/>
  <c r="R23" i="5"/>
  <c r="R24" i="5"/>
  <c r="R21" i="5"/>
  <c r="R22" i="5"/>
  <c r="R26" i="5"/>
  <c r="R28" i="5"/>
  <c r="R30" i="5"/>
  <c r="R27" i="5"/>
  <c r="R31" i="5"/>
  <c r="R29" i="5"/>
  <c r="R45" i="5"/>
  <c r="R36" i="5"/>
  <c r="R32" i="5"/>
  <c r="R43" i="5"/>
  <c r="R34" i="5"/>
  <c r="R35" i="5"/>
  <c r="R33" i="5"/>
  <c r="R39" i="5"/>
  <c r="R37" i="5"/>
  <c r="R38" i="5"/>
  <c r="R46" i="5"/>
  <c r="R41" i="5"/>
  <c r="R42" i="5"/>
  <c r="R44" i="5"/>
  <c r="R40" i="5"/>
  <c r="R49" i="5"/>
  <c r="R47" i="5"/>
  <c r="R51" i="5"/>
  <c r="R54" i="5"/>
  <c r="R57" i="5"/>
  <c r="R50" i="5"/>
  <c r="R48" i="5"/>
  <c r="R56" i="5"/>
  <c r="R58" i="5"/>
  <c r="R59" i="5"/>
  <c r="R53" i="5"/>
  <c r="R55" i="5"/>
  <c r="R52" i="5"/>
  <c r="R63" i="5"/>
  <c r="R62" i="5"/>
  <c r="R60" i="5"/>
  <c r="R65" i="5"/>
  <c r="R64" i="5"/>
  <c r="R68" i="5"/>
  <c r="R69" i="5"/>
  <c r="R61" i="5"/>
  <c r="R73" i="5"/>
  <c r="R72" i="5"/>
  <c r="R70" i="5"/>
  <c r="R77" i="5"/>
  <c r="R71" i="5"/>
  <c r="R76" i="5"/>
  <c r="R75" i="5"/>
  <c r="R66" i="5"/>
  <c r="R81" i="5"/>
  <c r="R74" i="5"/>
  <c r="R82" i="5"/>
  <c r="R85" i="5"/>
  <c r="R80" i="5"/>
  <c r="R79" i="5"/>
  <c r="R78" i="5"/>
  <c r="R84" i="5"/>
  <c r="R89" i="5"/>
  <c r="R91" i="5"/>
  <c r="R67" i="5"/>
  <c r="R90" i="5"/>
  <c r="R95" i="5"/>
  <c r="R88" i="5"/>
  <c r="R87" i="5"/>
  <c r="R86" i="5"/>
  <c r="R83" i="5"/>
  <c r="R98" i="5"/>
  <c r="R93" i="5"/>
  <c r="R92" i="5"/>
  <c r="R96" i="5"/>
  <c r="R105" i="5"/>
  <c r="R108" i="5"/>
  <c r="R102" i="5"/>
  <c r="R97" i="5"/>
  <c r="R104" i="5"/>
  <c r="R99" i="5"/>
  <c r="R101" i="5"/>
  <c r="R103" i="5"/>
  <c r="R100" i="5"/>
  <c r="R111" i="5"/>
  <c r="R113" i="5"/>
  <c r="R112" i="5"/>
  <c r="R109" i="5"/>
  <c r="R114" i="5"/>
  <c r="R110" i="5"/>
  <c r="R118" i="5"/>
  <c r="R125" i="5"/>
  <c r="R116" i="5"/>
  <c r="R121" i="5"/>
  <c r="R106" i="5"/>
  <c r="R119" i="5"/>
  <c r="R117" i="5"/>
  <c r="R115" i="5"/>
  <c r="R124" i="5"/>
  <c r="R120" i="5"/>
  <c r="R122" i="5"/>
  <c r="R127" i="5"/>
  <c r="R132" i="5"/>
  <c r="R123" i="5"/>
  <c r="R126" i="5"/>
  <c r="R131" i="5"/>
  <c r="R129" i="5"/>
  <c r="R128" i="5"/>
  <c r="R143" i="5"/>
  <c r="R137" i="5"/>
  <c r="R136" i="5"/>
  <c r="R141" i="5"/>
  <c r="R144" i="5"/>
  <c r="R107" i="5"/>
  <c r="R142" i="5"/>
  <c r="R140" i="5"/>
  <c r="R138" i="5"/>
  <c r="R135" i="5"/>
  <c r="R147" i="5"/>
  <c r="R139" i="5"/>
  <c r="R159" i="5"/>
  <c r="R148" i="5"/>
  <c r="R145" i="5"/>
  <c r="R146" i="5"/>
  <c r="R151" i="5"/>
  <c r="R134" i="5"/>
  <c r="R158" i="5"/>
  <c r="R157" i="5"/>
  <c r="R152" i="5"/>
  <c r="R155" i="5"/>
  <c r="R153" i="5"/>
  <c r="R150" i="5"/>
  <c r="R156" i="5"/>
  <c r="R166" i="5"/>
  <c r="R169" i="5"/>
  <c r="R163" i="5"/>
  <c r="R167" i="5"/>
  <c r="R161" i="5"/>
  <c r="R154" i="5"/>
  <c r="R133" i="5"/>
  <c r="R176" i="5"/>
  <c r="R164" i="5"/>
  <c r="R160" i="5"/>
  <c r="R130" i="5"/>
  <c r="R165" i="5"/>
  <c r="R162" i="5"/>
  <c r="R182" i="5"/>
  <c r="R174" i="5"/>
  <c r="R172" i="5"/>
  <c r="R173" i="5"/>
  <c r="R181" i="5"/>
  <c r="R175" i="5"/>
  <c r="R180" i="5"/>
  <c r="R178" i="5"/>
  <c r="R177" i="5"/>
  <c r="R183" i="5"/>
  <c r="R171" i="5"/>
  <c r="R194" i="5"/>
  <c r="R198" i="5"/>
  <c r="R199" i="5"/>
  <c r="R200" i="5"/>
  <c r="R195" i="5"/>
  <c r="R186" i="5"/>
  <c r="R184" i="5"/>
  <c r="R179" i="5"/>
  <c r="R185" i="5"/>
  <c r="R190" i="5"/>
  <c r="R189" i="5"/>
  <c r="R197" i="5"/>
  <c r="R210" i="5"/>
  <c r="R149" i="5"/>
  <c r="R203" i="5"/>
  <c r="R204" i="5"/>
  <c r="R201" i="5"/>
  <c r="R202" i="5"/>
  <c r="R205" i="5"/>
  <c r="R170" i="5"/>
  <c r="R188" i="5"/>
  <c r="R218" i="5"/>
  <c r="R94" i="5"/>
  <c r="R206" i="5"/>
  <c r="R209" i="5"/>
  <c r="R196" i="5"/>
  <c r="R208" i="5"/>
  <c r="R207" i="5"/>
  <c r="R211" i="5"/>
  <c r="R212" i="5"/>
  <c r="R227" i="5"/>
  <c r="R193" i="5"/>
  <c r="R216" i="5"/>
  <c r="R234" i="5"/>
  <c r="R192" i="5"/>
  <c r="R215" i="5"/>
  <c r="R217" i="5"/>
  <c r="R224" i="5"/>
  <c r="R187" i="5"/>
  <c r="R233" i="5"/>
  <c r="R232" i="5"/>
  <c r="R219" i="5"/>
  <c r="R191" i="5"/>
  <c r="R223" i="5"/>
  <c r="R230" i="5"/>
  <c r="R231" i="5"/>
  <c r="R222" i="5"/>
  <c r="R305" i="5"/>
  <c r="R226" i="5"/>
  <c r="R243" i="5"/>
  <c r="R238" i="5"/>
  <c r="R220" i="5"/>
  <c r="R228" i="5"/>
  <c r="R245" i="5"/>
  <c r="R240" i="5"/>
  <c r="R242" i="5"/>
  <c r="R236" i="5"/>
  <c r="R237" i="5"/>
  <c r="R221" i="5"/>
  <c r="R241" i="5"/>
  <c r="R251" i="5"/>
  <c r="R253" i="5"/>
  <c r="R225" i="5"/>
  <c r="R252" i="5"/>
  <c r="R312" i="5"/>
  <c r="R254" i="5"/>
  <c r="R250" i="5"/>
  <c r="R255" i="5"/>
  <c r="R264" i="5"/>
  <c r="R265" i="5"/>
  <c r="R257" i="5"/>
  <c r="R256" i="5"/>
  <c r="R248" i="5"/>
  <c r="R239" i="5"/>
  <c r="R235" i="5"/>
  <c r="R260" i="5"/>
  <c r="R273" i="5"/>
  <c r="R259" i="5"/>
  <c r="R276" i="5"/>
  <c r="R214" i="5"/>
  <c r="R229" i="5"/>
  <c r="R271" i="5"/>
  <c r="R258" i="5"/>
  <c r="R262" i="5"/>
  <c r="R275" i="5"/>
  <c r="R263" i="5"/>
  <c r="R268" i="5"/>
  <c r="R274" i="5"/>
  <c r="R267" i="5"/>
  <c r="R272" i="5"/>
  <c r="R286" i="5"/>
  <c r="R296" i="5"/>
  <c r="R297" i="5"/>
  <c r="R246" i="5"/>
  <c r="R269" i="5"/>
  <c r="R266" i="5"/>
  <c r="R247" i="5"/>
  <c r="R293" i="5"/>
  <c r="R289" i="5"/>
  <c r="R284" i="5"/>
  <c r="R285" i="5"/>
  <c r="R277" i="5"/>
  <c r="R290" i="5"/>
  <c r="R282" i="5"/>
  <c r="R295" i="5"/>
  <c r="R278" i="5"/>
  <c r="R291" i="5"/>
  <c r="R294" i="5"/>
  <c r="R292" i="5"/>
  <c r="R288" i="5"/>
  <c r="R304" i="5"/>
  <c r="R301" i="5"/>
  <c r="R300" i="5"/>
  <c r="R303" i="5"/>
  <c r="R283" i="5"/>
  <c r="R287" i="5"/>
  <c r="R280" i="5"/>
  <c r="R281" i="5"/>
  <c r="R279" i="5"/>
  <c r="R298" i="5"/>
  <c r="R313" i="5"/>
  <c r="R302" i="5"/>
  <c r="R314" i="5"/>
  <c r="R316" i="5"/>
  <c r="R244" i="5"/>
  <c r="R261" i="5"/>
  <c r="R307" i="5"/>
  <c r="R270" i="5"/>
  <c r="R315" i="5"/>
  <c r="R299" i="5"/>
  <c r="R308" i="5"/>
  <c r="R310" i="5"/>
  <c r="R318" i="5"/>
  <c r="R309" i="5"/>
  <c r="R325" i="5"/>
  <c r="R249" i="5"/>
  <c r="R319" i="5"/>
  <c r="R324" i="5"/>
  <c r="R311" i="5"/>
  <c r="R326" i="5"/>
  <c r="R322" i="5"/>
  <c r="R321" i="5"/>
  <c r="R323" i="5"/>
  <c r="R306" i="5"/>
  <c r="R320" i="5"/>
  <c r="R330" i="5"/>
  <c r="R337" i="5"/>
  <c r="R317" i="5"/>
  <c r="R335" i="5"/>
  <c r="R328" i="5"/>
  <c r="R336" i="5"/>
  <c r="R333" i="5"/>
  <c r="R338" i="5"/>
  <c r="R334" i="5"/>
  <c r="R361" i="5"/>
  <c r="R332" i="5"/>
  <c r="R327" i="5"/>
  <c r="R355" i="5"/>
  <c r="R329" i="5"/>
  <c r="R352" i="5"/>
  <c r="R360" i="5"/>
  <c r="R331" i="5"/>
  <c r="R358" i="5"/>
  <c r="R342" i="5"/>
  <c r="R349" i="5"/>
  <c r="R356" i="5"/>
  <c r="R344" i="5"/>
  <c r="R400" i="5"/>
  <c r="R348" i="5"/>
  <c r="R357" i="5"/>
  <c r="R339" i="5"/>
  <c r="R350" i="5"/>
  <c r="R353" i="5"/>
  <c r="R345" i="5"/>
  <c r="R363" i="5"/>
  <c r="R359" i="5"/>
  <c r="R351" i="5"/>
  <c r="R362" i="5"/>
  <c r="R343" i="5"/>
  <c r="R354" i="5"/>
  <c r="R371" i="5"/>
  <c r="R373" i="5"/>
  <c r="R377" i="5"/>
  <c r="R369" i="5"/>
  <c r="R378" i="5"/>
  <c r="R370" i="5"/>
  <c r="R376" i="5"/>
  <c r="R366" i="5"/>
  <c r="R367" i="5"/>
  <c r="R375" i="5"/>
  <c r="R365" i="5"/>
  <c r="R341" i="5"/>
  <c r="R346" i="5"/>
  <c r="R374" i="5"/>
  <c r="R340" i="5"/>
  <c r="R347" i="5"/>
  <c r="R379" i="5"/>
  <c r="R372" i="5"/>
  <c r="R383" i="5"/>
  <c r="R368" i="5"/>
  <c r="R390" i="5"/>
  <c r="R380" i="5"/>
  <c r="R364" i="5"/>
  <c r="R392" i="5"/>
  <c r="R385" i="5"/>
  <c r="R403" i="5"/>
  <c r="R408" i="5"/>
  <c r="R406" i="5"/>
  <c r="R387" i="5"/>
  <c r="R398" i="5"/>
  <c r="R382" i="5"/>
  <c r="R404" i="5"/>
  <c r="R389" i="5"/>
  <c r="R393" i="5"/>
  <c r="R381" i="5"/>
  <c r="R407" i="5"/>
  <c r="R402" i="5"/>
  <c r="R405" i="5"/>
  <c r="R396" i="5"/>
  <c r="R399" i="5"/>
  <c r="R391" i="5"/>
  <c r="R386" i="5"/>
  <c r="R397" i="5"/>
  <c r="R395" i="5"/>
  <c r="R419" i="5"/>
  <c r="R435" i="5"/>
  <c r="R423" i="5"/>
  <c r="R401" i="5"/>
  <c r="R433" i="5"/>
  <c r="R420" i="5"/>
  <c r="R421" i="5"/>
  <c r="R415" i="5"/>
  <c r="R412" i="5"/>
  <c r="R436" i="5"/>
  <c r="R411" i="5"/>
  <c r="R418" i="5"/>
  <c r="R409" i="5"/>
  <c r="R394" i="5"/>
  <c r="R416" i="5"/>
  <c r="R410" i="5"/>
  <c r="R413" i="5"/>
  <c r="R434" i="5"/>
  <c r="R414" i="5"/>
  <c r="R417" i="5"/>
  <c r="R448" i="5"/>
  <c r="R424" i="5"/>
  <c r="R445" i="5"/>
  <c r="R439" i="5"/>
  <c r="R441" i="5"/>
  <c r="R447" i="5"/>
  <c r="R429" i="5"/>
  <c r="R388" i="5"/>
  <c r="R426" i="5"/>
  <c r="R422" i="5"/>
  <c r="R438" i="5"/>
  <c r="R446" i="5"/>
  <c r="R425" i="5"/>
  <c r="R428" i="5"/>
  <c r="R443" i="5"/>
  <c r="R432" i="5"/>
  <c r="R431" i="5"/>
  <c r="R430" i="5"/>
  <c r="R427" i="5"/>
  <c r="R456" i="5"/>
  <c r="R444" i="5"/>
  <c r="R465" i="5"/>
  <c r="R458" i="5"/>
  <c r="R452" i="5"/>
  <c r="R462" i="5"/>
  <c r="R463" i="5"/>
  <c r="R454" i="5"/>
  <c r="R449" i="5"/>
  <c r="R440" i="5"/>
  <c r="R453" i="5"/>
  <c r="R451" i="5"/>
  <c r="R437" i="5"/>
  <c r="R464" i="5"/>
  <c r="R455" i="5"/>
  <c r="R474" i="5"/>
  <c r="R459" i="5"/>
  <c r="R450" i="5"/>
  <c r="R482" i="5"/>
  <c r="R473" i="5"/>
  <c r="R471" i="5"/>
  <c r="R481" i="5"/>
  <c r="R469" i="5"/>
  <c r="R461" i="5"/>
  <c r="R480" i="5"/>
  <c r="R470" i="5"/>
  <c r="R468" i="5"/>
  <c r="R460" i="5"/>
  <c r="R472" i="5"/>
  <c r="R478" i="5"/>
  <c r="R477" i="5"/>
  <c r="R479" i="5"/>
  <c r="R457" i="5"/>
  <c r="R502" i="5"/>
  <c r="R466" i="5"/>
  <c r="R490" i="5"/>
  <c r="R483" i="5"/>
  <c r="R486" i="5"/>
  <c r="R509" i="5"/>
  <c r="R489" i="5"/>
  <c r="R506" i="5"/>
  <c r="R476" i="5"/>
  <c r="R484" i="5"/>
  <c r="R475" i="5"/>
  <c r="R500" i="5"/>
  <c r="R488" i="5"/>
  <c r="R492" i="5"/>
  <c r="R507" i="5"/>
  <c r="R384" i="5"/>
  <c r="R467" i="5"/>
  <c r="R487" i="5"/>
  <c r="R491" i="5"/>
  <c r="R485" i="5"/>
  <c r="R505" i="5"/>
  <c r="R495" i="5"/>
  <c r="R503" i="5"/>
  <c r="R504" i="5"/>
  <c r="R524" i="5"/>
  <c r="R508" i="5"/>
  <c r="R499" i="5"/>
  <c r="R498" i="5"/>
  <c r="R530" i="5"/>
  <c r="R501" i="5"/>
  <c r="R497" i="5"/>
  <c r="R523" i="5"/>
  <c r="R496" i="5"/>
  <c r="R493" i="5"/>
  <c r="R533" i="5"/>
  <c r="R512" i="5"/>
  <c r="R532" i="5"/>
  <c r="R525" i="5"/>
  <c r="R527" i="5"/>
  <c r="R529" i="5"/>
  <c r="R528" i="5"/>
  <c r="R531" i="5"/>
  <c r="R516" i="5"/>
  <c r="R518" i="5"/>
  <c r="R519" i="5"/>
  <c r="R510" i="5"/>
  <c r="R517" i="5"/>
  <c r="R494" i="5"/>
  <c r="R521" i="5"/>
  <c r="R537" i="5"/>
  <c r="R551" i="5"/>
  <c r="R522" i="5"/>
  <c r="R514" i="5"/>
  <c r="R553" i="5"/>
  <c r="R515" i="5"/>
  <c r="R511" i="5"/>
  <c r="R546" i="5"/>
  <c r="R513" i="5"/>
  <c r="R547" i="5"/>
  <c r="R557" i="5"/>
  <c r="R540" i="5"/>
  <c r="R550" i="5"/>
  <c r="R542" i="5"/>
  <c r="R213" i="5"/>
  <c r="R544" i="5"/>
  <c r="R558" i="5"/>
  <c r="R554" i="5"/>
  <c r="R552" i="5"/>
  <c r="R526" i="5"/>
  <c r="R520" i="5"/>
  <c r="R573" i="5"/>
  <c r="R578" i="5"/>
  <c r="R545" i="5"/>
  <c r="R567" i="5"/>
  <c r="R541" i="5"/>
  <c r="R548" i="5"/>
  <c r="R560" i="5"/>
  <c r="R577" i="5"/>
  <c r="R564" i="5"/>
  <c r="R575" i="5"/>
  <c r="R571" i="5"/>
  <c r="R566" i="5"/>
  <c r="R556" i="5"/>
  <c r="R534" i="5"/>
  <c r="R543" i="5"/>
  <c r="R579" i="5"/>
  <c r="R576" i="5"/>
  <c r="R549" i="5"/>
  <c r="R565" i="5"/>
  <c r="R536" i="5"/>
  <c r="R568" i="5"/>
  <c r="R535" i="5"/>
  <c r="R538" i="5"/>
  <c r="R555" i="5"/>
  <c r="R574" i="5"/>
  <c r="R539" i="5"/>
  <c r="R572" i="5"/>
  <c r="R590" i="5"/>
  <c r="R592" i="5"/>
  <c r="R593" i="5"/>
  <c r="R609" i="5"/>
  <c r="R570" i="5"/>
  <c r="R608" i="5"/>
  <c r="R591" i="5"/>
  <c r="R594" i="5"/>
  <c r="R561" i="5"/>
  <c r="R569" i="5"/>
  <c r="R581" i="5"/>
  <c r="R589" i="5"/>
  <c r="R583" i="5"/>
  <c r="R585" i="5"/>
  <c r="R587" i="5"/>
  <c r="R563" i="5"/>
  <c r="R559" i="5"/>
  <c r="R586" i="5"/>
  <c r="R606" i="5"/>
  <c r="R595" i="5"/>
  <c r="R580" i="5"/>
  <c r="R588" i="5"/>
  <c r="R596" i="5"/>
  <c r="R562" i="5"/>
  <c r="R582" i="5"/>
  <c r="R584" i="5"/>
  <c r="R603" i="5"/>
  <c r="R618" i="5"/>
  <c r="R607" i="5"/>
  <c r="R599" i="5"/>
  <c r="R627" i="5"/>
  <c r="R616" i="5"/>
  <c r="R601" i="5"/>
  <c r="R612" i="5"/>
  <c r="R623" i="5"/>
  <c r="R620" i="5"/>
  <c r="R610" i="5"/>
  <c r="R597" i="5"/>
  <c r="R621" i="5"/>
  <c r="R605" i="5"/>
  <c r="R613" i="5"/>
  <c r="R611" i="5"/>
  <c r="R625" i="5"/>
  <c r="R602" i="5"/>
  <c r="R622" i="5"/>
  <c r="R604" i="5"/>
  <c r="R617" i="5"/>
  <c r="R624" i="5"/>
  <c r="R598" i="5"/>
  <c r="R615" i="5"/>
  <c r="R614" i="5"/>
  <c r="R626" i="5"/>
  <c r="R619" i="5"/>
  <c r="R600" i="5"/>
  <c r="R630" i="5"/>
  <c r="R634" i="5"/>
  <c r="R668" i="5"/>
  <c r="R660" i="5"/>
  <c r="R640" i="5"/>
  <c r="R629" i="5"/>
  <c r="R638" i="5"/>
  <c r="R635" i="5"/>
  <c r="R666" i="5"/>
  <c r="R628" i="5"/>
  <c r="R651" i="5"/>
  <c r="R636" i="5"/>
  <c r="R657" i="5"/>
  <c r="R649" i="5"/>
  <c r="R665" i="5"/>
  <c r="R658" i="5"/>
  <c r="R646" i="5"/>
  <c r="R667" i="5"/>
  <c r="R654" i="5"/>
  <c r="R637" i="5"/>
  <c r="R663" i="5"/>
  <c r="R632" i="5"/>
  <c r="R631" i="5"/>
  <c r="R664" i="5"/>
  <c r="R641" i="5"/>
  <c r="R653" i="5"/>
  <c r="R669" i="5"/>
  <c r="R633" i="5"/>
  <c r="R639" i="5"/>
  <c r="R655" i="5"/>
  <c r="R686" i="5"/>
  <c r="R650" i="5"/>
  <c r="R645" i="5"/>
  <c r="R644" i="5"/>
  <c r="R688" i="5"/>
  <c r="R659" i="5"/>
  <c r="R691" i="5"/>
  <c r="R647" i="5"/>
  <c r="R656" i="5"/>
  <c r="R642" i="5"/>
  <c r="R648" i="5"/>
  <c r="R652" i="5"/>
  <c r="R689" i="5"/>
  <c r="R662" i="5"/>
  <c r="R643" i="5"/>
  <c r="R694" i="5"/>
  <c r="R682" i="5"/>
  <c r="R661" i="5"/>
  <c r="R693" i="5"/>
  <c r="R687" i="5"/>
  <c r="R685" i="5"/>
  <c r="R679" i="5"/>
  <c r="R690" i="5"/>
  <c r="R681" i="5"/>
  <c r="R700" i="5"/>
  <c r="R703" i="5"/>
  <c r="R684" i="5"/>
  <c r="R674" i="5"/>
  <c r="R672" i="5"/>
  <c r="R676" i="5"/>
  <c r="R678" i="5"/>
  <c r="R671" i="5"/>
  <c r="R670" i="5"/>
  <c r="R701" i="5"/>
  <c r="R677" i="5"/>
  <c r="R683" i="5"/>
  <c r="R702" i="5"/>
  <c r="R675" i="5"/>
  <c r="R673" i="5"/>
  <c r="R680" i="5"/>
  <c r="R705" i="5"/>
  <c r="R692" i="5"/>
  <c r="R720" i="5"/>
  <c r="R714" i="5"/>
  <c r="R711" i="5"/>
  <c r="R697" i="5"/>
  <c r="R710" i="5"/>
  <c r="R712" i="5"/>
  <c r="R698" i="5"/>
  <c r="R696" i="5"/>
  <c r="R695" i="5"/>
  <c r="R704" i="5"/>
  <c r="R718" i="5"/>
  <c r="R721" i="5"/>
  <c r="R713" i="5"/>
  <c r="R699" i="5"/>
  <c r="R716" i="5"/>
  <c r="R709" i="5"/>
  <c r="R715" i="5"/>
  <c r="R717" i="5"/>
  <c r="R708" i="5"/>
  <c r="R719" i="5"/>
  <c r="R706" i="5"/>
  <c r="R749" i="5"/>
  <c r="R727" i="5"/>
  <c r="R723" i="5"/>
  <c r="R750" i="5"/>
  <c r="R732" i="5"/>
  <c r="R722" i="5"/>
  <c r="R733" i="5"/>
  <c r="R753" i="5"/>
  <c r="R728" i="5"/>
  <c r="R740" i="5"/>
  <c r="R743" i="5"/>
  <c r="R734" i="5"/>
  <c r="R748" i="5"/>
  <c r="R737" i="5"/>
  <c r="R731" i="5"/>
  <c r="R752" i="5"/>
  <c r="R736" i="5"/>
  <c r="R747" i="5"/>
  <c r="R741" i="5"/>
  <c r="R726" i="5"/>
  <c r="R724" i="5"/>
  <c r="R754" i="5"/>
  <c r="R729" i="5"/>
  <c r="R744" i="5"/>
  <c r="R707" i="5"/>
  <c r="R746" i="5"/>
  <c r="R742" i="5"/>
  <c r="R735" i="5"/>
  <c r="R745" i="5"/>
  <c r="R730" i="5"/>
  <c r="R725" i="5"/>
  <c r="R739" i="5"/>
  <c r="R738" i="5"/>
  <c r="R755" i="5"/>
  <c r="R751" i="5"/>
  <c r="R756" i="5"/>
  <c r="R2" i="5"/>
  <c r="Q2" i="5"/>
  <c r="Q3" i="5"/>
  <c r="Q4" i="5"/>
  <c r="Q5" i="5"/>
  <c r="Q6" i="5"/>
  <c r="S6" i="5" s="1"/>
  <c r="Q7" i="5"/>
  <c r="S7" i="5" s="1"/>
  <c r="Q8" i="5"/>
  <c r="S8" i="5" s="1"/>
  <c r="Q9" i="5"/>
  <c r="Q11" i="5"/>
  <c r="Q10" i="5"/>
  <c r="Q12" i="5"/>
  <c r="Q14" i="5"/>
  <c r="Q13" i="5"/>
  <c r="S13" i="5" s="1"/>
  <c r="Q15" i="5"/>
  <c r="S15" i="5" s="1"/>
  <c r="Q16" i="5"/>
  <c r="S16" i="5" s="1"/>
  <c r="Q17" i="5"/>
  <c r="Q19" i="5"/>
  <c r="Q20" i="5"/>
  <c r="Q25" i="5"/>
  <c r="Q18" i="5"/>
  <c r="Q23" i="5"/>
  <c r="S23" i="5" s="1"/>
  <c r="Q24" i="5"/>
  <c r="S24" i="5" s="1"/>
  <c r="Q21" i="5"/>
  <c r="S21" i="5" s="1"/>
  <c r="Q22" i="5"/>
  <c r="Q26" i="5"/>
  <c r="Q28" i="5"/>
  <c r="Q30" i="5"/>
  <c r="Q27" i="5"/>
  <c r="Q31" i="5"/>
  <c r="S31" i="5" s="1"/>
  <c r="Q29" i="5"/>
  <c r="S29" i="5" s="1"/>
  <c r="Q45" i="5"/>
  <c r="S45" i="5" s="1"/>
  <c r="Q36" i="5"/>
  <c r="Q32" i="5"/>
  <c r="Q43" i="5"/>
  <c r="Q34" i="5"/>
  <c r="Q35" i="5"/>
  <c r="Q33" i="5"/>
  <c r="S33" i="5" s="1"/>
  <c r="Q39" i="5"/>
  <c r="S39" i="5" s="1"/>
  <c r="Q37" i="5"/>
  <c r="S37" i="5" s="1"/>
  <c r="Q38" i="5"/>
  <c r="Q46" i="5"/>
  <c r="Q41" i="5"/>
  <c r="Q42" i="5"/>
  <c r="Q44" i="5"/>
  <c r="Q40" i="5"/>
  <c r="S40" i="5" s="1"/>
  <c r="Q49" i="5"/>
  <c r="S49" i="5" s="1"/>
  <c r="Q47" i="5"/>
  <c r="S47" i="5" s="1"/>
  <c r="Q51" i="5"/>
  <c r="S51" i="5" s="1"/>
  <c r="Q54" i="5"/>
  <c r="Q57" i="5"/>
  <c r="Q50" i="5"/>
  <c r="Q48" i="5"/>
  <c r="S48" i="5" s="1"/>
  <c r="Q56" i="5"/>
  <c r="S56" i="5" s="1"/>
  <c r="Q58" i="5"/>
  <c r="S58" i="5" s="1"/>
  <c r="Q59" i="5"/>
  <c r="Q53" i="5"/>
  <c r="S53" i="5" s="1"/>
  <c r="Q55" i="5"/>
  <c r="Q52" i="5"/>
  <c r="Q63" i="5"/>
  <c r="Q62" i="5"/>
  <c r="S62" i="5" s="1"/>
  <c r="Q60" i="5"/>
  <c r="S60" i="5" s="1"/>
  <c r="Q65" i="5"/>
  <c r="S65" i="5" s="1"/>
  <c r="Q64" i="5"/>
  <c r="Q68" i="5"/>
  <c r="S68" i="5" s="1"/>
  <c r="Q69" i="5"/>
  <c r="Q61" i="5"/>
  <c r="Q73" i="5"/>
  <c r="Q72" i="5"/>
  <c r="S72" i="5" s="1"/>
  <c r="Q70" i="5"/>
  <c r="S70" i="5" s="1"/>
  <c r="Q77" i="5"/>
  <c r="S77" i="5" s="1"/>
  <c r="Q71" i="5"/>
  <c r="Q76" i="5"/>
  <c r="S76" i="5" s="1"/>
  <c r="Q75" i="5"/>
  <c r="Q66" i="5"/>
  <c r="Q81" i="5"/>
  <c r="Q74" i="5"/>
  <c r="S74" i="5" s="1"/>
  <c r="Q82" i="5"/>
  <c r="S82" i="5" s="1"/>
  <c r="Q85" i="5"/>
  <c r="S85" i="5" s="1"/>
  <c r="Q80" i="5"/>
  <c r="Q79" i="5"/>
  <c r="S79" i="5" s="1"/>
  <c r="Q78" i="5"/>
  <c r="Q84" i="5"/>
  <c r="Q89" i="5"/>
  <c r="Q91" i="5"/>
  <c r="S91" i="5" s="1"/>
  <c r="Q67" i="5"/>
  <c r="S67" i="5" s="1"/>
  <c r="Q90" i="5"/>
  <c r="S90" i="5" s="1"/>
  <c r="Q95" i="5"/>
  <c r="Q88" i="5"/>
  <c r="S88" i="5" s="1"/>
  <c r="Q87" i="5"/>
  <c r="Q86" i="5"/>
  <c r="Q83" i="5"/>
  <c r="Q98" i="5"/>
  <c r="S98" i="5" s="1"/>
  <c r="Q93" i="5"/>
  <c r="S93" i="5" s="1"/>
  <c r="Q92" i="5"/>
  <c r="S92" i="5" s="1"/>
  <c r="Q96" i="5"/>
  <c r="Q105" i="5"/>
  <c r="S105" i="5" s="1"/>
  <c r="Q108" i="5"/>
  <c r="Q102" i="5"/>
  <c r="Q97" i="5"/>
  <c r="Q104" i="5"/>
  <c r="S104" i="5" s="1"/>
  <c r="Q99" i="5"/>
  <c r="Q101" i="5"/>
  <c r="S101" i="5" s="1"/>
  <c r="Q103" i="5"/>
  <c r="Q100" i="5"/>
  <c r="Q111" i="5"/>
  <c r="Q113" i="5"/>
  <c r="Q112" i="5"/>
  <c r="Q109" i="5"/>
  <c r="S109" i="5" s="1"/>
  <c r="Q114" i="5"/>
  <c r="Q110" i="5"/>
  <c r="S110" i="5" s="1"/>
  <c r="Q118" i="5"/>
  <c r="Q125" i="5"/>
  <c r="Q116" i="5"/>
  <c r="Q121" i="5"/>
  <c r="Q106" i="5"/>
  <c r="Q119" i="5"/>
  <c r="S119" i="5" s="1"/>
  <c r="Q117" i="5"/>
  <c r="Q115" i="5"/>
  <c r="S115" i="5" s="1"/>
  <c r="Q124" i="5"/>
  <c r="Q120" i="5"/>
  <c r="Q122" i="5"/>
  <c r="Q127" i="5"/>
  <c r="Q132" i="5"/>
  <c r="Q123" i="5"/>
  <c r="S123" i="5" s="1"/>
  <c r="Q126" i="5"/>
  <c r="Q131" i="5"/>
  <c r="S131" i="5" s="1"/>
  <c r="Q129" i="5"/>
  <c r="Q128" i="5"/>
  <c r="Q143" i="5"/>
  <c r="Q137" i="5"/>
  <c r="Q136" i="5"/>
  <c r="Q141" i="5"/>
  <c r="S141" i="5" s="1"/>
  <c r="Q144" i="5"/>
  <c r="Q107" i="5"/>
  <c r="S107" i="5" s="1"/>
  <c r="Q142" i="5"/>
  <c r="Q140" i="5"/>
  <c r="Q138" i="5"/>
  <c r="Q135" i="5"/>
  <c r="Q147" i="5"/>
  <c r="Q139" i="5"/>
  <c r="S139" i="5" s="1"/>
  <c r="Q159" i="5"/>
  <c r="Q148" i="5"/>
  <c r="S148" i="5" s="1"/>
  <c r="Q145" i="5"/>
  <c r="Q146" i="5"/>
  <c r="Q151" i="5"/>
  <c r="Q134" i="5"/>
  <c r="Q158" i="5"/>
  <c r="Q157" i="5"/>
  <c r="S157" i="5" s="1"/>
  <c r="Q152" i="5"/>
  <c r="Q155" i="5"/>
  <c r="S155" i="5" s="1"/>
  <c r="Q153" i="5"/>
  <c r="Q150" i="5"/>
  <c r="Q156" i="5"/>
  <c r="Q166" i="5"/>
  <c r="Q169" i="5"/>
  <c r="Q163" i="5"/>
  <c r="S163" i="5" s="1"/>
  <c r="Q167" i="5"/>
  <c r="Q161" i="5"/>
  <c r="S161" i="5" s="1"/>
  <c r="Q154" i="5"/>
  <c r="Q133" i="5"/>
  <c r="Q176" i="5"/>
  <c r="Q164" i="5"/>
  <c r="Q160" i="5"/>
  <c r="Q130" i="5"/>
  <c r="S130" i="5" s="1"/>
  <c r="Q165" i="5"/>
  <c r="Q162" i="5"/>
  <c r="S162" i="5" s="1"/>
  <c r="Q182" i="5"/>
  <c r="Q174" i="5"/>
  <c r="Q172" i="5"/>
  <c r="Q173" i="5"/>
  <c r="Q181" i="5"/>
  <c r="Q175" i="5"/>
  <c r="S175" i="5" s="1"/>
  <c r="Q180" i="5"/>
  <c r="Q178" i="5"/>
  <c r="S178" i="5" s="1"/>
  <c r="Q177" i="5"/>
  <c r="Q183" i="5"/>
  <c r="Q171" i="5"/>
  <c r="Q194" i="5"/>
  <c r="Q198" i="5"/>
  <c r="Q199" i="5"/>
  <c r="S199" i="5" s="1"/>
  <c r="Q200" i="5"/>
  <c r="Q195" i="5"/>
  <c r="S195" i="5" s="1"/>
  <c r="Q186" i="5"/>
  <c r="Q184" i="5"/>
  <c r="Q179" i="5"/>
  <c r="Q185" i="5"/>
  <c r="Q190" i="5"/>
  <c r="Q189" i="5"/>
  <c r="S189" i="5" s="1"/>
  <c r="Q197" i="5"/>
  <c r="Q210" i="5"/>
  <c r="S210" i="5" s="1"/>
  <c r="Q149" i="5"/>
  <c r="Q203" i="5"/>
  <c r="Q204" i="5"/>
  <c r="Q201" i="5"/>
  <c r="Q202" i="5"/>
  <c r="Q205" i="5"/>
  <c r="S205" i="5" s="1"/>
  <c r="Q170" i="5"/>
  <c r="Q188" i="5"/>
  <c r="S188" i="5" s="1"/>
  <c r="Q218" i="5"/>
  <c r="Q94" i="5"/>
  <c r="Q206" i="5"/>
  <c r="Q209" i="5"/>
  <c r="Q196" i="5"/>
  <c r="Q208" i="5"/>
  <c r="S208" i="5" s="1"/>
  <c r="Q207" i="5"/>
  <c r="Q211" i="5"/>
  <c r="S211" i="5" s="1"/>
  <c r="Q212" i="5"/>
  <c r="Q227" i="5"/>
  <c r="Q193" i="5"/>
  <c r="Q216" i="5"/>
  <c r="Q234" i="5"/>
  <c r="Q192" i="5"/>
  <c r="S192" i="5" s="1"/>
  <c r="Q215" i="5"/>
  <c r="Q217" i="5"/>
  <c r="S217" i="5" s="1"/>
  <c r="Q224" i="5"/>
  <c r="Q187" i="5"/>
  <c r="Q233" i="5"/>
  <c r="Q232" i="5"/>
  <c r="Q219" i="5"/>
  <c r="Q191" i="5"/>
  <c r="S191" i="5" s="1"/>
  <c r="Q223" i="5"/>
  <c r="Q230" i="5"/>
  <c r="S230" i="5" s="1"/>
  <c r="Q231" i="5"/>
  <c r="Q222" i="5"/>
  <c r="Q305" i="5"/>
  <c r="Q226" i="5"/>
  <c r="Q243" i="5"/>
  <c r="Q238" i="5"/>
  <c r="S238" i="5" s="1"/>
  <c r="Q220" i="5"/>
  <c r="Q228" i="5"/>
  <c r="S228" i="5" s="1"/>
  <c r="Q245" i="5"/>
  <c r="Q240" i="5"/>
  <c r="Q242" i="5"/>
  <c r="Q236" i="5"/>
  <c r="Q237" i="5"/>
  <c r="Q221" i="5"/>
  <c r="S221" i="5" s="1"/>
  <c r="Q241" i="5"/>
  <c r="Q251" i="5"/>
  <c r="S251" i="5" s="1"/>
  <c r="Q253" i="5"/>
  <c r="Q225" i="5"/>
  <c r="Q252" i="5"/>
  <c r="Q312" i="5"/>
  <c r="Q254" i="5"/>
  <c r="Q250" i="5"/>
  <c r="S250" i="5" s="1"/>
  <c r="Q255" i="5"/>
  <c r="Q264" i="5"/>
  <c r="S264" i="5" s="1"/>
  <c r="Q265" i="5"/>
  <c r="Q257" i="5"/>
  <c r="Q256" i="5"/>
  <c r="Q248" i="5"/>
  <c r="Q239" i="5"/>
  <c r="Q235" i="5"/>
  <c r="S235" i="5" s="1"/>
  <c r="Q260" i="5"/>
  <c r="Q273" i="5"/>
  <c r="S273" i="5" s="1"/>
  <c r="Q259" i="5"/>
  <c r="Q276" i="5"/>
  <c r="Q214" i="5"/>
  <c r="Q229" i="5"/>
  <c r="Q271" i="5"/>
  <c r="Q258" i="5"/>
  <c r="S258" i="5" s="1"/>
  <c r="Q262" i="5"/>
  <c r="Q275" i="5"/>
  <c r="S275" i="5" s="1"/>
  <c r="Q263" i="5"/>
  <c r="Q268" i="5"/>
  <c r="Q274" i="5"/>
  <c r="Q267" i="5"/>
  <c r="Q272" i="5"/>
  <c r="Q286" i="5"/>
  <c r="Q296" i="5"/>
  <c r="Q297" i="5"/>
  <c r="S297" i="5" s="1"/>
  <c r="Q246" i="5"/>
  <c r="Q269" i="5"/>
  <c r="Q266" i="5"/>
  <c r="Q247" i="5"/>
  <c r="Q293" i="5"/>
  <c r="Q289" i="5"/>
  <c r="Q284" i="5"/>
  <c r="Q285" i="5"/>
  <c r="S285" i="5" s="1"/>
  <c r="Q277" i="5"/>
  <c r="Q290" i="5"/>
  <c r="Q282" i="5"/>
  <c r="Q295" i="5"/>
  <c r="Q278" i="5"/>
  <c r="Q291" i="5"/>
  <c r="Q294" i="5"/>
  <c r="Q292" i="5"/>
  <c r="S292" i="5" s="1"/>
  <c r="Q288" i="5"/>
  <c r="Q304" i="5"/>
  <c r="Q301" i="5"/>
  <c r="Q300" i="5"/>
  <c r="Q303" i="5"/>
  <c r="Q283" i="5"/>
  <c r="Q287" i="5"/>
  <c r="Q280" i="5"/>
  <c r="S280" i="5" s="1"/>
  <c r="Q281" i="5"/>
  <c r="Q279" i="5"/>
  <c r="Q298" i="5"/>
  <c r="Q313" i="5"/>
  <c r="Q302" i="5"/>
  <c r="Q314" i="5"/>
  <c r="Q316" i="5"/>
  <c r="Q244" i="5"/>
  <c r="S244" i="5" s="1"/>
  <c r="Q261" i="5"/>
  <c r="Q307" i="5"/>
  <c r="Q270" i="5"/>
  <c r="Q315" i="5"/>
  <c r="Q299" i="5"/>
  <c r="Q308" i="5"/>
  <c r="Q310" i="5"/>
  <c r="Q318" i="5"/>
  <c r="S318" i="5" s="1"/>
  <c r="Q309" i="5"/>
  <c r="Q325" i="5"/>
  <c r="Q249" i="5"/>
  <c r="Q319" i="5"/>
  <c r="Q324" i="5"/>
  <c r="Q311" i="5"/>
  <c r="Q326" i="5"/>
  <c r="Q322" i="5"/>
  <c r="S322" i="5" s="1"/>
  <c r="Q321" i="5"/>
  <c r="Q323" i="5"/>
  <c r="Q306" i="5"/>
  <c r="Q320" i="5"/>
  <c r="Q330" i="5"/>
  <c r="Q337" i="5"/>
  <c r="Q317" i="5"/>
  <c r="Q335" i="5"/>
  <c r="S335" i="5" s="1"/>
  <c r="Q328" i="5"/>
  <c r="Q336" i="5"/>
  <c r="Q333" i="5"/>
  <c r="Q338" i="5"/>
  <c r="Q334" i="5"/>
  <c r="Q361" i="5"/>
  <c r="Q332" i="5"/>
  <c r="Q327" i="5"/>
  <c r="S327" i="5" s="1"/>
  <c r="Q355" i="5"/>
  <c r="Q329" i="5"/>
  <c r="Q352" i="5"/>
  <c r="Q360" i="5"/>
  <c r="Q331" i="5"/>
  <c r="Q358" i="5"/>
  <c r="Q342" i="5"/>
  <c r="Q349" i="5"/>
  <c r="S349" i="5" s="1"/>
  <c r="Q356" i="5"/>
  <c r="Q344" i="5"/>
  <c r="Q400" i="5"/>
  <c r="Q348" i="5"/>
  <c r="Q357" i="5"/>
  <c r="Q339" i="5"/>
  <c r="Q350" i="5"/>
  <c r="Q353" i="5"/>
  <c r="S353" i="5" s="1"/>
  <c r="Q345" i="5"/>
  <c r="Q363" i="5"/>
  <c r="Q359" i="5"/>
  <c r="Q351" i="5"/>
  <c r="Q362" i="5"/>
  <c r="Q343" i="5"/>
  <c r="Q354" i="5"/>
  <c r="Q371" i="5"/>
  <c r="S371" i="5" s="1"/>
  <c r="Q373" i="5"/>
  <c r="Q377" i="5"/>
  <c r="Q369" i="5"/>
  <c r="Q378" i="5"/>
  <c r="Q370" i="5"/>
  <c r="Q376" i="5"/>
  <c r="Q366" i="5"/>
  <c r="Q367" i="5"/>
  <c r="S367" i="5" s="1"/>
  <c r="Q375" i="5"/>
  <c r="Q365" i="5"/>
  <c r="Q341" i="5"/>
  <c r="Q346" i="5"/>
  <c r="Q374" i="5"/>
  <c r="Q340" i="5"/>
  <c r="Q347" i="5"/>
  <c r="Q379" i="5"/>
  <c r="S379" i="5" s="1"/>
  <c r="Q372" i="5"/>
  <c r="Q383" i="5"/>
  <c r="Q368" i="5"/>
  <c r="Q390" i="5"/>
  <c r="Q380" i="5"/>
  <c r="Q364" i="5"/>
  <c r="Q392" i="5"/>
  <c r="Q385" i="5"/>
  <c r="S385" i="5" s="1"/>
  <c r="Q403" i="5"/>
  <c r="Q408" i="5"/>
  <c r="Q406" i="5"/>
  <c r="Q387" i="5"/>
  <c r="Q398" i="5"/>
  <c r="Q382" i="5"/>
  <c r="Q404" i="5"/>
  <c r="Q389" i="5"/>
  <c r="S389" i="5" s="1"/>
  <c r="Q393" i="5"/>
  <c r="Q381" i="5"/>
  <c r="Q407" i="5"/>
  <c r="Q402" i="5"/>
  <c r="Q405" i="5"/>
  <c r="Q396" i="5"/>
  <c r="Q399" i="5"/>
  <c r="Q391" i="5"/>
  <c r="S391" i="5" s="1"/>
  <c r="Q386" i="5"/>
  <c r="Q397" i="5"/>
  <c r="Q395" i="5"/>
  <c r="Q419" i="5"/>
  <c r="Q435" i="5"/>
  <c r="Q423" i="5"/>
  <c r="Q401" i="5"/>
  <c r="Q433" i="5"/>
  <c r="S433" i="5" s="1"/>
  <c r="Q420" i="5"/>
  <c r="Q421" i="5"/>
  <c r="Q415" i="5"/>
  <c r="Q412" i="5"/>
  <c r="Q436" i="5"/>
  <c r="Q411" i="5"/>
  <c r="Q418" i="5"/>
  <c r="Q409" i="5"/>
  <c r="S409" i="5" s="1"/>
  <c r="Q394" i="5"/>
  <c r="Q416" i="5"/>
  <c r="Q410" i="5"/>
  <c r="Q413" i="5"/>
  <c r="Q434" i="5"/>
  <c r="Q414" i="5"/>
  <c r="Q417" i="5"/>
  <c r="Q448" i="5"/>
  <c r="S448" i="5" s="1"/>
  <c r="Q424" i="5"/>
  <c r="Q445" i="5"/>
  <c r="Q439" i="5"/>
  <c r="Q441" i="5"/>
  <c r="Q447" i="5"/>
  <c r="Q429" i="5"/>
  <c r="Q388" i="5"/>
  <c r="Q426" i="5"/>
  <c r="S426" i="5" s="1"/>
  <c r="Q422" i="5"/>
  <c r="Q438" i="5"/>
  <c r="Q446" i="5"/>
  <c r="Q425" i="5"/>
  <c r="Q428" i="5"/>
  <c r="Q443" i="5"/>
  <c r="Q432" i="5"/>
  <c r="Q431" i="5"/>
  <c r="S431" i="5" s="1"/>
  <c r="Q430" i="5"/>
  <c r="Q427" i="5"/>
  <c r="Q456" i="5"/>
  <c r="Q444" i="5"/>
  <c r="Q465" i="5"/>
  <c r="Q458" i="5"/>
  <c r="Q452" i="5"/>
  <c r="Q462" i="5"/>
  <c r="S462" i="5" s="1"/>
  <c r="Q463" i="5"/>
  <c r="Q454" i="5"/>
  <c r="Q449" i="5"/>
  <c r="Q440" i="5"/>
  <c r="Q453" i="5"/>
  <c r="Q451" i="5"/>
  <c r="Q437" i="5"/>
  <c r="Q464" i="5"/>
  <c r="S464" i="5" s="1"/>
  <c r="Q455" i="5"/>
  <c r="Q474" i="5"/>
  <c r="Q459" i="5"/>
  <c r="Q450" i="5"/>
  <c r="Q482" i="5"/>
  <c r="Q473" i="5"/>
  <c r="Q471" i="5"/>
  <c r="Q481" i="5"/>
  <c r="S481" i="5" s="1"/>
  <c r="Q469" i="5"/>
  <c r="Q461" i="5"/>
  <c r="Q480" i="5"/>
  <c r="Q470" i="5"/>
  <c r="Q468" i="5"/>
  <c r="Q460" i="5"/>
  <c r="Q472" i="5"/>
  <c r="Q478" i="5"/>
  <c r="S478" i="5" s="1"/>
  <c r="Q477" i="5"/>
  <c r="Q479" i="5"/>
  <c r="Q457" i="5"/>
  <c r="Q502" i="5"/>
  <c r="Q466" i="5"/>
  <c r="Q490" i="5"/>
  <c r="Q483" i="5"/>
  <c r="Q486" i="5"/>
  <c r="S486" i="5" s="1"/>
  <c r="Q509" i="5"/>
  <c r="Q489" i="5"/>
  <c r="Q506" i="5"/>
  <c r="Q476" i="5"/>
  <c r="Q484" i="5"/>
  <c r="Q475" i="5"/>
  <c r="Q500" i="5"/>
  <c r="Q488" i="5"/>
  <c r="S488" i="5" s="1"/>
  <c r="Q492" i="5"/>
  <c r="Q507" i="5"/>
  <c r="Q384" i="5"/>
  <c r="Q467" i="5"/>
  <c r="Q487" i="5"/>
  <c r="Q491" i="5"/>
  <c r="Q485" i="5"/>
  <c r="Q505" i="5"/>
  <c r="S505" i="5" s="1"/>
  <c r="Q495" i="5"/>
  <c r="Q503" i="5"/>
  <c r="Q504" i="5"/>
  <c r="Q524" i="5"/>
  <c r="Q508" i="5"/>
  <c r="Q499" i="5"/>
  <c r="Q498" i="5"/>
  <c r="Q530" i="5"/>
  <c r="S530" i="5" s="1"/>
  <c r="Q501" i="5"/>
  <c r="Q497" i="5"/>
  <c r="Q523" i="5"/>
  <c r="Q496" i="5"/>
  <c r="Q493" i="5"/>
  <c r="Q533" i="5"/>
  <c r="Q512" i="5"/>
  <c r="Q532" i="5"/>
  <c r="S532" i="5" s="1"/>
  <c r="Q525" i="5"/>
  <c r="Q527" i="5"/>
  <c r="Q529" i="5"/>
  <c r="Q528" i="5"/>
  <c r="Q531" i="5"/>
  <c r="Q516" i="5"/>
  <c r="Q518" i="5"/>
  <c r="Q519" i="5"/>
  <c r="S519" i="5" s="1"/>
  <c r="Q510" i="5"/>
  <c r="Q517" i="5"/>
  <c r="Q494" i="5"/>
  <c r="Q521" i="5"/>
  <c r="Q537" i="5"/>
  <c r="Q551" i="5"/>
  <c r="Q522" i="5"/>
  <c r="Q514" i="5"/>
  <c r="S514" i="5" s="1"/>
  <c r="Q553" i="5"/>
  <c r="Q515" i="5"/>
  <c r="Q511" i="5"/>
  <c r="Q546" i="5"/>
  <c r="Q513" i="5"/>
  <c r="Q547" i="5"/>
  <c r="Q557" i="5"/>
  <c r="Q540" i="5"/>
  <c r="S540" i="5" s="1"/>
  <c r="Q550" i="5"/>
  <c r="Q542" i="5"/>
  <c r="Q213" i="5"/>
  <c r="Q544" i="5"/>
  <c r="Q558" i="5"/>
  <c r="Q554" i="5"/>
  <c r="Q552" i="5"/>
  <c r="Q526" i="5"/>
  <c r="S526" i="5" s="1"/>
  <c r="Q520" i="5"/>
  <c r="Q573" i="5"/>
  <c r="Q578" i="5"/>
  <c r="Q545" i="5"/>
  <c r="Q567" i="5"/>
  <c r="Q541" i="5"/>
  <c r="Q548" i="5"/>
  <c r="Q560" i="5"/>
  <c r="S560" i="5" s="1"/>
  <c r="Q577" i="5"/>
  <c r="Q564" i="5"/>
  <c r="Q575" i="5"/>
  <c r="Q571" i="5"/>
  <c r="Q566" i="5"/>
  <c r="Q556" i="5"/>
  <c r="Q534" i="5"/>
  <c r="Q543" i="5"/>
  <c r="S543" i="5" s="1"/>
  <c r="Q579" i="5"/>
  <c r="Q576" i="5"/>
  <c r="Q549" i="5"/>
  <c r="Q565" i="5"/>
  <c r="Q536" i="5"/>
  <c r="Q568" i="5"/>
  <c r="Q535" i="5"/>
  <c r="Q538" i="5"/>
  <c r="S538" i="5" s="1"/>
  <c r="Q555" i="5"/>
  <c r="Q574" i="5"/>
  <c r="Q539" i="5"/>
  <c r="Q572" i="5"/>
  <c r="Q590" i="5"/>
  <c r="Q592" i="5"/>
  <c r="Q593" i="5"/>
  <c r="Q609" i="5"/>
  <c r="S609" i="5" s="1"/>
  <c r="Q570" i="5"/>
  <c r="Q608" i="5"/>
  <c r="Q591" i="5"/>
  <c r="Q594" i="5"/>
  <c r="Q561" i="5"/>
  <c r="Q569" i="5"/>
  <c r="Q581" i="5"/>
  <c r="Q589" i="5"/>
  <c r="S589" i="5" s="1"/>
  <c r="Q583" i="5"/>
  <c r="Q585" i="5"/>
  <c r="Q587" i="5"/>
  <c r="Q563" i="5"/>
  <c r="Q559" i="5"/>
  <c r="Q586" i="5"/>
  <c r="Q606" i="5"/>
  <c r="Q595" i="5"/>
  <c r="S595" i="5" s="1"/>
  <c r="Q580" i="5"/>
  <c r="Q588" i="5"/>
  <c r="Q596" i="5"/>
  <c r="Q562" i="5"/>
  <c r="Q582" i="5"/>
  <c r="Q584" i="5"/>
  <c r="Q603" i="5"/>
  <c r="Q618" i="5"/>
  <c r="S618" i="5" s="1"/>
  <c r="Q607" i="5"/>
  <c r="Q599" i="5"/>
  <c r="Q627" i="5"/>
  <c r="Q616" i="5"/>
  <c r="Q601" i="5"/>
  <c r="Q612" i="5"/>
  <c r="Q623" i="5"/>
  <c r="Q620" i="5"/>
  <c r="S620" i="5" s="1"/>
  <c r="Q610" i="5"/>
  <c r="Q597" i="5"/>
  <c r="Q621" i="5"/>
  <c r="Q605" i="5"/>
  <c r="Q613" i="5"/>
  <c r="Q611" i="5"/>
  <c r="Q625" i="5"/>
  <c r="Q602" i="5"/>
  <c r="S602" i="5" s="1"/>
  <c r="Q622" i="5"/>
  <c r="Q604" i="5"/>
  <c r="Q617" i="5"/>
  <c r="Q624" i="5"/>
  <c r="Q598" i="5"/>
  <c r="Q615" i="5"/>
  <c r="Q614" i="5"/>
  <c r="Q626" i="5"/>
  <c r="S626" i="5" s="1"/>
  <c r="Q619" i="5"/>
  <c r="Q600" i="5"/>
  <c r="Q630" i="5"/>
  <c r="Q634" i="5"/>
  <c r="Q668" i="5"/>
  <c r="Q660" i="5"/>
  <c r="Q640" i="5"/>
  <c r="Q629" i="5"/>
  <c r="S629" i="5" s="1"/>
  <c r="Q638" i="5"/>
  <c r="Q635" i="5"/>
  <c r="Q666" i="5"/>
  <c r="Q628" i="5"/>
  <c r="Q651" i="5"/>
  <c r="Q636" i="5"/>
  <c r="Q657" i="5"/>
  <c r="Q649" i="5"/>
  <c r="S649" i="5" s="1"/>
  <c r="Q665" i="5"/>
  <c r="Q658" i="5"/>
  <c r="Q646" i="5"/>
  <c r="Q667" i="5"/>
  <c r="Q654" i="5"/>
  <c r="Q637" i="5"/>
  <c r="Q663" i="5"/>
  <c r="Q632" i="5"/>
  <c r="S632" i="5" s="1"/>
  <c r="Q631" i="5"/>
  <c r="Q664" i="5"/>
  <c r="Q641" i="5"/>
  <c r="Q653" i="5"/>
  <c r="Q669" i="5"/>
  <c r="Q633" i="5"/>
  <c r="Q639" i="5"/>
  <c r="Q655" i="5"/>
  <c r="S655" i="5" s="1"/>
  <c r="Q686" i="5"/>
  <c r="Q650" i="5"/>
  <c r="Q645" i="5"/>
  <c r="Q644" i="5"/>
  <c r="Q688" i="5"/>
  <c r="Q659" i="5"/>
  <c r="Q691" i="5"/>
  <c r="Q647" i="5"/>
  <c r="S647" i="5" s="1"/>
  <c r="Q656" i="5"/>
  <c r="Q642" i="5"/>
  <c r="Q648" i="5"/>
  <c r="Q652" i="5"/>
  <c r="Q689" i="5"/>
  <c r="Q662" i="5"/>
  <c r="Q643" i="5"/>
  <c r="Q694" i="5"/>
  <c r="S694" i="5" s="1"/>
  <c r="Q682" i="5"/>
  <c r="Q661" i="5"/>
  <c r="Q693" i="5"/>
  <c r="Q687" i="5"/>
  <c r="Q685" i="5"/>
  <c r="Q679" i="5"/>
  <c r="Q690" i="5"/>
  <c r="Q681" i="5"/>
  <c r="S681" i="5" s="1"/>
  <c r="Q700" i="5"/>
  <c r="Q703" i="5"/>
  <c r="Q684" i="5"/>
  <c r="Q674" i="5"/>
  <c r="Q672" i="5"/>
  <c r="Q676" i="5"/>
  <c r="Q678" i="5"/>
  <c r="Q671" i="5"/>
  <c r="S671" i="5" s="1"/>
  <c r="Q670" i="5"/>
  <c r="Q701" i="5"/>
  <c r="Q677" i="5"/>
  <c r="Q683" i="5"/>
  <c r="Q702" i="5"/>
  <c r="Q675" i="5"/>
  <c r="Q673" i="5"/>
  <c r="Q680" i="5"/>
  <c r="S680" i="5" s="1"/>
  <c r="Q705" i="5"/>
  <c r="Q692" i="5"/>
  <c r="Q720" i="5"/>
  <c r="Q714" i="5"/>
  <c r="Q711" i="5"/>
  <c r="Q697" i="5"/>
  <c r="Q710" i="5"/>
  <c r="Q712" i="5"/>
  <c r="S712" i="5" s="1"/>
  <c r="Q698" i="5"/>
  <c r="Q696" i="5"/>
  <c r="Q695" i="5"/>
  <c r="Q704" i="5"/>
  <c r="Q718" i="5"/>
  <c r="Q721" i="5"/>
  <c r="Q713" i="5"/>
  <c r="Q699" i="5"/>
  <c r="S699" i="5" s="1"/>
  <c r="Q716" i="5"/>
  <c r="Q709" i="5"/>
  <c r="Q715" i="5"/>
  <c r="Q717" i="5"/>
  <c r="Q708" i="5"/>
  <c r="Q719" i="5"/>
  <c r="Q706" i="5"/>
  <c r="Q749" i="5"/>
  <c r="S749" i="5" s="1"/>
  <c r="Q727" i="5"/>
  <c r="Q723" i="5"/>
  <c r="Q750" i="5"/>
  <c r="Q732" i="5"/>
  <c r="Q722" i="5"/>
  <c r="Q733" i="5"/>
  <c r="Q753" i="5"/>
  <c r="Q728" i="5"/>
  <c r="S728" i="5" s="1"/>
  <c r="Q740" i="5"/>
  <c r="Q743" i="5"/>
  <c r="Q734" i="5"/>
  <c r="Q748" i="5"/>
  <c r="Q737" i="5"/>
  <c r="Q731" i="5"/>
  <c r="Q752" i="5"/>
  <c r="Q736" i="5"/>
  <c r="S736" i="5" s="1"/>
  <c r="Q747" i="5"/>
  <c r="Q741" i="5"/>
  <c r="Q726" i="5"/>
  <c r="Q724" i="5"/>
  <c r="Q754" i="5"/>
  <c r="Q729" i="5"/>
  <c r="Q744" i="5"/>
  <c r="Q707" i="5"/>
  <c r="S707" i="5" s="1"/>
  <c r="Q746" i="5"/>
  <c r="Q742" i="5"/>
  <c r="Q735" i="5"/>
  <c r="Q745" i="5"/>
  <c r="Q730" i="5"/>
  <c r="Q725" i="5"/>
  <c r="Q739" i="5"/>
  <c r="Q738" i="5"/>
  <c r="S738" i="5" s="1"/>
  <c r="Q755" i="5"/>
  <c r="Q751" i="5"/>
  <c r="Q756" i="5"/>
  <c r="D5" i="14"/>
  <c r="D4" i="14"/>
  <c r="L75" i="11"/>
  <c r="L74" i="11"/>
  <c r="P24" i="25"/>
  <c r="O24" i="25"/>
  <c r="N24" i="25"/>
  <c r="J24" i="25"/>
  <c r="I24" i="25"/>
  <c r="M24" i="25" s="1"/>
  <c r="H24" i="25"/>
  <c r="G24" i="25"/>
  <c r="F24" i="25"/>
  <c r="P16" i="25"/>
  <c r="O16" i="25"/>
  <c r="N16" i="25"/>
  <c r="J16" i="25"/>
  <c r="I16" i="25"/>
  <c r="M16" i="25" s="1"/>
  <c r="H16" i="25"/>
  <c r="G16" i="25"/>
  <c r="F16" i="25"/>
  <c r="P56" i="25"/>
  <c r="O56" i="25"/>
  <c r="N56" i="25"/>
  <c r="J56" i="25"/>
  <c r="I56" i="25"/>
  <c r="M56" i="25" s="1"/>
  <c r="H56" i="25"/>
  <c r="G56" i="25"/>
  <c r="F56" i="25"/>
  <c r="P73" i="25"/>
  <c r="O73" i="25"/>
  <c r="N73" i="25"/>
  <c r="J73" i="25"/>
  <c r="I73" i="25"/>
  <c r="M73" i="25" s="1"/>
  <c r="H73" i="25"/>
  <c r="G73" i="25"/>
  <c r="F73" i="25"/>
  <c r="P48" i="25"/>
  <c r="O48" i="25"/>
  <c r="N48" i="25"/>
  <c r="J48" i="25"/>
  <c r="I48" i="25"/>
  <c r="M48" i="25" s="1"/>
  <c r="H48" i="25"/>
  <c r="G48" i="25"/>
  <c r="F48" i="25"/>
  <c r="P78" i="25"/>
  <c r="O78" i="25"/>
  <c r="N78" i="25"/>
  <c r="J78" i="25"/>
  <c r="I78" i="25"/>
  <c r="H78" i="25"/>
  <c r="G78" i="25"/>
  <c r="F78" i="25"/>
  <c r="P35" i="25"/>
  <c r="O35" i="25"/>
  <c r="N35" i="25"/>
  <c r="J35" i="25"/>
  <c r="I35" i="25"/>
  <c r="M35" i="25" s="1"/>
  <c r="H35" i="25"/>
  <c r="G35" i="25"/>
  <c r="F35" i="25"/>
  <c r="P2" i="25"/>
  <c r="O2" i="25"/>
  <c r="N2" i="25"/>
  <c r="J2" i="25"/>
  <c r="I2" i="25"/>
  <c r="M2" i="25" s="1"/>
  <c r="H2" i="25"/>
  <c r="G2" i="25"/>
  <c r="F2" i="25"/>
  <c r="P50" i="25"/>
  <c r="O50" i="25"/>
  <c r="N50" i="25"/>
  <c r="J50" i="25"/>
  <c r="I50" i="25"/>
  <c r="M50" i="25" s="1"/>
  <c r="H50" i="25"/>
  <c r="G50" i="25"/>
  <c r="F50" i="25"/>
  <c r="P41" i="25"/>
  <c r="O41" i="25"/>
  <c r="N41" i="25"/>
  <c r="J41" i="25"/>
  <c r="I41" i="25"/>
  <c r="M41" i="25" s="1"/>
  <c r="H41" i="25"/>
  <c r="G41" i="25"/>
  <c r="F41" i="25"/>
  <c r="P74" i="25"/>
  <c r="O74" i="25"/>
  <c r="N74" i="25"/>
  <c r="J74" i="25"/>
  <c r="I74" i="25"/>
  <c r="M74" i="25" s="1"/>
  <c r="H74" i="25"/>
  <c r="G74" i="25"/>
  <c r="F74" i="25"/>
  <c r="P7" i="25"/>
  <c r="O7" i="25"/>
  <c r="N7" i="25"/>
  <c r="J7" i="25"/>
  <c r="I7" i="25"/>
  <c r="M7" i="25" s="1"/>
  <c r="H7" i="25"/>
  <c r="G7" i="25"/>
  <c r="F7" i="25"/>
  <c r="P32" i="25"/>
  <c r="O32" i="25"/>
  <c r="N32" i="25"/>
  <c r="J32" i="25"/>
  <c r="I32" i="25"/>
  <c r="M32" i="25" s="1"/>
  <c r="H32" i="25"/>
  <c r="G32" i="25"/>
  <c r="F32" i="25"/>
  <c r="P4" i="25"/>
  <c r="O4" i="25"/>
  <c r="N4" i="25"/>
  <c r="J4" i="25"/>
  <c r="I4" i="25"/>
  <c r="M4" i="25" s="1"/>
  <c r="H4" i="25"/>
  <c r="G4" i="25"/>
  <c r="F4" i="25"/>
  <c r="P14" i="25"/>
  <c r="O14" i="25"/>
  <c r="N14" i="25"/>
  <c r="J14" i="25"/>
  <c r="I14" i="25"/>
  <c r="M14" i="25" s="1"/>
  <c r="H14" i="25"/>
  <c r="G14" i="25"/>
  <c r="F14" i="25"/>
  <c r="P59" i="25"/>
  <c r="O59" i="25"/>
  <c r="N59" i="25"/>
  <c r="J59" i="25"/>
  <c r="I59" i="25"/>
  <c r="M59" i="25" s="1"/>
  <c r="H59" i="25"/>
  <c r="G59" i="25"/>
  <c r="F59" i="25"/>
  <c r="P53" i="25"/>
  <c r="O53" i="25"/>
  <c r="N53" i="25"/>
  <c r="J53" i="25"/>
  <c r="I53" i="25"/>
  <c r="M53" i="25" s="1"/>
  <c r="H53" i="25"/>
  <c r="G53" i="25"/>
  <c r="F53" i="25"/>
  <c r="P46" i="25"/>
  <c r="O46" i="25"/>
  <c r="N46" i="25"/>
  <c r="J46" i="25"/>
  <c r="I46" i="25"/>
  <c r="M46" i="25" s="1"/>
  <c r="H46" i="25"/>
  <c r="G46" i="25"/>
  <c r="F46" i="25"/>
  <c r="P27" i="25"/>
  <c r="O27" i="25"/>
  <c r="N27" i="25"/>
  <c r="J27" i="25"/>
  <c r="I27" i="25"/>
  <c r="M27" i="25" s="1"/>
  <c r="H27" i="25"/>
  <c r="G27" i="25"/>
  <c r="F27" i="25"/>
  <c r="P9" i="25"/>
  <c r="O9" i="25"/>
  <c r="N9" i="25"/>
  <c r="J9" i="25"/>
  <c r="I9" i="25"/>
  <c r="M9" i="25" s="1"/>
  <c r="H9" i="25"/>
  <c r="G9" i="25"/>
  <c r="F9" i="25"/>
  <c r="P34" i="25"/>
  <c r="O34" i="25"/>
  <c r="N34" i="25"/>
  <c r="J34" i="25"/>
  <c r="I34" i="25"/>
  <c r="M34" i="25" s="1"/>
  <c r="H34" i="25"/>
  <c r="G34" i="25"/>
  <c r="F34" i="25"/>
  <c r="P31" i="25"/>
  <c r="O31" i="25"/>
  <c r="N31" i="25"/>
  <c r="J31" i="25"/>
  <c r="I31" i="25"/>
  <c r="H31" i="25"/>
  <c r="G31" i="25"/>
  <c r="F31" i="25"/>
  <c r="P52" i="25"/>
  <c r="O52" i="25"/>
  <c r="N52" i="25"/>
  <c r="J52" i="25"/>
  <c r="I52" i="25"/>
  <c r="M52" i="25" s="1"/>
  <c r="H52" i="25"/>
  <c r="G52" i="25"/>
  <c r="F52" i="25"/>
  <c r="P62" i="25"/>
  <c r="O62" i="25"/>
  <c r="N62" i="25"/>
  <c r="J62" i="25"/>
  <c r="I62" i="25"/>
  <c r="M62" i="25" s="1"/>
  <c r="H62" i="25"/>
  <c r="G62" i="25"/>
  <c r="F62" i="25"/>
  <c r="P28" i="25"/>
  <c r="O28" i="25"/>
  <c r="N28" i="25"/>
  <c r="J28" i="25"/>
  <c r="I28" i="25"/>
  <c r="M28" i="25" s="1"/>
  <c r="H28" i="25"/>
  <c r="G28" i="25"/>
  <c r="F28" i="25"/>
  <c r="P65" i="25"/>
  <c r="O65" i="25"/>
  <c r="N65" i="25"/>
  <c r="J65" i="25"/>
  <c r="I65" i="25"/>
  <c r="M65" i="25" s="1"/>
  <c r="H65" i="25"/>
  <c r="G65" i="25"/>
  <c r="F65" i="25"/>
  <c r="P13" i="25"/>
  <c r="O13" i="25"/>
  <c r="N13" i="25"/>
  <c r="J13" i="25"/>
  <c r="I13" i="25"/>
  <c r="M13" i="25" s="1"/>
  <c r="H13" i="25"/>
  <c r="G13" i="25"/>
  <c r="F13" i="25"/>
  <c r="P45" i="25"/>
  <c r="O45" i="25"/>
  <c r="N45" i="25"/>
  <c r="J45" i="25"/>
  <c r="I45" i="25"/>
  <c r="M45" i="25" s="1"/>
  <c r="H45" i="25"/>
  <c r="G45" i="25"/>
  <c r="F45" i="25"/>
  <c r="P6" i="25"/>
  <c r="O6" i="25"/>
  <c r="N6" i="25"/>
  <c r="J6" i="25"/>
  <c r="I6" i="25"/>
  <c r="M6" i="25" s="1"/>
  <c r="H6" i="25"/>
  <c r="G6" i="25"/>
  <c r="F6" i="25"/>
  <c r="P39" i="25"/>
  <c r="O39" i="25"/>
  <c r="N39" i="25"/>
  <c r="J39" i="25"/>
  <c r="I39" i="25"/>
  <c r="M39" i="25" s="1"/>
  <c r="H39" i="25"/>
  <c r="G39" i="25"/>
  <c r="F39" i="25"/>
  <c r="P55" i="25"/>
  <c r="O55" i="25"/>
  <c r="N55" i="25"/>
  <c r="J55" i="25"/>
  <c r="I55" i="25"/>
  <c r="M55" i="25" s="1"/>
  <c r="H55" i="25"/>
  <c r="G55" i="25"/>
  <c r="F55" i="25"/>
  <c r="P18" i="25"/>
  <c r="O18" i="25"/>
  <c r="N18" i="25"/>
  <c r="J18" i="25"/>
  <c r="I18" i="25"/>
  <c r="M18" i="25" s="1"/>
  <c r="H18" i="25"/>
  <c r="G18" i="25"/>
  <c r="F18" i="25"/>
  <c r="P42" i="25"/>
  <c r="O42" i="25"/>
  <c r="N42" i="25"/>
  <c r="J42" i="25"/>
  <c r="I42" i="25"/>
  <c r="M42" i="25" s="1"/>
  <c r="H42" i="25"/>
  <c r="G42" i="25"/>
  <c r="F42" i="25"/>
  <c r="P22" i="25"/>
  <c r="O22" i="25"/>
  <c r="N22" i="25"/>
  <c r="J22" i="25"/>
  <c r="I22" i="25"/>
  <c r="M22" i="25" s="1"/>
  <c r="H22" i="25"/>
  <c r="G22" i="25"/>
  <c r="F22" i="25"/>
  <c r="P36" i="25"/>
  <c r="O36" i="25"/>
  <c r="N36" i="25"/>
  <c r="J36" i="25"/>
  <c r="I36" i="25"/>
  <c r="H36" i="25"/>
  <c r="G36" i="25"/>
  <c r="F36" i="25"/>
  <c r="P51" i="25"/>
  <c r="O51" i="25"/>
  <c r="N51" i="25"/>
  <c r="J51" i="25"/>
  <c r="I51" i="25"/>
  <c r="M51" i="25" s="1"/>
  <c r="H51" i="25"/>
  <c r="G51" i="25"/>
  <c r="F51" i="25"/>
  <c r="P19" i="25"/>
  <c r="O19" i="25"/>
  <c r="N19" i="25"/>
  <c r="J19" i="25"/>
  <c r="I19" i="25"/>
  <c r="M19" i="25" s="1"/>
  <c r="H19" i="25"/>
  <c r="G19" i="25"/>
  <c r="F19" i="25"/>
  <c r="P68" i="25"/>
  <c r="O68" i="25"/>
  <c r="N68" i="25"/>
  <c r="J68" i="25"/>
  <c r="I68" i="25"/>
  <c r="M68" i="25" s="1"/>
  <c r="H68" i="25"/>
  <c r="G68" i="25"/>
  <c r="F68" i="25"/>
  <c r="P69" i="25"/>
  <c r="O69" i="25"/>
  <c r="N69" i="25"/>
  <c r="J69" i="25"/>
  <c r="I69" i="25"/>
  <c r="M69" i="25" s="1"/>
  <c r="H69" i="25"/>
  <c r="G69" i="25"/>
  <c r="F69" i="25"/>
  <c r="P44" i="25"/>
  <c r="O44" i="25"/>
  <c r="N44" i="25"/>
  <c r="J44" i="25"/>
  <c r="I44" i="25"/>
  <c r="M44" i="25" s="1"/>
  <c r="H44" i="25"/>
  <c r="G44" i="25"/>
  <c r="F44" i="25"/>
  <c r="P23" i="25"/>
  <c r="O23" i="25"/>
  <c r="N23" i="25"/>
  <c r="J23" i="25"/>
  <c r="I23" i="25"/>
  <c r="M23" i="25" s="1"/>
  <c r="H23" i="25"/>
  <c r="G23" i="25"/>
  <c r="F23" i="25"/>
  <c r="P72" i="25"/>
  <c r="O72" i="25"/>
  <c r="N72" i="25"/>
  <c r="J72" i="25"/>
  <c r="I72" i="25"/>
  <c r="M72" i="25" s="1"/>
  <c r="H72" i="25"/>
  <c r="G72" i="25"/>
  <c r="F72" i="25"/>
  <c r="P54" i="25"/>
  <c r="O54" i="25"/>
  <c r="N54" i="25"/>
  <c r="J54" i="25"/>
  <c r="I54" i="25"/>
  <c r="H54" i="25"/>
  <c r="G54" i="25"/>
  <c r="F54" i="25"/>
  <c r="P66" i="25"/>
  <c r="O66" i="25"/>
  <c r="N66" i="25"/>
  <c r="J66" i="25"/>
  <c r="I66" i="25"/>
  <c r="M66" i="25" s="1"/>
  <c r="H66" i="25"/>
  <c r="G66" i="25"/>
  <c r="F66" i="25"/>
  <c r="P49" i="25"/>
  <c r="O49" i="25"/>
  <c r="N49" i="25"/>
  <c r="J49" i="25"/>
  <c r="I49" i="25"/>
  <c r="M49" i="25" s="1"/>
  <c r="H49" i="25"/>
  <c r="G49" i="25"/>
  <c r="F49" i="25"/>
  <c r="P64" i="25"/>
  <c r="O64" i="25"/>
  <c r="N64" i="25"/>
  <c r="J64" i="25"/>
  <c r="I64" i="25"/>
  <c r="M64" i="25" s="1"/>
  <c r="H64" i="25"/>
  <c r="G64" i="25"/>
  <c r="F64" i="25"/>
  <c r="P21" i="25"/>
  <c r="O21" i="25"/>
  <c r="N21" i="25"/>
  <c r="J21" i="25"/>
  <c r="I21" i="25"/>
  <c r="M21" i="25" s="1"/>
  <c r="H21" i="25"/>
  <c r="G21" i="25"/>
  <c r="F21" i="25"/>
  <c r="P63" i="25"/>
  <c r="O63" i="25"/>
  <c r="N63" i="25"/>
  <c r="J63" i="25"/>
  <c r="I63" i="25"/>
  <c r="M63" i="25" s="1"/>
  <c r="H63" i="25"/>
  <c r="G63" i="25"/>
  <c r="F63" i="25"/>
  <c r="P29" i="25"/>
  <c r="O29" i="25"/>
  <c r="N29" i="25"/>
  <c r="J29" i="25"/>
  <c r="I29" i="25"/>
  <c r="M29" i="25" s="1"/>
  <c r="H29" i="25"/>
  <c r="G29" i="25"/>
  <c r="F29" i="25"/>
  <c r="P76" i="25"/>
  <c r="O76" i="25"/>
  <c r="N76" i="25"/>
  <c r="J76" i="25"/>
  <c r="I76" i="25"/>
  <c r="M76" i="25" s="1"/>
  <c r="H76" i="25"/>
  <c r="G76" i="25"/>
  <c r="F76" i="25"/>
  <c r="P77" i="25"/>
  <c r="O77" i="25"/>
  <c r="N77" i="25"/>
  <c r="J77" i="25"/>
  <c r="I77" i="25"/>
  <c r="H77" i="25"/>
  <c r="G77" i="25"/>
  <c r="F77" i="25"/>
  <c r="P12" i="25"/>
  <c r="O12" i="25"/>
  <c r="N12" i="25"/>
  <c r="J12" i="25"/>
  <c r="I12" i="25"/>
  <c r="M12" i="25" s="1"/>
  <c r="H12" i="25"/>
  <c r="G12" i="25"/>
  <c r="F12" i="25"/>
  <c r="P43" i="25"/>
  <c r="O43" i="25"/>
  <c r="N43" i="25"/>
  <c r="J43" i="25"/>
  <c r="I43" i="25"/>
  <c r="M43" i="25" s="1"/>
  <c r="H43" i="25"/>
  <c r="G43" i="25"/>
  <c r="F43" i="25"/>
  <c r="P26" i="25"/>
  <c r="O26" i="25"/>
  <c r="N26" i="25"/>
  <c r="J26" i="25"/>
  <c r="I26" i="25"/>
  <c r="M26" i="25" s="1"/>
  <c r="H26" i="25"/>
  <c r="G26" i="25"/>
  <c r="F26" i="25"/>
  <c r="P40" i="25"/>
  <c r="O40" i="25"/>
  <c r="N40" i="25"/>
  <c r="J40" i="25"/>
  <c r="I40" i="25"/>
  <c r="M40" i="25" s="1"/>
  <c r="H40" i="25"/>
  <c r="G40" i="25"/>
  <c r="F40" i="25"/>
  <c r="P47" i="25"/>
  <c r="O47" i="25"/>
  <c r="N47" i="25"/>
  <c r="J47" i="25"/>
  <c r="I47" i="25"/>
  <c r="M47" i="25" s="1"/>
  <c r="H47" i="25"/>
  <c r="G47" i="25"/>
  <c r="F47" i="25"/>
  <c r="P3" i="25"/>
  <c r="O3" i="25"/>
  <c r="N3" i="25"/>
  <c r="J3" i="25"/>
  <c r="I3" i="25"/>
  <c r="M3" i="25" s="1"/>
  <c r="H3" i="25"/>
  <c r="G3" i="25"/>
  <c r="F3" i="25"/>
  <c r="P33" i="25"/>
  <c r="O33" i="25"/>
  <c r="N33" i="25"/>
  <c r="J33" i="25"/>
  <c r="I33" i="25"/>
  <c r="M33" i="25" s="1"/>
  <c r="H33" i="25"/>
  <c r="G33" i="25"/>
  <c r="F33" i="25"/>
  <c r="P20" i="25"/>
  <c r="O20" i="25"/>
  <c r="N20" i="25"/>
  <c r="J20" i="25"/>
  <c r="I20" i="25"/>
  <c r="M20" i="25" s="1"/>
  <c r="H20" i="25"/>
  <c r="G20" i="25"/>
  <c r="F20" i="25"/>
  <c r="P61" i="25"/>
  <c r="O61" i="25"/>
  <c r="N61" i="25"/>
  <c r="J61" i="25"/>
  <c r="I61" i="25"/>
  <c r="M61" i="25" s="1"/>
  <c r="H61" i="25"/>
  <c r="G61" i="25"/>
  <c r="F61" i="25"/>
  <c r="P67" i="25"/>
  <c r="O67" i="25"/>
  <c r="N67" i="25"/>
  <c r="J67" i="25"/>
  <c r="I67" i="25"/>
  <c r="M67" i="25" s="1"/>
  <c r="H67" i="25"/>
  <c r="G67" i="25"/>
  <c r="F67" i="25"/>
  <c r="P25" i="25"/>
  <c r="O25" i="25"/>
  <c r="N25" i="25"/>
  <c r="J25" i="25"/>
  <c r="I25" i="25"/>
  <c r="M25" i="25" s="1"/>
  <c r="H25" i="25"/>
  <c r="G25" i="25"/>
  <c r="F25" i="25"/>
  <c r="P57" i="25"/>
  <c r="O57" i="25"/>
  <c r="N57" i="25"/>
  <c r="J57" i="25"/>
  <c r="I57" i="25"/>
  <c r="M57" i="25" s="1"/>
  <c r="H57" i="25"/>
  <c r="G57" i="25"/>
  <c r="F57" i="25"/>
  <c r="P8" i="25"/>
  <c r="O8" i="25"/>
  <c r="N8" i="25"/>
  <c r="J8" i="25"/>
  <c r="I8" i="25"/>
  <c r="M8" i="25" s="1"/>
  <c r="H8" i="25"/>
  <c r="G8" i="25"/>
  <c r="F8" i="25"/>
  <c r="P37" i="25"/>
  <c r="O37" i="25"/>
  <c r="N37" i="25"/>
  <c r="J37" i="25"/>
  <c r="I37" i="25"/>
  <c r="M37" i="25" s="1"/>
  <c r="H37" i="25"/>
  <c r="G37" i="25"/>
  <c r="F37" i="25"/>
  <c r="P5" i="25"/>
  <c r="O5" i="25"/>
  <c r="N5" i="25"/>
  <c r="J5" i="25"/>
  <c r="I5" i="25"/>
  <c r="H5" i="25"/>
  <c r="G5" i="25"/>
  <c r="F5" i="25"/>
  <c r="P75" i="25"/>
  <c r="O75" i="25"/>
  <c r="N75" i="25"/>
  <c r="J75" i="25"/>
  <c r="I75" i="25"/>
  <c r="M75" i="25" s="1"/>
  <c r="H75" i="25"/>
  <c r="G75" i="25"/>
  <c r="F75" i="25"/>
  <c r="P11" i="25"/>
  <c r="O11" i="25"/>
  <c r="N11" i="25"/>
  <c r="J11" i="25"/>
  <c r="I11" i="25"/>
  <c r="M11" i="25" s="1"/>
  <c r="H11" i="25"/>
  <c r="G11" i="25"/>
  <c r="F11" i="25"/>
  <c r="P58" i="25"/>
  <c r="O58" i="25"/>
  <c r="N58" i="25"/>
  <c r="J58" i="25"/>
  <c r="I58" i="25"/>
  <c r="M58" i="25" s="1"/>
  <c r="H58" i="25"/>
  <c r="G58" i="25"/>
  <c r="F58" i="25"/>
  <c r="P71" i="25"/>
  <c r="O71" i="25"/>
  <c r="N71" i="25"/>
  <c r="J71" i="25"/>
  <c r="I71" i="25"/>
  <c r="M71" i="25" s="1"/>
  <c r="H71" i="25"/>
  <c r="G71" i="25"/>
  <c r="F71" i="25"/>
  <c r="P70" i="25"/>
  <c r="O70" i="25"/>
  <c r="N70" i="25"/>
  <c r="J70" i="25"/>
  <c r="I70" i="25"/>
  <c r="H70" i="25"/>
  <c r="G70" i="25"/>
  <c r="F70" i="25"/>
  <c r="P17" i="25"/>
  <c r="O17" i="25"/>
  <c r="N17" i="25"/>
  <c r="J17" i="25"/>
  <c r="I17" i="25"/>
  <c r="M17" i="25" s="1"/>
  <c r="H17" i="25"/>
  <c r="G17" i="25"/>
  <c r="F17" i="25"/>
  <c r="P10" i="25"/>
  <c r="O10" i="25"/>
  <c r="N10" i="25"/>
  <c r="J10" i="25"/>
  <c r="I10" i="25"/>
  <c r="M10" i="25" s="1"/>
  <c r="H10" i="25"/>
  <c r="G10" i="25"/>
  <c r="F10" i="25"/>
  <c r="P60" i="25"/>
  <c r="O60" i="25"/>
  <c r="N60" i="25"/>
  <c r="J60" i="25"/>
  <c r="I60" i="25"/>
  <c r="M60" i="25" s="1"/>
  <c r="H60" i="25"/>
  <c r="G60" i="25"/>
  <c r="F60" i="25"/>
  <c r="P38" i="25"/>
  <c r="O38" i="25"/>
  <c r="N38" i="25"/>
  <c r="J38" i="25"/>
  <c r="I38" i="25"/>
  <c r="M38" i="25" s="1"/>
  <c r="H38" i="25"/>
  <c r="G38" i="25"/>
  <c r="F38" i="25"/>
  <c r="P30" i="25"/>
  <c r="O30" i="25"/>
  <c r="N30" i="25"/>
  <c r="J30" i="25"/>
  <c r="I30" i="25"/>
  <c r="H30" i="25"/>
  <c r="G30" i="25"/>
  <c r="F30" i="25"/>
  <c r="P15" i="25"/>
  <c r="O15" i="25"/>
  <c r="N15" i="25"/>
  <c r="J15" i="25"/>
  <c r="I15" i="25"/>
  <c r="H15" i="25"/>
  <c r="G15" i="25"/>
  <c r="F15" i="25"/>
  <c r="F80" i="26" s="1"/>
  <c r="B435" i="7"/>
  <c r="B105" i="7"/>
  <c r="B607" i="7"/>
  <c r="B376" i="7"/>
  <c r="B700" i="7"/>
  <c r="B695" i="7"/>
  <c r="B554" i="7"/>
  <c r="B426" i="7"/>
  <c r="B341" i="7"/>
  <c r="B391" i="7"/>
  <c r="B746" i="7"/>
  <c r="B754" i="7"/>
  <c r="B513" i="7"/>
  <c r="B755" i="7"/>
  <c r="B716" i="7"/>
  <c r="B708" i="7"/>
  <c r="B679" i="7"/>
  <c r="B737" i="7"/>
  <c r="B703" i="7"/>
  <c r="B701" i="7"/>
  <c r="B692" i="7"/>
  <c r="B718" i="7"/>
  <c r="B722" i="7"/>
  <c r="B644" i="7"/>
  <c r="B741" i="7"/>
  <c r="B734" i="7"/>
  <c r="B682" i="7"/>
  <c r="B711" i="7"/>
  <c r="B678" i="7"/>
  <c r="B654" i="7"/>
  <c r="B659" i="7"/>
  <c r="B651" i="7"/>
  <c r="B402" i="7"/>
  <c r="B684" i="7"/>
  <c r="B663" i="7"/>
  <c r="B710" i="7"/>
  <c r="B709" i="7"/>
  <c r="B576" i="7"/>
  <c r="B648" i="7"/>
  <c r="B689" i="7"/>
  <c r="B628" i="7"/>
  <c r="B650" i="7"/>
  <c r="B637" i="7"/>
  <c r="B621" i="7"/>
  <c r="B630" i="7"/>
  <c r="B620" i="7"/>
  <c r="B478" i="7"/>
  <c r="B735" i="7"/>
  <c r="B742" i="7"/>
  <c r="B641" i="7"/>
  <c r="B739" i="7"/>
  <c r="B748" i="7"/>
  <c r="B706" i="7"/>
  <c r="B731" i="7"/>
  <c r="B750" i="7"/>
  <c r="B721" i="7"/>
  <c r="B563" i="7"/>
  <c r="B725" i="7"/>
  <c r="B751" i="7"/>
  <c r="B582" i="7"/>
  <c r="B752" i="7"/>
  <c r="B753" i="7"/>
  <c r="B749" i="7"/>
  <c r="B581" i="7"/>
  <c r="B747" i="7"/>
  <c r="B548" i="7"/>
  <c r="B713" i="7"/>
  <c r="B543" i="7"/>
  <c r="B586" i="7"/>
  <c r="B745" i="7"/>
  <c r="B744" i="7"/>
  <c r="B614" i="7"/>
  <c r="B743" i="7"/>
  <c r="B573" i="7"/>
  <c r="B702" i="7"/>
  <c r="B740" i="7"/>
  <c r="B727" i="7"/>
  <c r="B723" i="7"/>
  <c r="B544" i="7"/>
  <c r="B694" i="7"/>
  <c r="B738" i="7"/>
  <c r="B536" i="7"/>
  <c r="B736" i="7"/>
  <c r="B534" i="7"/>
  <c r="B719" i="7"/>
  <c r="B733" i="7"/>
  <c r="B732" i="7"/>
  <c r="B634" i="7"/>
  <c r="B720" i="7"/>
  <c r="B627" i="7"/>
  <c r="B730" i="7"/>
  <c r="B728" i="7"/>
  <c r="B729" i="7"/>
  <c r="B553" i="7"/>
  <c r="B726" i="7"/>
  <c r="B535" i="7"/>
  <c r="B724" i="7"/>
  <c r="B717" i="7"/>
  <c r="B698" i="7"/>
  <c r="B559" i="7"/>
  <c r="B558" i="7"/>
  <c r="B617" i="7"/>
  <c r="B715" i="7"/>
  <c r="B523" i="7"/>
  <c r="B714" i="7"/>
  <c r="B567" i="7"/>
  <c r="B677" i="7"/>
  <c r="B577" i="7"/>
  <c r="B337" i="7"/>
  <c r="B455" i="7"/>
  <c r="B705" i="7"/>
  <c r="B707" i="7"/>
  <c r="B668" i="7"/>
  <c r="B704" i="7"/>
  <c r="B667" i="7"/>
  <c r="B699" i="7"/>
  <c r="B697" i="7"/>
  <c r="B561" i="7"/>
  <c r="B696" i="7"/>
  <c r="B687" i="7"/>
  <c r="B631" i="7"/>
  <c r="B693" i="7"/>
  <c r="B518" i="7"/>
  <c r="B691" i="7"/>
  <c r="B653" i="7"/>
  <c r="B690" i="7"/>
  <c r="B688" i="7"/>
  <c r="B491" i="7"/>
  <c r="B686" i="7"/>
  <c r="B685" i="7"/>
  <c r="B541" i="7"/>
  <c r="B566" i="7"/>
  <c r="B671" i="7"/>
  <c r="B594" i="7"/>
  <c r="B683" i="7"/>
  <c r="B599" i="7"/>
  <c r="B550" i="7"/>
  <c r="B475" i="7"/>
  <c r="B524" i="7"/>
  <c r="B606" i="7"/>
  <c r="B661" i="7"/>
  <c r="B448" i="7"/>
  <c r="B681" i="7"/>
  <c r="B643" i="7"/>
  <c r="B525" i="7"/>
  <c r="B676" i="7"/>
  <c r="B546" i="7"/>
  <c r="B469" i="7"/>
  <c r="B675" i="7"/>
  <c r="B539" i="7"/>
  <c r="B496" i="7"/>
  <c r="B520" i="7"/>
  <c r="B674" i="7"/>
  <c r="B673" i="7"/>
  <c r="B672" i="7"/>
  <c r="B591" i="7"/>
  <c r="B670" i="7"/>
  <c r="B669" i="7"/>
  <c r="B665" i="7"/>
  <c r="B635" i="7"/>
  <c r="B652" i="7"/>
  <c r="B662" i="7"/>
  <c r="B664" i="7"/>
  <c r="B633" i="7"/>
  <c r="B660" i="7"/>
  <c r="B476" i="7"/>
  <c r="B380" i="7"/>
  <c r="B658" i="7"/>
  <c r="B446" i="7"/>
  <c r="B625" i="7"/>
  <c r="B657" i="7"/>
  <c r="B655" i="7"/>
  <c r="B656" i="7"/>
  <c r="B438" i="7"/>
  <c r="B482" i="7"/>
  <c r="B354" i="7"/>
  <c r="B616" i="7"/>
  <c r="B639" i="7"/>
  <c r="B666" i="7"/>
  <c r="B449" i="7"/>
  <c r="B649" i="7"/>
  <c r="B647" i="7"/>
  <c r="B646" i="7"/>
  <c r="B432" i="7"/>
  <c r="B587" i="7"/>
  <c r="B526" i="7"/>
  <c r="B645" i="7"/>
  <c r="B413" i="7"/>
  <c r="B642" i="7"/>
  <c r="B419" i="7"/>
  <c r="B640" i="7"/>
  <c r="B615" i="7"/>
  <c r="B612" i="7"/>
  <c r="B568" i="7"/>
  <c r="B608" i="7"/>
  <c r="B486" i="7"/>
  <c r="B508" i="7"/>
  <c r="B629" i="7"/>
  <c r="B422" i="7"/>
  <c r="B472" i="7"/>
  <c r="B411" i="7"/>
  <c r="B636" i="7"/>
  <c r="B632" i="7"/>
  <c r="B507" i="7"/>
  <c r="B638" i="7"/>
  <c r="B680" i="7"/>
  <c r="B494" i="7"/>
  <c r="B626" i="7"/>
  <c r="B624" i="7"/>
  <c r="B483" i="7"/>
  <c r="B623" i="7"/>
  <c r="B622" i="7"/>
  <c r="B382" i="7"/>
  <c r="B619" i="7"/>
  <c r="B584" i="7"/>
  <c r="B492" i="7"/>
  <c r="B406" i="7"/>
  <c r="B613" i="7"/>
  <c r="B602" i="7"/>
  <c r="B604" i="7"/>
  <c r="B445" i="7"/>
  <c r="B598" i="7"/>
  <c r="B611" i="7"/>
  <c r="B366" i="7"/>
  <c r="B610" i="7"/>
  <c r="B609" i="7"/>
  <c r="B569" i="7"/>
  <c r="B595" i="7"/>
  <c r="B499" i="7"/>
  <c r="B605" i="7"/>
  <c r="B562" i="7"/>
  <c r="B603" i="7"/>
  <c r="B564" i="7"/>
  <c r="B565" i="7"/>
  <c r="B600" i="7"/>
  <c r="B556" i="7"/>
  <c r="B342" i="7"/>
  <c r="B590" i="7"/>
  <c r="B588" i="7"/>
  <c r="B597" i="7"/>
  <c r="B596" i="7"/>
  <c r="B618" i="7"/>
  <c r="B516" i="7"/>
  <c r="B593" i="7"/>
  <c r="B503" i="7"/>
  <c r="B592" i="7"/>
  <c r="B572" i="7"/>
  <c r="B574" i="7"/>
  <c r="B334" i="7"/>
  <c r="B589" i="7"/>
  <c r="B529" i="7"/>
  <c r="B585" i="7"/>
  <c r="B583" i="7"/>
  <c r="B321" i="7"/>
  <c r="B400" i="7"/>
  <c r="B570" i="7"/>
  <c r="B580" i="7"/>
  <c r="B579" i="7"/>
  <c r="B521" i="7"/>
  <c r="B578" i="7"/>
  <c r="B575" i="7"/>
  <c r="B571" i="7"/>
  <c r="B712" i="7"/>
  <c r="B390" i="7"/>
  <c r="B545" i="7"/>
  <c r="B345" i="7"/>
  <c r="B410" i="7"/>
  <c r="B560" i="7"/>
  <c r="B557" i="7"/>
  <c r="B542" i="7"/>
  <c r="B412" i="7"/>
  <c r="B440" i="7"/>
  <c r="B551" i="7"/>
  <c r="B414" i="7"/>
  <c r="B514" i="7"/>
  <c r="B549" i="7"/>
  <c r="B363" i="7"/>
  <c r="B547" i="7"/>
  <c r="B375" i="7"/>
  <c r="B530" i="7"/>
  <c r="B396" i="7"/>
  <c r="B538" i="7"/>
  <c r="B540" i="7"/>
  <c r="B497" i="7"/>
  <c r="B537" i="7"/>
  <c r="B517" i="7"/>
  <c r="B555" i="7"/>
  <c r="B261" i="7"/>
  <c r="B552" i="7"/>
  <c r="B533" i="7"/>
  <c r="B531" i="7"/>
  <c r="B532" i="7"/>
  <c r="B495" i="7"/>
  <c r="B527" i="7"/>
  <c r="B338" i="7"/>
  <c r="B522" i="7"/>
  <c r="B272" i="7"/>
  <c r="B519" i="7"/>
  <c r="B442" i="7"/>
  <c r="B277" i="7"/>
  <c r="B257" i="7"/>
  <c r="B515" i="7"/>
  <c r="B479" i="7"/>
  <c r="B504" i="7"/>
  <c r="B468" i="7"/>
  <c r="B512" i="7"/>
  <c r="B502" i="7"/>
  <c r="B601" i="7"/>
  <c r="B510" i="7"/>
  <c r="B511" i="7"/>
  <c r="B461" i="7"/>
  <c r="B463" i="7"/>
  <c r="B454" i="7"/>
  <c r="B180" i="7"/>
  <c r="B456" i="7"/>
  <c r="B505" i="7"/>
  <c r="B289" i="7"/>
  <c r="B421" i="7"/>
  <c r="B500" i="7"/>
  <c r="B485" i="7"/>
  <c r="B451" i="7"/>
  <c r="B501" i="7"/>
  <c r="B447" i="7"/>
  <c r="B444" i="7"/>
  <c r="B498" i="7"/>
  <c r="B481" i="7"/>
  <c r="B364" i="7"/>
  <c r="B493" i="7"/>
  <c r="B420" i="7"/>
  <c r="B434" i="7"/>
  <c r="B489" i="7"/>
  <c r="B488" i="7"/>
  <c r="B480" i="7"/>
  <c r="B484" i="7"/>
  <c r="B477" i="7"/>
  <c r="B333" i="7"/>
  <c r="B490" i="7"/>
  <c r="B474" i="7"/>
  <c r="B473" i="7"/>
  <c r="B471" i="7"/>
  <c r="B450" i="7"/>
  <c r="B470" i="7"/>
  <c r="B215" i="7"/>
  <c r="B397" i="7"/>
  <c r="B458" i="7"/>
  <c r="B466" i="7"/>
  <c r="B467" i="7"/>
  <c r="B465" i="7"/>
  <c r="B416" i="7"/>
  <c r="B229" i="7"/>
  <c r="B224" i="7"/>
  <c r="B464" i="7"/>
  <c r="B462" i="7"/>
  <c r="B528" i="7"/>
  <c r="B425" i="7"/>
  <c r="B460" i="7"/>
  <c r="B459" i="7"/>
  <c r="B415" i="7"/>
  <c r="B457" i="7"/>
  <c r="B453" i="7"/>
  <c r="B452" i="7"/>
  <c r="B431" i="7"/>
  <c r="B506" i="7"/>
  <c r="B403" i="7"/>
  <c r="B365" i="7"/>
  <c r="B369" i="7"/>
  <c r="B443" i="7"/>
  <c r="B433" i="7"/>
  <c r="B218" i="7"/>
  <c r="B487" i="7"/>
  <c r="B441" i="7"/>
  <c r="B392" i="7"/>
  <c r="B393" i="7"/>
  <c r="B439" i="7"/>
  <c r="B437" i="7"/>
  <c r="B436" i="7"/>
  <c r="B430" i="7"/>
  <c r="B429" i="7"/>
  <c r="B389" i="7"/>
  <c r="B401" i="7"/>
  <c r="B211" i="7"/>
  <c r="B427" i="7"/>
  <c r="B428" i="7"/>
  <c r="B424" i="7"/>
  <c r="B378" i="7"/>
  <c r="B409" i="7"/>
  <c r="B408" i="7"/>
  <c r="B374" i="7"/>
  <c r="B278" i="7"/>
  <c r="B256" i="7"/>
  <c r="B388" i="7"/>
  <c r="B253" i="7"/>
  <c r="B418" i="7"/>
  <c r="B417" i="7"/>
  <c r="B186" i="7"/>
  <c r="B276" i="7"/>
  <c r="B274" i="7"/>
  <c r="B384" i="7"/>
  <c r="B357" i="7"/>
  <c r="B359" i="7"/>
  <c r="B377" i="7"/>
  <c r="B303" i="7"/>
  <c r="B260" i="7"/>
  <c r="B405" i="7"/>
  <c r="B404" i="7"/>
  <c r="B313" i="7"/>
  <c r="B423" i="7"/>
  <c r="B398" i="7"/>
  <c r="B296" i="7"/>
  <c r="B399" i="7"/>
  <c r="B351" i="7"/>
  <c r="B349" i="7"/>
  <c r="B348" i="7"/>
  <c r="B196" i="7"/>
  <c r="B381" i="7"/>
  <c r="B394" i="7"/>
  <c r="B395" i="7"/>
  <c r="B372" i="7"/>
  <c r="B331" i="7"/>
  <c r="B233" i="7"/>
  <c r="B387" i="7"/>
  <c r="B194" i="7"/>
  <c r="B370" i="7"/>
  <c r="B322" i="7"/>
  <c r="B386" i="7"/>
  <c r="B360" i="7"/>
  <c r="B328" i="7"/>
  <c r="B302" i="7"/>
  <c r="B385" i="7"/>
  <c r="B383" i="7"/>
  <c r="B332" i="7"/>
  <c r="B509" i="7"/>
  <c r="B379" i="7"/>
  <c r="B282" i="7"/>
  <c r="B295" i="7"/>
  <c r="B373" i="7"/>
  <c r="B335" i="7"/>
  <c r="B368" i="7"/>
  <c r="B317" i="7"/>
  <c r="B367" i="7"/>
  <c r="B361" i="7"/>
  <c r="B362" i="7"/>
  <c r="B323" i="7"/>
  <c r="B358" i="7"/>
  <c r="B163" i="7"/>
  <c r="B319" i="7"/>
  <c r="B311" i="7"/>
  <c r="B326" i="7"/>
  <c r="B355" i="7"/>
  <c r="B235" i="7"/>
  <c r="B347" i="7"/>
  <c r="B352" i="7"/>
  <c r="B353" i="7"/>
  <c r="B343" i="7"/>
  <c r="B310" i="7"/>
  <c r="B304" i="7"/>
  <c r="B219" i="7"/>
  <c r="B350" i="7"/>
  <c r="B305" i="7"/>
  <c r="B299" i="7"/>
  <c r="B346" i="7"/>
  <c r="B298" i="7"/>
  <c r="B344" i="7"/>
  <c r="B340" i="7"/>
  <c r="B339" i="7"/>
  <c r="B270" i="7"/>
  <c r="B300" i="7"/>
  <c r="B336" i="7"/>
  <c r="B280" i="7"/>
  <c r="B244" i="7"/>
  <c r="B227" i="7"/>
  <c r="B330" i="7"/>
  <c r="B329" i="7"/>
  <c r="B148" i="7"/>
  <c r="B275" i="7"/>
  <c r="B327" i="7"/>
  <c r="B279" i="7"/>
  <c r="B325" i="7"/>
  <c r="B315" i="7"/>
  <c r="B149" i="7"/>
  <c r="B324" i="7"/>
  <c r="B371" i="7"/>
  <c r="B294" i="7"/>
  <c r="B320" i="7"/>
  <c r="B407" i="7"/>
  <c r="B168" i="7"/>
  <c r="B269" i="7"/>
  <c r="B314" i="7"/>
  <c r="B312" i="7"/>
  <c r="B143" i="7"/>
  <c r="B318" i="7"/>
  <c r="B308" i="7"/>
  <c r="B291" i="7"/>
  <c r="B285" i="7"/>
  <c r="B306" i="7"/>
  <c r="B263" i="7"/>
  <c r="B262" i="7"/>
  <c r="B293" i="7"/>
  <c r="B268" i="7"/>
  <c r="B301" i="7"/>
  <c r="B250" i="7"/>
  <c r="B281" i="7"/>
  <c r="B297" i="7"/>
  <c r="B248" i="7"/>
  <c r="B292" i="7"/>
  <c r="B245" i="7"/>
  <c r="B290" i="7"/>
  <c r="B287" i="7"/>
  <c r="B288" i="7"/>
  <c r="B284" i="7"/>
  <c r="B283" i="7"/>
  <c r="B226" i="7"/>
  <c r="B176" i="7"/>
  <c r="B264" i="7"/>
  <c r="B286" i="7"/>
  <c r="B210" i="7"/>
  <c r="B213" i="7"/>
  <c r="B225" i="7"/>
  <c r="B271" i="7"/>
  <c r="B234" i="7"/>
  <c r="B273" i="7"/>
  <c r="B316" i="7"/>
  <c r="B267" i="7"/>
  <c r="B266" i="7"/>
  <c r="B223" i="7"/>
  <c r="B265" i="7"/>
  <c r="B221" i="7"/>
  <c r="B258" i="7"/>
  <c r="B309" i="7"/>
  <c r="B255" i="7"/>
  <c r="B181" i="7"/>
  <c r="B254" i="7"/>
  <c r="B214" i="7"/>
  <c r="B356" i="7"/>
  <c r="B251" i="7"/>
  <c r="B249" i="7"/>
  <c r="B216" i="7"/>
  <c r="B246" i="7"/>
  <c r="B243" i="7"/>
  <c r="B204" i="7"/>
  <c r="B242" i="7"/>
  <c r="B170" i="7"/>
  <c r="B240" i="7"/>
  <c r="B239" i="7"/>
  <c r="B230" i="7"/>
  <c r="B237" i="7"/>
  <c r="B222" i="7"/>
  <c r="B232" i="7"/>
  <c r="B231" i="7"/>
  <c r="B187" i="7"/>
  <c r="B228" i="7"/>
  <c r="B259" i="7"/>
  <c r="B252" i="7"/>
  <c r="B307" i="7"/>
  <c r="B220" i="7"/>
  <c r="B207" i="7"/>
  <c r="B188" i="7"/>
  <c r="B212" i="7"/>
  <c r="B169" i="7"/>
  <c r="B209" i="7"/>
  <c r="B217" i="7"/>
  <c r="B190" i="7"/>
  <c r="B201" i="7"/>
  <c r="B208" i="7"/>
  <c r="B205" i="7"/>
  <c r="B206" i="7"/>
  <c r="B157" i="7"/>
  <c r="B203" i="7"/>
  <c r="B202" i="7"/>
  <c r="B173" i="7"/>
  <c r="B199" i="7"/>
  <c r="B171" i="7"/>
  <c r="B172" i="7"/>
  <c r="B97" i="7"/>
  <c r="B198" i="7"/>
  <c r="B167" i="7"/>
  <c r="B90" i="7"/>
  <c r="B197" i="7"/>
  <c r="B166" i="7"/>
  <c r="B195" i="7"/>
  <c r="B193" i="7"/>
  <c r="B191" i="7"/>
  <c r="B192" i="7"/>
  <c r="B185" i="7"/>
  <c r="B189" i="7"/>
  <c r="B162" i="7"/>
  <c r="B179" i="7"/>
  <c r="B178" i="7"/>
  <c r="B177" i="7"/>
  <c r="B183" i="7"/>
  <c r="B161" i="7"/>
  <c r="B184" i="7"/>
  <c r="B238" i="7"/>
  <c r="B158" i="7"/>
  <c r="B104" i="7"/>
  <c r="B241" i="7"/>
  <c r="B182" i="7"/>
  <c r="B175" i="7"/>
  <c r="B156" i="7"/>
  <c r="B174" i="7"/>
  <c r="B236" i="7"/>
  <c r="B140" i="7"/>
  <c r="B126" i="7"/>
  <c r="B153" i="7"/>
  <c r="B165" i="7"/>
  <c r="B145" i="7"/>
  <c r="B160" i="7"/>
  <c r="B154" i="7"/>
  <c r="B159" i="7"/>
  <c r="B69" i="7"/>
  <c r="B247" i="7"/>
  <c r="B85" i="7"/>
  <c r="B155" i="7"/>
  <c r="B134" i="7"/>
  <c r="B151" i="7"/>
  <c r="B138" i="7"/>
  <c r="B147" i="7"/>
  <c r="B121" i="7"/>
  <c r="B164" i="7"/>
  <c r="B135" i="7"/>
  <c r="B146" i="7"/>
  <c r="B150" i="7"/>
  <c r="B144" i="7"/>
  <c r="B127" i="7"/>
  <c r="B125" i="7"/>
  <c r="B136" i="7"/>
  <c r="B102" i="7"/>
  <c r="B129" i="7"/>
  <c r="B123" i="7"/>
  <c r="B141" i="7"/>
  <c r="B139" i="7"/>
  <c r="B137" i="7"/>
  <c r="B131" i="7"/>
  <c r="B133" i="7"/>
  <c r="B132" i="7"/>
  <c r="B130" i="7"/>
  <c r="B128" i="7"/>
  <c r="B110" i="7"/>
  <c r="B108" i="7"/>
  <c r="B142" i="7"/>
  <c r="B124" i="7"/>
  <c r="B116" i="7"/>
  <c r="B118" i="7"/>
  <c r="B117" i="7"/>
  <c r="B122" i="7"/>
  <c r="B114" i="7"/>
  <c r="B100" i="7"/>
  <c r="B113" i="7"/>
  <c r="B200" i="7"/>
  <c r="B112" i="7"/>
  <c r="B103" i="7"/>
  <c r="B59" i="7"/>
  <c r="B111" i="7"/>
  <c r="B109" i="7"/>
  <c r="B107" i="7"/>
  <c r="B88" i="7"/>
  <c r="B101" i="7"/>
  <c r="B50" i="7"/>
  <c r="B106" i="7"/>
  <c r="B119" i="7"/>
  <c r="B51" i="7"/>
  <c r="B96" i="7"/>
  <c r="B99" i="7"/>
  <c r="B93" i="7"/>
  <c r="B98" i="7"/>
  <c r="B95" i="7"/>
  <c r="B82" i="7"/>
  <c r="B92" i="7"/>
  <c r="B79" i="7"/>
  <c r="B53" i="7"/>
  <c r="B86" i="7"/>
  <c r="B77" i="7"/>
  <c r="B87" i="7"/>
  <c r="B115" i="7"/>
  <c r="B52" i="7"/>
  <c r="B71" i="7"/>
  <c r="B83" i="7"/>
  <c r="B120" i="7"/>
  <c r="B80" i="7"/>
  <c r="B94" i="7"/>
  <c r="B63" i="7"/>
  <c r="B66" i="7"/>
  <c r="B60" i="7"/>
  <c r="B78" i="7"/>
  <c r="B89" i="7"/>
  <c r="B73" i="7"/>
  <c r="B76" i="7"/>
  <c r="B74" i="7"/>
  <c r="B72" i="7"/>
  <c r="B55" i="7"/>
  <c r="B81" i="7"/>
  <c r="B68" i="7"/>
  <c r="B67" i="7"/>
  <c r="B47" i="7"/>
  <c r="B65" i="7"/>
  <c r="B64" i="7"/>
  <c r="B91" i="7"/>
  <c r="B41" i="7"/>
  <c r="B62" i="7"/>
  <c r="B84" i="7"/>
  <c r="B58" i="7"/>
  <c r="B57" i="7"/>
  <c r="B56" i="7"/>
  <c r="B54" i="7"/>
  <c r="B44" i="7"/>
  <c r="B61" i="7"/>
  <c r="B32" i="7"/>
  <c r="B40" i="7"/>
  <c r="B49" i="7"/>
  <c r="B39" i="7"/>
  <c r="B28" i="7"/>
  <c r="B45" i="7"/>
  <c r="B38" i="7"/>
  <c r="B43" i="7"/>
  <c r="B46" i="7"/>
  <c r="B37" i="7"/>
  <c r="B33" i="7"/>
  <c r="B34" i="7"/>
  <c r="B36" i="7"/>
  <c r="B27" i="7"/>
  <c r="B26" i="7"/>
  <c r="B35" i="7"/>
  <c r="B42" i="7"/>
  <c r="B31" i="7"/>
  <c r="B22" i="7"/>
  <c r="B24" i="7"/>
  <c r="B29" i="7"/>
  <c r="B30" i="7"/>
  <c r="B48" i="7"/>
  <c r="B25" i="7"/>
  <c r="B75" i="7"/>
  <c r="B70" i="7"/>
  <c r="B23" i="7"/>
  <c r="B19" i="7"/>
  <c r="B21" i="7"/>
  <c r="B20" i="7"/>
  <c r="B18" i="7"/>
  <c r="B16" i="7"/>
  <c r="B14" i="7"/>
  <c r="B17" i="7"/>
  <c r="B13" i="7"/>
  <c r="B10" i="7"/>
  <c r="B11" i="7"/>
  <c r="B15" i="7"/>
  <c r="B9" i="7"/>
  <c r="B8" i="7"/>
  <c r="B12" i="7"/>
  <c r="B6" i="7"/>
  <c r="B5" i="7"/>
  <c r="B7" i="7"/>
  <c r="B3" i="7"/>
  <c r="B4" i="7"/>
  <c r="AA2" i="7" a="1"/>
  <c r="AA2" i="7" s="1"/>
  <c r="AB2" i="7" s="1" a="1"/>
  <c r="AB2" i="7" s="1"/>
  <c r="W2" i="7" a="1"/>
  <c r="W2" i="7" s="1"/>
  <c r="X2" i="7" s="1" a="1"/>
  <c r="X2" i="7" s="1"/>
  <c r="B2" i="7"/>
  <c r="B85" i="26"/>
  <c r="O81" i="24"/>
  <c r="N81" i="24"/>
  <c r="M81" i="24"/>
  <c r="L81" i="24"/>
  <c r="K81" i="24"/>
  <c r="J81" i="24"/>
  <c r="I81" i="24"/>
  <c r="H81" i="24"/>
  <c r="G81" i="24"/>
  <c r="F81" i="24"/>
  <c r="D282" i="23"/>
  <c r="D281" i="23"/>
  <c r="D280" i="23"/>
  <c r="D279" i="23"/>
  <c r="F270" i="23" a="1"/>
  <c r="F270" i="23" s="1"/>
  <c r="D266" i="21"/>
  <c r="D265" i="21"/>
  <c r="D264" i="21"/>
  <c r="D263" i="21"/>
  <c r="D272" i="21" s="1"/>
  <c r="F255" i="21" a="1"/>
  <c r="F255" i="21" s="1"/>
  <c r="D172" i="22"/>
  <c r="G167" i="22" a="1"/>
  <c r="G167" i="22" s="1"/>
  <c r="D185" i="17"/>
  <c r="Z756" i="5"/>
  <c r="Y756" i="5"/>
  <c r="X756" i="5"/>
  <c r="W756" i="5"/>
  <c r="V756" i="5"/>
  <c r="U756" i="5"/>
  <c r="O756" i="5"/>
  <c r="N756" i="5"/>
  <c r="M756" i="5"/>
  <c r="G756" i="5"/>
  <c r="F756" i="5"/>
  <c r="E756" i="5"/>
  <c r="M751" i="5"/>
  <c r="G751" i="5"/>
  <c r="F751" i="5"/>
  <c r="E751" i="5"/>
  <c r="Z755" i="5"/>
  <c r="Y755" i="5"/>
  <c r="X755" i="5"/>
  <c r="W755" i="5"/>
  <c r="V755" i="5"/>
  <c r="U755" i="5"/>
  <c r="O755" i="5"/>
  <c r="N755" i="5"/>
  <c r="M755" i="5"/>
  <c r="G755" i="5"/>
  <c r="F755" i="5"/>
  <c r="E755" i="5"/>
  <c r="Z738" i="5"/>
  <c r="Y738" i="5"/>
  <c r="X738" i="5"/>
  <c r="W738" i="5"/>
  <c r="V738" i="5"/>
  <c r="U738" i="5"/>
  <c r="O738" i="5"/>
  <c r="N738" i="5"/>
  <c r="M738" i="5"/>
  <c r="G738" i="5"/>
  <c r="F738" i="5"/>
  <c r="E738" i="5"/>
  <c r="Z739" i="5"/>
  <c r="Y739" i="5"/>
  <c r="X739" i="5"/>
  <c r="W739" i="5"/>
  <c r="V739" i="5"/>
  <c r="U739" i="5"/>
  <c r="O739" i="5"/>
  <c r="N739" i="5"/>
  <c r="M739" i="5"/>
  <c r="G739" i="5"/>
  <c r="F739" i="5"/>
  <c r="E739" i="5"/>
  <c r="Z725" i="5"/>
  <c r="Y725" i="5"/>
  <c r="X725" i="5"/>
  <c r="W725" i="5"/>
  <c r="V725" i="5"/>
  <c r="U725" i="5"/>
  <c r="O725" i="5"/>
  <c r="N725" i="5"/>
  <c r="M725" i="5"/>
  <c r="G725" i="5"/>
  <c r="F725" i="5"/>
  <c r="E725" i="5"/>
  <c r="Z730" i="5"/>
  <c r="Y730" i="5"/>
  <c r="X730" i="5"/>
  <c r="W730" i="5"/>
  <c r="V730" i="5"/>
  <c r="U730" i="5"/>
  <c r="O730" i="5"/>
  <c r="N730" i="5"/>
  <c r="M730" i="5"/>
  <c r="G730" i="5"/>
  <c r="F730" i="5"/>
  <c r="E730" i="5"/>
  <c r="M745" i="5"/>
  <c r="G745" i="5"/>
  <c r="F745" i="5"/>
  <c r="E745" i="5"/>
  <c r="Z735" i="5"/>
  <c r="Y735" i="5"/>
  <c r="X735" i="5"/>
  <c r="W735" i="5"/>
  <c r="V735" i="5"/>
  <c r="U735" i="5"/>
  <c r="O735" i="5"/>
  <c r="N735" i="5"/>
  <c r="M735" i="5"/>
  <c r="G735" i="5"/>
  <c r="F735" i="5"/>
  <c r="E735" i="5"/>
  <c r="Z742" i="5"/>
  <c r="Y742" i="5"/>
  <c r="X742" i="5"/>
  <c r="W742" i="5"/>
  <c r="V742" i="5"/>
  <c r="U742" i="5"/>
  <c r="O742" i="5"/>
  <c r="N742" i="5"/>
  <c r="M742" i="5"/>
  <c r="G742" i="5"/>
  <c r="F742" i="5"/>
  <c r="E742" i="5"/>
  <c r="M746" i="5"/>
  <c r="G746" i="5"/>
  <c r="F746" i="5"/>
  <c r="E746" i="5"/>
  <c r="O707" i="5"/>
  <c r="M707" i="5"/>
  <c r="G707" i="5"/>
  <c r="F707" i="5"/>
  <c r="E707" i="5"/>
  <c r="Z744" i="5"/>
  <c r="Y744" i="5"/>
  <c r="X744" i="5"/>
  <c r="W744" i="5"/>
  <c r="V744" i="5"/>
  <c r="U744" i="5"/>
  <c r="O744" i="5"/>
  <c r="N744" i="5"/>
  <c r="M744" i="5"/>
  <c r="G744" i="5"/>
  <c r="F744" i="5"/>
  <c r="E744" i="5"/>
  <c r="U729" i="5"/>
  <c r="M729" i="5"/>
  <c r="G729" i="5"/>
  <c r="F729" i="5"/>
  <c r="E729" i="5"/>
  <c r="M754" i="5"/>
  <c r="G754" i="5"/>
  <c r="F754" i="5"/>
  <c r="E754" i="5"/>
  <c r="Z724" i="5"/>
  <c r="Y724" i="5"/>
  <c r="X724" i="5"/>
  <c r="W724" i="5"/>
  <c r="V724" i="5"/>
  <c r="U724" i="5"/>
  <c r="O724" i="5"/>
  <c r="N724" i="5"/>
  <c r="M724" i="5"/>
  <c r="G724" i="5"/>
  <c r="F724" i="5"/>
  <c r="E724" i="5"/>
  <c r="Z726" i="5"/>
  <c r="Y726" i="5"/>
  <c r="X726" i="5"/>
  <c r="W726" i="5"/>
  <c r="V726" i="5"/>
  <c r="U726" i="5"/>
  <c r="O726" i="5"/>
  <c r="N726" i="5"/>
  <c r="M726" i="5"/>
  <c r="G726" i="5"/>
  <c r="F726" i="5"/>
  <c r="E726" i="5"/>
  <c r="Z741" i="5"/>
  <c r="Y741" i="5"/>
  <c r="X741" i="5"/>
  <c r="W741" i="5"/>
  <c r="V741" i="5"/>
  <c r="U741" i="5"/>
  <c r="O741" i="5"/>
  <c r="N741" i="5"/>
  <c r="M741" i="5"/>
  <c r="G741" i="5"/>
  <c r="F741" i="5"/>
  <c r="E741" i="5"/>
  <c r="M747" i="5"/>
  <c r="G747" i="5"/>
  <c r="F747" i="5"/>
  <c r="E747" i="5"/>
  <c r="Z736" i="5"/>
  <c r="Y736" i="5"/>
  <c r="X736" i="5"/>
  <c r="W736" i="5"/>
  <c r="V736" i="5"/>
  <c r="U736" i="5"/>
  <c r="O736" i="5"/>
  <c r="N736" i="5"/>
  <c r="M736" i="5"/>
  <c r="G736" i="5"/>
  <c r="F736" i="5"/>
  <c r="E736" i="5"/>
  <c r="X752" i="5"/>
  <c r="M752" i="5"/>
  <c r="G752" i="5"/>
  <c r="F752" i="5"/>
  <c r="E752" i="5"/>
  <c r="M731" i="5"/>
  <c r="G731" i="5"/>
  <c r="F731" i="5"/>
  <c r="E731" i="5"/>
  <c r="Z737" i="5"/>
  <c r="Y737" i="5"/>
  <c r="X737" i="5"/>
  <c r="W737" i="5"/>
  <c r="V737" i="5"/>
  <c r="U737" i="5"/>
  <c r="O737" i="5"/>
  <c r="N737" i="5"/>
  <c r="M737" i="5"/>
  <c r="G737" i="5"/>
  <c r="F737" i="5"/>
  <c r="E737" i="5"/>
  <c r="Z748" i="5"/>
  <c r="Y748" i="5"/>
  <c r="X748" i="5"/>
  <c r="W748" i="5"/>
  <c r="V748" i="5"/>
  <c r="U748" i="5"/>
  <c r="O748" i="5"/>
  <c r="N748" i="5"/>
  <c r="M748" i="5"/>
  <c r="G748" i="5"/>
  <c r="F748" i="5"/>
  <c r="E748" i="5"/>
  <c r="M734" i="5"/>
  <c r="G734" i="5"/>
  <c r="F734" i="5"/>
  <c r="E734" i="5"/>
  <c r="Z743" i="5"/>
  <c r="Y743" i="5"/>
  <c r="X743" i="5"/>
  <c r="W743" i="5"/>
  <c r="V743" i="5"/>
  <c r="U743" i="5"/>
  <c r="O743" i="5"/>
  <c r="N743" i="5"/>
  <c r="M743" i="5"/>
  <c r="G743" i="5"/>
  <c r="F743" i="5"/>
  <c r="E743" i="5"/>
  <c r="Z740" i="5"/>
  <c r="Y740" i="5"/>
  <c r="X740" i="5"/>
  <c r="W740" i="5"/>
  <c r="V740" i="5"/>
  <c r="U740" i="5"/>
  <c r="O740" i="5"/>
  <c r="N740" i="5"/>
  <c r="M740" i="5"/>
  <c r="G740" i="5"/>
  <c r="F740" i="5"/>
  <c r="E740" i="5"/>
  <c r="Z728" i="5"/>
  <c r="Y728" i="5"/>
  <c r="X728" i="5"/>
  <c r="W728" i="5"/>
  <c r="V728" i="5"/>
  <c r="U728" i="5"/>
  <c r="O728" i="5"/>
  <c r="N728" i="5"/>
  <c r="M728" i="5"/>
  <c r="G728" i="5"/>
  <c r="F728" i="5"/>
  <c r="E728" i="5"/>
  <c r="Z753" i="5"/>
  <c r="Y753" i="5"/>
  <c r="X753" i="5"/>
  <c r="W753" i="5"/>
  <c r="V753" i="5"/>
  <c r="U753" i="5"/>
  <c r="O753" i="5"/>
  <c r="N753" i="5"/>
  <c r="M753" i="5"/>
  <c r="G753" i="5"/>
  <c r="F753" i="5"/>
  <c r="E753" i="5"/>
  <c r="Z733" i="5"/>
  <c r="Y733" i="5"/>
  <c r="X733" i="5"/>
  <c r="W733" i="5"/>
  <c r="V733" i="5"/>
  <c r="U733" i="5"/>
  <c r="O733" i="5"/>
  <c r="N733" i="5"/>
  <c r="M733" i="5"/>
  <c r="G733" i="5"/>
  <c r="F733" i="5"/>
  <c r="E733" i="5"/>
  <c r="Z722" i="5"/>
  <c r="Y722" i="5"/>
  <c r="X722" i="5"/>
  <c r="W722" i="5"/>
  <c r="V722" i="5"/>
  <c r="U722" i="5"/>
  <c r="O722" i="5"/>
  <c r="N722" i="5"/>
  <c r="M722" i="5"/>
  <c r="G722" i="5"/>
  <c r="F722" i="5"/>
  <c r="E722" i="5"/>
  <c r="Z732" i="5"/>
  <c r="Y732" i="5"/>
  <c r="X732" i="5"/>
  <c r="W732" i="5"/>
  <c r="V732" i="5"/>
  <c r="U732" i="5"/>
  <c r="O732" i="5"/>
  <c r="N732" i="5"/>
  <c r="M732" i="5"/>
  <c r="G732" i="5"/>
  <c r="F732" i="5"/>
  <c r="E732" i="5"/>
  <c r="Z750" i="5"/>
  <c r="Y750" i="5"/>
  <c r="X750" i="5"/>
  <c r="W750" i="5"/>
  <c r="V750" i="5"/>
  <c r="U750" i="5"/>
  <c r="O750" i="5"/>
  <c r="N750" i="5"/>
  <c r="M750" i="5"/>
  <c r="G750" i="5"/>
  <c r="F750" i="5"/>
  <c r="E750" i="5"/>
  <c r="Z723" i="5"/>
  <c r="Y723" i="5"/>
  <c r="X723" i="5"/>
  <c r="W723" i="5"/>
  <c r="V723" i="5"/>
  <c r="U723" i="5"/>
  <c r="O723" i="5"/>
  <c r="N723" i="5"/>
  <c r="M723" i="5"/>
  <c r="G723" i="5"/>
  <c r="F723" i="5"/>
  <c r="E723" i="5"/>
  <c r="Z727" i="5"/>
  <c r="Y727" i="5"/>
  <c r="X727" i="5"/>
  <c r="W727" i="5"/>
  <c r="V727" i="5"/>
  <c r="U727" i="5"/>
  <c r="O727" i="5"/>
  <c r="N727" i="5"/>
  <c r="M727" i="5"/>
  <c r="G727" i="5"/>
  <c r="F727" i="5"/>
  <c r="E727" i="5"/>
  <c r="Z749" i="5"/>
  <c r="Y749" i="5"/>
  <c r="X749" i="5"/>
  <c r="W749" i="5"/>
  <c r="V749" i="5"/>
  <c r="U749" i="5"/>
  <c r="O749" i="5"/>
  <c r="N749" i="5"/>
  <c r="M749" i="5"/>
  <c r="G749" i="5"/>
  <c r="F749" i="5"/>
  <c r="E749" i="5"/>
  <c r="M706" i="5"/>
  <c r="G706" i="5"/>
  <c r="F706" i="5"/>
  <c r="E706" i="5"/>
  <c r="M719" i="5"/>
  <c r="G719" i="5"/>
  <c r="F719" i="5"/>
  <c r="E719" i="5"/>
  <c r="Z708" i="5"/>
  <c r="Y708" i="5"/>
  <c r="X708" i="5"/>
  <c r="W708" i="5"/>
  <c r="V708" i="5"/>
  <c r="U708" i="5"/>
  <c r="O708" i="5"/>
  <c r="N708" i="5"/>
  <c r="M708" i="5"/>
  <c r="G708" i="5"/>
  <c r="F708" i="5"/>
  <c r="E708" i="5"/>
  <c r="Z717" i="5"/>
  <c r="Y717" i="5"/>
  <c r="X717" i="5"/>
  <c r="W717" i="5"/>
  <c r="V717" i="5"/>
  <c r="U717" i="5"/>
  <c r="O717" i="5"/>
  <c r="N717" i="5"/>
  <c r="M717" i="5"/>
  <c r="G717" i="5"/>
  <c r="F717" i="5"/>
  <c r="E717" i="5"/>
  <c r="M715" i="5"/>
  <c r="G715" i="5"/>
  <c r="F715" i="5"/>
  <c r="E715" i="5"/>
  <c r="M709" i="5"/>
  <c r="G709" i="5"/>
  <c r="F709" i="5"/>
  <c r="E709" i="5"/>
  <c r="Z716" i="5"/>
  <c r="Y716" i="5"/>
  <c r="X716" i="5"/>
  <c r="W716" i="5"/>
  <c r="V716" i="5"/>
  <c r="U716" i="5"/>
  <c r="O716" i="5"/>
  <c r="N716" i="5"/>
  <c r="M716" i="5"/>
  <c r="G716" i="5"/>
  <c r="F716" i="5"/>
  <c r="E716" i="5"/>
  <c r="M699" i="5"/>
  <c r="G699" i="5"/>
  <c r="F699" i="5"/>
  <c r="E699" i="5"/>
  <c r="M713" i="5"/>
  <c r="G713" i="5"/>
  <c r="F713" i="5"/>
  <c r="E713" i="5"/>
  <c r="Z721" i="5"/>
  <c r="Y721" i="5"/>
  <c r="X721" i="5"/>
  <c r="W721" i="5"/>
  <c r="V721" i="5"/>
  <c r="U721" i="5"/>
  <c r="O721" i="5"/>
  <c r="N721" i="5"/>
  <c r="M721" i="5"/>
  <c r="G721" i="5"/>
  <c r="F721" i="5"/>
  <c r="E721" i="5"/>
  <c r="M718" i="5"/>
  <c r="G718" i="5"/>
  <c r="F718" i="5"/>
  <c r="E718" i="5"/>
  <c r="M704" i="5"/>
  <c r="G704" i="5"/>
  <c r="F704" i="5"/>
  <c r="E704" i="5"/>
  <c r="M695" i="5"/>
  <c r="G695" i="5"/>
  <c r="F695" i="5"/>
  <c r="E695" i="5"/>
  <c r="Z696" i="5"/>
  <c r="Y696" i="5"/>
  <c r="X696" i="5"/>
  <c r="W696" i="5"/>
  <c r="V696" i="5"/>
  <c r="U696" i="5"/>
  <c r="O696" i="5"/>
  <c r="N696" i="5"/>
  <c r="M696" i="5"/>
  <c r="G696" i="5"/>
  <c r="F696" i="5"/>
  <c r="E696" i="5"/>
  <c r="Z698" i="5"/>
  <c r="Y698" i="5"/>
  <c r="X698" i="5"/>
  <c r="W698" i="5"/>
  <c r="V698" i="5"/>
  <c r="U698" i="5"/>
  <c r="O698" i="5"/>
  <c r="N698" i="5"/>
  <c r="M698" i="5"/>
  <c r="G698" i="5"/>
  <c r="F698" i="5"/>
  <c r="E698" i="5"/>
  <c r="Z712" i="5"/>
  <c r="Y712" i="5"/>
  <c r="X712" i="5"/>
  <c r="W712" i="5"/>
  <c r="V712" i="5"/>
  <c r="U712" i="5"/>
  <c r="O712" i="5"/>
  <c r="N712" i="5"/>
  <c r="M712" i="5"/>
  <c r="G712" i="5"/>
  <c r="F712" i="5"/>
  <c r="E712" i="5"/>
  <c r="Z710" i="5"/>
  <c r="Y710" i="5"/>
  <c r="X710" i="5"/>
  <c r="W710" i="5"/>
  <c r="V710" i="5"/>
  <c r="U710" i="5"/>
  <c r="O710" i="5"/>
  <c r="N710" i="5"/>
  <c r="M710" i="5"/>
  <c r="G710" i="5"/>
  <c r="F710" i="5"/>
  <c r="E710" i="5"/>
  <c r="Z697" i="5"/>
  <c r="Y697" i="5"/>
  <c r="X697" i="5"/>
  <c r="W697" i="5"/>
  <c r="V697" i="5"/>
  <c r="U697" i="5"/>
  <c r="O697" i="5"/>
  <c r="N697" i="5"/>
  <c r="M697" i="5"/>
  <c r="G697" i="5"/>
  <c r="F697" i="5"/>
  <c r="E697" i="5"/>
  <c r="M711" i="5"/>
  <c r="G711" i="5"/>
  <c r="F711" i="5"/>
  <c r="E711" i="5"/>
  <c r="Z714" i="5"/>
  <c r="Y714" i="5"/>
  <c r="X714" i="5"/>
  <c r="W714" i="5"/>
  <c r="V714" i="5"/>
  <c r="U714" i="5"/>
  <c r="O714" i="5"/>
  <c r="N714" i="5"/>
  <c r="M714" i="5"/>
  <c r="G714" i="5"/>
  <c r="F714" i="5"/>
  <c r="E714" i="5"/>
  <c r="Z720" i="5"/>
  <c r="Y720" i="5"/>
  <c r="X720" i="5"/>
  <c r="W720" i="5"/>
  <c r="V720" i="5"/>
  <c r="U720" i="5"/>
  <c r="O720" i="5"/>
  <c r="N720" i="5"/>
  <c r="M720" i="5"/>
  <c r="G720" i="5"/>
  <c r="F720" i="5"/>
  <c r="E720" i="5"/>
  <c r="M692" i="5"/>
  <c r="G692" i="5"/>
  <c r="F692" i="5"/>
  <c r="E692" i="5"/>
  <c r="O705" i="5"/>
  <c r="M705" i="5"/>
  <c r="G705" i="5"/>
  <c r="F705" i="5"/>
  <c r="E705" i="5"/>
  <c r="M680" i="5"/>
  <c r="G680" i="5"/>
  <c r="F680" i="5"/>
  <c r="E680" i="5"/>
  <c r="M673" i="5"/>
  <c r="G673" i="5"/>
  <c r="F673" i="5"/>
  <c r="E673" i="5"/>
  <c r="Z675" i="5"/>
  <c r="Y675" i="5"/>
  <c r="X675" i="5"/>
  <c r="W675" i="5"/>
  <c r="V675" i="5"/>
  <c r="U675" i="5"/>
  <c r="O675" i="5"/>
  <c r="N675" i="5"/>
  <c r="M675" i="5"/>
  <c r="G675" i="5"/>
  <c r="F675" i="5"/>
  <c r="E675" i="5"/>
  <c r="Z702" i="5"/>
  <c r="Y702" i="5"/>
  <c r="X702" i="5"/>
  <c r="W702" i="5"/>
  <c r="V702" i="5"/>
  <c r="U702" i="5"/>
  <c r="O702" i="5"/>
  <c r="N702" i="5"/>
  <c r="M702" i="5"/>
  <c r="G702" i="5"/>
  <c r="F702" i="5"/>
  <c r="E702" i="5"/>
  <c r="Z683" i="5"/>
  <c r="Y683" i="5"/>
  <c r="X683" i="5"/>
  <c r="W683" i="5"/>
  <c r="V683" i="5"/>
  <c r="U683" i="5"/>
  <c r="O683" i="5"/>
  <c r="N683" i="5"/>
  <c r="M683" i="5"/>
  <c r="G683" i="5"/>
  <c r="F683" i="5"/>
  <c r="E683" i="5"/>
  <c r="Z677" i="5"/>
  <c r="Y677" i="5"/>
  <c r="X677" i="5"/>
  <c r="W677" i="5"/>
  <c r="V677" i="5"/>
  <c r="U677" i="5"/>
  <c r="O677" i="5"/>
  <c r="N677" i="5"/>
  <c r="M677" i="5"/>
  <c r="G677" i="5"/>
  <c r="F677" i="5"/>
  <c r="E677" i="5"/>
  <c r="Z701" i="5"/>
  <c r="Y701" i="5"/>
  <c r="X701" i="5"/>
  <c r="W701" i="5"/>
  <c r="V701" i="5"/>
  <c r="U701" i="5"/>
  <c r="O701" i="5"/>
  <c r="N701" i="5"/>
  <c r="M701" i="5"/>
  <c r="G701" i="5"/>
  <c r="F701" i="5"/>
  <c r="E701" i="5"/>
  <c r="Z670" i="5"/>
  <c r="Y670" i="5"/>
  <c r="X670" i="5"/>
  <c r="W670" i="5"/>
  <c r="V670" i="5"/>
  <c r="U670" i="5"/>
  <c r="O670" i="5"/>
  <c r="N670" i="5"/>
  <c r="M670" i="5"/>
  <c r="G670" i="5"/>
  <c r="F670" i="5"/>
  <c r="E670" i="5"/>
  <c r="Z671" i="5"/>
  <c r="Y671" i="5"/>
  <c r="X671" i="5"/>
  <c r="W671" i="5"/>
  <c r="V671" i="5"/>
  <c r="U671" i="5"/>
  <c r="O671" i="5"/>
  <c r="N671" i="5"/>
  <c r="M671" i="5"/>
  <c r="G671" i="5"/>
  <c r="F671" i="5"/>
  <c r="E671" i="5"/>
  <c r="M678" i="5"/>
  <c r="G678" i="5"/>
  <c r="F678" i="5"/>
  <c r="E678" i="5"/>
  <c r="Z676" i="5"/>
  <c r="Y676" i="5"/>
  <c r="X676" i="5"/>
  <c r="W676" i="5"/>
  <c r="V676" i="5"/>
  <c r="U676" i="5"/>
  <c r="O676" i="5"/>
  <c r="N676" i="5"/>
  <c r="M676" i="5"/>
  <c r="G676" i="5"/>
  <c r="F676" i="5"/>
  <c r="E676" i="5"/>
  <c r="Z672" i="5"/>
  <c r="Y672" i="5"/>
  <c r="X672" i="5"/>
  <c r="W672" i="5"/>
  <c r="V672" i="5"/>
  <c r="U672" i="5"/>
  <c r="O672" i="5"/>
  <c r="N672" i="5"/>
  <c r="M672" i="5"/>
  <c r="G672" i="5"/>
  <c r="F672" i="5"/>
  <c r="E672" i="5"/>
  <c r="Z674" i="5"/>
  <c r="Y674" i="5"/>
  <c r="X674" i="5"/>
  <c r="W674" i="5"/>
  <c r="V674" i="5"/>
  <c r="U674" i="5"/>
  <c r="O674" i="5"/>
  <c r="N674" i="5"/>
  <c r="M674" i="5"/>
  <c r="G674" i="5"/>
  <c r="F674" i="5"/>
  <c r="E674" i="5"/>
  <c r="Z684" i="5"/>
  <c r="Y684" i="5"/>
  <c r="X684" i="5"/>
  <c r="W684" i="5"/>
  <c r="V684" i="5"/>
  <c r="U684" i="5"/>
  <c r="O684" i="5"/>
  <c r="N684" i="5"/>
  <c r="M684" i="5"/>
  <c r="G684" i="5"/>
  <c r="F684" i="5"/>
  <c r="E684" i="5"/>
  <c r="Z703" i="5"/>
  <c r="Y703" i="5"/>
  <c r="X703" i="5"/>
  <c r="W703" i="5"/>
  <c r="V703" i="5"/>
  <c r="U703" i="5"/>
  <c r="O703" i="5"/>
  <c r="N703" i="5"/>
  <c r="M703" i="5"/>
  <c r="G703" i="5"/>
  <c r="F703" i="5"/>
  <c r="E703" i="5"/>
  <c r="Z700" i="5"/>
  <c r="Y700" i="5"/>
  <c r="X700" i="5"/>
  <c r="W700" i="5"/>
  <c r="V700" i="5"/>
  <c r="U700" i="5"/>
  <c r="O700" i="5"/>
  <c r="N700" i="5"/>
  <c r="M700" i="5"/>
  <c r="G700" i="5"/>
  <c r="F700" i="5"/>
  <c r="E700" i="5"/>
  <c r="Z681" i="5"/>
  <c r="Y681" i="5"/>
  <c r="X681" i="5"/>
  <c r="W681" i="5"/>
  <c r="V681" i="5"/>
  <c r="U681" i="5"/>
  <c r="O681" i="5"/>
  <c r="N681" i="5"/>
  <c r="M681" i="5"/>
  <c r="G681" i="5"/>
  <c r="F681" i="5"/>
  <c r="E681" i="5"/>
  <c r="Z690" i="5"/>
  <c r="Y690" i="5"/>
  <c r="X690" i="5"/>
  <c r="W690" i="5"/>
  <c r="V690" i="5"/>
  <c r="U690" i="5"/>
  <c r="O690" i="5"/>
  <c r="N690" i="5"/>
  <c r="M690" i="5"/>
  <c r="G690" i="5"/>
  <c r="F690" i="5"/>
  <c r="E690" i="5"/>
  <c r="Z679" i="5"/>
  <c r="Y679" i="5"/>
  <c r="X679" i="5"/>
  <c r="W679" i="5"/>
  <c r="V679" i="5"/>
  <c r="U679" i="5"/>
  <c r="O679" i="5"/>
  <c r="N679" i="5"/>
  <c r="M679" i="5"/>
  <c r="G679" i="5"/>
  <c r="F679" i="5"/>
  <c r="E679" i="5"/>
  <c r="Z685" i="5"/>
  <c r="Y685" i="5"/>
  <c r="X685" i="5"/>
  <c r="W685" i="5"/>
  <c r="V685" i="5"/>
  <c r="U685" i="5"/>
  <c r="O685" i="5"/>
  <c r="N685" i="5"/>
  <c r="M685" i="5"/>
  <c r="G685" i="5"/>
  <c r="F685" i="5"/>
  <c r="E685" i="5"/>
  <c r="Z687" i="5"/>
  <c r="Y687" i="5"/>
  <c r="X687" i="5"/>
  <c r="W687" i="5"/>
  <c r="V687" i="5"/>
  <c r="U687" i="5"/>
  <c r="O687" i="5"/>
  <c r="N687" i="5"/>
  <c r="M687" i="5"/>
  <c r="G687" i="5"/>
  <c r="F687" i="5"/>
  <c r="E687" i="5"/>
  <c r="Y693" i="5"/>
  <c r="M693" i="5"/>
  <c r="G693" i="5"/>
  <c r="F693" i="5"/>
  <c r="E693" i="5"/>
  <c r="Z661" i="5"/>
  <c r="Y661" i="5"/>
  <c r="X661" i="5"/>
  <c r="W661" i="5"/>
  <c r="V661" i="5"/>
  <c r="U661" i="5"/>
  <c r="O661" i="5"/>
  <c r="N661" i="5"/>
  <c r="M661" i="5"/>
  <c r="G661" i="5"/>
  <c r="F661" i="5"/>
  <c r="E661" i="5"/>
  <c r="Z682" i="5"/>
  <c r="Y682" i="5"/>
  <c r="X682" i="5"/>
  <c r="W682" i="5"/>
  <c r="V682" i="5"/>
  <c r="U682" i="5"/>
  <c r="O682" i="5"/>
  <c r="N682" i="5"/>
  <c r="M682" i="5"/>
  <c r="G682" i="5"/>
  <c r="F682" i="5"/>
  <c r="E682" i="5"/>
  <c r="Z694" i="5"/>
  <c r="Y694" i="5"/>
  <c r="X694" i="5"/>
  <c r="W694" i="5"/>
  <c r="V694" i="5"/>
  <c r="U694" i="5"/>
  <c r="O694" i="5"/>
  <c r="N694" i="5"/>
  <c r="M694" i="5"/>
  <c r="G694" i="5"/>
  <c r="F694" i="5"/>
  <c r="E694" i="5"/>
  <c r="Z643" i="5"/>
  <c r="Y643" i="5"/>
  <c r="X643" i="5"/>
  <c r="W643" i="5"/>
  <c r="V643" i="5"/>
  <c r="U643" i="5"/>
  <c r="O643" i="5"/>
  <c r="N643" i="5"/>
  <c r="M643" i="5"/>
  <c r="G643" i="5"/>
  <c r="F643" i="5"/>
  <c r="E643" i="5"/>
  <c r="Z662" i="5"/>
  <c r="Y662" i="5"/>
  <c r="X662" i="5"/>
  <c r="W662" i="5"/>
  <c r="V662" i="5"/>
  <c r="U662" i="5"/>
  <c r="O662" i="5"/>
  <c r="N662" i="5"/>
  <c r="M662" i="5"/>
  <c r="G662" i="5"/>
  <c r="F662" i="5"/>
  <c r="E662" i="5"/>
  <c r="Z689" i="5"/>
  <c r="Y689" i="5"/>
  <c r="X689" i="5"/>
  <c r="W689" i="5"/>
  <c r="V689" i="5"/>
  <c r="U689" i="5"/>
  <c r="O689" i="5"/>
  <c r="N689" i="5"/>
  <c r="M689" i="5"/>
  <c r="G689" i="5"/>
  <c r="F689" i="5"/>
  <c r="E689" i="5"/>
  <c r="Z652" i="5"/>
  <c r="Y652" i="5"/>
  <c r="X652" i="5"/>
  <c r="W652" i="5"/>
  <c r="V652" i="5"/>
  <c r="U652" i="5"/>
  <c r="O652" i="5"/>
  <c r="N652" i="5"/>
  <c r="M652" i="5"/>
  <c r="G652" i="5"/>
  <c r="F652" i="5"/>
  <c r="E652" i="5"/>
  <c r="Z648" i="5"/>
  <c r="Y648" i="5"/>
  <c r="X648" i="5"/>
  <c r="W648" i="5"/>
  <c r="V648" i="5"/>
  <c r="U648" i="5"/>
  <c r="O648" i="5"/>
  <c r="N648" i="5"/>
  <c r="M648" i="5"/>
  <c r="G648" i="5"/>
  <c r="F648" i="5"/>
  <c r="E648" i="5"/>
  <c r="Z642" i="5"/>
  <c r="Y642" i="5"/>
  <c r="X642" i="5"/>
  <c r="W642" i="5"/>
  <c r="V642" i="5"/>
  <c r="U642" i="5"/>
  <c r="O642" i="5"/>
  <c r="N642" i="5"/>
  <c r="M642" i="5"/>
  <c r="G642" i="5"/>
  <c r="F642" i="5"/>
  <c r="E642" i="5"/>
  <c r="Z656" i="5"/>
  <c r="Y656" i="5"/>
  <c r="X656" i="5"/>
  <c r="W656" i="5"/>
  <c r="V656" i="5"/>
  <c r="U656" i="5"/>
  <c r="O656" i="5"/>
  <c r="N656" i="5"/>
  <c r="M656" i="5"/>
  <c r="G656" i="5"/>
  <c r="F656" i="5"/>
  <c r="E656" i="5"/>
  <c r="M647" i="5"/>
  <c r="G647" i="5"/>
  <c r="F647" i="5"/>
  <c r="E647" i="5"/>
  <c r="Z691" i="5"/>
  <c r="Y691" i="5"/>
  <c r="X691" i="5"/>
  <c r="W691" i="5"/>
  <c r="V691" i="5"/>
  <c r="U691" i="5"/>
  <c r="O691" i="5"/>
  <c r="N691" i="5"/>
  <c r="M691" i="5"/>
  <c r="G691" i="5"/>
  <c r="F691" i="5"/>
  <c r="E691" i="5"/>
  <c r="M659" i="5"/>
  <c r="G659" i="5"/>
  <c r="F659" i="5"/>
  <c r="E659" i="5"/>
  <c r="M688" i="5"/>
  <c r="G688" i="5"/>
  <c r="F688" i="5"/>
  <c r="E688" i="5"/>
  <c r="Z644" i="5"/>
  <c r="Y644" i="5"/>
  <c r="X644" i="5"/>
  <c r="W644" i="5"/>
  <c r="V644" i="5"/>
  <c r="U644" i="5"/>
  <c r="O644" i="5"/>
  <c r="N644" i="5"/>
  <c r="M644" i="5"/>
  <c r="G644" i="5"/>
  <c r="F644" i="5"/>
  <c r="E644" i="5"/>
  <c r="Z645" i="5"/>
  <c r="Y645" i="5"/>
  <c r="X645" i="5"/>
  <c r="W645" i="5"/>
  <c r="V645" i="5"/>
  <c r="U645" i="5"/>
  <c r="O645" i="5"/>
  <c r="N645" i="5"/>
  <c r="M645" i="5"/>
  <c r="G645" i="5"/>
  <c r="F645" i="5"/>
  <c r="E645" i="5"/>
  <c r="M650" i="5"/>
  <c r="G650" i="5"/>
  <c r="F650" i="5"/>
  <c r="E650" i="5"/>
  <c r="Z686" i="5"/>
  <c r="Y686" i="5"/>
  <c r="X686" i="5"/>
  <c r="W686" i="5"/>
  <c r="V686" i="5"/>
  <c r="U686" i="5"/>
  <c r="O686" i="5"/>
  <c r="N686" i="5"/>
  <c r="M686" i="5"/>
  <c r="G686" i="5"/>
  <c r="F686" i="5"/>
  <c r="E686" i="5"/>
  <c r="Z655" i="5"/>
  <c r="Y655" i="5"/>
  <c r="X655" i="5"/>
  <c r="W655" i="5"/>
  <c r="V655" i="5"/>
  <c r="U655" i="5"/>
  <c r="O655" i="5"/>
  <c r="N655" i="5"/>
  <c r="M655" i="5"/>
  <c r="G655" i="5"/>
  <c r="F655" i="5"/>
  <c r="E655" i="5"/>
  <c r="M639" i="5"/>
  <c r="G639" i="5"/>
  <c r="F639" i="5"/>
  <c r="E639" i="5"/>
  <c r="Z633" i="5"/>
  <c r="Y633" i="5"/>
  <c r="X633" i="5"/>
  <c r="W633" i="5"/>
  <c r="V633" i="5"/>
  <c r="U633" i="5"/>
  <c r="O633" i="5"/>
  <c r="N633" i="5"/>
  <c r="M633" i="5"/>
  <c r="G633" i="5"/>
  <c r="F633" i="5"/>
  <c r="E633" i="5"/>
  <c r="Z669" i="5"/>
  <c r="Y669" i="5"/>
  <c r="X669" i="5"/>
  <c r="W669" i="5"/>
  <c r="V669" i="5"/>
  <c r="U669" i="5"/>
  <c r="O669" i="5"/>
  <c r="N669" i="5"/>
  <c r="M669" i="5"/>
  <c r="G669" i="5"/>
  <c r="F669" i="5"/>
  <c r="E669" i="5"/>
  <c r="Z653" i="5"/>
  <c r="Y653" i="5"/>
  <c r="X653" i="5"/>
  <c r="W653" i="5"/>
  <c r="V653" i="5"/>
  <c r="U653" i="5"/>
  <c r="O653" i="5"/>
  <c r="N653" i="5"/>
  <c r="M653" i="5"/>
  <c r="G653" i="5"/>
  <c r="F653" i="5"/>
  <c r="E653" i="5"/>
  <c r="Z641" i="5"/>
  <c r="Y641" i="5"/>
  <c r="X641" i="5"/>
  <c r="W641" i="5"/>
  <c r="V641" i="5"/>
  <c r="U641" i="5"/>
  <c r="O641" i="5"/>
  <c r="N641" i="5"/>
  <c r="M641" i="5"/>
  <c r="G641" i="5"/>
  <c r="F641" i="5"/>
  <c r="E641" i="5"/>
  <c r="M664" i="5"/>
  <c r="G664" i="5"/>
  <c r="F664" i="5"/>
  <c r="E664" i="5"/>
  <c r="M631" i="5"/>
  <c r="G631" i="5"/>
  <c r="F631" i="5"/>
  <c r="E631" i="5"/>
  <c r="Z632" i="5"/>
  <c r="Y632" i="5"/>
  <c r="X632" i="5"/>
  <c r="W632" i="5"/>
  <c r="V632" i="5"/>
  <c r="U632" i="5"/>
  <c r="O632" i="5"/>
  <c r="N632" i="5"/>
  <c r="M632" i="5"/>
  <c r="G632" i="5"/>
  <c r="F632" i="5"/>
  <c r="E632" i="5"/>
  <c r="Z663" i="5"/>
  <c r="Y663" i="5"/>
  <c r="X663" i="5"/>
  <c r="W663" i="5"/>
  <c r="V663" i="5"/>
  <c r="U663" i="5"/>
  <c r="O663" i="5"/>
  <c r="N663" i="5"/>
  <c r="M663" i="5"/>
  <c r="G663" i="5"/>
  <c r="F663" i="5"/>
  <c r="E663" i="5"/>
  <c r="Z637" i="5"/>
  <c r="Y637" i="5"/>
  <c r="X637" i="5"/>
  <c r="W637" i="5"/>
  <c r="V637" i="5"/>
  <c r="U637" i="5"/>
  <c r="O637" i="5"/>
  <c r="N637" i="5"/>
  <c r="M637" i="5"/>
  <c r="G637" i="5"/>
  <c r="F637" i="5"/>
  <c r="E637" i="5"/>
  <c r="Z654" i="5"/>
  <c r="Y654" i="5"/>
  <c r="X654" i="5"/>
  <c r="W654" i="5"/>
  <c r="V654" i="5"/>
  <c r="U654" i="5"/>
  <c r="O654" i="5"/>
  <c r="N654" i="5"/>
  <c r="M654" i="5"/>
  <c r="G654" i="5"/>
  <c r="F654" i="5"/>
  <c r="E654" i="5"/>
  <c r="Z667" i="5"/>
  <c r="Y667" i="5"/>
  <c r="X667" i="5"/>
  <c r="W667" i="5"/>
  <c r="V667" i="5"/>
  <c r="U667" i="5"/>
  <c r="O667" i="5"/>
  <c r="N667" i="5"/>
  <c r="M667" i="5"/>
  <c r="G667" i="5"/>
  <c r="F667" i="5"/>
  <c r="E667" i="5"/>
  <c r="Z646" i="5"/>
  <c r="Y646" i="5"/>
  <c r="X646" i="5"/>
  <c r="W646" i="5"/>
  <c r="V646" i="5"/>
  <c r="U646" i="5"/>
  <c r="O646" i="5"/>
  <c r="N646" i="5"/>
  <c r="M646" i="5"/>
  <c r="G646" i="5"/>
  <c r="F646" i="5"/>
  <c r="E646" i="5"/>
  <c r="Z658" i="5"/>
  <c r="Y658" i="5"/>
  <c r="X658" i="5"/>
  <c r="W658" i="5"/>
  <c r="V658" i="5"/>
  <c r="U658" i="5"/>
  <c r="O658" i="5"/>
  <c r="N658" i="5"/>
  <c r="M658" i="5"/>
  <c r="G658" i="5"/>
  <c r="F658" i="5"/>
  <c r="E658" i="5"/>
  <c r="Z665" i="5"/>
  <c r="Y665" i="5"/>
  <c r="X665" i="5"/>
  <c r="W665" i="5"/>
  <c r="V665" i="5"/>
  <c r="U665" i="5"/>
  <c r="O665" i="5"/>
  <c r="N665" i="5"/>
  <c r="M665" i="5"/>
  <c r="G665" i="5"/>
  <c r="F665" i="5"/>
  <c r="E665" i="5"/>
  <c r="Z649" i="5"/>
  <c r="Y649" i="5"/>
  <c r="X649" i="5"/>
  <c r="W649" i="5"/>
  <c r="V649" i="5"/>
  <c r="U649" i="5"/>
  <c r="O649" i="5"/>
  <c r="N649" i="5"/>
  <c r="M649" i="5"/>
  <c r="G649" i="5"/>
  <c r="F649" i="5"/>
  <c r="E649" i="5"/>
  <c r="M657" i="5"/>
  <c r="G657" i="5"/>
  <c r="F657" i="5"/>
  <c r="E657" i="5"/>
  <c r="M636" i="5"/>
  <c r="G636" i="5"/>
  <c r="F636" i="5"/>
  <c r="E636" i="5"/>
  <c r="Z651" i="5"/>
  <c r="Y651" i="5"/>
  <c r="X651" i="5"/>
  <c r="W651" i="5"/>
  <c r="V651" i="5"/>
  <c r="U651" i="5"/>
  <c r="O651" i="5"/>
  <c r="N651" i="5"/>
  <c r="M651" i="5"/>
  <c r="G651" i="5"/>
  <c r="F651" i="5"/>
  <c r="E651" i="5"/>
  <c r="Z628" i="5"/>
  <c r="Y628" i="5"/>
  <c r="X628" i="5"/>
  <c r="W628" i="5"/>
  <c r="V628" i="5"/>
  <c r="U628" i="5"/>
  <c r="O628" i="5"/>
  <c r="N628" i="5"/>
  <c r="M628" i="5"/>
  <c r="G628" i="5"/>
  <c r="F628" i="5"/>
  <c r="E628" i="5"/>
  <c r="Z666" i="5"/>
  <c r="Y666" i="5"/>
  <c r="X666" i="5"/>
  <c r="W666" i="5"/>
  <c r="V666" i="5"/>
  <c r="U666" i="5"/>
  <c r="O666" i="5"/>
  <c r="N666" i="5"/>
  <c r="M666" i="5"/>
  <c r="G666" i="5"/>
  <c r="F666" i="5"/>
  <c r="E666" i="5"/>
  <c r="Z635" i="5"/>
  <c r="Y635" i="5"/>
  <c r="X635" i="5"/>
  <c r="W635" i="5"/>
  <c r="V635" i="5"/>
  <c r="U635" i="5"/>
  <c r="O635" i="5"/>
  <c r="N635" i="5"/>
  <c r="M635" i="5"/>
  <c r="G635" i="5"/>
  <c r="F635" i="5"/>
  <c r="E635" i="5"/>
  <c r="Z638" i="5"/>
  <c r="Y638" i="5"/>
  <c r="X638" i="5"/>
  <c r="W638" i="5"/>
  <c r="V638" i="5"/>
  <c r="U638" i="5"/>
  <c r="O638" i="5"/>
  <c r="N638" i="5"/>
  <c r="M638" i="5"/>
  <c r="G638" i="5"/>
  <c r="F638" i="5"/>
  <c r="E638" i="5"/>
  <c r="Z629" i="5"/>
  <c r="Y629" i="5"/>
  <c r="X629" i="5"/>
  <c r="W629" i="5"/>
  <c r="V629" i="5"/>
  <c r="U629" i="5"/>
  <c r="O629" i="5"/>
  <c r="N629" i="5"/>
  <c r="M629" i="5"/>
  <c r="G629" i="5"/>
  <c r="F629" i="5"/>
  <c r="E629" i="5"/>
  <c r="Z640" i="5"/>
  <c r="Y640" i="5"/>
  <c r="X640" i="5"/>
  <c r="W640" i="5"/>
  <c r="V640" i="5"/>
  <c r="U640" i="5"/>
  <c r="O640" i="5"/>
  <c r="N640" i="5"/>
  <c r="M640" i="5"/>
  <c r="G640" i="5"/>
  <c r="F640" i="5"/>
  <c r="E640" i="5"/>
  <c r="Z660" i="5"/>
  <c r="Y660" i="5"/>
  <c r="X660" i="5"/>
  <c r="W660" i="5"/>
  <c r="V660" i="5"/>
  <c r="U660" i="5"/>
  <c r="O660" i="5"/>
  <c r="N660" i="5"/>
  <c r="M660" i="5"/>
  <c r="G660" i="5"/>
  <c r="F660" i="5"/>
  <c r="E660" i="5"/>
  <c r="Z668" i="5"/>
  <c r="Y668" i="5"/>
  <c r="X668" i="5"/>
  <c r="W668" i="5"/>
  <c r="V668" i="5"/>
  <c r="U668" i="5"/>
  <c r="O668" i="5"/>
  <c r="N668" i="5"/>
  <c r="M668" i="5"/>
  <c r="G668" i="5"/>
  <c r="F668" i="5"/>
  <c r="E668" i="5"/>
  <c r="Z634" i="5"/>
  <c r="Y634" i="5"/>
  <c r="X634" i="5"/>
  <c r="W634" i="5"/>
  <c r="V634" i="5"/>
  <c r="U634" i="5"/>
  <c r="O634" i="5"/>
  <c r="N634" i="5"/>
  <c r="M634" i="5"/>
  <c r="G634" i="5"/>
  <c r="F634" i="5"/>
  <c r="E634" i="5"/>
  <c r="Z630" i="5"/>
  <c r="Y630" i="5"/>
  <c r="X630" i="5"/>
  <c r="W630" i="5"/>
  <c r="V630" i="5"/>
  <c r="U630" i="5"/>
  <c r="O630" i="5"/>
  <c r="N630" i="5"/>
  <c r="M630" i="5"/>
  <c r="G630" i="5"/>
  <c r="F630" i="5"/>
  <c r="E630" i="5"/>
  <c r="Z600" i="5"/>
  <c r="Y600" i="5"/>
  <c r="X600" i="5"/>
  <c r="W600" i="5"/>
  <c r="V600" i="5"/>
  <c r="U600" i="5"/>
  <c r="O600" i="5"/>
  <c r="N600" i="5"/>
  <c r="M600" i="5"/>
  <c r="G600" i="5"/>
  <c r="F600" i="5"/>
  <c r="E600" i="5"/>
  <c r="Z619" i="5"/>
  <c r="Y619" i="5"/>
  <c r="X619" i="5"/>
  <c r="W619" i="5"/>
  <c r="V619" i="5"/>
  <c r="U619" i="5"/>
  <c r="O619" i="5"/>
  <c r="N619" i="5"/>
  <c r="M619" i="5"/>
  <c r="G619" i="5"/>
  <c r="F619" i="5"/>
  <c r="E619" i="5"/>
  <c r="M626" i="5"/>
  <c r="G626" i="5"/>
  <c r="F626" i="5"/>
  <c r="E626" i="5"/>
  <c r="Z614" i="5"/>
  <c r="Y614" i="5"/>
  <c r="X614" i="5"/>
  <c r="W614" i="5"/>
  <c r="V614" i="5"/>
  <c r="U614" i="5"/>
  <c r="O614" i="5"/>
  <c r="N614" i="5"/>
  <c r="M614" i="5"/>
  <c r="G614" i="5"/>
  <c r="F614" i="5"/>
  <c r="E614" i="5"/>
  <c r="M615" i="5"/>
  <c r="G615" i="5"/>
  <c r="F615" i="5"/>
  <c r="E615" i="5"/>
  <c r="M598" i="5"/>
  <c r="G598" i="5"/>
  <c r="F598" i="5"/>
  <c r="E598" i="5"/>
  <c r="M624" i="5"/>
  <c r="G624" i="5"/>
  <c r="F624" i="5"/>
  <c r="E624" i="5"/>
  <c r="Z617" i="5"/>
  <c r="Y617" i="5"/>
  <c r="X617" i="5"/>
  <c r="W617" i="5"/>
  <c r="V617" i="5"/>
  <c r="U617" i="5"/>
  <c r="O617" i="5"/>
  <c r="N617" i="5"/>
  <c r="M617" i="5"/>
  <c r="G617" i="5"/>
  <c r="F617" i="5"/>
  <c r="E617" i="5"/>
  <c r="Z604" i="5"/>
  <c r="Y604" i="5"/>
  <c r="X604" i="5"/>
  <c r="W604" i="5"/>
  <c r="V604" i="5"/>
  <c r="U604" i="5"/>
  <c r="O604" i="5"/>
  <c r="N604" i="5"/>
  <c r="M604" i="5"/>
  <c r="G604" i="5"/>
  <c r="F604" i="5"/>
  <c r="E604" i="5"/>
  <c r="Z622" i="5"/>
  <c r="Y622" i="5"/>
  <c r="X622" i="5"/>
  <c r="W622" i="5"/>
  <c r="V622" i="5"/>
  <c r="U622" i="5"/>
  <c r="O622" i="5"/>
  <c r="N622" i="5"/>
  <c r="M622" i="5"/>
  <c r="G622" i="5"/>
  <c r="F622" i="5"/>
  <c r="E622" i="5"/>
  <c r="Z602" i="5"/>
  <c r="Y602" i="5"/>
  <c r="X602" i="5"/>
  <c r="W602" i="5"/>
  <c r="V602" i="5"/>
  <c r="U602" i="5"/>
  <c r="O602" i="5"/>
  <c r="N602" i="5"/>
  <c r="M602" i="5"/>
  <c r="G602" i="5"/>
  <c r="F602" i="5"/>
  <c r="E602" i="5"/>
  <c r="Z625" i="5"/>
  <c r="Y625" i="5"/>
  <c r="X625" i="5"/>
  <c r="W625" i="5"/>
  <c r="V625" i="5"/>
  <c r="U625" i="5"/>
  <c r="O625" i="5"/>
  <c r="N625" i="5"/>
  <c r="M625" i="5"/>
  <c r="G625" i="5"/>
  <c r="F625" i="5"/>
  <c r="E625" i="5"/>
  <c r="Z611" i="5"/>
  <c r="Y611" i="5"/>
  <c r="X611" i="5"/>
  <c r="W611" i="5"/>
  <c r="V611" i="5"/>
  <c r="U611" i="5"/>
  <c r="O611" i="5"/>
  <c r="N611" i="5"/>
  <c r="M611" i="5"/>
  <c r="G611" i="5"/>
  <c r="F611" i="5"/>
  <c r="E611" i="5"/>
  <c r="Z613" i="5"/>
  <c r="Y613" i="5"/>
  <c r="X613" i="5"/>
  <c r="W613" i="5"/>
  <c r="V613" i="5"/>
  <c r="U613" i="5"/>
  <c r="O613" i="5"/>
  <c r="N613" i="5"/>
  <c r="M613" i="5"/>
  <c r="G613" i="5"/>
  <c r="F613" i="5"/>
  <c r="E613" i="5"/>
  <c r="Z605" i="5"/>
  <c r="Y605" i="5"/>
  <c r="X605" i="5"/>
  <c r="W605" i="5"/>
  <c r="V605" i="5"/>
  <c r="U605" i="5"/>
  <c r="O605" i="5"/>
  <c r="N605" i="5"/>
  <c r="M605" i="5"/>
  <c r="G605" i="5"/>
  <c r="F605" i="5"/>
  <c r="E605" i="5"/>
  <c r="Z621" i="5"/>
  <c r="Y621" i="5"/>
  <c r="X621" i="5"/>
  <c r="W621" i="5"/>
  <c r="V621" i="5"/>
  <c r="U621" i="5"/>
  <c r="O621" i="5"/>
  <c r="N621" i="5"/>
  <c r="M621" i="5"/>
  <c r="G621" i="5"/>
  <c r="F621" i="5"/>
  <c r="E621" i="5"/>
  <c r="M597" i="5"/>
  <c r="G597" i="5"/>
  <c r="F597" i="5"/>
  <c r="E597" i="5"/>
  <c r="Z610" i="5"/>
  <c r="Y610" i="5"/>
  <c r="X610" i="5"/>
  <c r="W610" i="5"/>
  <c r="V610" i="5"/>
  <c r="U610" i="5"/>
  <c r="O610" i="5"/>
  <c r="N610" i="5"/>
  <c r="M610" i="5"/>
  <c r="G610" i="5"/>
  <c r="F610" i="5"/>
  <c r="E610" i="5"/>
  <c r="Z620" i="5"/>
  <c r="Y620" i="5"/>
  <c r="X620" i="5"/>
  <c r="W620" i="5"/>
  <c r="V620" i="5"/>
  <c r="U620" i="5"/>
  <c r="O620" i="5"/>
  <c r="N620" i="5"/>
  <c r="M620" i="5"/>
  <c r="G620" i="5"/>
  <c r="F620" i="5"/>
  <c r="E620" i="5"/>
  <c r="Z623" i="5"/>
  <c r="Y623" i="5"/>
  <c r="X623" i="5"/>
  <c r="W623" i="5"/>
  <c r="V623" i="5"/>
  <c r="U623" i="5"/>
  <c r="O623" i="5"/>
  <c r="N623" i="5"/>
  <c r="M623" i="5"/>
  <c r="G623" i="5"/>
  <c r="F623" i="5"/>
  <c r="E623" i="5"/>
  <c r="Z612" i="5"/>
  <c r="Y612" i="5"/>
  <c r="X612" i="5"/>
  <c r="W612" i="5"/>
  <c r="V612" i="5"/>
  <c r="U612" i="5"/>
  <c r="O612" i="5"/>
  <c r="N612" i="5"/>
  <c r="M612" i="5"/>
  <c r="G612" i="5"/>
  <c r="F612" i="5"/>
  <c r="E612" i="5"/>
  <c r="Z601" i="5"/>
  <c r="Y601" i="5"/>
  <c r="X601" i="5"/>
  <c r="W601" i="5"/>
  <c r="V601" i="5"/>
  <c r="U601" i="5"/>
  <c r="O601" i="5"/>
  <c r="N601" i="5"/>
  <c r="M601" i="5"/>
  <c r="G601" i="5"/>
  <c r="F601" i="5"/>
  <c r="E601" i="5"/>
  <c r="Z616" i="5"/>
  <c r="Y616" i="5"/>
  <c r="X616" i="5"/>
  <c r="W616" i="5"/>
  <c r="V616" i="5"/>
  <c r="U616" i="5"/>
  <c r="O616" i="5"/>
  <c r="N616" i="5"/>
  <c r="M616" i="5"/>
  <c r="G616" i="5"/>
  <c r="F616" i="5"/>
  <c r="E616" i="5"/>
  <c r="Z627" i="5"/>
  <c r="Y627" i="5"/>
  <c r="X627" i="5"/>
  <c r="W627" i="5"/>
  <c r="V627" i="5"/>
  <c r="U627" i="5"/>
  <c r="O627" i="5"/>
  <c r="N627" i="5"/>
  <c r="M627" i="5"/>
  <c r="G627" i="5"/>
  <c r="F627" i="5"/>
  <c r="E627" i="5"/>
  <c r="Z599" i="5"/>
  <c r="Y599" i="5"/>
  <c r="X599" i="5"/>
  <c r="W599" i="5"/>
  <c r="V599" i="5"/>
  <c r="U599" i="5"/>
  <c r="O599" i="5"/>
  <c r="N599" i="5"/>
  <c r="M599" i="5"/>
  <c r="G599" i="5"/>
  <c r="F599" i="5"/>
  <c r="E599" i="5"/>
  <c r="Z607" i="5"/>
  <c r="Y607" i="5"/>
  <c r="X607" i="5"/>
  <c r="W607" i="5"/>
  <c r="V607" i="5"/>
  <c r="U607" i="5"/>
  <c r="O607" i="5"/>
  <c r="N607" i="5"/>
  <c r="M607" i="5"/>
  <c r="G607" i="5"/>
  <c r="F607" i="5"/>
  <c r="E607" i="5"/>
  <c r="Z618" i="5"/>
  <c r="Y618" i="5"/>
  <c r="X618" i="5"/>
  <c r="W618" i="5"/>
  <c r="V618" i="5"/>
  <c r="U618" i="5"/>
  <c r="O618" i="5"/>
  <c r="N618" i="5"/>
  <c r="M618" i="5"/>
  <c r="G618" i="5"/>
  <c r="F618" i="5"/>
  <c r="E618" i="5"/>
  <c r="Z603" i="5"/>
  <c r="Y603" i="5"/>
  <c r="X603" i="5"/>
  <c r="W603" i="5"/>
  <c r="V603" i="5"/>
  <c r="U603" i="5"/>
  <c r="O603" i="5"/>
  <c r="N603" i="5"/>
  <c r="M603" i="5"/>
  <c r="G603" i="5"/>
  <c r="F603" i="5"/>
  <c r="E603" i="5"/>
  <c r="Z584" i="5"/>
  <c r="Y584" i="5"/>
  <c r="X584" i="5"/>
  <c r="W584" i="5"/>
  <c r="V584" i="5"/>
  <c r="U584" i="5"/>
  <c r="O584" i="5"/>
  <c r="N584" i="5"/>
  <c r="M584" i="5"/>
  <c r="G584" i="5"/>
  <c r="F584" i="5"/>
  <c r="E584" i="5"/>
  <c r="Z582" i="5"/>
  <c r="Y582" i="5"/>
  <c r="X582" i="5"/>
  <c r="W582" i="5"/>
  <c r="V582" i="5"/>
  <c r="U582" i="5"/>
  <c r="O582" i="5"/>
  <c r="N582" i="5"/>
  <c r="M582" i="5"/>
  <c r="G582" i="5"/>
  <c r="F582" i="5"/>
  <c r="E582" i="5"/>
  <c r="Z562" i="5"/>
  <c r="Y562" i="5"/>
  <c r="X562" i="5"/>
  <c r="W562" i="5"/>
  <c r="V562" i="5"/>
  <c r="U562" i="5"/>
  <c r="O562" i="5"/>
  <c r="N562" i="5"/>
  <c r="M562" i="5"/>
  <c r="G562" i="5"/>
  <c r="F562" i="5"/>
  <c r="E562" i="5"/>
  <c r="Z596" i="5"/>
  <c r="Y596" i="5"/>
  <c r="X596" i="5"/>
  <c r="W596" i="5"/>
  <c r="V596" i="5"/>
  <c r="U596" i="5"/>
  <c r="O596" i="5"/>
  <c r="N596" i="5"/>
  <c r="M596" i="5"/>
  <c r="G596" i="5"/>
  <c r="F596" i="5"/>
  <c r="E596" i="5"/>
  <c r="Z588" i="5"/>
  <c r="Y588" i="5"/>
  <c r="X588" i="5"/>
  <c r="W588" i="5"/>
  <c r="V588" i="5"/>
  <c r="U588" i="5"/>
  <c r="O588" i="5"/>
  <c r="N588" i="5"/>
  <c r="M588" i="5"/>
  <c r="G588" i="5"/>
  <c r="F588" i="5"/>
  <c r="E588" i="5"/>
  <c r="M580" i="5"/>
  <c r="G580" i="5"/>
  <c r="F580" i="5"/>
  <c r="E580" i="5"/>
  <c r="Z595" i="5"/>
  <c r="Y595" i="5"/>
  <c r="X595" i="5"/>
  <c r="W595" i="5"/>
  <c r="V595" i="5"/>
  <c r="U595" i="5"/>
  <c r="O595" i="5"/>
  <c r="N595" i="5"/>
  <c r="M595" i="5"/>
  <c r="G595" i="5"/>
  <c r="F595" i="5"/>
  <c r="E595" i="5"/>
  <c r="Z606" i="5"/>
  <c r="Y606" i="5"/>
  <c r="X606" i="5"/>
  <c r="W606" i="5"/>
  <c r="V606" i="5"/>
  <c r="U606" i="5"/>
  <c r="O606" i="5"/>
  <c r="N606" i="5"/>
  <c r="M606" i="5"/>
  <c r="G606" i="5"/>
  <c r="F606" i="5"/>
  <c r="E606" i="5"/>
  <c r="M586" i="5"/>
  <c r="G586" i="5"/>
  <c r="F586" i="5"/>
  <c r="E586" i="5"/>
  <c r="Z559" i="5"/>
  <c r="Y559" i="5"/>
  <c r="X559" i="5"/>
  <c r="W559" i="5"/>
  <c r="V559" i="5"/>
  <c r="U559" i="5"/>
  <c r="O559" i="5"/>
  <c r="N559" i="5"/>
  <c r="M559" i="5"/>
  <c r="G559" i="5"/>
  <c r="F559" i="5"/>
  <c r="E559" i="5"/>
  <c r="Z563" i="5"/>
  <c r="Y563" i="5"/>
  <c r="X563" i="5"/>
  <c r="W563" i="5"/>
  <c r="V563" i="5"/>
  <c r="U563" i="5"/>
  <c r="O563" i="5"/>
  <c r="N563" i="5"/>
  <c r="M563" i="5"/>
  <c r="G563" i="5"/>
  <c r="F563" i="5"/>
  <c r="E563" i="5"/>
  <c r="Z587" i="5"/>
  <c r="Y587" i="5"/>
  <c r="X587" i="5"/>
  <c r="W587" i="5"/>
  <c r="V587" i="5"/>
  <c r="U587" i="5"/>
  <c r="O587" i="5"/>
  <c r="N587" i="5"/>
  <c r="M587" i="5"/>
  <c r="G587" i="5"/>
  <c r="F587" i="5"/>
  <c r="E587" i="5"/>
  <c r="Z585" i="5"/>
  <c r="Y585" i="5"/>
  <c r="X585" i="5"/>
  <c r="W585" i="5"/>
  <c r="V585" i="5"/>
  <c r="U585" i="5"/>
  <c r="O585" i="5"/>
  <c r="N585" i="5"/>
  <c r="M585" i="5"/>
  <c r="G585" i="5"/>
  <c r="F585" i="5"/>
  <c r="E585" i="5"/>
  <c r="Z583" i="5"/>
  <c r="Y583" i="5"/>
  <c r="X583" i="5"/>
  <c r="W583" i="5"/>
  <c r="V583" i="5"/>
  <c r="U583" i="5"/>
  <c r="O583" i="5"/>
  <c r="N583" i="5"/>
  <c r="M583" i="5"/>
  <c r="G583" i="5"/>
  <c r="F583" i="5"/>
  <c r="E583" i="5"/>
  <c r="Z589" i="5"/>
  <c r="Y589" i="5"/>
  <c r="X589" i="5"/>
  <c r="W589" i="5"/>
  <c r="V589" i="5"/>
  <c r="U589" i="5"/>
  <c r="O589" i="5"/>
  <c r="N589" i="5"/>
  <c r="M589" i="5"/>
  <c r="G589" i="5"/>
  <c r="F589" i="5"/>
  <c r="E589" i="5"/>
  <c r="Z581" i="5"/>
  <c r="Y581" i="5"/>
  <c r="X581" i="5"/>
  <c r="W581" i="5"/>
  <c r="V581" i="5"/>
  <c r="U581" i="5"/>
  <c r="O581" i="5"/>
  <c r="N581" i="5"/>
  <c r="M581" i="5"/>
  <c r="G581" i="5"/>
  <c r="F581" i="5"/>
  <c r="E581" i="5"/>
  <c r="Z569" i="5"/>
  <c r="Y569" i="5"/>
  <c r="X569" i="5"/>
  <c r="W569" i="5"/>
  <c r="V569" i="5"/>
  <c r="U569" i="5"/>
  <c r="O569" i="5"/>
  <c r="N569" i="5"/>
  <c r="M569" i="5"/>
  <c r="G569" i="5"/>
  <c r="F569" i="5"/>
  <c r="E569" i="5"/>
  <c r="Z561" i="5"/>
  <c r="Y561" i="5"/>
  <c r="X561" i="5"/>
  <c r="W561" i="5"/>
  <c r="V561" i="5"/>
  <c r="U561" i="5"/>
  <c r="O561" i="5"/>
  <c r="N561" i="5"/>
  <c r="M561" i="5"/>
  <c r="G561" i="5"/>
  <c r="F561" i="5"/>
  <c r="E561" i="5"/>
  <c r="Z594" i="5"/>
  <c r="Y594" i="5"/>
  <c r="X594" i="5"/>
  <c r="W594" i="5"/>
  <c r="V594" i="5"/>
  <c r="U594" i="5"/>
  <c r="O594" i="5"/>
  <c r="N594" i="5"/>
  <c r="M594" i="5"/>
  <c r="G594" i="5"/>
  <c r="F594" i="5"/>
  <c r="E594" i="5"/>
  <c r="Z591" i="5"/>
  <c r="Y591" i="5"/>
  <c r="X591" i="5"/>
  <c r="W591" i="5"/>
  <c r="V591" i="5"/>
  <c r="U591" i="5"/>
  <c r="O591" i="5"/>
  <c r="N591" i="5"/>
  <c r="M591" i="5"/>
  <c r="G591" i="5"/>
  <c r="F591" i="5"/>
  <c r="E591" i="5"/>
  <c r="Z608" i="5"/>
  <c r="Y608" i="5"/>
  <c r="X608" i="5"/>
  <c r="W608" i="5"/>
  <c r="V608" i="5"/>
  <c r="U608" i="5"/>
  <c r="O608" i="5"/>
  <c r="N608" i="5"/>
  <c r="M608" i="5"/>
  <c r="G608" i="5"/>
  <c r="F608" i="5"/>
  <c r="E608" i="5"/>
  <c r="Z570" i="5"/>
  <c r="Y570" i="5"/>
  <c r="X570" i="5"/>
  <c r="W570" i="5"/>
  <c r="V570" i="5"/>
  <c r="U570" i="5"/>
  <c r="O570" i="5"/>
  <c r="N570" i="5"/>
  <c r="M570" i="5"/>
  <c r="G570" i="5"/>
  <c r="F570" i="5"/>
  <c r="E570" i="5"/>
  <c r="Z609" i="5"/>
  <c r="Y609" i="5"/>
  <c r="X609" i="5"/>
  <c r="W609" i="5"/>
  <c r="V609" i="5"/>
  <c r="U609" i="5"/>
  <c r="O609" i="5"/>
  <c r="N609" i="5"/>
  <c r="M609" i="5"/>
  <c r="G609" i="5"/>
  <c r="F609" i="5"/>
  <c r="E609" i="5"/>
  <c r="Z593" i="5"/>
  <c r="Y593" i="5"/>
  <c r="X593" i="5"/>
  <c r="W593" i="5"/>
  <c r="V593" i="5"/>
  <c r="U593" i="5"/>
  <c r="O593" i="5"/>
  <c r="N593" i="5"/>
  <c r="M593" i="5"/>
  <c r="G593" i="5"/>
  <c r="F593" i="5"/>
  <c r="E593" i="5"/>
  <c r="Z592" i="5"/>
  <c r="Y592" i="5"/>
  <c r="X592" i="5"/>
  <c r="W592" i="5"/>
  <c r="V592" i="5"/>
  <c r="U592" i="5"/>
  <c r="O592" i="5"/>
  <c r="N592" i="5"/>
  <c r="M592" i="5"/>
  <c r="G592" i="5"/>
  <c r="F592" i="5"/>
  <c r="E592" i="5"/>
  <c r="Z590" i="5"/>
  <c r="Y590" i="5"/>
  <c r="X590" i="5"/>
  <c r="W590" i="5"/>
  <c r="V590" i="5"/>
  <c r="U590" i="5"/>
  <c r="O590" i="5"/>
  <c r="N590" i="5"/>
  <c r="M590" i="5"/>
  <c r="G590" i="5"/>
  <c r="F590" i="5"/>
  <c r="E590" i="5"/>
  <c r="Z572" i="5"/>
  <c r="Y572" i="5"/>
  <c r="X572" i="5"/>
  <c r="W572" i="5"/>
  <c r="V572" i="5"/>
  <c r="U572" i="5"/>
  <c r="O572" i="5"/>
  <c r="N572" i="5"/>
  <c r="M572" i="5"/>
  <c r="G572" i="5"/>
  <c r="F572" i="5"/>
  <c r="E572" i="5"/>
  <c r="Z539" i="5"/>
  <c r="Y539" i="5"/>
  <c r="X539" i="5"/>
  <c r="W539" i="5"/>
  <c r="V539" i="5"/>
  <c r="U539" i="5"/>
  <c r="O539" i="5"/>
  <c r="N539" i="5"/>
  <c r="M539" i="5"/>
  <c r="G539" i="5"/>
  <c r="F539" i="5"/>
  <c r="E539" i="5"/>
  <c r="Z574" i="5"/>
  <c r="Y574" i="5"/>
  <c r="X574" i="5"/>
  <c r="W574" i="5"/>
  <c r="V574" i="5"/>
  <c r="U574" i="5"/>
  <c r="O574" i="5"/>
  <c r="N574" i="5"/>
  <c r="M574" i="5"/>
  <c r="G574" i="5"/>
  <c r="F574" i="5"/>
  <c r="E574" i="5"/>
  <c r="Z555" i="5"/>
  <c r="Y555" i="5"/>
  <c r="X555" i="5"/>
  <c r="W555" i="5"/>
  <c r="V555" i="5"/>
  <c r="U555" i="5"/>
  <c r="O555" i="5"/>
  <c r="N555" i="5"/>
  <c r="M555" i="5"/>
  <c r="G555" i="5"/>
  <c r="F555" i="5"/>
  <c r="E555" i="5"/>
  <c r="Z538" i="5"/>
  <c r="Y538" i="5"/>
  <c r="X538" i="5"/>
  <c r="W538" i="5"/>
  <c r="V538" i="5"/>
  <c r="U538" i="5"/>
  <c r="O538" i="5"/>
  <c r="N538" i="5"/>
  <c r="M538" i="5"/>
  <c r="G538" i="5"/>
  <c r="F538" i="5"/>
  <c r="E538" i="5"/>
  <c r="M535" i="5"/>
  <c r="G535" i="5"/>
  <c r="F535" i="5"/>
  <c r="E535" i="5"/>
  <c r="M568" i="5"/>
  <c r="G568" i="5"/>
  <c r="F568" i="5"/>
  <c r="E568" i="5"/>
  <c r="Z536" i="5"/>
  <c r="Y536" i="5"/>
  <c r="X536" i="5"/>
  <c r="W536" i="5"/>
  <c r="V536" i="5"/>
  <c r="U536" i="5"/>
  <c r="O536" i="5"/>
  <c r="N536" i="5"/>
  <c r="M536" i="5"/>
  <c r="G536" i="5"/>
  <c r="F536" i="5"/>
  <c r="E536" i="5"/>
  <c r="Z565" i="5"/>
  <c r="Y565" i="5"/>
  <c r="X565" i="5"/>
  <c r="W565" i="5"/>
  <c r="V565" i="5"/>
  <c r="U565" i="5"/>
  <c r="O565" i="5"/>
  <c r="N565" i="5"/>
  <c r="M565" i="5"/>
  <c r="G565" i="5"/>
  <c r="F565" i="5"/>
  <c r="E565" i="5"/>
  <c r="O549" i="5"/>
  <c r="M549" i="5"/>
  <c r="G549" i="5"/>
  <c r="F549" i="5"/>
  <c r="E549" i="5"/>
  <c r="X576" i="5"/>
  <c r="M576" i="5"/>
  <c r="G576" i="5"/>
  <c r="F576" i="5"/>
  <c r="E576" i="5"/>
  <c r="Z579" i="5"/>
  <c r="Y579" i="5"/>
  <c r="X579" i="5"/>
  <c r="W579" i="5"/>
  <c r="V579" i="5"/>
  <c r="U579" i="5"/>
  <c r="O579" i="5"/>
  <c r="N579" i="5"/>
  <c r="M579" i="5"/>
  <c r="G579" i="5"/>
  <c r="F579" i="5"/>
  <c r="E579" i="5"/>
  <c r="Z543" i="5"/>
  <c r="Y543" i="5"/>
  <c r="X543" i="5"/>
  <c r="W543" i="5"/>
  <c r="V543" i="5"/>
  <c r="U543" i="5"/>
  <c r="O543" i="5"/>
  <c r="N543" i="5"/>
  <c r="M543" i="5"/>
  <c r="G543" i="5"/>
  <c r="F543" i="5"/>
  <c r="E543" i="5"/>
  <c r="Z534" i="5"/>
  <c r="Y534" i="5"/>
  <c r="X534" i="5"/>
  <c r="W534" i="5"/>
  <c r="V534" i="5"/>
  <c r="U534" i="5"/>
  <c r="O534" i="5"/>
  <c r="N534" i="5"/>
  <c r="M534" i="5"/>
  <c r="G534" i="5"/>
  <c r="F534" i="5"/>
  <c r="E534" i="5"/>
  <c r="Z556" i="5"/>
  <c r="Y556" i="5"/>
  <c r="X556" i="5"/>
  <c r="W556" i="5"/>
  <c r="V556" i="5"/>
  <c r="U556" i="5"/>
  <c r="O556" i="5"/>
  <c r="N556" i="5"/>
  <c r="M556" i="5"/>
  <c r="G556" i="5"/>
  <c r="F556" i="5"/>
  <c r="E556" i="5"/>
  <c r="Z566" i="5"/>
  <c r="Y566" i="5"/>
  <c r="X566" i="5"/>
  <c r="W566" i="5"/>
  <c r="V566" i="5"/>
  <c r="U566" i="5"/>
  <c r="O566" i="5"/>
  <c r="N566" i="5"/>
  <c r="M566" i="5"/>
  <c r="G566" i="5"/>
  <c r="F566" i="5"/>
  <c r="E566" i="5"/>
  <c r="Z571" i="5"/>
  <c r="Y571" i="5"/>
  <c r="X571" i="5"/>
  <c r="W571" i="5"/>
  <c r="V571" i="5"/>
  <c r="U571" i="5"/>
  <c r="O571" i="5"/>
  <c r="N571" i="5"/>
  <c r="M571" i="5"/>
  <c r="G571" i="5"/>
  <c r="F571" i="5"/>
  <c r="E571" i="5"/>
  <c r="Z575" i="5"/>
  <c r="Y575" i="5"/>
  <c r="X575" i="5"/>
  <c r="W575" i="5"/>
  <c r="V575" i="5"/>
  <c r="U575" i="5"/>
  <c r="O575" i="5"/>
  <c r="N575" i="5"/>
  <c r="M575" i="5"/>
  <c r="G575" i="5"/>
  <c r="F575" i="5"/>
  <c r="E575" i="5"/>
  <c r="Z564" i="5"/>
  <c r="Y564" i="5"/>
  <c r="X564" i="5"/>
  <c r="W564" i="5"/>
  <c r="V564" i="5"/>
  <c r="U564" i="5"/>
  <c r="O564" i="5"/>
  <c r="N564" i="5"/>
  <c r="M564" i="5"/>
  <c r="G564" i="5"/>
  <c r="F564" i="5"/>
  <c r="E564" i="5"/>
  <c r="Z577" i="5"/>
  <c r="Y577" i="5"/>
  <c r="X577" i="5"/>
  <c r="W577" i="5"/>
  <c r="V577" i="5"/>
  <c r="U577" i="5"/>
  <c r="O577" i="5"/>
  <c r="N577" i="5"/>
  <c r="M577" i="5"/>
  <c r="G577" i="5"/>
  <c r="F577" i="5"/>
  <c r="E577" i="5"/>
  <c r="Z560" i="5"/>
  <c r="Y560" i="5"/>
  <c r="X560" i="5"/>
  <c r="W560" i="5"/>
  <c r="V560" i="5"/>
  <c r="U560" i="5"/>
  <c r="O560" i="5"/>
  <c r="N560" i="5"/>
  <c r="M560" i="5"/>
  <c r="G560" i="5"/>
  <c r="F560" i="5"/>
  <c r="E560" i="5"/>
  <c r="Z548" i="5"/>
  <c r="Y548" i="5"/>
  <c r="X548" i="5"/>
  <c r="W548" i="5"/>
  <c r="V548" i="5"/>
  <c r="U548" i="5"/>
  <c r="O548" i="5"/>
  <c r="N548" i="5"/>
  <c r="M548" i="5"/>
  <c r="G548" i="5"/>
  <c r="F548" i="5"/>
  <c r="E548" i="5"/>
  <c r="Z541" i="5"/>
  <c r="Y541" i="5"/>
  <c r="X541" i="5"/>
  <c r="W541" i="5"/>
  <c r="V541" i="5"/>
  <c r="U541" i="5"/>
  <c r="O541" i="5"/>
  <c r="N541" i="5"/>
  <c r="M541" i="5"/>
  <c r="G541" i="5"/>
  <c r="F541" i="5"/>
  <c r="E541" i="5"/>
  <c r="Z567" i="5"/>
  <c r="Y567" i="5"/>
  <c r="X567" i="5"/>
  <c r="W567" i="5"/>
  <c r="V567" i="5"/>
  <c r="U567" i="5"/>
  <c r="O567" i="5"/>
  <c r="N567" i="5"/>
  <c r="M567" i="5"/>
  <c r="G567" i="5"/>
  <c r="F567" i="5"/>
  <c r="E567" i="5"/>
  <c r="Z545" i="5"/>
  <c r="Y545" i="5"/>
  <c r="X545" i="5"/>
  <c r="W545" i="5"/>
  <c r="V545" i="5"/>
  <c r="U545" i="5"/>
  <c r="O545" i="5"/>
  <c r="N545" i="5"/>
  <c r="M545" i="5"/>
  <c r="G545" i="5"/>
  <c r="F545" i="5"/>
  <c r="E545" i="5"/>
  <c r="Z578" i="5"/>
  <c r="Y578" i="5"/>
  <c r="X578" i="5"/>
  <c r="W578" i="5"/>
  <c r="V578" i="5"/>
  <c r="U578" i="5"/>
  <c r="O578" i="5"/>
  <c r="N578" i="5"/>
  <c r="M578" i="5"/>
  <c r="G578" i="5"/>
  <c r="F578" i="5"/>
  <c r="E578" i="5"/>
  <c r="Z573" i="5"/>
  <c r="Y573" i="5"/>
  <c r="X573" i="5"/>
  <c r="W573" i="5"/>
  <c r="V573" i="5"/>
  <c r="U573" i="5"/>
  <c r="O573" i="5"/>
  <c r="N573" i="5"/>
  <c r="M573" i="5"/>
  <c r="G573" i="5"/>
  <c r="F573" i="5"/>
  <c r="E573" i="5"/>
  <c r="Z520" i="5"/>
  <c r="Y520" i="5"/>
  <c r="X520" i="5"/>
  <c r="W520" i="5"/>
  <c r="V520" i="5"/>
  <c r="U520" i="5"/>
  <c r="O520" i="5"/>
  <c r="N520" i="5"/>
  <c r="M520" i="5"/>
  <c r="G520" i="5"/>
  <c r="F520" i="5"/>
  <c r="E520" i="5"/>
  <c r="M526" i="5"/>
  <c r="G526" i="5"/>
  <c r="F526" i="5"/>
  <c r="E526" i="5"/>
  <c r="Z552" i="5"/>
  <c r="Y552" i="5"/>
  <c r="X552" i="5"/>
  <c r="W552" i="5"/>
  <c r="V552" i="5"/>
  <c r="U552" i="5"/>
  <c r="O552" i="5"/>
  <c r="N552" i="5"/>
  <c r="M552" i="5"/>
  <c r="G552" i="5"/>
  <c r="F552" i="5"/>
  <c r="E552" i="5"/>
  <c r="Z554" i="5"/>
  <c r="Y554" i="5"/>
  <c r="X554" i="5"/>
  <c r="W554" i="5"/>
  <c r="V554" i="5"/>
  <c r="U554" i="5"/>
  <c r="O554" i="5"/>
  <c r="N554" i="5"/>
  <c r="M554" i="5"/>
  <c r="G554" i="5"/>
  <c r="F554" i="5"/>
  <c r="E554" i="5"/>
  <c r="Z558" i="5"/>
  <c r="Y558" i="5"/>
  <c r="X558" i="5"/>
  <c r="W558" i="5"/>
  <c r="V558" i="5"/>
  <c r="U558" i="5"/>
  <c r="O558" i="5"/>
  <c r="N558" i="5"/>
  <c r="M558" i="5"/>
  <c r="G558" i="5"/>
  <c r="F558" i="5"/>
  <c r="E558" i="5"/>
  <c r="Z544" i="5"/>
  <c r="Y544" i="5"/>
  <c r="X544" i="5"/>
  <c r="W544" i="5"/>
  <c r="V544" i="5"/>
  <c r="U544" i="5"/>
  <c r="O544" i="5"/>
  <c r="N544" i="5"/>
  <c r="M544" i="5"/>
  <c r="G544" i="5"/>
  <c r="F544" i="5"/>
  <c r="E544" i="5"/>
  <c r="Z213" i="5"/>
  <c r="Y213" i="5"/>
  <c r="X213" i="5"/>
  <c r="W213" i="5"/>
  <c r="V213" i="5"/>
  <c r="U213" i="5"/>
  <c r="O213" i="5"/>
  <c r="N213" i="5"/>
  <c r="M213" i="5"/>
  <c r="G213" i="5"/>
  <c r="F213" i="5"/>
  <c r="E213" i="5"/>
  <c r="Z542" i="5"/>
  <c r="Y542" i="5"/>
  <c r="X542" i="5"/>
  <c r="W542" i="5"/>
  <c r="V542" i="5"/>
  <c r="U542" i="5"/>
  <c r="O542" i="5"/>
  <c r="N542" i="5"/>
  <c r="M542" i="5"/>
  <c r="G542" i="5"/>
  <c r="F542" i="5"/>
  <c r="E542" i="5"/>
  <c r="Z550" i="5"/>
  <c r="Y550" i="5"/>
  <c r="X550" i="5"/>
  <c r="W550" i="5"/>
  <c r="V550" i="5"/>
  <c r="U550" i="5"/>
  <c r="O550" i="5"/>
  <c r="N550" i="5"/>
  <c r="M550" i="5"/>
  <c r="G550" i="5"/>
  <c r="F550" i="5"/>
  <c r="E550" i="5"/>
  <c r="Z540" i="5"/>
  <c r="N540" i="5"/>
  <c r="M540" i="5"/>
  <c r="G540" i="5"/>
  <c r="F540" i="5"/>
  <c r="E540" i="5"/>
  <c r="Z557" i="5"/>
  <c r="Y557" i="5"/>
  <c r="X557" i="5"/>
  <c r="W557" i="5"/>
  <c r="V557" i="5"/>
  <c r="U557" i="5"/>
  <c r="O557" i="5"/>
  <c r="N557" i="5"/>
  <c r="M557" i="5"/>
  <c r="G557" i="5"/>
  <c r="F557" i="5"/>
  <c r="E557" i="5"/>
  <c r="Z547" i="5"/>
  <c r="Y547" i="5"/>
  <c r="X547" i="5"/>
  <c r="W547" i="5"/>
  <c r="V547" i="5"/>
  <c r="U547" i="5"/>
  <c r="O547" i="5"/>
  <c r="N547" i="5"/>
  <c r="M547" i="5"/>
  <c r="G547" i="5"/>
  <c r="F547" i="5"/>
  <c r="E547" i="5"/>
  <c r="Z513" i="5"/>
  <c r="Y513" i="5"/>
  <c r="X513" i="5"/>
  <c r="W513" i="5"/>
  <c r="V513" i="5"/>
  <c r="U513" i="5"/>
  <c r="O513" i="5"/>
  <c r="N513" i="5"/>
  <c r="M513" i="5"/>
  <c r="G513" i="5"/>
  <c r="F513" i="5"/>
  <c r="E513" i="5"/>
  <c r="Z546" i="5"/>
  <c r="Y546" i="5"/>
  <c r="X546" i="5"/>
  <c r="W546" i="5"/>
  <c r="V546" i="5"/>
  <c r="U546" i="5"/>
  <c r="O546" i="5"/>
  <c r="N546" i="5"/>
  <c r="M546" i="5"/>
  <c r="G546" i="5"/>
  <c r="F546" i="5"/>
  <c r="E546" i="5"/>
  <c r="Z511" i="5"/>
  <c r="Y511" i="5"/>
  <c r="X511" i="5"/>
  <c r="W511" i="5"/>
  <c r="V511" i="5"/>
  <c r="U511" i="5"/>
  <c r="O511" i="5"/>
  <c r="N511" i="5"/>
  <c r="M511" i="5"/>
  <c r="G511" i="5"/>
  <c r="F511" i="5"/>
  <c r="E511" i="5"/>
  <c r="Z515" i="5"/>
  <c r="Y515" i="5"/>
  <c r="X515" i="5"/>
  <c r="W515" i="5"/>
  <c r="V515" i="5"/>
  <c r="U515" i="5"/>
  <c r="O515" i="5"/>
  <c r="N515" i="5"/>
  <c r="M515" i="5"/>
  <c r="G515" i="5"/>
  <c r="F515" i="5"/>
  <c r="E515" i="5"/>
  <c r="Z553" i="5"/>
  <c r="Y553" i="5"/>
  <c r="X553" i="5"/>
  <c r="W553" i="5"/>
  <c r="V553" i="5"/>
  <c r="U553" i="5"/>
  <c r="O553" i="5"/>
  <c r="N553" i="5"/>
  <c r="M553" i="5"/>
  <c r="G553" i="5"/>
  <c r="F553" i="5"/>
  <c r="E553" i="5"/>
  <c r="Z514" i="5"/>
  <c r="Y514" i="5"/>
  <c r="X514" i="5"/>
  <c r="W514" i="5"/>
  <c r="V514" i="5"/>
  <c r="U514" i="5"/>
  <c r="O514" i="5"/>
  <c r="N514" i="5"/>
  <c r="M514" i="5"/>
  <c r="G514" i="5"/>
  <c r="F514" i="5"/>
  <c r="E514" i="5"/>
  <c r="Z522" i="5"/>
  <c r="Y522" i="5"/>
  <c r="X522" i="5"/>
  <c r="W522" i="5"/>
  <c r="V522" i="5"/>
  <c r="U522" i="5"/>
  <c r="O522" i="5"/>
  <c r="N522" i="5"/>
  <c r="M522" i="5"/>
  <c r="G522" i="5"/>
  <c r="F522" i="5"/>
  <c r="E522" i="5"/>
  <c r="Z551" i="5"/>
  <c r="Y551" i="5"/>
  <c r="X551" i="5"/>
  <c r="W551" i="5"/>
  <c r="V551" i="5"/>
  <c r="U551" i="5"/>
  <c r="O551" i="5"/>
  <c r="N551" i="5"/>
  <c r="M551" i="5"/>
  <c r="G551" i="5"/>
  <c r="F551" i="5"/>
  <c r="E551" i="5"/>
  <c r="Z537" i="5"/>
  <c r="Y537" i="5"/>
  <c r="X537" i="5"/>
  <c r="W537" i="5"/>
  <c r="V537" i="5"/>
  <c r="U537" i="5"/>
  <c r="O537" i="5"/>
  <c r="N537" i="5"/>
  <c r="M537" i="5"/>
  <c r="G537" i="5"/>
  <c r="F537" i="5"/>
  <c r="E537" i="5"/>
  <c r="Z521" i="5"/>
  <c r="Y521" i="5"/>
  <c r="X521" i="5"/>
  <c r="W521" i="5"/>
  <c r="V521" i="5"/>
  <c r="U521" i="5"/>
  <c r="O521" i="5"/>
  <c r="N521" i="5"/>
  <c r="M521" i="5"/>
  <c r="G521" i="5"/>
  <c r="F521" i="5"/>
  <c r="E521" i="5"/>
  <c r="Z494" i="5"/>
  <c r="Y494" i="5"/>
  <c r="X494" i="5"/>
  <c r="W494" i="5"/>
  <c r="V494" i="5"/>
  <c r="U494" i="5"/>
  <c r="O494" i="5"/>
  <c r="N494" i="5"/>
  <c r="M494" i="5"/>
  <c r="G494" i="5"/>
  <c r="F494" i="5"/>
  <c r="E494" i="5"/>
  <c r="Z517" i="5"/>
  <c r="Y517" i="5"/>
  <c r="X517" i="5"/>
  <c r="W517" i="5"/>
  <c r="V517" i="5"/>
  <c r="U517" i="5"/>
  <c r="O517" i="5"/>
  <c r="N517" i="5"/>
  <c r="M517" i="5"/>
  <c r="G517" i="5"/>
  <c r="F517" i="5"/>
  <c r="E517" i="5"/>
  <c r="Z510" i="5"/>
  <c r="Y510" i="5"/>
  <c r="X510" i="5"/>
  <c r="W510" i="5"/>
  <c r="V510" i="5"/>
  <c r="U510" i="5"/>
  <c r="O510" i="5"/>
  <c r="N510" i="5"/>
  <c r="M510" i="5"/>
  <c r="G510" i="5"/>
  <c r="F510" i="5"/>
  <c r="E510" i="5"/>
  <c r="Z519" i="5"/>
  <c r="Y519" i="5"/>
  <c r="X519" i="5"/>
  <c r="W519" i="5"/>
  <c r="V519" i="5"/>
  <c r="U519" i="5"/>
  <c r="O519" i="5"/>
  <c r="N519" i="5"/>
  <c r="M519" i="5"/>
  <c r="G519" i="5"/>
  <c r="F519" i="5"/>
  <c r="E519" i="5"/>
  <c r="Z518" i="5"/>
  <c r="Y518" i="5"/>
  <c r="X518" i="5"/>
  <c r="W518" i="5"/>
  <c r="V518" i="5"/>
  <c r="U518" i="5"/>
  <c r="O518" i="5"/>
  <c r="N518" i="5"/>
  <c r="M518" i="5"/>
  <c r="G518" i="5"/>
  <c r="F518" i="5"/>
  <c r="E518" i="5"/>
  <c r="Z516" i="5"/>
  <c r="Y516" i="5"/>
  <c r="X516" i="5"/>
  <c r="W516" i="5"/>
  <c r="V516" i="5"/>
  <c r="U516" i="5"/>
  <c r="O516" i="5"/>
  <c r="N516" i="5"/>
  <c r="M516" i="5"/>
  <c r="G516" i="5"/>
  <c r="F516" i="5"/>
  <c r="E516" i="5"/>
  <c r="Z531" i="5"/>
  <c r="Y531" i="5"/>
  <c r="X531" i="5"/>
  <c r="W531" i="5"/>
  <c r="V531" i="5"/>
  <c r="U531" i="5"/>
  <c r="O531" i="5"/>
  <c r="N531" i="5"/>
  <c r="M531" i="5"/>
  <c r="G531" i="5"/>
  <c r="F531" i="5"/>
  <c r="E531" i="5"/>
  <c r="Z528" i="5"/>
  <c r="Y528" i="5"/>
  <c r="X528" i="5"/>
  <c r="W528" i="5"/>
  <c r="V528" i="5"/>
  <c r="U528" i="5"/>
  <c r="O528" i="5"/>
  <c r="N528" i="5"/>
  <c r="M528" i="5"/>
  <c r="G528" i="5"/>
  <c r="F528" i="5"/>
  <c r="E528" i="5"/>
  <c r="Z529" i="5"/>
  <c r="Y529" i="5"/>
  <c r="X529" i="5"/>
  <c r="W529" i="5"/>
  <c r="V529" i="5"/>
  <c r="U529" i="5"/>
  <c r="O529" i="5"/>
  <c r="N529" i="5"/>
  <c r="M529" i="5"/>
  <c r="G529" i="5"/>
  <c r="F529" i="5"/>
  <c r="E529" i="5"/>
  <c r="Z527" i="5"/>
  <c r="Y527" i="5"/>
  <c r="X527" i="5"/>
  <c r="W527" i="5"/>
  <c r="V527" i="5"/>
  <c r="U527" i="5"/>
  <c r="O527" i="5"/>
  <c r="N527" i="5"/>
  <c r="M527" i="5"/>
  <c r="G527" i="5"/>
  <c r="F527" i="5"/>
  <c r="E527" i="5"/>
  <c r="Z525" i="5"/>
  <c r="Y525" i="5"/>
  <c r="X525" i="5"/>
  <c r="W525" i="5"/>
  <c r="V525" i="5"/>
  <c r="U525" i="5"/>
  <c r="O525" i="5"/>
  <c r="N525" i="5"/>
  <c r="M525" i="5"/>
  <c r="G525" i="5"/>
  <c r="F525" i="5"/>
  <c r="E525" i="5"/>
  <c r="Z532" i="5"/>
  <c r="Y532" i="5"/>
  <c r="X532" i="5"/>
  <c r="W532" i="5"/>
  <c r="V532" i="5"/>
  <c r="U532" i="5"/>
  <c r="O532" i="5"/>
  <c r="N532" i="5"/>
  <c r="M532" i="5"/>
  <c r="G532" i="5"/>
  <c r="F532" i="5"/>
  <c r="E532" i="5"/>
  <c r="Z512" i="5"/>
  <c r="Y512" i="5"/>
  <c r="X512" i="5"/>
  <c r="W512" i="5"/>
  <c r="V512" i="5"/>
  <c r="U512" i="5"/>
  <c r="O512" i="5"/>
  <c r="N512" i="5"/>
  <c r="M512" i="5"/>
  <c r="G512" i="5"/>
  <c r="F512" i="5"/>
  <c r="E512" i="5"/>
  <c r="Z533" i="5"/>
  <c r="Y533" i="5"/>
  <c r="X533" i="5"/>
  <c r="W533" i="5"/>
  <c r="V533" i="5"/>
  <c r="U533" i="5"/>
  <c r="O533" i="5"/>
  <c r="N533" i="5"/>
  <c r="M533" i="5"/>
  <c r="G533" i="5"/>
  <c r="F533" i="5"/>
  <c r="E533" i="5"/>
  <c r="Z493" i="5"/>
  <c r="Y493" i="5"/>
  <c r="X493" i="5"/>
  <c r="W493" i="5"/>
  <c r="V493" i="5"/>
  <c r="U493" i="5"/>
  <c r="O493" i="5"/>
  <c r="N493" i="5"/>
  <c r="M493" i="5"/>
  <c r="G493" i="5"/>
  <c r="F493" i="5"/>
  <c r="E493" i="5"/>
  <c r="Z496" i="5"/>
  <c r="Y496" i="5"/>
  <c r="X496" i="5"/>
  <c r="W496" i="5"/>
  <c r="V496" i="5"/>
  <c r="U496" i="5"/>
  <c r="O496" i="5"/>
  <c r="N496" i="5"/>
  <c r="M496" i="5"/>
  <c r="G496" i="5"/>
  <c r="F496" i="5"/>
  <c r="E496" i="5"/>
  <c r="Z523" i="5"/>
  <c r="Y523" i="5"/>
  <c r="X523" i="5"/>
  <c r="W523" i="5"/>
  <c r="V523" i="5"/>
  <c r="U523" i="5"/>
  <c r="O523" i="5"/>
  <c r="N523" i="5"/>
  <c r="M523" i="5"/>
  <c r="G523" i="5"/>
  <c r="F523" i="5"/>
  <c r="E523" i="5"/>
  <c r="Z497" i="5"/>
  <c r="Y497" i="5"/>
  <c r="X497" i="5"/>
  <c r="W497" i="5"/>
  <c r="V497" i="5"/>
  <c r="U497" i="5"/>
  <c r="O497" i="5"/>
  <c r="N497" i="5"/>
  <c r="M497" i="5"/>
  <c r="G497" i="5"/>
  <c r="F497" i="5"/>
  <c r="E497" i="5"/>
  <c r="Z501" i="5"/>
  <c r="Y501" i="5"/>
  <c r="X501" i="5"/>
  <c r="W501" i="5"/>
  <c r="V501" i="5"/>
  <c r="U501" i="5"/>
  <c r="O501" i="5"/>
  <c r="N501" i="5"/>
  <c r="M501" i="5"/>
  <c r="G501" i="5"/>
  <c r="F501" i="5"/>
  <c r="E501" i="5"/>
  <c r="Z530" i="5"/>
  <c r="Y530" i="5"/>
  <c r="X530" i="5"/>
  <c r="W530" i="5"/>
  <c r="V530" i="5"/>
  <c r="U530" i="5"/>
  <c r="O530" i="5"/>
  <c r="N530" i="5"/>
  <c r="M530" i="5"/>
  <c r="G530" i="5"/>
  <c r="F530" i="5"/>
  <c r="E530" i="5"/>
  <c r="Z498" i="5"/>
  <c r="Y498" i="5"/>
  <c r="X498" i="5"/>
  <c r="W498" i="5"/>
  <c r="V498" i="5"/>
  <c r="U498" i="5"/>
  <c r="O498" i="5"/>
  <c r="N498" i="5"/>
  <c r="M498" i="5"/>
  <c r="G498" i="5"/>
  <c r="F498" i="5"/>
  <c r="E498" i="5"/>
  <c r="Z499" i="5"/>
  <c r="Y499" i="5"/>
  <c r="X499" i="5"/>
  <c r="W499" i="5"/>
  <c r="V499" i="5"/>
  <c r="U499" i="5"/>
  <c r="O499" i="5"/>
  <c r="N499" i="5"/>
  <c r="M499" i="5"/>
  <c r="G499" i="5"/>
  <c r="F499" i="5"/>
  <c r="E499" i="5"/>
  <c r="Z508" i="5"/>
  <c r="Y508" i="5"/>
  <c r="X508" i="5"/>
  <c r="W508" i="5"/>
  <c r="V508" i="5"/>
  <c r="U508" i="5"/>
  <c r="O508" i="5"/>
  <c r="N508" i="5"/>
  <c r="M508" i="5"/>
  <c r="G508" i="5"/>
  <c r="F508" i="5"/>
  <c r="E508" i="5"/>
  <c r="Z524" i="5"/>
  <c r="Y524" i="5"/>
  <c r="X524" i="5"/>
  <c r="W524" i="5"/>
  <c r="V524" i="5"/>
  <c r="U524" i="5"/>
  <c r="O524" i="5"/>
  <c r="N524" i="5"/>
  <c r="M524" i="5"/>
  <c r="G524" i="5"/>
  <c r="F524" i="5"/>
  <c r="E524" i="5"/>
  <c r="Z504" i="5"/>
  <c r="Y504" i="5"/>
  <c r="X504" i="5"/>
  <c r="W504" i="5"/>
  <c r="V504" i="5"/>
  <c r="U504" i="5"/>
  <c r="O504" i="5"/>
  <c r="N504" i="5"/>
  <c r="M504" i="5"/>
  <c r="G504" i="5"/>
  <c r="F504" i="5"/>
  <c r="E504" i="5"/>
  <c r="Z503" i="5"/>
  <c r="Y503" i="5"/>
  <c r="X503" i="5"/>
  <c r="W503" i="5"/>
  <c r="V503" i="5"/>
  <c r="U503" i="5"/>
  <c r="O503" i="5"/>
  <c r="N503" i="5"/>
  <c r="M503" i="5"/>
  <c r="G503" i="5"/>
  <c r="F503" i="5"/>
  <c r="E503" i="5"/>
  <c r="Z495" i="5"/>
  <c r="Y495" i="5"/>
  <c r="X495" i="5"/>
  <c r="W495" i="5"/>
  <c r="V495" i="5"/>
  <c r="U495" i="5"/>
  <c r="O495" i="5"/>
  <c r="N495" i="5"/>
  <c r="M495" i="5"/>
  <c r="G495" i="5"/>
  <c r="F495" i="5"/>
  <c r="E495" i="5"/>
  <c r="Z505" i="5"/>
  <c r="Y505" i="5"/>
  <c r="X505" i="5"/>
  <c r="W505" i="5"/>
  <c r="V505" i="5"/>
  <c r="U505" i="5"/>
  <c r="O505" i="5"/>
  <c r="N505" i="5"/>
  <c r="M505" i="5"/>
  <c r="G505" i="5"/>
  <c r="F505" i="5"/>
  <c r="E505" i="5"/>
  <c r="Z485" i="5"/>
  <c r="Y485" i="5"/>
  <c r="X485" i="5"/>
  <c r="W485" i="5"/>
  <c r="V485" i="5"/>
  <c r="U485" i="5"/>
  <c r="O485" i="5"/>
  <c r="N485" i="5"/>
  <c r="M485" i="5"/>
  <c r="G485" i="5"/>
  <c r="F485" i="5"/>
  <c r="E485" i="5"/>
  <c r="M491" i="5"/>
  <c r="G491" i="5"/>
  <c r="F491" i="5"/>
  <c r="E491" i="5"/>
  <c r="Z487" i="5"/>
  <c r="Y487" i="5"/>
  <c r="X487" i="5"/>
  <c r="W487" i="5"/>
  <c r="V487" i="5"/>
  <c r="U487" i="5"/>
  <c r="O487" i="5"/>
  <c r="N487" i="5"/>
  <c r="M487" i="5"/>
  <c r="G487" i="5"/>
  <c r="F487" i="5"/>
  <c r="E487" i="5"/>
  <c r="M467" i="5"/>
  <c r="G467" i="5"/>
  <c r="F467" i="5"/>
  <c r="E467" i="5"/>
  <c r="Z384" i="5"/>
  <c r="Y384" i="5"/>
  <c r="X384" i="5"/>
  <c r="W384" i="5"/>
  <c r="V384" i="5"/>
  <c r="U384" i="5"/>
  <c r="O384" i="5"/>
  <c r="N384" i="5"/>
  <c r="M384" i="5"/>
  <c r="G384" i="5"/>
  <c r="F384" i="5"/>
  <c r="E384" i="5"/>
  <c r="Z507" i="5"/>
  <c r="Y507" i="5"/>
  <c r="X507" i="5"/>
  <c r="W507" i="5"/>
  <c r="V507" i="5"/>
  <c r="U507" i="5"/>
  <c r="O507" i="5"/>
  <c r="N507" i="5"/>
  <c r="M507" i="5"/>
  <c r="G507" i="5"/>
  <c r="F507" i="5"/>
  <c r="E507" i="5"/>
  <c r="Z492" i="5"/>
  <c r="Y492" i="5"/>
  <c r="X492" i="5"/>
  <c r="W492" i="5"/>
  <c r="V492" i="5"/>
  <c r="U492" i="5"/>
  <c r="O492" i="5"/>
  <c r="N492" i="5"/>
  <c r="M492" i="5"/>
  <c r="G492" i="5"/>
  <c r="F492" i="5"/>
  <c r="E492" i="5"/>
  <c r="Z488" i="5"/>
  <c r="Y488" i="5"/>
  <c r="X488" i="5"/>
  <c r="W488" i="5"/>
  <c r="V488" i="5"/>
  <c r="U488" i="5"/>
  <c r="O488" i="5"/>
  <c r="N488" i="5"/>
  <c r="M488" i="5"/>
  <c r="G488" i="5"/>
  <c r="F488" i="5"/>
  <c r="E488" i="5"/>
  <c r="Z500" i="5"/>
  <c r="Y500" i="5"/>
  <c r="X500" i="5"/>
  <c r="W500" i="5"/>
  <c r="V500" i="5"/>
  <c r="U500" i="5"/>
  <c r="O500" i="5"/>
  <c r="N500" i="5"/>
  <c r="M500" i="5"/>
  <c r="G500" i="5"/>
  <c r="F500" i="5"/>
  <c r="E500" i="5"/>
  <c r="Z475" i="5"/>
  <c r="Y475" i="5"/>
  <c r="X475" i="5"/>
  <c r="W475" i="5"/>
  <c r="V475" i="5"/>
  <c r="U475" i="5"/>
  <c r="O475" i="5"/>
  <c r="N475" i="5"/>
  <c r="M475" i="5"/>
  <c r="G475" i="5"/>
  <c r="F475" i="5"/>
  <c r="E475" i="5"/>
  <c r="Z484" i="5"/>
  <c r="Y484" i="5"/>
  <c r="X484" i="5"/>
  <c r="W484" i="5"/>
  <c r="V484" i="5"/>
  <c r="U484" i="5"/>
  <c r="O484" i="5"/>
  <c r="N484" i="5"/>
  <c r="M484" i="5"/>
  <c r="G484" i="5"/>
  <c r="F484" i="5"/>
  <c r="E484" i="5"/>
  <c r="Z476" i="5"/>
  <c r="Y476" i="5"/>
  <c r="X476" i="5"/>
  <c r="W476" i="5"/>
  <c r="V476" i="5"/>
  <c r="U476" i="5"/>
  <c r="O476" i="5"/>
  <c r="N476" i="5"/>
  <c r="M476" i="5"/>
  <c r="G476" i="5"/>
  <c r="F476" i="5"/>
  <c r="E476" i="5"/>
  <c r="Z506" i="5"/>
  <c r="Y506" i="5"/>
  <c r="X506" i="5"/>
  <c r="W506" i="5"/>
  <c r="V506" i="5"/>
  <c r="U506" i="5"/>
  <c r="O506" i="5"/>
  <c r="N506" i="5"/>
  <c r="M506" i="5"/>
  <c r="G506" i="5"/>
  <c r="F506" i="5"/>
  <c r="E506" i="5"/>
  <c r="Z489" i="5"/>
  <c r="Y489" i="5"/>
  <c r="X489" i="5"/>
  <c r="W489" i="5"/>
  <c r="V489" i="5"/>
  <c r="U489" i="5"/>
  <c r="O489" i="5"/>
  <c r="N489" i="5"/>
  <c r="M489" i="5"/>
  <c r="G489" i="5"/>
  <c r="F489" i="5"/>
  <c r="E489" i="5"/>
  <c r="Z509" i="5"/>
  <c r="Y509" i="5"/>
  <c r="X509" i="5"/>
  <c r="W509" i="5"/>
  <c r="V509" i="5"/>
  <c r="U509" i="5"/>
  <c r="O509" i="5"/>
  <c r="N509" i="5"/>
  <c r="M509" i="5"/>
  <c r="G509" i="5"/>
  <c r="F509" i="5"/>
  <c r="E509" i="5"/>
  <c r="Z486" i="5"/>
  <c r="Y486" i="5"/>
  <c r="X486" i="5"/>
  <c r="W486" i="5"/>
  <c r="V486" i="5"/>
  <c r="U486" i="5"/>
  <c r="O486" i="5"/>
  <c r="N486" i="5"/>
  <c r="M486" i="5"/>
  <c r="G486" i="5"/>
  <c r="F486" i="5"/>
  <c r="E486" i="5"/>
  <c r="Z483" i="5"/>
  <c r="Y483" i="5"/>
  <c r="X483" i="5"/>
  <c r="W483" i="5"/>
  <c r="V483" i="5"/>
  <c r="U483" i="5"/>
  <c r="O483" i="5"/>
  <c r="N483" i="5"/>
  <c r="M483" i="5"/>
  <c r="G483" i="5"/>
  <c r="F483" i="5"/>
  <c r="E483" i="5"/>
  <c r="Z490" i="5"/>
  <c r="Y490" i="5"/>
  <c r="X490" i="5"/>
  <c r="W490" i="5"/>
  <c r="V490" i="5"/>
  <c r="U490" i="5"/>
  <c r="O490" i="5"/>
  <c r="N490" i="5"/>
  <c r="M490" i="5"/>
  <c r="G490" i="5"/>
  <c r="F490" i="5"/>
  <c r="E490" i="5"/>
  <c r="Z466" i="5"/>
  <c r="Y466" i="5"/>
  <c r="X466" i="5"/>
  <c r="W466" i="5"/>
  <c r="V466" i="5"/>
  <c r="U466" i="5"/>
  <c r="O466" i="5"/>
  <c r="N466" i="5"/>
  <c r="M466" i="5"/>
  <c r="G466" i="5"/>
  <c r="F466" i="5"/>
  <c r="E466" i="5"/>
  <c r="Z502" i="5"/>
  <c r="Y502" i="5"/>
  <c r="X502" i="5"/>
  <c r="W502" i="5"/>
  <c r="V502" i="5"/>
  <c r="U502" i="5"/>
  <c r="O502" i="5"/>
  <c r="N502" i="5"/>
  <c r="M502" i="5"/>
  <c r="G502" i="5"/>
  <c r="F502" i="5"/>
  <c r="E502" i="5"/>
  <c r="Z457" i="5"/>
  <c r="Y457" i="5"/>
  <c r="X457" i="5"/>
  <c r="W457" i="5"/>
  <c r="V457" i="5"/>
  <c r="U457" i="5"/>
  <c r="O457" i="5"/>
  <c r="N457" i="5"/>
  <c r="M457" i="5"/>
  <c r="G457" i="5"/>
  <c r="F457" i="5"/>
  <c r="E457" i="5"/>
  <c r="Z479" i="5"/>
  <c r="Y479" i="5"/>
  <c r="X479" i="5"/>
  <c r="W479" i="5"/>
  <c r="V479" i="5"/>
  <c r="U479" i="5"/>
  <c r="O479" i="5"/>
  <c r="N479" i="5"/>
  <c r="M479" i="5"/>
  <c r="G479" i="5"/>
  <c r="F479" i="5"/>
  <c r="E479" i="5"/>
  <c r="Z477" i="5"/>
  <c r="Y477" i="5"/>
  <c r="X477" i="5"/>
  <c r="W477" i="5"/>
  <c r="V477" i="5"/>
  <c r="U477" i="5"/>
  <c r="O477" i="5"/>
  <c r="N477" i="5"/>
  <c r="M477" i="5"/>
  <c r="G477" i="5"/>
  <c r="F477" i="5"/>
  <c r="E477" i="5"/>
  <c r="M478" i="5"/>
  <c r="G478" i="5"/>
  <c r="F478" i="5"/>
  <c r="E478" i="5"/>
  <c r="Z472" i="5"/>
  <c r="Y472" i="5"/>
  <c r="X472" i="5"/>
  <c r="W472" i="5"/>
  <c r="V472" i="5"/>
  <c r="U472" i="5"/>
  <c r="O472" i="5"/>
  <c r="N472" i="5"/>
  <c r="M472" i="5"/>
  <c r="G472" i="5"/>
  <c r="F472" i="5"/>
  <c r="E472" i="5"/>
  <c r="M460" i="5"/>
  <c r="G460" i="5"/>
  <c r="F460" i="5"/>
  <c r="E460" i="5"/>
  <c r="Z468" i="5"/>
  <c r="Y468" i="5"/>
  <c r="X468" i="5"/>
  <c r="W468" i="5"/>
  <c r="V468" i="5"/>
  <c r="U468" i="5"/>
  <c r="O468" i="5"/>
  <c r="N468" i="5"/>
  <c r="M468" i="5"/>
  <c r="G468" i="5"/>
  <c r="F468" i="5"/>
  <c r="E468" i="5"/>
  <c r="Z470" i="5"/>
  <c r="Y470" i="5"/>
  <c r="X470" i="5"/>
  <c r="W470" i="5"/>
  <c r="V470" i="5"/>
  <c r="U470" i="5"/>
  <c r="O470" i="5"/>
  <c r="N470" i="5"/>
  <c r="M470" i="5"/>
  <c r="G470" i="5"/>
  <c r="F470" i="5"/>
  <c r="E470" i="5"/>
  <c r="Z480" i="5"/>
  <c r="Y480" i="5"/>
  <c r="X480" i="5"/>
  <c r="W480" i="5"/>
  <c r="V480" i="5"/>
  <c r="U480" i="5"/>
  <c r="O480" i="5"/>
  <c r="N480" i="5"/>
  <c r="M480" i="5"/>
  <c r="G480" i="5"/>
  <c r="F480" i="5"/>
  <c r="E480" i="5"/>
  <c r="Z461" i="5"/>
  <c r="Y461" i="5"/>
  <c r="X461" i="5"/>
  <c r="W461" i="5"/>
  <c r="V461" i="5"/>
  <c r="U461" i="5"/>
  <c r="O461" i="5"/>
  <c r="N461" i="5"/>
  <c r="M461" i="5"/>
  <c r="G461" i="5"/>
  <c r="F461" i="5"/>
  <c r="E461" i="5"/>
  <c r="Z469" i="5"/>
  <c r="Y469" i="5"/>
  <c r="X469" i="5"/>
  <c r="W469" i="5"/>
  <c r="V469" i="5"/>
  <c r="U469" i="5"/>
  <c r="O469" i="5"/>
  <c r="N469" i="5"/>
  <c r="M469" i="5"/>
  <c r="G469" i="5"/>
  <c r="F469" i="5"/>
  <c r="E469" i="5"/>
  <c r="Z481" i="5"/>
  <c r="Y481" i="5"/>
  <c r="X481" i="5"/>
  <c r="W481" i="5"/>
  <c r="V481" i="5"/>
  <c r="U481" i="5"/>
  <c r="O481" i="5"/>
  <c r="N481" i="5"/>
  <c r="M481" i="5"/>
  <c r="G481" i="5"/>
  <c r="F481" i="5"/>
  <c r="E481" i="5"/>
  <c r="Z471" i="5"/>
  <c r="Y471" i="5"/>
  <c r="X471" i="5"/>
  <c r="W471" i="5"/>
  <c r="V471" i="5"/>
  <c r="U471" i="5"/>
  <c r="O471" i="5"/>
  <c r="N471" i="5"/>
  <c r="M471" i="5"/>
  <c r="G471" i="5"/>
  <c r="F471" i="5"/>
  <c r="E471" i="5"/>
  <c r="Z473" i="5"/>
  <c r="Y473" i="5"/>
  <c r="X473" i="5"/>
  <c r="W473" i="5"/>
  <c r="V473" i="5"/>
  <c r="U473" i="5"/>
  <c r="O473" i="5"/>
  <c r="N473" i="5"/>
  <c r="M473" i="5"/>
  <c r="G473" i="5"/>
  <c r="F473" i="5"/>
  <c r="E473" i="5"/>
  <c r="Z482" i="5"/>
  <c r="Y482" i="5"/>
  <c r="X482" i="5"/>
  <c r="W482" i="5"/>
  <c r="V482" i="5"/>
  <c r="U482" i="5"/>
  <c r="O482" i="5"/>
  <c r="N482" i="5"/>
  <c r="M482" i="5"/>
  <c r="G482" i="5"/>
  <c r="F482" i="5"/>
  <c r="E482" i="5"/>
  <c r="Z450" i="5"/>
  <c r="Y450" i="5"/>
  <c r="X450" i="5"/>
  <c r="W450" i="5"/>
  <c r="V450" i="5"/>
  <c r="U450" i="5"/>
  <c r="O450" i="5"/>
  <c r="N450" i="5"/>
  <c r="M450" i="5"/>
  <c r="G450" i="5"/>
  <c r="F450" i="5"/>
  <c r="E450" i="5"/>
  <c r="Z459" i="5"/>
  <c r="Y459" i="5"/>
  <c r="X459" i="5"/>
  <c r="W459" i="5"/>
  <c r="V459" i="5"/>
  <c r="U459" i="5"/>
  <c r="O459" i="5"/>
  <c r="N459" i="5"/>
  <c r="M459" i="5"/>
  <c r="G459" i="5"/>
  <c r="F459" i="5"/>
  <c r="E459" i="5"/>
  <c r="Z474" i="5"/>
  <c r="Y474" i="5"/>
  <c r="X474" i="5"/>
  <c r="W474" i="5"/>
  <c r="V474" i="5"/>
  <c r="U474" i="5"/>
  <c r="O474" i="5"/>
  <c r="N474" i="5"/>
  <c r="M474" i="5"/>
  <c r="G474" i="5"/>
  <c r="F474" i="5"/>
  <c r="E474" i="5"/>
  <c r="Z455" i="5"/>
  <c r="Y455" i="5"/>
  <c r="X455" i="5"/>
  <c r="W455" i="5"/>
  <c r="V455" i="5"/>
  <c r="U455" i="5"/>
  <c r="O455" i="5"/>
  <c r="N455" i="5"/>
  <c r="M455" i="5"/>
  <c r="G455" i="5"/>
  <c r="F455" i="5"/>
  <c r="E455" i="5"/>
  <c r="Z464" i="5"/>
  <c r="Y464" i="5"/>
  <c r="X464" i="5"/>
  <c r="W464" i="5"/>
  <c r="V464" i="5"/>
  <c r="U464" i="5"/>
  <c r="O464" i="5"/>
  <c r="N464" i="5"/>
  <c r="M464" i="5"/>
  <c r="G464" i="5"/>
  <c r="F464" i="5"/>
  <c r="E464" i="5"/>
  <c r="Z437" i="5"/>
  <c r="Y437" i="5"/>
  <c r="X437" i="5"/>
  <c r="W437" i="5"/>
  <c r="V437" i="5"/>
  <c r="U437" i="5"/>
  <c r="O437" i="5"/>
  <c r="N437" i="5"/>
  <c r="M437" i="5"/>
  <c r="G437" i="5"/>
  <c r="F437" i="5"/>
  <c r="E437" i="5"/>
  <c r="Z451" i="5"/>
  <c r="Y451" i="5"/>
  <c r="X451" i="5"/>
  <c r="W451" i="5"/>
  <c r="V451" i="5"/>
  <c r="U451" i="5"/>
  <c r="O451" i="5"/>
  <c r="N451" i="5"/>
  <c r="M451" i="5"/>
  <c r="G451" i="5"/>
  <c r="F451" i="5"/>
  <c r="E451" i="5"/>
  <c r="Z453" i="5"/>
  <c r="Y453" i="5"/>
  <c r="X453" i="5"/>
  <c r="W453" i="5"/>
  <c r="V453" i="5"/>
  <c r="U453" i="5"/>
  <c r="O453" i="5"/>
  <c r="N453" i="5"/>
  <c r="M453" i="5"/>
  <c r="G453" i="5"/>
  <c r="F453" i="5"/>
  <c r="E453" i="5"/>
  <c r="Z440" i="5"/>
  <c r="Y440" i="5"/>
  <c r="X440" i="5"/>
  <c r="W440" i="5"/>
  <c r="V440" i="5"/>
  <c r="U440" i="5"/>
  <c r="O440" i="5"/>
  <c r="N440" i="5"/>
  <c r="M440" i="5"/>
  <c r="G440" i="5"/>
  <c r="F440" i="5"/>
  <c r="E440" i="5"/>
  <c r="Z449" i="5"/>
  <c r="Y449" i="5"/>
  <c r="X449" i="5"/>
  <c r="W449" i="5"/>
  <c r="V449" i="5"/>
  <c r="U449" i="5"/>
  <c r="O449" i="5"/>
  <c r="N449" i="5"/>
  <c r="M449" i="5"/>
  <c r="G449" i="5"/>
  <c r="F449" i="5"/>
  <c r="E449" i="5"/>
  <c r="M454" i="5"/>
  <c r="G454" i="5"/>
  <c r="F454" i="5"/>
  <c r="E454" i="5"/>
  <c r="U463" i="5"/>
  <c r="M463" i="5"/>
  <c r="G463" i="5"/>
  <c r="F463" i="5"/>
  <c r="E463" i="5"/>
  <c r="Z462" i="5"/>
  <c r="Y462" i="5"/>
  <c r="X462" i="5"/>
  <c r="W462" i="5"/>
  <c r="V462" i="5"/>
  <c r="U462" i="5"/>
  <c r="O462" i="5"/>
  <c r="N462" i="5"/>
  <c r="M462" i="5"/>
  <c r="G462" i="5"/>
  <c r="F462" i="5"/>
  <c r="E462" i="5"/>
  <c r="Z452" i="5"/>
  <c r="Y452" i="5"/>
  <c r="X452" i="5"/>
  <c r="W452" i="5"/>
  <c r="V452" i="5"/>
  <c r="U452" i="5"/>
  <c r="O452" i="5"/>
  <c r="N452" i="5"/>
  <c r="M452" i="5"/>
  <c r="G452" i="5"/>
  <c r="F452" i="5"/>
  <c r="E452" i="5"/>
  <c r="Z458" i="5"/>
  <c r="Y458" i="5"/>
  <c r="X458" i="5"/>
  <c r="W458" i="5"/>
  <c r="V458" i="5"/>
  <c r="U458" i="5"/>
  <c r="O458" i="5"/>
  <c r="N458" i="5"/>
  <c r="M458" i="5"/>
  <c r="G458" i="5"/>
  <c r="F458" i="5"/>
  <c r="E458" i="5"/>
  <c r="Z465" i="5"/>
  <c r="Y465" i="5"/>
  <c r="X465" i="5"/>
  <c r="W465" i="5"/>
  <c r="V465" i="5"/>
  <c r="U465" i="5"/>
  <c r="O465" i="5"/>
  <c r="N465" i="5"/>
  <c r="M465" i="5"/>
  <c r="G465" i="5"/>
  <c r="F465" i="5"/>
  <c r="E465" i="5"/>
  <c r="Z444" i="5"/>
  <c r="Y444" i="5"/>
  <c r="X444" i="5"/>
  <c r="W444" i="5"/>
  <c r="V444" i="5"/>
  <c r="U444" i="5"/>
  <c r="O444" i="5"/>
  <c r="N444" i="5"/>
  <c r="M444" i="5"/>
  <c r="G444" i="5"/>
  <c r="F444" i="5"/>
  <c r="E444" i="5"/>
  <c r="Z456" i="5"/>
  <c r="Y456" i="5"/>
  <c r="X456" i="5"/>
  <c r="W456" i="5"/>
  <c r="V456" i="5"/>
  <c r="U456" i="5"/>
  <c r="O456" i="5"/>
  <c r="N456" i="5"/>
  <c r="M456" i="5"/>
  <c r="G456" i="5"/>
  <c r="F456" i="5"/>
  <c r="E456" i="5"/>
  <c r="Z427" i="5"/>
  <c r="Y427" i="5"/>
  <c r="X427" i="5"/>
  <c r="W427" i="5"/>
  <c r="V427" i="5"/>
  <c r="U427" i="5"/>
  <c r="O427" i="5"/>
  <c r="N427" i="5"/>
  <c r="M427" i="5"/>
  <c r="G427" i="5"/>
  <c r="F427" i="5"/>
  <c r="E427" i="5"/>
  <c r="Z430" i="5"/>
  <c r="Y430" i="5"/>
  <c r="X430" i="5"/>
  <c r="W430" i="5"/>
  <c r="V430" i="5"/>
  <c r="U430" i="5"/>
  <c r="O430" i="5"/>
  <c r="N430" i="5"/>
  <c r="M430" i="5"/>
  <c r="G430" i="5"/>
  <c r="F430" i="5"/>
  <c r="E430" i="5"/>
  <c r="Z431" i="5"/>
  <c r="Y431" i="5"/>
  <c r="X431" i="5"/>
  <c r="W431" i="5"/>
  <c r="V431" i="5"/>
  <c r="U431" i="5"/>
  <c r="O431" i="5"/>
  <c r="N431" i="5"/>
  <c r="M431" i="5"/>
  <c r="G431" i="5"/>
  <c r="F431" i="5"/>
  <c r="E431" i="5"/>
  <c r="Z432" i="5"/>
  <c r="Y432" i="5"/>
  <c r="X432" i="5"/>
  <c r="W432" i="5"/>
  <c r="V432" i="5"/>
  <c r="U432" i="5"/>
  <c r="O432" i="5"/>
  <c r="N432" i="5"/>
  <c r="M432" i="5"/>
  <c r="G432" i="5"/>
  <c r="F432" i="5"/>
  <c r="E432" i="5"/>
  <c r="Z443" i="5"/>
  <c r="Y443" i="5"/>
  <c r="X443" i="5"/>
  <c r="W443" i="5"/>
  <c r="V443" i="5"/>
  <c r="U443" i="5"/>
  <c r="O443" i="5"/>
  <c r="N443" i="5"/>
  <c r="M443" i="5"/>
  <c r="G443" i="5"/>
  <c r="F443" i="5"/>
  <c r="E443" i="5"/>
  <c r="Z428" i="5"/>
  <c r="Y428" i="5"/>
  <c r="X428" i="5"/>
  <c r="W428" i="5"/>
  <c r="V428" i="5"/>
  <c r="U428" i="5"/>
  <c r="O428" i="5"/>
  <c r="N428" i="5"/>
  <c r="M428" i="5"/>
  <c r="G428" i="5"/>
  <c r="F428" i="5"/>
  <c r="E428" i="5"/>
  <c r="Z425" i="5"/>
  <c r="Y425" i="5"/>
  <c r="X425" i="5"/>
  <c r="W425" i="5"/>
  <c r="V425" i="5"/>
  <c r="U425" i="5"/>
  <c r="O425" i="5"/>
  <c r="N425" i="5"/>
  <c r="M425" i="5"/>
  <c r="G425" i="5"/>
  <c r="F425" i="5"/>
  <c r="E425" i="5"/>
  <c r="Z446" i="5"/>
  <c r="Y446" i="5"/>
  <c r="X446" i="5"/>
  <c r="W446" i="5"/>
  <c r="V446" i="5"/>
  <c r="U446" i="5"/>
  <c r="O446" i="5"/>
  <c r="N446" i="5"/>
  <c r="M446" i="5"/>
  <c r="G446" i="5"/>
  <c r="F446" i="5"/>
  <c r="E446" i="5"/>
  <c r="Z438" i="5"/>
  <c r="Y438" i="5"/>
  <c r="X438" i="5"/>
  <c r="W438" i="5"/>
  <c r="V438" i="5"/>
  <c r="U438" i="5"/>
  <c r="O438" i="5"/>
  <c r="N438" i="5"/>
  <c r="M438" i="5"/>
  <c r="G438" i="5"/>
  <c r="F438" i="5"/>
  <c r="E438" i="5"/>
  <c r="Z422" i="5"/>
  <c r="Y422" i="5"/>
  <c r="X422" i="5"/>
  <c r="W422" i="5"/>
  <c r="V422" i="5"/>
  <c r="U422" i="5"/>
  <c r="O422" i="5"/>
  <c r="N422" i="5"/>
  <c r="M422" i="5"/>
  <c r="G422" i="5"/>
  <c r="F422" i="5"/>
  <c r="E422" i="5"/>
  <c r="Z426" i="5"/>
  <c r="Y426" i="5"/>
  <c r="X426" i="5"/>
  <c r="W426" i="5"/>
  <c r="V426" i="5"/>
  <c r="U426" i="5"/>
  <c r="O426" i="5"/>
  <c r="N426" i="5"/>
  <c r="M426" i="5"/>
  <c r="G426" i="5"/>
  <c r="F426" i="5"/>
  <c r="E426" i="5"/>
  <c r="Z388" i="5"/>
  <c r="Y388" i="5"/>
  <c r="X388" i="5"/>
  <c r="W388" i="5"/>
  <c r="V388" i="5"/>
  <c r="U388" i="5"/>
  <c r="O388" i="5"/>
  <c r="N388" i="5"/>
  <c r="M388" i="5"/>
  <c r="G388" i="5"/>
  <c r="F388" i="5"/>
  <c r="E388" i="5"/>
  <c r="Z429" i="5"/>
  <c r="Y429" i="5"/>
  <c r="X429" i="5"/>
  <c r="W429" i="5"/>
  <c r="V429" i="5"/>
  <c r="U429" i="5"/>
  <c r="O429" i="5"/>
  <c r="N429" i="5"/>
  <c r="M429" i="5"/>
  <c r="G429" i="5"/>
  <c r="F429" i="5"/>
  <c r="E429" i="5"/>
  <c r="Z447" i="5"/>
  <c r="Y447" i="5"/>
  <c r="X447" i="5"/>
  <c r="W447" i="5"/>
  <c r="V447" i="5"/>
  <c r="U447" i="5"/>
  <c r="O447" i="5"/>
  <c r="N447" i="5"/>
  <c r="M447" i="5"/>
  <c r="G447" i="5"/>
  <c r="F447" i="5"/>
  <c r="E447" i="5"/>
  <c r="Z441" i="5"/>
  <c r="Y441" i="5"/>
  <c r="X441" i="5"/>
  <c r="W441" i="5"/>
  <c r="V441" i="5"/>
  <c r="U441" i="5"/>
  <c r="O441" i="5"/>
  <c r="N441" i="5"/>
  <c r="M441" i="5"/>
  <c r="G441" i="5"/>
  <c r="F441" i="5"/>
  <c r="E441" i="5"/>
  <c r="Z439" i="5"/>
  <c r="Y439" i="5"/>
  <c r="X439" i="5"/>
  <c r="W439" i="5"/>
  <c r="V439" i="5"/>
  <c r="U439" i="5"/>
  <c r="O439" i="5"/>
  <c r="N439" i="5"/>
  <c r="M439" i="5"/>
  <c r="G439" i="5"/>
  <c r="F439" i="5"/>
  <c r="E439" i="5"/>
  <c r="Z445" i="5"/>
  <c r="Y445" i="5"/>
  <c r="X445" i="5"/>
  <c r="W445" i="5"/>
  <c r="V445" i="5"/>
  <c r="U445" i="5"/>
  <c r="O445" i="5"/>
  <c r="N445" i="5"/>
  <c r="M445" i="5"/>
  <c r="G445" i="5"/>
  <c r="F445" i="5"/>
  <c r="E445" i="5"/>
  <c r="Z424" i="5"/>
  <c r="Y424" i="5"/>
  <c r="X424" i="5"/>
  <c r="W424" i="5"/>
  <c r="V424" i="5"/>
  <c r="U424" i="5"/>
  <c r="O424" i="5"/>
  <c r="N424" i="5"/>
  <c r="M424" i="5"/>
  <c r="G424" i="5"/>
  <c r="F424" i="5"/>
  <c r="E424" i="5"/>
  <c r="Z448" i="5"/>
  <c r="Y448" i="5"/>
  <c r="X448" i="5"/>
  <c r="W448" i="5"/>
  <c r="V448" i="5"/>
  <c r="U448" i="5"/>
  <c r="O448" i="5"/>
  <c r="N448" i="5"/>
  <c r="M448" i="5"/>
  <c r="G448" i="5"/>
  <c r="F448" i="5"/>
  <c r="E448" i="5"/>
  <c r="Z417" i="5"/>
  <c r="Y417" i="5"/>
  <c r="X417" i="5"/>
  <c r="W417" i="5"/>
  <c r="V417" i="5"/>
  <c r="U417" i="5"/>
  <c r="O417" i="5"/>
  <c r="N417" i="5"/>
  <c r="M417" i="5"/>
  <c r="G417" i="5"/>
  <c r="F417" i="5"/>
  <c r="E417" i="5"/>
  <c r="Z414" i="5"/>
  <c r="Y414" i="5"/>
  <c r="X414" i="5"/>
  <c r="W414" i="5"/>
  <c r="V414" i="5"/>
  <c r="U414" i="5"/>
  <c r="O414" i="5"/>
  <c r="N414" i="5"/>
  <c r="M414" i="5"/>
  <c r="G414" i="5"/>
  <c r="F414" i="5"/>
  <c r="E414" i="5"/>
  <c r="Z434" i="5"/>
  <c r="Y434" i="5"/>
  <c r="X434" i="5"/>
  <c r="W434" i="5"/>
  <c r="V434" i="5"/>
  <c r="U434" i="5"/>
  <c r="O434" i="5"/>
  <c r="N434" i="5"/>
  <c r="M434" i="5"/>
  <c r="G434" i="5"/>
  <c r="F434" i="5"/>
  <c r="E434" i="5"/>
  <c r="Z413" i="5"/>
  <c r="Y413" i="5"/>
  <c r="X413" i="5"/>
  <c r="W413" i="5"/>
  <c r="V413" i="5"/>
  <c r="U413" i="5"/>
  <c r="O413" i="5"/>
  <c r="N413" i="5"/>
  <c r="M413" i="5"/>
  <c r="G413" i="5"/>
  <c r="F413" i="5"/>
  <c r="E413" i="5"/>
  <c r="Z410" i="5"/>
  <c r="Y410" i="5"/>
  <c r="X410" i="5"/>
  <c r="W410" i="5"/>
  <c r="V410" i="5"/>
  <c r="U410" i="5"/>
  <c r="O410" i="5"/>
  <c r="N410" i="5"/>
  <c r="M410" i="5"/>
  <c r="G410" i="5"/>
  <c r="F410" i="5"/>
  <c r="E410" i="5"/>
  <c r="Z416" i="5"/>
  <c r="Y416" i="5"/>
  <c r="X416" i="5"/>
  <c r="W416" i="5"/>
  <c r="V416" i="5"/>
  <c r="U416" i="5"/>
  <c r="O416" i="5"/>
  <c r="N416" i="5"/>
  <c r="M416" i="5"/>
  <c r="G416" i="5"/>
  <c r="F416" i="5"/>
  <c r="E416" i="5"/>
  <c r="Z394" i="5"/>
  <c r="Y394" i="5"/>
  <c r="X394" i="5"/>
  <c r="W394" i="5"/>
  <c r="V394" i="5"/>
  <c r="U394" i="5"/>
  <c r="O394" i="5"/>
  <c r="N394" i="5"/>
  <c r="M394" i="5"/>
  <c r="G394" i="5"/>
  <c r="F394" i="5"/>
  <c r="E394" i="5"/>
  <c r="Z409" i="5"/>
  <c r="Y409" i="5"/>
  <c r="X409" i="5"/>
  <c r="W409" i="5"/>
  <c r="V409" i="5"/>
  <c r="U409" i="5"/>
  <c r="O409" i="5"/>
  <c r="N409" i="5"/>
  <c r="M409" i="5"/>
  <c r="G409" i="5"/>
  <c r="F409" i="5"/>
  <c r="E409" i="5"/>
  <c r="Z418" i="5"/>
  <c r="Y418" i="5"/>
  <c r="X418" i="5"/>
  <c r="W418" i="5"/>
  <c r="V418" i="5"/>
  <c r="U418" i="5"/>
  <c r="O418" i="5"/>
  <c r="N418" i="5"/>
  <c r="M418" i="5"/>
  <c r="G418" i="5"/>
  <c r="F418" i="5"/>
  <c r="E418" i="5"/>
  <c r="Z411" i="5"/>
  <c r="Y411" i="5"/>
  <c r="X411" i="5"/>
  <c r="W411" i="5"/>
  <c r="V411" i="5"/>
  <c r="U411" i="5"/>
  <c r="O411" i="5"/>
  <c r="N411" i="5"/>
  <c r="M411" i="5"/>
  <c r="G411" i="5"/>
  <c r="F411" i="5"/>
  <c r="E411" i="5"/>
  <c r="Z436" i="5"/>
  <c r="Y436" i="5"/>
  <c r="X436" i="5"/>
  <c r="W436" i="5"/>
  <c r="V436" i="5"/>
  <c r="U436" i="5"/>
  <c r="O436" i="5"/>
  <c r="N436" i="5"/>
  <c r="M436" i="5"/>
  <c r="G436" i="5"/>
  <c r="F436" i="5"/>
  <c r="E436" i="5"/>
  <c r="Z412" i="5"/>
  <c r="Y412" i="5"/>
  <c r="X412" i="5"/>
  <c r="W412" i="5"/>
  <c r="V412" i="5"/>
  <c r="U412" i="5"/>
  <c r="O412" i="5"/>
  <c r="N412" i="5"/>
  <c r="M412" i="5"/>
  <c r="G412" i="5"/>
  <c r="F412" i="5"/>
  <c r="E412" i="5"/>
  <c r="Z415" i="5"/>
  <c r="Y415" i="5"/>
  <c r="X415" i="5"/>
  <c r="W415" i="5"/>
  <c r="V415" i="5"/>
  <c r="U415" i="5"/>
  <c r="O415" i="5"/>
  <c r="N415" i="5"/>
  <c r="M415" i="5"/>
  <c r="G415" i="5"/>
  <c r="F415" i="5"/>
  <c r="E415" i="5"/>
  <c r="Z421" i="5"/>
  <c r="Y421" i="5"/>
  <c r="X421" i="5"/>
  <c r="W421" i="5"/>
  <c r="V421" i="5"/>
  <c r="U421" i="5"/>
  <c r="O421" i="5"/>
  <c r="N421" i="5"/>
  <c r="M421" i="5"/>
  <c r="G421" i="5"/>
  <c r="F421" i="5"/>
  <c r="E421" i="5"/>
  <c r="Z420" i="5"/>
  <c r="Y420" i="5"/>
  <c r="X420" i="5"/>
  <c r="W420" i="5"/>
  <c r="V420" i="5"/>
  <c r="U420" i="5"/>
  <c r="O420" i="5"/>
  <c r="N420" i="5"/>
  <c r="M420" i="5"/>
  <c r="G420" i="5"/>
  <c r="F420" i="5"/>
  <c r="E420" i="5"/>
  <c r="Z433" i="5"/>
  <c r="Y433" i="5"/>
  <c r="X433" i="5"/>
  <c r="W433" i="5"/>
  <c r="V433" i="5"/>
  <c r="U433" i="5"/>
  <c r="O433" i="5"/>
  <c r="N433" i="5"/>
  <c r="M433" i="5"/>
  <c r="G433" i="5"/>
  <c r="F433" i="5"/>
  <c r="E433" i="5"/>
  <c r="Z401" i="5"/>
  <c r="Y401" i="5"/>
  <c r="X401" i="5"/>
  <c r="W401" i="5"/>
  <c r="V401" i="5"/>
  <c r="U401" i="5"/>
  <c r="O401" i="5"/>
  <c r="N401" i="5"/>
  <c r="M401" i="5"/>
  <c r="G401" i="5"/>
  <c r="F401" i="5"/>
  <c r="E401" i="5"/>
  <c r="Z423" i="5"/>
  <c r="Y423" i="5"/>
  <c r="X423" i="5"/>
  <c r="W423" i="5"/>
  <c r="V423" i="5"/>
  <c r="U423" i="5"/>
  <c r="O423" i="5"/>
  <c r="N423" i="5"/>
  <c r="M423" i="5"/>
  <c r="G423" i="5"/>
  <c r="F423" i="5"/>
  <c r="E423" i="5"/>
  <c r="Z435" i="5"/>
  <c r="Y435" i="5"/>
  <c r="X435" i="5"/>
  <c r="W435" i="5"/>
  <c r="V435" i="5"/>
  <c r="U435" i="5"/>
  <c r="O435" i="5"/>
  <c r="N435" i="5"/>
  <c r="M435" i="5"/>
  <c r="G435" i="5"/>
  <c r="F435" i="5"/>
  <c r="E435" i="5"/>
  <c r="Z419" i="5"/>
  <c r="Y419" i="5"/>
  <c r="X419" i="5"/>
  <c r="W419" i="5"/>
  <c r="V419" i="5"/>
  <c r="U419" i="5"/>
  <c r="O419" i="5"/>
  <c r="N419" i="5"/>
  <c r="M419" i="5"/>
  <c r="G419" i="5"/>
  <c r="F419" i="5"/>
  <c r="E419" i="5"/>
  <c r="Z395" i="5"/>
  <c r="Y395" i="5"/>
  <c r="X395" i="5"/>
  <c r="W395" i="5"/>
  <c r="V395" i="5"/>
  <c r="U395" i="5"/>
  <c r="O395" i="5"/>
  <c r="N395" i="5"/>
  <c r="M395" i="5"/>
  <c r="G395" i="5"/>
  <c r="F395" i="5"/>
  <c r="E395" i="5"/>
  <c r="Z397" i="5"/>
  <c r="Y397" i="5"/>
  <c r="X397" i="5"/>
  <c r="W397" i="5"/>
  <c r="V397" i="5"/>
  <c r="U397" i="5"/>
  <c r="O397" i="5"/>
  <c r="N397" i="5"/>
  <c r="M397" i="5"/>
  <c r="G397" i="5"/>
  <c r="F397" i="5"/>
  <c r="E397" i="5"/>
  <c r="Z386" i="5"/>
  <c r="Y386" i="5"/>
  <c r="X386" i="5"/>
  <c r="W386" i="5"/>
  <c r="V386" i="5"/>
  <c r="U386" i="5"/>
  <c r="O386" i="5"/>
  <c r="N386" i="5"/>
  <c r="M386" i="5"/>
  <c r="G386" i="5"/>
  <c r="F386" i="5"/>
  <c r="E386" i="5"/>
  <c r="Z391" i="5"/>
  <c r="Y391" i="5"/>
  <c r="X391" i="5"/>
  <c r="W391" i="5"/>
  <c r="V391" i="5"/>
  <c r="U391" i="5"/>
  <c r="O391" i="5"/>
  <c r="N391" i="5"/>
  <c r="M391" i="5"/>
  <c r="G391" i="5"/>
  <c r="F391" i="5"/>
  <c r="E391" i="5"/>
  <c r="Z399" i="5"/>
  <c r="Y399" i="5"/>
  <c r="X399" i="5"/>
  <c r="W399" i="5"/>
  <c r="V399" i="5"/>
  <c r="U399" i="5"/>
  <c r="O399" i="5"/>
  <c r="N399" i="5"/>
  <c r="M399" i="5"/>
  <c r="G399" i="5"/>
  <c r="F399" i="5"/>
  <c r="E399" i="5"/>
  <c r="Z396" i="5"/>
  <c r="Y396" i="5"/>
  <c r="X396" i="5"/>
  <c r="W396" i="5"/>
  <c r="V396" i="5"/>
  <c r="U396" i="5"/>
  <c r="O396" i="5"/>
  <c r="N396" i="5"/>
  <c r="M396" i="5"/>
  <c r="G396" i="5"/>
  <c r="F396" i="5"/>
  <c r="E396" i="5"/>
  <c r="Z405" i="5"/>
  <c r="Y405" i="5"/>
  <c r="X405" i="5"/>
  <c r="W405" i="5"/>
  <c r="V405" i="5"/>
  <c r="U405" i="5"/>
  <c r="O405" i="5"/>
  <c r="N405" i="5"/>
  <c r="M405" i="5"/>
  <c r="G405" i="5"/>
  <c r="F405" i="5"/>
  <c r="E405" i="5"/>
  <c r="Z402" i="5"/>
  <c r="Y402" i="5"/>
  <c r="X402" i="5"/>
  <c r="W402" i="5"/>
  <c r="V402" i="5"/>
  <c r="U402" i="5"/>
  <c r="O402" i="5"/>
  <c r="N402" i="5"/>
  <c r="M402" i="5"/>
  <c r="G402" i="5"/>
  <c r="F402" i="5"/>
  <c r="E402" i="5"/>
  <c r="Z407" i="5"/>
  <c r="Y407" i="5"/>
  <c r="X407" i="5"/>
  <c r="W407" i="5"/>
  <c r="V407" i="5"/>
  <c r="U407" i="5"/>
  <c r="O407" i="5"/>
  <c r="N407" i="5"/>
  <c r="M407" i="5"/>
  <c r="G407" i="5"/>
  <c r="F407" i="5"/>
  <c r="E407" i="5"/>
  <c r="U381" i="5"/>
  <c r="M381" i="5"/>
  <c r="G381" i="5"/>
  <c r="F381" i="5"/>
  <c r="E381" i="5"/>
  <c r="Z393" i="5"/>
  <c r="Y393" i="5"/>
  <c r="X393" i="5"/>
  <c r="W393" i="5"/>
  <c r="V393" i="5"/>
  <c r="U393" i="5"/>
  <c r="O393" i="5"/>
  <c r="N393" i="5"/>
  <c r="M393" i="5"/>
  <c r="G393" i="5"/>
  <c r="F393" i="5"/>
  <c r="E393" i="5"/>
  <c r="Z389" i="5"/>
  <c r="Y389" i="5"/>
  <c r="X389" i="5"/>
  <c r="W389" i="5"/>
  <c r="V389" i="5"/>
  <c r="U389" i="5"/>
  <c r="O389" i="5"/>
  <c r="N389" i="5"/>
  <c r="M389" i="5"/>
  <c r="G389" i="5"/>
  <c r="F389" i="5"/>
  <c r="E389" i="5"/>
  <c r="Z404" i="5"/>
  <c r="Y404" i="5"/>
  <c r="X404" i="5"/>
  <c r="W404" i="5"/>
  <c r="V404" i="5"/>
  <c r="U404" i="5"/>
  <c r="O404" i="5"/>
  <c r="N404" i="5"/>
  <c r="M404" i="5"/>
  <c r="G404" i="5"/>
  <c r="F404" i="5"/>
  <c r="E404" i="5"/>
  <c r="Z382" i="5"/>
  <c r="Y382" i="5"/>
  <c r="X382" i="5"/>
  <c r="W382" i="5"/>
  <c r="V382" i="5"/>
  <c r="U382" i="5"/>
  <c r="O382" i="5"/>
  <c r="N382" i="5"/>
  <c r="M382" i="5"/>
  <c r="G382" i="5"/>
  <c r="F382" i="5"/>
  <c r="E382" i="5"/>
  <c r="Z398" i="5"/>
  <c r="Y398" i="5"/>
  <c r="X398" i="5"/>
  <c r="W398" i="5"/>
  <c r="V398" i="5"/>
  <c r="U398" i="5"/>
  <c r="O398" i="5"/>
  <c r="N398" i="5"/>
  <c r="M398" i="5"/>
  <c r="G398" i="5"/>
  <c r="F398" i="5"/>
  <c r="E398" i="5"/>
  <c r="Z387" i="5"/>
  <c r="Y387" i="5"/>
  <c r="X387" i="5"/>
  <c r="W387" i="5"/>
  <c r="V387" i="5"/>
  <c r="U387" i="5"/>
  <c r="O387" i="5"/>
  <c r="N387" i="5"/>
  <c r="M387" i="5"/>
  <c r="G387" i="5"/>
  <c r="F387" i="5"/>
  <c r="E387" i="5"/>
  <c r="Z406" i="5"/>
  <c r="Y406" i="5"/>
  <c r="X406" i="5"/>
  <c r="W406" i="5"/>
  <c r="V406" i="5"/>
  <c r="U406" i="5"/>
  <c r="O406" i="5"/>
  <c r="N406" i="5"/>
  <c r="M406" i="5"/>
  <c r="G406" i="5"/>
  <c r="F406" i="5"/>
  <c r="E406" i="5"/>
  <c r="Z408" i="5"/>
  <c r="Y408" i="5"/>
  <c r="X408" i="5"/>
  <c r="W408" i="5"/>
  <c r="V408" i="5"/>
  <c r="U408" i="5"/>
  <c r="O408" i="5"/>
  <c r="N408" i="5"/>
  <c r="M408" i="5"/>
  <c r="G408" i="5"/>
  <c r="F408" i="5"/>
  <c r="E408" i="5"/>
  <c r="Z403" i="5"/>
  <c r="Y403" i="5"/>
  <c r="X403" i="5"/>
  <c r="W403" i="5"/>
  <c r="V403" i="5"/>
  <c r="U403" i="5"/>
  <c r="O403" i="5"/>
  <c r="N403" i="5"/>
  <c r="M403" i="5"/>
  <c r="G403" i="5"/>
  <c r="F403" i="5"/>
  <c r="E403" i="5"/>
  <c r="Z385" i="5"/>
  <c r="Y385" i="5"/>
  <c r="X385" i="5"/>
  <c r="W385" i="5"/>
  <c r="V385" i="5"/>
  <c r="U385" i="5"/>
  <c r="O385" i="5"/>
  <c r="N385" i="5"/>
  <c r="M385" i="5"/>
  <c r="G385" i="5"/>
  <c r="F385" i="5"/>
  <c r="E385" i="5"/>
  <c r="Z392" i="5"/>
  <c r="Y392" i="5"/>
  <c r="X392" i="5"/>
  <c r="W392" i="5"/>
  <c r="V392" i="5"/>
  <c r="U392" i="5"/>
  <c r="O392" i="5"/>
  <c r="N392" i="5"/>
  <c r="M392" i="5"/>
  <c r="G392" i="5"/>
  <c r="F392" i="5"/>
  <c r="E392" i="5"/>
  <c r="Z364" i="5"/>
  <c r="Y364" i="5"/>
  <c r="X364" i="5"/>
  <c r="W364" i="5"/>
  <c r="V364" i="5"/>
  <c r="U364" i="5"/>
  <c r="O364" i="5"/>
  <c r="N364" i="5"/>
  <c r="M364" i="5"/>
  <c r="G364" i="5"/>
  <c r="F364" i="5"/>
  <c r="E364" i="5"/>
  <c r="Z380" i="5"/>
  <c r="Y380" i="5"/>
  <c r="X380" i="5"/>
  <c r="W380" i="5"/>
  <c r="V380" i="5"/>
  <c r="U380" i="5"/>
  <c r="O380" i="5"/>
  <c r="N380" i="5"/>
  <c r="M380" i="5"/>
  <c r="G380" i="5"/>
  <c r="F380" i="5"/>
  <c r="E380" i="5"/>
  <c r="Z390" i="5"/>
  <c r="Y390" i="5"/>
  <c r="X390" i="5"/>
  <c r="W390" i="5"/>
  <c r="V390" i="5"/>
  <c r="U390" i="5"/>
  <c r="O390" i="5"/>
  <c r="N390" i="5"/>
  <c r="M390" i="5"/>
  <c r="G390" i="5"/>
  <c r="F390" i="5"/>
  <c r="E390" i="5"/>
  <c r="Z368" i="5"/>
  <c r="Y368" i="5"/>
  <c r="X368" i="5"/>
  <c r="W368" i="5"/>
  <c r="V368" i="5"/>
  <c r="U368" i="5"/>
  <c r="O368" i="5"/>
  <c r="N368" i="5"/>
  <c r="M368" i="5"/>
  <c r="G368" i="5"/>
  <c r="F368" i="5"/>
  <c r="E368" i="5"/>
  <c r="Z383" i="5"/>
  <c r="Y383" i="5"/>
  <c r="X383" i="5"/>
  <c r="W383" i="5"/>
  <c r="V383" i="5"/>
  <c r="U383" i="5"/>
  <c r="O383" i="5"/>
  <c r="N383" i="5"/>
  <c r="M383" i="5"/>
  <c r="G383" i="5"/>
  <c r="F383" i="5"/>
  <c r="E383" i="5"/>
  <c r="Z372" i="5"/>
  <c r="Y372" i="5"/>
  <c r="X372" i="5"/>
  <c r="W372" i="5"/>
  <c r="V372" i="5"/>
  <c r="U372" i="5"/>
  <c r="O372" i="5"/>
  <c r="N372" i="5"/>
  <c r="M372" i="5"/>
  <c r="G372" i="5"/>
  <c r="F372" i="5"/>
  <c r="E372" i="5"/>
  <c r="Z379" i="5"/>
  <c r="Y379" i="5"/>
  <c r="X379" i="5"/>
  <c r="W379" i="5"/>
  <c r="V379" i="5"/>
  <c r="U379" i="5"/>
  <c r="O379" i="5"/>
  <c r="N379" i="5"/>
  <c r="M379" i="5"/>
  <c r="G379" i="5"/>
  <c r="F379" i="5"/>
  <c r="E379" i="5"/>
  <c r="Z347" i="5"/>
  <c r="Y347" i="5"/>
  <c r="X347" i="5"/>
  <c r="W347" i="5"/>
  <c r="V347" i="5"/>
  <c r="U347" i="5"/>
  <c r="O347" i="5"/>
  <c r="N347" i="5"/>
  <c r="M347" i="5"/>
  <c r="G347" i="5"/>
  <c r="F347" i="5"/>
  <c r="E347" i="5"/>
  <c r="Z340" i="5"/>
  <c r="Y340" i="5"/>
  <c r="X340" i="5"/>
  <c r="W340" i="5"/>
  <c r="V340" i="5"/>
  <c r="U340" i="5"/>
  <c r="O340" i="5"/>
  <c r="N340" i="5"/>
  <c r="M340" i="5"/>
  <c r="G340" i="5"/>
  <c r="F340" i="5"/>
  <c r="E340" i="5"/>
  <c r="Z374" i="5"/>
  <c r="Y374" i="5"/>
  <c r="X374" i="5"/>
  <c r="W374" i="5"/>
  <c r="V374" i="5"/>
  <c r="U374" i="5"/>
  <c r="O374" i="5"/>
  <c r="N374" i="5"/>
  <c r="M374" i="5"/>
  <c r="G374" i="5"/>
  <c r="F374" i="5"/>
  <c r="E374" i="5"/>
  <c r="Z346" i="5"/>
  <c r="Y346" i="5"/>
  <c r="X346" i="5"/>
  <c r="W346" i="5"/>
  <c r="V346" i="5"/>
  <c r="U346" i="5"/>
  <c r="O346" i="5"/>
  <c r="N346" i="5"/>
  <c r="M346" i="5"/>
  <c r="G346" i="5"/>
  <c r="F346" i="5"/>
  <c r="E346" i="5"/>
  <c r="Z341" i="5"/>
  <c r="Y341" i="5"/>
  <c r="X341" i="5"/>
  <c r="W341" i="5"/>
  <c r="V341" i="5"/>
  <c r="U341" i="5"/>
  <c r="O341" i="5"/>
  <c r="N341" i="5"/>
  <c r="M341" i="5"/>
  <c r="G341" i="5"/>
  <c r="F341" i="5"/>
  <c r="E341" i="5"/>
  <c r="Z365" i="5"/>
  <c r="Y365" i="5"/>
  <c r="X365" i="5"/>
  <c r="W365" i="5"/>
  <c r="V365" i="5"/>
  <c r="U365" i="5"/>
  <c r="O365" i="5"/>
  <c r="N365" i="5"/>
  <c r="M365" i="5"/>
  <c r="G365" i="5"/>
  <c r="F365" i="5"/>
  <c r="E365" i="5"/>
  <c r="Z375" i="5"/>
  <c r="Y375" i="5"/>
  <c r="X375" i="5"/>
  <c r="W375" i="5"/>
  <c r="V375" i="5"/>
  <c r="U375" i="5"/>
  <c r="O375" i="5"/>
  <c r="N375" i="5"/>
  <c r="M375" i="5"/>
  <c r="G375" i="5"/>
  <c r="F375" i="5"/>
  <c r="E375" i="5"/>
  <c r="Z367" i="5"/>
  <c r="Y367" i="5"/>
  <c r="X367" i="5"/>
  <c r="W367" i="5"/>
  <c r="V367" i="5"/>
  <c r="U367" i="5"/>
  <c r="O367" i="5"/>
  <c r="N367" i="5"/>
  <c r="M367" i="5"/>
  <c r="G367" i="5"/>
  <c r="F367" i="5"/>
  <c r="E367" i="5"/>
  <c r="Z366" i="5"/>
  <c r="Y366" i="5"/>
  <c r="X366" i="5"/>
  <c r="W366" i="5"/>
  <c r="V366" i="5"/>
  <c r="U366" i="5"/>
  <c r="O366" i="5"/>
  <c r="N366" i="5"/>
  <c r="M366" i="5"/>
  <c r="G366" i="5"/>
  <c r="F366" i="5"/>
  <c r="E366" i="5"/>
  <c r="Z376" i="5"/>
  <c r="Y376" i="5"/>
  <c r="X376" i="5"/>
  <c r="W376" i="5"/>
  <c r="V376" i="5"/>
  <c r="U376" i="5"/>
  <c r="O376" i="5"/>
  <c r="N376" i="5"/>
  <c r="M376" i="5"/>
  <c r="G376" i="5"/>
  <c r="F376" i="5"/>
  <c r="E376" i="5"/>
  <c r="Z370" i="5"/>
  <c r="Y370" i="5"/>
  <c r="X370" i="5"/>
  <c r="W370" i="5"/>
  <c r="V370" i="5"/>
  <c r="U370" i="5"/>
  <c r="O370" i="5"/>
  <c r="N370" i="5"/>
  <c r="M370" i="5"/>
  <c r="G370" i="5"/>
  <c r="F370" i="5"/>
  <c r="E370" i="5"/>
  <c r="Z378" i="5"/>
  <c r="Y378" i="5"/>
  <c r="X378" i="5"/>
  <c r="W378" i="5"/>
  <c r="V378" i="5"/>
  <c r="U378" i="5"/>
  <c r="O378" i="5"/>
  <c r="N378" i="5"/>
  <c r="M378" i="5"/>
  <c r="G378" i="5"/>
  <c r="F378" i="5"/>
  <c r="E378" i="5"/>
  <c r="Z369" i="5"/>
  <c r="Y369" i="5"/>
  <c r="X369" i="5"/>
  <c r="W369" i="5"/>
  <c r="V369" i="5"/>
  <c r="U369" i="5"/>
  <c r="O369" i="5"/>
  <c r="N369" i="5"/>
  <c r="M369" i="5"/>
  <c r="G369" i="5"/>
  <c r="F369" i="5"/>
  <c r="E369" i="5"/>
  <c r="Z377" i="5"/>
  <c r="Y377" i="5"/>
  <c r="X377" i="5"/>
  <c r="W377" i="5"/>
  <c r="V377" i="5"/>
  <c r="U377" i="5"/>
  <c r="O377" i="5"/>
  <c r="N377" i="5"/>
  <c r="M377" i="5"/>
  <c r="G377" i="5"/>
  <c r="F377" i="5"/>
  <c r="E377" i="5"/>
  <c r="Z373" i="5"/>
  <c r="Y373" i="5"/>
  <c r="X373" i="5"/>
  <c r="W373" i="5"/>
  <c r="V373" i="5"/>
  <c r="U373" i="5"/>
  <c r="O373" i="5"/>
  <c r="N373" i="5"/>
  <c r="M373" i="5"/>
  <c r="G373" i="5"/>
  <c r="F373" i="5"/>
  <c r="E373" i="5"/>
  <c r="Z371" i="5"/>
  <c r="Y371" i="5"/>
  <c r="X371" i="5"/>
  <c r="W371" i="5"/>
  <c r="V371" i="5"/>
  <c r="U371" i="5"/>
  <c r="O371" i="5"/>
  <c r="N371" i="5"/>
  <c r="M371" i="5"/>
  <c r="G371" i="5"/>
  <c r="F371" i="5"/>
  <c r="E371" i="5"/>
  <c r="Z354" i="5"/>
  <c r="Y354" i="5"/>
  <c r="X354" i="5"/>
  <c r="W354" i="5"/>
  <c r="V354" i="5"/>
  <c r="U354" i="5"/>
  <c r="O354" i="5"/>
  <c r="N354" i="5"/>
  <c r="M354" i="5"/>
  <c r="G354" i="5"/>
  <c r="F354" i="5"/>
  <c r="E354" i="5"/>
  <c r="Z343" i="5"/>
  <c r="Y343" i="5"/>
  <c r="X343" i="5"/>
  <c r="W343" i="5"/>
  <c r="V343" i="5"/>
  <c r="U343" i="5"/>
  <c r="O343" i="5"/>
  <c r="N343" i="5"/>
  <c r="M343" i="5"/>
  <c r="G343" i="5"/>
  <c r="F343" i="5"/>
  <c r="E343" i="5"/>
  <c r="Z362" i="5"/>
  <c r="Y362" i="5"/>
  <c r="X362" i="5"/>
  <c r="W362" i="5"/>
  <c r="V362" i="5"/>
  <c r="U362" i="5"/>
  <c r="O362" i="5"/>
  <c r="N362" i="5"/>
  <c r="M362" i="5"/>
  <c r="G362" i="5"/>
  <c r="F362" i="5"/>
  <c r="E362" i="5"/>
  <c r="Z351" i="5"/>
  <c r="Y351" i="5"/>
  <c r="X351" i="5"/>
  <c r="W351" i="5"/>
  <c r="V351" i="5"/>
  <c r="U351" i="5"/>
  <c r="O351" i="5"/>
  <c r="N351" i="5"/>
  <c r="M351" i="5"/>
  <c r="G351" i="5"/>
  <c r="F351" i="5"/>
  <c r="E351" i="5"/>
  <c r="Z359" i="5"/>
  <c r="Y359" i="5"/>
  <c r="X359" i="5"/>
  <c r="W359" i="5"/>
  <c r="V359" i="5"/>
  <c r="U359" i="5"/>
  <c r="O359" i="5"/>
  <c r="N359" i="5"/>
  <c r="M359" i="5"/>
  <c r="G359" i="5"/>
  <c r="F359" i="5"/>
  <c r="E359" i="5"/>
  <c r="Z363" i="5"/>
  <c r="Y363" i="5"/>
  <c r="X363" i="5"/>
  <c r="W363" i="5"/>
  <c r="V363" i="5"/>
  <c r="U363" i="5"/>
  <c r="O363" i="5"/>
  <c r="N363" i="5"/>
  <c r="M363" i="5"/>
  <c r="G363" i="5"/>
  <c r="F363" i="5"/>
  <c r="E363" i="5"/>
  <c r="Z345" i="5"/>
  <c r="Y345" i="5"/>
  <c r="X345" i="5"/>
  <c r="W345" i="5"/>
  <c r="V345" i="5"/>
  <c r="U345" i="5"/>
  <c r="O345" i="5"/>
  <c r="N345" i="5"/>
  <c r="M345" i="5"/>
  <c r="G345" i="5"/>
  <c r="F345" i="5"/>
  <c r="E345" i="5"/>
  <c r="Z353" i="5"/>
  <c r="Y353" i="5"/>
  <c r="X353" i="5"/>
  <c r="W353" i="5"/>
  <c r="V353" i="5"/>
  <c r="U353" i="5"/>
  <c r="O353" i="5"/>
  <c r="N353" i="5"/>
  <c r="M353" i="5"/>
  <c r="G353" i="5"/>
  <c r="F353" i="5"/>
  <c r="E353" i="5"/>
  <c r="Z350" i="5"/>
  <c r="Y350" i="5"/>
  <c r="X350" i="5"/>
  <c r="W350" i="5"/>
  <c r="V350" i="5"/>
  <c r="U350" i="5"/>
  <c r="O350" i="5"/>
  <c r="N350" i="5"/>
  <c r="M350" i="5"/>
  <c r="G350" i="5"/>
  <c r="F350" i="5"/>
  <c r="E350" i="5"/>
  <c r="Z339" i="5"/>
  <c r="Y339" i="5"/>
  <c r="X339" i="5"/>
  <c r="W339" i="5"/>
  <c r="V339" i="5"/>
  <c r="U339" i="5"/>
  <c r="O339" i="5"/>
  <c r="N339" i="5"/>
  <c r="M339" i="5"/>
  <c r="G339" i="5"/>
  <c r="F339" i="5"/>
  <c r="E339" i="5"/>
  <c r="Z357" i="5"/>
  <c r="Y357" i="5"/>
  <c r="X357" i="5"/>
  <c r="W357" i="5"/>
  <c r="V357" i="5"/>
  <c r="U357" i="5"/>
  <c r="O357" i="5"/>
  <c r="N357" i="5"/>
  <c r="M357" i="5"/>
  <c r="G357" i="5"/>
  <c r="F357" i="5"/>
  <c r="E357" i="5"/>
  <c r="Z348" i="5"/>
  <c r="Y348" i="5"/>
  <c r="X348" i="5"/>
  <c r="W348" i="5"/>
  <c r="V348" i="5"/>
  <c r="U348" i="5"/>
  <c r="O348" i="5"/>
  <c r="N348" i="5"/>
  <c r="M348" i="5"/>
  <c r="G348" i="5"/>
  <c r="F348" i="5"/>
  <c r="E348" i="5"/>
  <c r="Z400" i="5"/>
  <c r="Y400" i="5"/>
  <c r="X400" i="5"/>
  <c r="W400" i="5"/>
  <c r="V400" i="5"/>
  <c r="U400" i="5"/>
  <c r="O400" i="5"/>
  <c r="N400" i="5"/>
  <c r="M400" i="5"/>
  <c r="G400" i="5"/>
  <c r="F400" i="5"/>
  <c r="E400" i="5"/>
  <c r="Z344" i="5"/>
  <c r="Y344" i="5"/>
  <c r="X344" i="5"/>
  <c r="W344" i="5"/>
  <c r="V344" i="5"/>
  <c r="U344" i="5"/>
  <c r="O344" i="5"/>
  <c r="N344" i="5"/>
  <c r="M344" i="5"/>
  <c r="G344" i="5"/>
  <c r="F344" i="5"/>
  <c r="E344" i="5"/>
  <c r="Z356" i="5"/>
  <c r="Y356" i="5"/>
  <c r="X356" i="5"/>
  <c r="W356" i="5"/>
  <c r="V356" i="5"/>
  <c r="U356" i="5"/>
  <c r="O356" i="5"/>
  <c r="N356" i="5"/>
  <c r="M356" i="5"/>
  <c r="G356" i="5"/>
  <c r="F356" i="5"/>
  <c r="E356" i="5"/>
  <c r="Z349" i="5"/>
  <c r="Y349" i="5"/>
  <c r="X349" i="5"/>
  <c r="W349" i="5"/>
  <c r="V349" i="5"/>
  <c r="U349" i="5"/>
  <c r="O349" i="5"/>
  <c r="N349" i="5"/>
  <c r="M349" i="5"/>
  <c r="G349" i="5"/>
  <c r="F349" i="5"/>
  <c r="E349" i="5"/>
  <c r="Z342" i="5"/>
  <c r="Y342" i="5"/>
  <c r="X342" i="5"/>
  <c r="W342" i="5"/>
  <c r="V342" i="5"/>
  <c r="U342" i="5"/>
  <c r="O342" i="5"/>
  <c r="N342" i="5"/>
  <c r="M342" i="5"/>
  <c r="G342" i="5"/>
  <c r="F342" i="5"/>
  <c r="E342" i="5"/>
  <c r="Z358" i="5"/>
  <c r="Y358" i="5"/>
  <c r="X358" i="5"/>
  <c r="W358" i="5"/>
  <c r="V358" i="5"/>
  <c r="U358" i="5"/>
  <c r="O358" i="5"/>
  <c r="N358" i="5"/>
  <c r="M358" i="5"/>
  <c r="G358" i="5"/>
  <c r="F358" i="5"/>
  <c r="E358" i="5"/>
  <c r="Z331" i="5"/>
  <c r="Y331" i="5"/>
  <c r="X331" i="5"/>
  <c r="W331" i="5"/>
  <c r="V331" i="5"/>
  <c r="U331" i="5"/>
  <c r="O331" i="5"/>
  <c r="N331" i="5"/>
  <c r="M331" i="5"/>
  <c r="G331" i="5"/>
  <c r="F331" i="5"/>
  <c r="E331" i="5"/>
  <c r="Z360" i="5"/>
  <c r="Y360" i="5"/>
  <c r="X360" i="5"/>
  <c r="W360" i="5"/>
  <c r="V360" i="5"/>
  <c r="U360" i="5"/>
  <c r="O360" i="5"/>
  <c r="N360" i="5"/>
  <c r="M360" i="5"/>
  <c r="G360" i="5"/>
  <c r="F360" i="5"/>
  <c r="E360" i="5"/>
  <c r="Z352" i="5"/>
  <c r="Y352" i="5"/>
  <c r="X352" i="5"/>
  <c r="W352" i="5"/>
  <c r="V352" i="5"/>
  <c r="U352" i="5"/>
  <c r="O352" i="5"/>
  <c r="N352" i="5"/>
  <c r="M352" i="5"/>
  <c r="G352" i="5"/>
  <c r="F352" i="5"/>
  <c r="E352" i="5"/>
  <c r="M329" i="5"/>
  <c r="G329" i="5"/>
  <c r="F329" i="5"/>
  <c r="E329" i="5"/>
  <c r="Z355" i="5"/>
  <c r="Y355" i="5"/>
  <c r="X355" i="5"/>
  <c r="W355" i="5"/>
  <c r="V355" i="5"/>
  <c r="U355" i="5"/>
  <c r="O355" i="5"/>
  <c r="N355" i="5"/>
  <c r="M355" i="5"/>
  <c r="G355" i="5"/>
  <c r="F355" i="5"/>
  <c r="E355" i="5"/>
  <c r="Z327" i="5"/>
  <c r="Y327" i="5"/>
  <c r="X327" i="5"/>
  <c r="W327" i="5"/>
  <c r="V327" i="5"/>
  <c r="U327" i="5"/>
  <c r="O327" i="5"/>
  <c r="N327" i="5"/>
  <c r="M327" i="5"/>
  <c r="G327" i="5"/>
  <c r="F327" i="5"/>
  <c r="E327" i="5"/>
  <c r="Z332" i="5"/>
  <c r="Y332" i="5"/>
  <c r="X332" i="5"/>
  <c r="W332" i="5"/>
  <c r="V332" i="5"/>
  <c r="U332" i="5"/>
  <c r="O332" i="5"/>
  <c r="N332" i="5"/>
  <c r="M332" i="5"/>
  <c r="G332" i="5"/>
  <c r="F332" i="5"/>
  <c r="E332" i="5"/>
  <c r="Z361" i="5"/>
  <c r="Y361" i="5"/>
  <c r="X361" i="5"/>
  <c r="W361" i="5"/>
  <c r="V361" i="5"/>
  <c r="U361" i="5"/>
  <c r="O361" i="5"/>
  <c r="N361" i="5"/>
  <c r="M361" i="5"/>
  <c r="G361" i="5"/>
  <c r="F361" i="5"/>
  <c r="E361" i="5"/>
  <c r="Z334" i="5"/>
  <c r="Y334" i="5"/>
  <c r="X334" i="5"/>
  <c r="W334" i="5"/>
  <c r="V334" i="5"/>
  <c r="U334" i="5"/>
  <c r="O334" i="5"/>
  <c r="N334" i="5"/>
  <c r="M334" i="5"/>
  <c r="G334" i="5"/>
  <c r="F334" i="5"/>
  <c r="E334" i="5"/>
  <c r="Z338" i="5"/>
  <c r="Y338" i="5"/>
  <c r="X338" i="5"/>
  <c r="W338" i="5"/>
  <c r="V338" i="5"/>
  <c r="U338" i="5"/>
  <c r="O338" i="5"/>
  <c r="N338" i="5"/>
  <c r="M338" i="5"/>
  <c r="G338" i="5"/>
  <c r="F338" i="5"/>
  <c r="E338" i="5"/>
  <c r="Z333" i="5"/>
  <c r="Y333" i="5"/>
  <c r="X333" i="5"/>
  <c r="W333" i="5"/>
  <c r="V333" i="5"/>
  <c r="U333" i="5"/>
  <c r="O333" i="5"/>
  <c r="N333" i="5"/>
  <c r="M333" i="5"/>
  <c r="G333" i="5"/>
  <c r="F333" i="5"/>
  <c r="E333" i="5"/>
  <c r="Z336" i="5"/>
  <c r="Y336" i="5"/>
  <c r="X336" i="5"/>
  <c r="W336" i="5"/>
  <c r="V336" i="5"/>
  <c r="U336" i="5"/>
  <c r="O336" i="5"/>
  <c r="N336" i="5"/>
  <c r="M336" i="5"/>
  <c r="G336" i="5"/>
  <c r="F336" i="5"/>
  <c r="E336" i="5"/>
  <c r="Z328" i="5"/>
  <c r="Y328" i="5"/>
  <c r="X328" i="5"/>
  <c r="W328" i="5"/>
  <c r="V328" i="5"/>
  <c r="U328" i="5"/>
  <c r="O328" i="5"/>
  <c r="N328" i="5"/>
  <c r="M328" i="5"/>
  <c r="G328" i="5"/>
  <c r="F328" i="5"/>
  <c r="E328" i="5"/>
  <c r="Z335" i="5"/>
  <c r="Y335" i="5"/>
  <c r="X335" i="5"/>
  <c r="W335" i="5"/>
  <c r="V335" i="5"/>
  <c r="U335" i="5"/>
  <c r="O335" i="5"/>
  <c r="N335" i="5"/>
  <c r="M335" i="5"/>
  <c r="G335" i="5"/>
  <c r="F335" i="5"/>
  <c r="E335" i="5"/>
  <c r="Z317" i="5"/>
  <c r="Y317" i="5"/>
  <c r="X317" i="5"/>
  <c r="W317" i="5"/>
  <c r="V317" i="5"/>
  <c r="U317" i="5"/>
  <c r="O317" i="5"/>
  <c r="N317" i="5"/>
  <c r="M317" i="5"/>
  <c r="G317" i="5"/>
  <c r="F317" i="5"/>
  <c r="E317" i="5"/>
  <c r="Z337" i="5"/>
  <c r="Y337" i="5"/>
  <c r="X337" i="5"/>
  <c r="W337" i="5"/>
  <c r="V337" i="5"/>
  <c r="U337" i="5"/>
  <c r="O337" i="5"/>
  <c r="N337" i="5"/>
  <c r="M337" i="5"/>
  <c r="G337" i="5"/>
  <c r="F337" i="5"/>
  <c r="E337" i="5"/>
  <c r="Z330" i="5"/>
  <c r="Y330" i="5"/>
  <c r="X330" i="5"/>
  <c r="W330" i="5"/>
  <c r="V330" i="5"/>
  <c r="U330" i="5"/>
  <c r="O330" i="5"/>
  <c r="N330" i="5"/>
  <c r="M330" i="5"/>
  <c r="G330" i="5"/>
  <c r="F330" i="5"/>
  <c r="E330" i="5"/>
  <c r="Z320" i="5"/>
  <c r="Y320" i="5"/>
  <c r="X320" i="5"/>
  <c r="W320" i="5"/>
  <c r="V320" i="5"/>
  <c r="U320" i="5"/>
  <c r="O320" i="5"/>
  <c r="N320" i="5"/>
  <c r="M320" i="5"/>
  <c r="G320" i="5"/>
  <c r="F320" i="5"/>
  <c r="E320" i="5"/>
  <c r="Z306" i="5"/>
  <c r="Y306" i="5"/>
  <c r="X306" i="5"/>
  <c r="W306" i="5"/>
  <c r="V306" i="5"/>
  <c r="U306" i="5"/>
  <c r="O306" i="5"/>
  <c r="N306" i="5"/>
  <c r="M306" i="5"/>
  <c r="G306" i="5"/>
  <c r="F306" i="5"/>
  <c r="E306" i="5"/>
  <c r="Z323" i="5"/>
  <c r="Y323" i="5"/>
  <c r="X323" i="5"/>
  <c r="W323" i="5"/>
  <c r="V323" i="5"/>
  <c r="U323" i="5"/>
  <c r="O323" i="5"/>
  <c r="N323" i="5"/>
  <c r="M323" i="5"/>
  <c r="G323" i="5"/>
  <c r="F323" i="5"/>
  <c r="E323" i="5"/>
  <c r="Z321" i="5"/>
  <c r="Y321" i="5"/>
  <c r="X321" i="5"/>
  <c r="W321" i="5"/>
  <c r="V321" i="5"/>
  <c r="U321" i="5"/>
  <c r="O321" i="5"/>
  <c r="N321" i="5"/>
  <c r="M321" i="5"/>
  <c r="G321" i="5"/>
  <c r="F321" i="5"/>
  <c r="E321" i="5"/>
  <c r="Z322" i="5"/>
  <c r="Y322" i="5"/>
  <c r="X322" i="5"/>
  <c r="W322" i="5"/>
  <c r="V322" i="5"/>
  <c r="U322" i="5"/>
  <c r="O322" i="5"/>
  <c r="N322" i="5"/>
  <c r="M322" i="5"/>
  <c r="G322" i="5"/>
  <c r="F322" i="5"/>
  <c r="E322" i="5"/>
  <c r="Z326" i="5"/>
  <c r="Y326" i="5"/>
  <c r="X326" i="5"/>
  <c r="W326" i="5"/>
  <c r="V326" i="5"/>
  <c r="U326" i="5"/>
  <c r="O326" i="5"/>
  <c r="N326" i="5"/>
  <c r="M326" i="5"/>
  <c r="G326" i="5"/>
  <c r="F326" i="5"/>
  <c r="E326" i="5"/>
  <c r="Z311" i="5"/>
  <c r="Y311" i="5"/>
  <c r="X311" i="5"/>
  <c r="W311" i="5"/>
  <c r="V311" i="5"/>
  <c r="U311" i="5"/>
  <c r="O311" i="5"/>
  <c r="N311" i="5"/>
  <c r="M311" i="5"/>
  <c r="G311" i="5"/>
  <c r="F311" i="5"/>
  <c r="E311" i="5"/>
  <c r="Z324" i="5"/>
  <c r="Y324" i="5"/>
  <c r="X324" i="5"/>
  <c r="W324" i="5"/>
  <c r="V324" i="5"/>
  <c r="U324" i="5"/>
  <c r="O324" i="5"/>
  <c r="N324" i="5"/>
  <c r="M324" i="5"/>
  <c r="G324" i="5"/>
  <c r="F324" i="5"/>
  <c r="E324" i="5"/>
  <c r="Z319" i="5"/>
  <c r="Y319" i="5"/>
  <c r="X319" i="5"/>
  <c r="W319" i="5"/>
  <c r="V319" i="5"/>
  <c r="U319" i="5"/>
  <c r="O319" i="5"/>
  <c r="N319" i="5"/>
  <c r="M319" i="5"/>
  <c r="G319" i="5"/>
  <c r="F319" i="5"/>
  <c r="E319" i="5"/>
  <c r="Z249" i="5"/>
  <c r="Y249" i="5"/>
  <c r="X249" i="5"/>
  <c r="W249" i="5"/>
  <c r="V249" i="5"/>
  <c r="U249" i="5"/>
  <c r="O249" i="5"/>
  <c r="N249" i="5"/>
  <c r="M249" i="5"/>
  <c r="G249" i="5"/>
  <c r="F249" i="5"/>
  <c r="E249" i="5"/>
  <c r="Z325" i="5"/>
  <c r="Y325" i="5"/>
  <c r="X325" i="5"/>
  <c r="W325" i="5"/>
  <c r="V325" i="5"/>
  <c r="U325" i="5"/>
  <c r="O325" i="5"/>
  <c r="N325" i="5"/>
  <c r="M325" i="5"/>
  <c r="G325" i="5"/>
  <c r="F325" i="5"/>
  <c r="E325" i="5"/>
  <c r="Z309" i="5"/>
  <c r="Y309" i="5"/>
  <c r="X309" i="5"/>
  <c r="W309" i="5"/>
  <c r="V309" i="5"/>
  <c r="U309" i="5"/>
  <c r="O309" i="5"/>
  <c r="N309" i="5"/>
  <c r="M309" i="5"/>
  <c r="G309" i="5"/>
  <c r="F309" i="5"/>
  <c r="E309" i="5"/>
  <c r="Z318" i="5"/>
  <c r="Y318" i="5"/>
  <c r="X318" i="5"/>
  <c r="W318" i="5"/>
  <c r="V318" i="5"/>
  <c r="U318" i="5"/>
  <c r="O318" i="5"/>
  <c r="N318" i="5"/>
  <c r="M318" i="5"/>
  <c r="G318" i="5"/>
  <c r="F318" i="5"/>
  <c r="E318" i="5"/>
  <c r="Z310" i="5"/>
  <c r="Y310" i="5"/>
  <c r="X310" i="5"/>
  <c r="W310" i="5"/>
  <c r="V310" i="5"/>
  <c r="U310" i="5"/>
  <c r="O310" i="5"/>
  <c r="N310" i="5"/>
  <c r="M310" i="5"/>
  <c r="G310" i="5"/>
  <c r="F310" i="5"/>
  <c r="E310" i="5"/>
  <c r="Z308" i="5"/>
  <c r="Y308" i="5"/>
  <c r="X308" i="5"/>
  <c r="W308" i="5"/>
  <c r="V308" i="5"/>
  <c r="U308" i="5"/>
  <c r="O308" i="5"/>
  <c r="N308" i="5"/>
  <c r="M308" i="5"/>
  <c r="G308" i="5"/>
  <c r="F308" i="5"/>
  <c r="E308" i="5"/>
  <c r="Z299" i="5"/>
  <c r="Y299" i="5"/>
  <c r="X299" i="5"/>
  <c r="W299" i="5"/>
  <c r="V299" i="5"/>
  <c r="U299" i="5"/>
  <c r="O299" i="5"/>
  <c r="N299" i="5"/>
  <c r="M299" i="5"/>
  <c r="G299" i="5"/>
  <c r="F299" i="5"/>
  <c r="E299" i="5"/>
  <c r="Z315" i="5"/>
  <c r="Y315" i="5"/>
  <c r="X315" i="5"/>
  <c r="W315" i="5"/>
  <c r="V315" i="5"/>
  <c r="U315" i="5"/>
  <c r="O315" i="5"/>
  <c r="N315" i="5"/>
  <c r="M315" i="5"/>
  <c r="G315" i="5"/>
  <c r="F315" i="5"/>
  <c r="E315" i="5"/>
  <c r="Z270" i="5"/>
  <c r="Y270" i="5"/>
  <c r="X270" i="5"/>
  <c r="W270" i="5"/>
  <c r="V270" i="5"/>
  <c r="U270" i="5"/>
  <c r="O270" i="5"/>
  <c r="N270" i="5"/>
  <c r="M270" i="5"/>
  <c r="G270" i="5"/>
  <c r="F270" i="5"/>
  <c r="E270" i="5"/>
  <c r="Z307" i="5"/>
  <c r="Y307" i="5"/>
  <c r="X307" i="5"/>
  <c r="W307" i="5"/>
  <c r="V307" i="5"/>
  <c r="U307" i="5"/>
  <c r="O307" i="5"/>
  <c r="N307" i="5"/>
  <c r="M307" i="5"/>
  <c r="G307" i="5"/>
  <c r="F307" i="5"/>
  <c r="E307" i="5"/>
  <c r="Z261" i="5"/>
  <c r="Y261" i="5"/>
  <c r="X261" i="5"/>
  <c r="W261" i="5"/>
  <c r="V261" i="5"/>
  <c r="U261" i="5"/>
  <c r="O261" i="5"/>
  <c r="N261" i="5"/>
  <c r="M261" i="5"/>
  <c r="G261" i="5"/>
  <c r="F261" i="5"/>
  <c r="E261" i="5"/>
  <c r="Z244" i="5"/>
  <c r="Y244" i="5"/>
  <c r="X244" i="5"/>
  <c r="W244" i="5"/>
  <c r="V244" i="5"/>
  <c r="U244" i="5"/>
  <c r="O244" i="5"/>
  <c r="N244" i="5"/>
  <c r="M244" i="5"/>
  <c r="G244" i="5"/>
  <c r="F244" i="5"/>
  <c r="E244" i="5"/>
  <c r="Z316" i="5"/>
  <c r="Y316" i="5"/>
  <c r="X316" i="5"/>
  <c r="W316" i="5"/>
  <c r="V316" i="5"/>
  <c r="U316" i="5"/>
  <c r="O316" i="5"/>
  <c r="N316" i="5"/>
  <c r="M316" i="5"/>
  <c r="G316" i="5"/>
  <c r="F316" i="5"/>
  <c r="E316" i="5"/>
  <c r="Z314" i="5"/>
  <c r="Y314" i="5"/>
  <c r="X314" i="5"/>
  <c r="W314" i="5"/>
  <c r="V314" i="5"/>
  <c r="U314" i="5"/>
  <c r="O314" i="5"/>
  <c r="N314" i="5"/>
  <c r="M314" i="5"/>
  <c r="G314" i="5"/>
  <c r="F314" i="5"/>
  <c r="E314" i="5"/>
  <c r="Z302" i="5"/>
  <c r="Y302" i="5"/>
  <c r="X302" i="5"/>
  <c r="W302" i="5"/>
  <c r="V302" i="5"/>
  <c r="U302" i="5"/>
  <c r="O302" i="5"/>
  <c r="N302" i="5"/>
  <c r="M302" i="5"/>
  <c r="G302" i="5"/>
  <c r="F302" i="5"/>
  <c r="E302" i="5"/>
  <c r="Z313" i="5"/>
  <c r="Y313" i="5"/>
  <c r="X313" i="5"/>
  <c r="W313" i="5"/>
  <c r="V313" i="5"/>
  <c r="U313" i="5"/>
  <c r="O313" i="5"/>
  <c r="N313" i="5"/>
  <c r="M313" i="5"/>
  <c r="G313" i="5"/>
  <c r="F313" i="5"/>
  <c r="E313" i="5"/>
  <c r="Z298" i="5"/>
  <c r="Y298" i="5"/>
  <c r="X298" i="5"/>
  <c r="W298" i="5"/>
  <c r="V298" i="5"/>
  <c r="U298" i="5"/>
  <c r="O298" i="5"/>
  <c r="N298" i="5"/>
  <c r="M298" i="5"/>
  <c r="G298" i="5"/>
  <c r="F298" i="5"/>
  <c r="E298" i="5"/>
  <c r="Z279" i="5"/>
  <c r="Y279" i="5"/>
  <c r="X279" i="5"/>
  <c r="W279" i="5"/>
  <c r="V279" i="5"/>
  <c r="U279" i="5"/>
  <c r="O279" i="5"/>
  <c r="N279" i="5"/>
  <c r="M279" i="5"/>
  <c r="G279" i="5"/>
  <c r="F279" i="5"/>
  <c r="E279" i="5"/>
  <c r="Z281" i="5"/>
  <c r="Y281" i="5"/>
  <c r="X281" i="5"/>
  <c r="W281" i="5"/>
  <c r="V281" i="5"/>
  <c r="U281" i="5"/>
  <c r="O281" i="5"/>
  <c r="N281" i="5"/>
  <c r="M281" i="5"/>
  <c r="G281" i="5"/>
  <c r="F281" i="5"/>
  <c r="E281" i="5"/>
  <c r="Z280" i="5"/>
  <c r="Y280" i="5"/>
  <c r="X280" i="5"/>
  <c r="W280" i="5"/>
  <c r="V280" i="5"/>
  <c r="U280" i="5"/>
  <c r="O280" i="5"/>
  <c r="N280" i="5"/>
  <c r="M280" i="5"/>
  <c r="G280" i="5"/>
  <c r="F280" i="5"/>
  <c r="E280" i="5"/>
  <c r="Z287" i="5"/>
  <c r="Y287" i="5"/>
  <c r="X287" i="5"/>
  <c r="W287" i="5"/>
  <c r="V287" i="5"/>
  <c r="U287" i="5"/>
  <c r="O287" i="5"/>
  <c r="N287" i="5"/>
  <c r="M287" i="5"/>
  <c r="G287" i="5"/>
  <c r="F287" i="5"/>
  <c r="E287" i="5"/>
  <c r="Z283" i="5"/>
  <c r="Y283" i="5"/>
  <c r="X283" i="5"/>
  <c r="W283" i="5"/>
  <c r="V283" i="5"/>
  <c r="U283" i="5"/>
  <c r="O283" i="5"/>
  <c r="N283" i="5"/>
  <c r="M283" i="5"/>
  <c r="G283" i="5"/>
  <c r="F283" i="5"/>
  <c r="E283" i="5"/>
  <c r="Z303" i="5"/>
  <c r="Y303" i="5"/>
  <c r="X303" i="5"/>
  <c r="W303" i="5"/>
  <c r="V303" i="5"/>
  <c r="U303" i="5"/>
  <c r="O303" i="5"/>
  <c r="N303" i="5"/>
  <c r="M303" i="5"/>
  <c r="G303" i="5"/>
  <c r="F303" i="5"/>
  <c r="E303" i="5"/>
  <c r="Z300" i="5"/>
  <c r="Y300" i="5"/>
  <c r="X300" i="5"/>
  <c r="W300" i="5"/>
  <c r="V300" i="5"/>
  <c r="U300" i="5"/>
  <c r="O300" i="5"/>
  <c r="N300" i="5"/>
  <c r="M300" i="5"/>
  <c r="G300" i="5"/>
  <c r="F300" i="5"/>
  <c r="E300" i="5"/>
  <c r="Z301" i="5"/>
  <c r="Y301" i="5"/>
  <c r="X301" i="5"/>
  <c r="W301" i="5"/>
  <c r="V301" i="5"/>
  <c r="U301" i="5"/>
  <c r="O301" i="5"/>
  <c r="N301" i="5"/>
  <c r="M301" i="5"/>
  <c r="G301" i="5"/>
  <c r="F301" i="5"/>
  <c r="E301" i="5"/>
  <c r="Z304" i="5"/>
  <c r="Y304" i="5"/>
  <c r="X304" i="5"/>
  <c r="W304" i="5"/>
  <c r="V304" i="5"/>
  <c r="U304" i="5"/>
  <c r="O304" i="5"/>
  <c r="N304" i="5"/>
  <c r="M304" i="5"/>
  <c r="G304" i="5"/>
  <c r="F304" i="5"/>
  <c r="E304" i="5"/>
  <c r="Z288" i="5"/>
  <c r="Y288" i="5"/>
  <c r="X288" i="5"/>
  <c r="W288" i="5"/>
  <c r="V288" i="5"/>
  <c r="U288" i="5"/>
  <c r="O288" i="5"/>
  <c r="N288" i="5"/>
  <c r="M288" i="5"/>
  <c r="G288" i="5"/>
  <c r="F288" i="5"/>
  <c r="E288" i="5"/>
  <c r="Z292" i="5"/>
  <c r="Y292" i="5"/>
  <c r="X292" i="5"/>
  <c r="W292" i="5"/>
  <c r="V292" i="5"/>
  <c r="U292" i="5"/>
  <c r="O292" i="5"/>
  <c r="N292" i="5"/>
  <c r="M292" i="5"/>
  <c r="G292" i="5"/>
  <c r="F292" i="5"/>
  <c r="E292" i="5"/>
  <c r="Z294" i="5"/>
  <c r="Y294" i="5"/>
  <c r="X294" i="5"/>
  <c r="W294" i="5"/>
  <c r="V294" i="5"/>
  <c r="U294" i="5"/>
  <c r="O294" i="5"/>
  <c r="N294" i="5"/>
  <c r="M294" i="5"/>
  <c r="G294" i="5"/>
  <c r="F294" i="5"/>
  <c r="E294" i="5"/>
  <c r="M291" i="5"/>
  <c r="G291" i="5"/>
  <c r="F291" i="5"/>
  <c r="E291" i="5"/>
  <c r="Z278" i="5"/>
  <c r="Y278" i="5"/>
  <c r="X278" i="5"/>
  <c r="W278" i="5"/>
  <c r="V278" i="5"/>
  <c r="U278" i="5"/>
  <c r="O278" i="5"/>
  <c r="N278" i="5"/>
  <c r="M278" i="5"/>
  <c r="G278" i="5"/>
  <c r="F278" i="5"/>
  <c r="E278" i="5"/>
  <c r="Z295" i="5"/>
  <c r="Y295" i="5"/>
  <c r="X295" i="5"/>
  <c r="W295" i="5"/>
  <c r="V295" i="5"/>
  <c r="U295" i="5"/>
  <c r="O295" i="5"/>
  <c r="N295" i="5"/>
  <c r="M295" i="5"/>
  <c r="G295" i="5"/>
  <c r="F295" i="5"/>
  <c r="E295" i="5"/>
  <c r="Z282" i="5"/>
  <c r="Y282" i="5"/>
  <c r="X282" i="5"/>
  <c r="W282" i="5"/>
  <c r="V282" i="5"/>
  <c r="U282" i="5"/>
  <c r="O282" i="5"/>
  <c r="N282" i="5"/>
  <c r="M282" i="5"/>
  <c r="G282" i="5"/>
  <c r="F282" i="5"/>
  <c r="E282" i="5"/>
  <c r="M290" i="5"/>
  <c r="G290" i="5"/>
  <c r="F290" i="5"/>
  <c r="E290" i="5"/>
  <c r="Z277" i="5"/>
  <c r="Y277" i="5"/>
  <c r="X277" i="5"/>
  <c r="W277" i="5"/>
  <c r="V277" i="5"/>
  <c r="U277" i="5"/>
  <c r="O277" i="5"/>
  <c r="N277" i="5"/>
  <c r="M277" i="5"/>
  <c r="G277" i="5"/>
  <c r="F277" i="5"/>
  <c r="E277" i="5"/>
  <c r="Z285" i="5"/>
  <c r="Y285" i="5"/>
  <c r="X285" i="5"/>
  <c r="W285" i="5"/>
  <c r="V285" i="5"/>
  <c r="U285" i="5"/>
  <c r="O285" i="5"/>
  <c r="N285" i="5"/>
  <c r="M285" i="5"/>
  <c r="G285" i="5"/>
  <c r="F285" i="5"/>
  <c r="E285" i="5"/>
  <c r="Z284" i="5"/>
  <c r="Y284" i="5"/>
  <c r="X284" i="5"/>
  <c r="W284" i="5"/>
  <c r="V284" i="5"/>
  <c r="U284" i="5"/>
  <c r="O284" i="5"/>
  <c r="N284" i="5"/>
  <c r="M284" i="5"/>
  <c r="G284" i="5"/>
  <c r="F284" i="5"/>
  <c r="E284" i="5"/>
  <c r="Z289" i="5"/>
  <c r="Y289" i="5"/>
  <c r="X289" i="5"/>
  <c r="W289" i="5"/>
  <c r="V289" i="5"/>
  <c r="U289" i="5"/>
  <c r="O289" i="5"/>
  <c r="N289" i="5"/>
  <c r="M289" i="5"/>
  <c r="G289" i="5"/>
  <c r="F289" i="5"/>
  <c r="E289" i="5"/>
  <c r="Z293" i="5"/>
  <c r="Y293" i="5"/>
  <c r="X293" i="5"/>
  <c r="W293" i="5"/>
  <c r="V293" i="5"/>
  <c r="U293" i="5"/>
  <c r="O293" i="5"/>
  <c r="N293" i="5"/>
  <c r="M293" i="5"/>
  <c r="G293" i="5"/>
  <c r="F293" i="5"/>
  <c r="E293" i="5"/>
  <c r="Z247" i="5"/>
  <c r="Y247" i="5"/>
  <c r="X247" i="5"/>
  <c r="W247" i="5"/>
  <c r="V247" i="5"/>
  <c r="U247" i="5"/>
  <c r="O247" i="5"/>
  <c r="N247" i="5"/>
  <c r="M247" i="5"/>
  <c r="G247" i="5"/>
  <c r="F247" i="5"/>
  <c r="E247" i="5"/>
  <c r="Z266" i="5"/>
  <c r="Y266" i="5"/>
  <c r="X266" i="5"/>
  <c r="W266" i="5"/>
  <c r="V266" i="5"/>
  <c r="U266" i="5"/>
  <c r="O266" i="5"/>
  <c r="N266" i="5"/>
  <c r="M266" i="5"/>
  <c r="G266" i="5"/>
  <c r="F266" i="5"/>
  <c r="E266" i="5"/>
  <c r="Z269" i="5"/>
  <c r="Y269" i="5"/>
  <c r="X269" i="5"/>
  <c r="W269" i="5"/>
  <c r="V269" i="5"/>
  <c r="U269" i="5"/>
  <c r="O269" i="5"/>
  <c r="N269" i="5"/>
  <c r="M269" i="5"/>
  <c r="G269" i="5"/>
  <c r="F269" i="5"/>
  <c r="E269" i="5"/>
  <c r="Z246" i="5"/>
  <c r="Y246" i="5"/>
  <c r="X246" i="5"/>
  <c r="W246" i="5"/>
  <c r="V246" i="5"/>
  <c r="U246" i="5"/>
  <c r="O246" i="5"/>
  <c r="N246" i="5"/>
  <c r="M246" i="5"/>
  <c r="G246" i="5"/>
  <c r="F246" i="5"/>
  <c r="E246" i="5"/>
  <c r="Z297" i="5"/>
  <c r="Y297" i="5"/>
  <c r="X297" i="5"/>
  <c r="W297" i="5"/>
  <c r="V297" i="5"/>
  <c r="U297" i="5"/>
  <c r="O297" i="5"/>
  <c r="N297" i="5"/>
  <c r="M297" i="5"/>
  <c r="G297" i="5"/>
  <c r="F297" i="5"/>
  <c r="E297" i="5"/>
  <c r="Z296" i="5"/>
  <c r="Y296" i="5"/>
  <c r="X296" i="5"/>
  <c r="W296" i="5"/>
  <c r="V296" i="5"/>
  <c r="U296" i="5"/>
  <c r="O296" i="5"/>
  <c r="N296" i="5"/>
  <c r="M296" i="5"/>
  <c r="G296" i="5"/>
  <c r="F296" i="5"/>
  <c r="E296" i="5"/>
  <c r="Z286" i="5"/>
  <c r="Y286" i="5"/>
  <c r="X286" i="5"/>
  <c r="W286" i="5"/>
  <c r="V286" i="5"/>
  <c r="U286" i="5"/>
  <c r="O286" i="5"/>
  <c r="N286" i="5"/>
  <c r="M286" i="5"/>
  <c r="G286" i="5"/>
  <c r="F286" i="5"/>
  <c r="E286" i="5"/>
  <c r="Z272" i="5"/>
  <c r="Y272" i="5"/>
  <c r="X272" i="5"/>
  <c r="W272" i="5"/>
  <c r="V272" i="5"/>
  <c r="U272" i="5"/>
  <c r="O272" i="5"/>
  <c r="N272" i="5"/>
  <c r="M272" i="5"/>
  <c r="G272" i="5"/>
  <c r="F272" i="5"/>
  <c r="E272" i="5"/>
  <c r="Z267" i="5"/>
  <c r="Y267" i="5"/>
  <c r="X267" i="5"/>
  <c r="W267" i="5"/>
  <c r="V267" i="5"/>
  <c r="U267" i="5"/>
  <c r="O267" i="5"/>
  <c r="N267" i="5"/>
  <c r="M267" i="5"/>
  <c r="G267" i="5"/>
  <c r="F267" i="5"/>
  <c r="E267" i="5"/>
  <c r="Z274" i="5"/>
  <c r="Y274" i="5"/>
  <c r="X274" i="5"/>
  <c r="W274" i="5"/>
  <c r="V274" i="5"/>
  <c r="U274" i="5"/>
  <c r="O274" i="5"/>
  <c r="N274" i="5"/>
  <c r="M274" i="5"/>
  <c r="G274" i="5"/>
  <c r="F274" i="5"/>
  <c r="E274" i="5"/>
  <c r="Z268" i="5"/>
  <c r="Y268" i="5"/>
  <c r="X268" i="5"/>
  <c r="W268" i="5"/>
  <c r="V268" i="5"/>
  <c r="U268" i="5"/>
  <c r="O268" i="5"/>
  <c r="N268" i="5"/>
  <c r="M268" i="5"/>
  <c r="G268" i="5"/>
  <c r="F268" i="5"/>
  <c r="E268" i="5"/>
  <c r="Z263" i="5"/>
  <c r="Y263" i="5"/>
  <c r="X263" i="5"/>
  <c r="W263" i="5"/>
  <c r="V263" i="5"/>
  <c r="U263" i="5"/>
  <c r="O263" i="5"/>
  <c r="N263" i="5"/>
  <c r="M263" i="5"/>
  <c r="G263" i="5"/>
  <c r="F263" i="5"/>
  <c r="E263" i="5"/>
  <c r="Z275" i="5"/>
  <c r="Y275" i="5"/>
  <c r="X275" i="5"/>
  <c r="W275" i="5"/>
  <c r="V275" i="5"/>
  <c r="U275" i="5"/>
  <c r="O275" i="5"/>
  <c r="N275" i="5"/>
  <c r="M275" i="5"/>
  <c r="G275" i="5"/>
  <c r="F275" i="5"/>
  <c r="E275" i="5"/>
  <c r="Z262" i="5"/>
  <c r="Y262" i="5"/>
  <c r="X262" i="5"/>
  <c r="W262" i="5"/>
  <c r="V262" i="5"/>
  <c r="U262" i="5"/>
  <c r="O262" i="5"/>
  <c r="N262" i="5"/>
  <c r="M262" i="5"/>
  <c r="G262" i="5"/>
  <c r="F262" i="5"/>
  <c r="E262" i="5"/>
  <c r="Z258" i="5"/>
  <c r="Y258" i="5"/>
  <c r="X258" i="5"/>
  <c r="W258" i="5"/>
  <c r="V258" i="5"/>
  <c r="U258" i="5"/>
  <c r="O258" i="5"/>
  <c r="N258" i="5"/>
  <c r="M258" i="5"/>
  <c r="G258" i="5"/>
  <c r="F258" i="5"/>
  <c r="E258" i="5"/>
  <c r="Z271" i="5"/>
  <c r="Y271" i="5"/>
  <c r="X271" i="5"/>
  <c r="W271" i="5"/>
  <c r="V271" i="5"/>
  <c r="U271" i="5"/>
  <c r="O271" i="5"/>
  <c r="N271" i="5"/>
  <c r="M271" i="5"/>
  <c r="G271" i="5"/>
  <c r="F271" i="5"/>
  <c r="E271" i="5"/>
  <c r="Z229" i="5"/>
  <c r="Y229" i="5"/>
  <c r="X229" i="5"/>
  <c r="W229" i="5"/>
  <c r="V229" i="5"/>
  <c r="U229" i="5"/>
  <c r="O229" i="5"/>
  <c r="N229" i="5"/>
  <c r="M229" i="5"/>
  <c r="G229" i="5"/>
  <c r="F229" i="5"/>
  <c r="E229" i="5"/>
  <c r="Z214" i="5"/>
  <c r="Y214" i="5"/>
  <c r="X214" i="5"/>
  <c r="W214" i="5"/>
  <c r="V214" i="5"/>
  <c r="U214" i="5"/>
  <c r="O214" i="5"/>
  <c r="N214" i="5"/>
  <c r="M214" i="5"/>
  <c r="G214" i="5"/>
  <c r="F214" i="5"/>
  <c r="E214" i="5"/>
  <c r="Z276" i="5"/>
  <c r="Y276" i="5"/>
  <c r="X276" i="5"/>
  <c r="W276" i="5"/>
  <c r="V276" i="5"/>
  <c r="U276" i="5"/>
  <c r="O276" i="5"/>
  <c r="N276" i="5"/>
  <c r="M276" i="5"/>
  <c r="G276" i="5"/>
  <c r="F276" i="5"/>
  <c r="E276" i="5"/>
  <c r="Z259" i="5"/>
  <c r="Y259" i="5"/>
  <c r="X259" i="5"/>
  <c r="W259" i="5"/>
  <c r="V259" i="5"/>
  <c r="U259" i="5"/>
  <c r="O259" i="5"/>
  <c r="N259" i="5"/>
  <c r="M259" i="5"/>
  <c r="G259" i="5"/>
  <c r="F259" i="5"/>
  <c r="E259" i="5"/>
  <c r="Z273" i="5"/>
  <c r="Y273" i="5"/>
  <c r="X273" i="5"/>
  <c r="W273" i="5"/>
  <c r="V273" i="5"/>
  <c r="U273" i="5"/>
  <c r="O273" i="5"/>
  <c r="N273" i="5"/>
  <c r="M273" i="5"/>
  <c r="G273" i="5"/>
  <c r="F273" i="5"/>
  <c r="E273" i="5"/>
  <c r="Z260" i="5"/>
  <c r="Y260" i="5"/>
  <c r="X260" i="5"/>
  <c r="W260" i="5"/>
  <c r="V260" i="5"/>
  <c r="U260" i="5"/>
  <c r="O260" i="5"/>
  <c r="N260" i="5"/>
  <c r="M260" i="5"/>
  <c r="G260" i="5"/>
  <c r="F260" i="5"/>
  <c r="E260" i="5"/>
  <c r="Z235" i="5"/>
  <c r="Y235" i="5"/>
  <c r="X235" i="5"/>
  <c r="W235" i="5"/>
  <c r="V235" i="5"/>
  <c r="U235" i="5"/>
  <c r="O235" i="5"/>
  <c r="N235" i="5"/>
  <c r="M235" i="5"/>
  <c r="G235" i="5"/>
  <c r="F235" i="5"/>
  <c r="E235" i="5"/>
  <c r="Z239" i="5"/>
  <c r="Y239" i="5"/>
  <c r="X239" i="5"/>
  <c r="W239" i="5"/>
  <c r="V239" i="5"/>
  <c r="U239" i="5"/>
  <c r="O239" i="5"/>
  <c r="N239" i="5"/>
  <c r="M239" i="5"/>
  <c r="G239" i="5"/>
  <c r="F239" i="5"/>
  <c r="E239" i="5"/>
  <c r="Z248" i="5"/>
  <c r="Y248" i="5"/>
  <c r="X248" i="5"/>
  <c r="W248" i="5"/>
  <c r="V248" i="5"/>
  <c r="U248" i="5"/>
  <c r="O248" i="5"/>
  <c r="N248" i="5"/>
  <c r="M248" i="5"/>
  <c r="G248" i="5"/>
  <c r="F248" i="5"/>
  <c r="E248" i="5"/>
  <c r="Z256" i="5"/>
  <c r="Y256" i="5"/>
  <c r="X256" i="5"/>
  <c r="W256" i="5"/>
  <c r="V256" i="5"/>
  <c r="U256" i="5"/>
  <c r="O256" i="5"/>
  <c r="N256" i="5"/>
  <c r="M256" i="5"/>
  <c r="G256" i="5"/>
  <c r="F256" i="5"/>
  <c r="E256" i="5"/>
  <c r="Z257" i="5"/>
  <c r="Y257" i="5"/>
  <c r="X257" i="5"/>
  <c r="W257" i="5"/>
  <c r="V257" i="5"/>
  <c r="U257" i="5"/>
  <c r="O257" i="5"/>
  <c r="N257" i="5"/>
  <c r="M257" i="5"/>
  <c r="G257" i="5"/>
  <c r="F257" i="5"/>
  <c r="E257" i="5"/>
  <c r="Z265" i="5"/>
  <c r="Y265" i="5"/>
  <c r="X265" i="5"/>
  <c r="W265" i="5"/>
  <c r="V265" i="5"/>
  <c r="U265" i="5"/>
  <c r="O265" i="5"/>
  <c r="N265" i="5"/>
  <c r="M265" i="5"/>
  <c r="G265" i="5"/>
  <c r="F265" i="5"/>
  <c r="E265" i="5"/>
  <c r="Z264" i="5"/>
  <c r="Y264" i="5"/>
  <c r="X264" i="5"/>
  <c r="W264" i="5"/>
  <c r="V264" i="5"/>
  <c r="U264" i="5"/>
  <c r="O264" i="5"/>
  <c r="N264" i="5"/>
  <c r="M264" i="5"/>
  <c r="G264" i="5"/>
  <c r="F264" i="5"/>
  <c r="E264" i="5"/>
  <c r="Z255" i="5"/>
  <c r="Y255" i="5"/>
  <c r="X255" i="5"/>
  <c r="W255" i="5"/>
  <c r="V255" i="5"/>
  <c r="U255" i="5"/>
  <c r="O255" i="5"/>
  <c r="N255" i="5"/>
  <c r="M255" i="5"/>
  <c r="G255" i="5"/>
  <c r="F255" i="5"/>
  <c r="E255" i="5"/>
  <c r="Z250" i="5"/>
  <c r="Y250" i="5"/>
  <c r="X250" i="5"/>
  <c r="W250" i="5"/>
  <c r="V250" i="5"/>
  <c r="U250" i="5"/>
  <c r="O250" i="5"/>
  <c r="N250" i="5"/>
  <c r="M250" i="5"/>
  <c r="G250" i="5"/>
  <c r="F250" i="5"/>
  <c r="E250" i="5"/>
  <c r="Z254" i="5"/>
  <c r="Y254" i="5"/>
  <c r="X254" i="5"/>
  <c r="W254" i="5"/>
  <c r="V254" i="5"/>
  <c r="U254" i="5"/>
  <c r="O254" i="5"/>
  <c r="N254" i="5"/>
  <c r="M254" i="5"/>
  <c r="G254" i="5"/>
  <c r="F254" i="5"/>
  <c r="E254" i="5"/>
  <c r="Z312" i="5"/>
  <c r="Y312" i="5"/>
  <c r="X312" i="5"/>
  <c r="W312" i="5"/>
  <c r="V312" i="5"/>
  <c r="U312" i="5"/>
  <c r="O312" i="5"/>
  <c r="N312" i="5"/>
  <c r="M312" i="5"/>
  <c r="G312" i="5"/>
  <c r="F312" i="5"/>
  <c r="E312" i="5"/>
  <c r="Z252" i="5"/>
  <c r="Y252" i="5"/>
  <c r="X252" i="5"/>
  <c r="W252" i="5"/>
  <c r="V252" i="5"/>
  <c r="U252" i="5"/>
  <c r="O252" i="5"/>
  <c r="N252" i="5"/>
  <c r="M252" i="5"/>
  <c r="G252" i="5"/>
  <c r="F252" i="5"/>
  <c r="E252" i="5"/>
  <c r="Z225" i="5"/>
  <c r="Y225" i="5"/>
  <c r="X225" i="5"/>
  <c r="W225" i="5"/>
  <c r="V225" i="5"/>
  <c r="U225" i="5"/>
  <c r="O225" i="5"/>
  <c r="N225" i="5"/>
  <c r="M225" i="5"/>
  <c r="G225" i="5"/>
  <c r="F225" i="5"/>
  <c r="E225" i="5"/>
  <c r="Z253" i="5"/>
  <c r="Y253" i="5"/>
  <c r="X253" i="5"/>
  <c r="W253" i="5"/>
  <c r="V253" i="5"/>
  <c r="U253" i="5"/>
  <c r="O253" i="5"/>
  <c r="N253" i="5"/>
  <c r="M253" i="5"/>
  <c r="G253" i="5"/>
  <c r="F253" i="5"/>
  <c r="E253" i="5"/>
  <c r="Z251" i="5"/>
  <c r="Y251" i="5"/>
  <c r="X251" i="5"/>
  <c r="W251" i="5"/>
  <c r="V251" i="5"/>
  <c r="U251" i="5"/>
  <c r="O251" i="5"/>
  <c r="N251" i="5"/>
  <c r="M251" i="5"/>
  <c r="G251" i="5"/>
  <c r="F251" i="5"/>
  <c r="E251" i="5"/>
  <c r="Z241" i="5"/>
  <c r="Y241" i="5"/>
  <c r="X241" i="5"/>
  <c r="W241" i="5"/>
  <c r="V241" i="5"/>
  <c r="U241" i="5"/>
  <c r="O241" i="5"/>
  <c r="N241" i="5"/>
  <c r="M241" i="5"/>
  <c r="G241" i="5"/>
  <c r="F241" i="5"/>
  <c r="E241" i="5"/>
  <c r="Z221" i="5"/>
  <c r="Y221" i="5"/>
  <c r="X221" i="5"/>
  <c r="W221" i="5"/>
  <c r="V221" i="5"/>
  <c r="U221" i="5"/>
  <c r="O221" i="5"/>
  <c r="N221" i="5"/>
  <c r="M221" i="5"/>
  <c r="G221" i="5"/>
  <c r="F221" i="5"/>
  <c r="E221" i="5"/>
  <c r="Z237" i="5"/>
  <c r="Y237" i="5"/>
  <c r="X237" i="5"/>
  <c r="W237" i="5"/>
  <c r="V237" i="5"/>
  <c r="U237" i="5"/>
  <c r="O237" i="5"/>
  <c r="N237" i="5"/>
  <c r="M237" i="5"/>
  <c r="G237" i="5"/>
  <c r="F237" i="5"/>
  <c r="E237" i="5"/>
  <c r="Z236" i="5"/>
  <c r="Y236" i="5"/>
  <c r="X236" i="5"/>
  <c r="W236" i="5"/>
  <c r="V236" i="5"/>
  <c r="U236" i="5"/>
  <c r="O236" i="5"/>
  <c r="N236" i="5"/>
  <c r="M236" i="5"/>
  <c r="G236" i="5"/>
  <c r="F236" i="5"/>
  <c r="E236" i="5"/>
  <c r="Z242" i="5"/>
  <c r="Y242" i="5"/>
  <c r="X242" i="5"/>
  <c r="W242" i="5"/>
  <c r="V242" i="5"/>
  <c r="U242" i="5"/>
  <c r="O242" i="5"/>
  <c r="N242" i="5"/>
  <c r="M242" i="5"/>
  <c r="G242" i="5"/>
  <c r="F242" i="5"/>
  <c r="E242" i="5"/>
  <c r="Z240" i="5"/>
  <c r="Y240" i="5"/>
  <c r="X240" i="5"/>
  <c r="W240" i="5"/>
  <c r="V240" i="5"/>
  <c r="U240" i="5"/>
  <c r="O240" i="5"/>
  <c r="N240" i="5"/>
  <c r="M240" i="5"/>
  <c r="G240" i="5"/>
  <c r="F240" i="5"/>
  <c r="E240" i="5"/>
  <c r="Z245" i="5"/>
  <c r="Y245" i="5"/>
  <c r="X245" i="5"/>
  <c r="W245" i="5"/>
  <c r="V245" i="5"/>
  <c r="U245" i="5"/>
  <c r="O245" i="5"/>
  <c r="N245" i="5"/>
  <c r="M245" i="5"/>
  <c r="G245" i="5"/>
  <c r="F245" i="5"/>
  <c r="E245" i="5"/>
  <c r="Z228" i="5"/>
  <c r="Y228" i="5"/>
  <c r="X228" i="5"/>
  <c r="W228" i="5"/>
  <c r="V228" i="5"/>
  <c r="U228" i="5"/>
  <c r="O228" i="5"/>
  <c r="N228" i="5"/>
  <c r="M228" i="5"/>
  <c r="G228" i="5"/>
  <c r="F228" i="5"/>
  <c r="E228" i="5"/>
  <c r="Z220" i="5"/>
  <c r="Y220" i="5"/>
  <c r="X220" i="5"/>
  <c r="W220" i="5"/>
  <c r="V220" i="5"/>
  <c r="U220" i="5"/>
  <c r="O220" i="5"/>
  <c r="N220" i="5"/>
  <c r="M220" i="5"/>
  <c r="G220" i="5"/>
  <c r="F220" i="5"/>
  <c r="E220" i="5"/>
  <c r="Z238" i="5"/>
  <c r="Y238" i="5"/>
  <c r="X238" i="5"/>
  <c r="W238" i="5"/>
  <c r="V238" i="5"/>
  <c r="U238" i="5"/>
  <c r="O238" i="5"/>
  <c r="N238" i="5"/>
  <c r="M238" i="5"/>
  <c r="G238" i="5"/>
  <c r="F238" i="5"/>
  <c r="E238" i="5"/>
  <c r="Z243" i="5"/>
  <c r="Y243" i="5"/>
  <c r="X243" i="5"/>
  <c r="W243" i="5"/>
  <c r="V243" i="5"/>
  <c r="U243" i="5"/>
  <c r="O243" i="5"/>
  <c r="N243" i="5"/>
  <c r="M243" i="5"/>
  <c r="G243" i="5"/>
  <c r="F243" i="5"/>
  <c r="E243" i="5"/>
  <c r="Z226" i="5"/>
  <c r="Y226" i="5"/>
  <c r="X226" i="5"/>
  <c r="W226" i="5"/>
  <c r="V226" i="5"/>
  <c r="U226" i="5"/>
  <c r="O226" i="5"/>
  <c r="N226" i="5"/>
  <c r="M226" i="5"/>
  <c r="G226" i="5"/>
  <c r="F226" i="5"/>
  <c r="E226" i="5"/>
  <c r="Z305" i="5"/>
  <c r="Y305" i="5"/>
  <c r="X305" i="5"/>
  <c r="W305" i="5"/>
  <c r="V305" i="5"/>
  <c r="U305" i="5"/>
  <c r="O305" i="5"/>
  <c r="N305" i="5"/>
  <c r="M305" i="5"/>
  <c r="G305" i="5"/>
  <c r="F305" i="5"/>
  <c r="E305" i="5"/>
  <c r="Z222" i="5"/>
  <c r="Y222" i="5"/>
  <c r="X222" i="5"/>
  <c r="W222" i="5"/>
  <c r="V222" i="5"/>
  <c r="U222" i="5"/>
  <c r="O222" i="5"/>
  <c r="N222" i="5"/>
  <c r="M222" i="5"/>
  <c r="G222" i="5"/>
  <c r="F222" i="5"/>
  <c r="E222" i="5"/>
  <c r="Z231" i="5"/>
  <c r="Y231" i="5"/>
  <c r="X231" i="5"/>
  <c r="W231" i="5"/>
  <c r="V231" i="5"/>
  <c r="U231" i="5"/>
  <c r="O231" i="5"/>
  <c r="N231" i="5"/>
  <c r="M231" i="5"/>
  <c r="G231" i="5"/>
  <c r="F231" i="5"/>
  <c r="E231" i="5"/>
  <c r="Z230" i="5"/>
  <c r="Y230" i="5"/>
  <c r="X230" i="5"/>
  <c r="W230" i="5"/>
  <c r="V230" i="5"/>
  <c r="U230" i="5"/>
  <c r="O230" i="5"/>
  <c r="N230" i="5"/>
  <c r="M230" i="5"/>
  <c r="G230" i="5"/>
  <c r="F230" i="5"/>
  <c r="E230" i="5"/>
  <c r="Z223" i="5"/>
  <c r="Y223" i="5"/>
  <c r="X223" i="5"/>
  <c r="W223" i="5"/>
  <c r="V223" i="5"/>
  <c r="U223" i="5"/>
  <c r="O223" i="5"/>
  <c r="N223" i="5"/>
  <c r="M223" i="5"/>
  <c r="G223" i="5"/>
  <c r="F223" i="5"/>
  <c r="E223" i="5"/>
  <c r="Z191" i="5"/>
  <c r="Y191" i="5"/>
  <c r="X191" i="5"/>
  <c r="W191" i="5"/>
  <c r="V191" i="5"/>
  <c r="U191" i="5"/>
  <c r="O191" i="5"/>
  <c r="N191" i="5"/>
  <c r="M191" i="5"/>
  <c r="G191" i="5"/>
  <c r="F191" i="5"/>
  <c r="E191" i="5"/>
  <c r="Z219" i="5"/>
  <c r="Y219" i="5"/>
  <c r="X219" i="5"/>
  <c r="W219" i="5"/>
  <c r="V219" i="5"/>
  <c r="U219" i="5"/>
  <c r="O219" i="5"/>
  <c r="N219" i="5"/>
  <c r="M219" i="5"/>
  <c r="G219" i="5"/>
  <c r="F219" i="5"/>
  <c r="E219" i="5"/>
  <c r="Z232" i="5"/>
  <c r="Y232" i="5"/>
  <c r="X232" i="5"/>
  <c r="W232" i="5"/>
  <c r="V232" i="5"/>
  <c r="U232" i="5"/>
  <c r="O232" i="5"/>
  <c r="N232" i="5"/>
  <c r="M232" i="5"/>
  <c r="G232" i="5"/>
  <c r="F232" i="5"/>
  <c r="E232" i="5"/>
  <c r="Z233" i="5"/>
  <c r="Y233" i="5"/>
  <c r="X233" i="5"/>
  <c r="W233" i="5"/>
  <c r="V233" i="5"/>
  <c r="U233" i="5"/>
  <c r="O233" i="5"/>
  <c r="N233" i="5"/>
  <c r="M233" i="5"/>
  <c r="G233" i="5"/>
  <c r="F233" i="5"/>
  <c r="E233" i="5"/>
  <c r="Z187" i="5"/>
  <c r="Y187" i="5"/>
  <c r="X187" i="5"/>
  <c r="W187" i="5"/>
  <c r="V187" i="5"/>
  <c r="U187" i="5"/>
  <c r="O187" i="5"/>
  <c r="N187" i="5"/>
  <c r="M187" i="5"/>
  <c r="G187" i="5"/>
  <c r="F187" i="5"/>
  <c r="E187" i="5"/>
  <c r="Z224" i="5"/>
  <c r="Y224" i="5"/>
  <c r="X224" i="5"/>
  <c r="W224" i="5"/>
  <c r="V224" i="5"/>
  <c r="U224" i="5"/>
  <c r="O224" i="5"/>
  <c r="N224" i="5"/>
  <c r="M224" i="5"/>
  <c r="G224" i="5"/>
  <c r="F224" i="5"/>
  <c r="E224" i="5"/>
  <c r="Z217" i="5"/>
  <c r="Y217" i="5"/>
  <c r="X217" i="5"/>
  <c r="W217" i="5"/>
  <c r="V217" i="5"/>
  <c r="U217" i="5"/>
  <c r="O217" i="5"/>
  <c r="N217" i="5"/>
  <c r="M217" i="5"/>
  <c r="G217" i="5"/>
  <c r="F217" i="5"/>
  <c r="E217" i="5"/>
  <c r="Z215" i="5"/>
  <c r="Y215" i="5"/>
  <c r="X215" i="5"/>
  <c r="W215" i="5"/>
  <c r="V215" i="5"/>
  <c r="U215" i="5"/>
  <c r="O215" i="5"/>
  <c r="N215" i="5"/>
  <c r="M215" i="5"/>
  <c r="G215" i="5"/>
  <c r="F215" i="5"/>
  <c r="E215" i="5"/>
  <c r="Z192" i="5"/>
  <c r="Y192" i="5"/>
  <c r="X192" i="5"/>
  <c r="W192" i="5"/>
  <c r="V192" i="5"/>
  <c r="U192" i="5"/>
  <c r="O192" i="5"/>
  <c r="N192" i="5"/>
  <c r="M192" i="5"/>
  <c r="G192" i="5"/>
  <c r="F192" i="5"/>
  <c r="E192" i="5"/>
  <c r="Z234" i="5"/>
  <c r="Y234" i="5"/>
  <c r="X234" i="5"/>
  <c r="W234" i="5"/>
  <c r="V234" i="5"/>
  <c r="U234" i="5"/>
  <c r="O234" i="5"/>
  <c r="N234" i="5"/>
  <c r="M234" i="5"/>
  <c r="G234" i="5"/>
  <c r="F234" i="5"/>
  <c r="E234" i="5"/>
  <c r="Z216" i="5"/>
  <c r="Y216" i="5"/>
  <c r="X216" i="5"/>
  <c r="W216" i="5"/>
  <c r="V216" i="5"/>
  <c r="U216" i="5"/>
  <c r="O216" i="5"/>
  <c r="N216" i="5"/>
  <c r="M216" i="5"/>
  <c r="G216" i="5"/>
  <c r="F216" i="5"/>
  <c r="E216" i="5"/>
  <c r="Z193" i="5"/>
  <c r="Y193" i="5"/>
  <c r="X193" i="5"/>
  <c r="W193" i="5"/>
  <c r="V193" i="5"/>
  <c r="U193" i="5"/>
  <c r="O193" i="5"/>
  <c r="N193" i="5"/>
  <c r="M193" i="5"/>
  <c r="G193" i="5"/>
  <c r="F193" i="5"/>
  <c r="E193" i="5"/>
  <c r="Z227" i="5"/>
  <c r="Y227" i="5"/>
  <c r="X227" i="5"/>
  <c r="W227" i="5"/>
  <c r="V227" i="5"/>
  <c r="U227" i="5"/>
  <c r="O227" i="5"/>
  <c r="N227" i="5"/>
  <c r="M227" i="5"/>
  <c r="G227" i="5"/>
  <c r="F227" i="5"/>
  <c r="E227" i="5"/>
  <c r="Z212" i="5"/>
  <c r="Y212" i="5"/>
  <c r="X212" i="5"/>
  <c r="W212" i="5"/>
  <c r="V212" i="5"/>
  <c r="U212" i="5"/>
  <c r="O212" i="5"/>
  <c r="N212" i="5"/>
  <c r="M212" i="5"/>
  <c r="G212" i="5"/>
  <c r="F212" i="5"/>
  <c r="E212" i="5"/>
  <c r="Z211" i="5"/>
  <c r="Y211" i="5"/>
  <c r="X211" i="5"/>
  <c r="W211" i="5"/>
  <c r="V211" i="5"/>
  <c r="U211" i="5"/>
  <c r="O211" i="5"/>
  <c r="N211" i="5"/>
  <c r="M211" i="5"/>
  <c r="G211" i="5"/>
  <c r="F211" i="5"/>
  <c r="E211" i="5"/>
  <c r="Z207" i="5"/>
  <c r="Y207" i="5"/>
  <c r="X207" i="5"/>
  <c r="W207" i="5"/>
  <c r="V207" i="5"/>
  <c r="U207" i="5"/>
  <c r="O207" i="5"/>
  <c r="N207" i="5"/>
  <c r="M207" i="5"/>
  <c r="G207" i="5"/>
  <c r="F207" i="5"/>
  <c r="E207" i="5"/>
  <c r="Z208" i="5"/>
  <c r="Y208" i="5"/>
  <c r="X208" i="5"/>
  <c r="W208" i="5"/>
  <c r="V208" i="5"/>
  <c r="U208" i="5"/>
  <c r="O208" i="5"/>
  <c r="N208" i="5"/>
  <c r="M208" i="5"/>
  <c r="G208" i="5"/>
  <c r="F208" i="5"/>
  <c r="E208" i="5"/>
  <c r="Z196" i="5"/>
  <c r="Y196" i="5"/>
  <c r="X196" i="5"/>
  <c r="W196" i="5"/>
  <c r="V196" i="5"/>
  <c r="U196" i="5"/>
  <c r="O196" i="5"/>
  <c r="N196" i="5"/>
  <c r="M196" i="5"/>
  <c r="G196" i="5"/>
  <c r="F196" i="5"/>
  <c r="E196" i="5"/>
  <c r="Z209" i="5"/>
  <c r="Y209" i="5"/>
  <c r="X209" i="5"/>
  <c r="W209" i="5"/>
  <c r="V209" i="5"/>
  <c r="U209" i="5"/>
  <c r="O209" i="5"/>
  <c r="N209" i="5"/>
  <c r="M209" i="5"/>
  <c r="G209" i="5"/>
  <c r="F209" i="5"/>
  <c r="E209" i="5"/>
  <c r="Z206" i="5"/>
  <c r="Y206" i="5"/>
  <c r="X206" i="5"/>
  <c r="W206" i="5"/>
  <c r="V206" i="5"/>
  <c r="U206" i="5"/>
  <c r="O206" i="5"/>
  <c r="N206" i="5"/>
  <c r="M206" i="5"/>
  <c r="G206" i="5"/>
  <c r="F206" i="5"/>
  <c r="E206" i="5"/>
  <c r="Z94" i="5"/>
  <c r="Y94" i="5"/>
  <c r="X94" i="5"/>
  <c r="W94" i="5"/>
  <c r="V94" i="5"/>
  <c r="U94" i="5"/>
  <c r="O94" i="5"/>
  <c r="N94" i="5"/>
  <c r="M94" i="5"/>
  <c r="G94" i="5"/>
  <c r="F94" i="5"/>
  <c r="E94" i="5"/>
  <c r="Z218" i="5"/>
  <c r="Y218" i="5"/>
  <c r="X218" i="5"/>
  <c r="W218" i="5"/>
  <c r="V218" i="5"/>
  <c r="U218" i="5"/>
  <c r="O218" i="5"/>
  <c r="N218" i="5"/>
  <c r="M218" i="5"/>
  <c r="G218" i="5"/>
  <c r="F218" i="5"/>
  <c r="E218" i="5"/>
  <c r="Z188" i="5"/>
  <c r="Y188" i="5"/>
  <c r="X188" i="5"/>
  <c r="W188" i="5"/>
  <c r="V188" i="5"/>
  <c r="U188" i="5"/>
  <c r="O188" i="5"/>
  <c r="N188" i="5"/>
  <c r="M188" i="5"/>
  <c r="G188" i="5"/>
  <c r="F188" i="5"/>
  <c r="E188" i="5"/>
  <c r="Z170" i="5"/>
  <c r="Y170" i="5"/>
  <c r="X170" i="5"/>
  <c r="W170" i="5"/>
  <c r="V170" i="5"/>
  <c r="U170" i="5"/>
  <c r="O170" i="5"/>
  <c r="N170" i="5"/>
  <c r="M170" i="5"/>
  <c r="G170" i="5"/>
  <c r="F170" i="5"/>
  <c r="E170" i="5"/>
  <c r="Z205" i="5"/>
  <c r="Y205" i="5"/>
  <c r="X205" i="5"/>
  <c r="W205" i="5"/>
  <c r="V205" i="5"/>
  <c r="U205" i="5"/>
  <c r="O205" i="5"/>
  <c r="N205" i="5"/>
  <c r="M205" i="5"/>
  <c r="G205" i="5"/>
  <c r="F205" i="5"/>
  <c r="E205" i="5"/>
  <c r="Z202" i="5"/>
  <c r="Y202" i="5"/>
  <c r="X202" i="5"/>
  <c r="W202" i="5"/>
  <c r="V202" i="5"/>
  <c r="U202" i="5"/>
  <c r="O202" i="5"/>
  <c r="N202" i="5"/>
  <c r="M202" i="5"/>
  <c r="G202" i="5"/>
  <c r="F202" i="5"/>
  <c r="E202" i="5"/>
  <c r="Z201" i="5"/>
  <c r="Y201" i="5"/>
  <c r="X201" i="5"/>
  <c r="W201" i="5"/>
  <c r="V201" i="5"/>
  <c r="U201" i="5"/>
  <c r="O201" i="5"/>
  <c r="N201" i="5"/>
  <c r="M201" i="5"/>
  <c r="G201" i="5"/>
  <c r="F201" i="5"/>
  <c r="E201" i="5"/>
  <c r="Z204" i="5"/>
  <c r="Y204" i="5"/>
  <c r="X204" i="5"/>
  <c r="W204" i="5"/>
  <c r="V204" i="5"/>
  <c r="U204" i="5"/>
  <c r="O204" i="5"/>
  <c r="N204" i="5"/>
  <c r="M204" i="5"/>
  <c r="G204" i="5"/>
  <c r="F204" i="5"/>
  <c r="E204" i="5"/>
  <c r="Z203" i="5"/>
  <c r="Y203" i="5"/>
  <c r="X203" i="5"/>
  <c r="W203" i="5"/>
  <c r="V203" i="5"/>
  <c r="U203" i="5"/>
  <c r="O203" i="5"/>
  <c r="N203" i="5"/>
  <c r="M203" i="5"/>
  <c r="G203" i="5"/>
  <c r="F203" i="5"/>
  <c r="E203" i="5"/>
  <c r="Z149" i="5"/>
  <c r="Y149" i="5"/>
  <c r="X149" i="5"/>
  <c r="W149" i="5"/>
  <c r="V149" i="5"/>
  <c r="U149" i="5"/>
  <c r="O149" i="5"/>
  <c r="N149" i="5"/>
  <c r="M149" i="5"/>
  <c r="G149" i="5"/>
  <c r="F149" i="5"/>
  <c r="E149" i="5"/>
  <c r="Z210" i="5"/>
  <c r="Y210" i="5"/>
  <c r="X210" i="5"/>
  <c r="W210" i="5"/>
  <c r="V210" i="5"/>
  <c r="U210" i="5"/>
  <c r="O210" i="5"/>
  <c r="N210" i="5"/>
  <c r="M210" i="5"/>
  <c r="G210" i="5"/>
  <c r="F210" i="5"/>
  <c r="E210" i="5"/>
  <c r="Z197" i="5"/>
  <c r="Y197" i="5"/>
  <c r="X197" i="5"/>
  <c r="W197" i="5"/>
  <c r="V197" i="5"/>
  <c r="U197" i="5"/>
  <c r="O197" i="5"/>
  <c r="N197" i="5"/>
  <c r="M197" i="5"/>
  <c r="G197" i="5"/>
  <c r="F197" i="5"/>
  <c r="E197" i="5"/>
  <c r="Z189" i="5"/>
  <c r="Y189" i="5"/>
  <c r="X189" i="5"/>
  <c r="W189" i="5"/>
  <c r="V189" i="5"/>
  <c r="U189" i="5"/>
  <c r="O189" i="5"/>
  <c r="N189" i="5"/>
  <c r="M189" i="5"/>
  <c r="G189" i="5"/>
  <c r="F189" i="5"/>
  <c r="E189" i="5"/>
  <c r="Z190" i="5"/>
  <c r="Y190" i="5"/>
  <c r="X190" i="5"/>
  <c r="W190" i="5"/>
  <c r="V190" i="5"/>
  <c r="U190" i="5"/>
  <c r="O190" i="5"/>
  <c r="N190" i="5"/>
  <c r="M190" i="5"/>
  <c r="G190" i="5"/>
  <c r="F190" i="5"/>
  <c r="E190" i="5"/>
  <c r="Z185" i="5"/>
  <c r="Y185" i="5"/>
  <c r="X185" i="5"/>
  <c r="W185" i="5"/>
  <c r="V185" i="5"/>
  <c r="U185" i="5"/>
  <c r="O185" i="5"/>
  <c r="N185" i="5"/>
  <c r="M185" i="5"/>
  <c r="G185" i="5"/>
  <c r="F185" i="5"/>
  <c r="E185" i="5"/>
  <c r="Z179" i="5"/>
  <c r="Y179" i="5"/>
  <c r="X179" i="5"/>
  <c r="W179" i="5"/>
  <c r="V179" i="5"/>
  <c r="U179" i="5"/>
  <c r="O179" i="5"/>
  <c r="N179" i="5"/>
  <c r="M179" i="5"/>
  <c r="G179" i="5"/>
  <c r="F179" i="5"/>
  <c r="E179" i="5"/>
  <c r="Z184" i="5"/>
  <c r="Y184" i="5"/>
  <c r="X184" i="5"/>
  <c r="W184" i="5"/>
  <c r="V184" i="5"/>
  <c r="U184" i="5"/>
  <c r="O184" i="5"/>
  <c r="N184" i="5"/>
  <c r="M184" i="5"/>
  <c r="G184" i="5"/>
  <c r="F184" i="5"/>
  <c r="E184" i="5"/>
  <c r="Z186" i="5"/>
  <c r="Y186" i="5"/>
  <c r="X186" i="5"/>
  <c r="W186" i="5"/>
  <c r="V186" i="5"/>
  <c r="U186" i="5"/>
  <c r="O186" i="5"/>
  <c r="N186" i="5"/>
  <c r="M186" i="5"/>
  <c r="G186" i="5"/>
  <c r="F186" i="5"/>
  <c r="E186" i="5"/>
  <c r="Z195" i="5"/>
  <c r="Y195" i="5"/>
  <c r="X195" i="5"/>
  <c r="W195" i="5"/>
  <c r="V195" i="5"/>
  <c r="U195" i="5"/>
  <c r="O195" i="5"/>
  <c r="N195" i="5"/>
  <c r="M195" i="5"/>
  <c r="G195" i="5"/>
  <c r="F195" i="5"/>
  <c r="E195" i="5"/>
  <c r="Z200" i="5"/>
  <c r="Y200" i="5"/>
  <c r="X200" i="5"/>
  <c r="W200" i="5"/>
  <c r="V200" i="5"/>
  <c r="U200" i="5"/>
  <c r="O200" i="5"/>
  <c r="N200" i="5"/>
  <c r="M200" i="5"/>
  <c r="G200" i="5"/>
  <c r="F200" i="5"/>
  <c r="E200" i="5"/>
  <c r="Z199" i="5"/>
  <c r="Y199" i="5"/>
  <c r="X199" i="5"/>
  <c r="W199" i="5"/>
  <c r="V199" i="5"/>
  <c r="U199" i="5"/>
  <c r="O199" i="5"/>
  <c r="N199" i="5"/>
  <c r="M199" i="5"/>
  <c r="G199" i="5"/>
  <c r="F199" i="5"/>
  <c r="E199" i="5"/>
  <c r="Z198" i="5"/>
  <c r="Y198" i="5"/>
  <c r="X198" i="5"/>
  <c r="W198" i="5"/>
  <c r="V198" i="5"/>
  <c r="U198" i="5"/>
  <c r="O198" i="5"/>
  <c r="N198" i="5"/>
  <c r="M198" i="5"/>
  <c r="G198" i="5"/>
  <c r="F198" i="5"/>
  <c r="E198" i="5"/>
  <c r="Z194" i="5"/>
  <c r="Y194" i="5"/>
  <c r="X194" i="5"/>
  <c r="W194" i="5"/>
  <c r="V194" i="5"/>
  <c r="U194" i="5"/>
  <c r="O194" i="5"/>
  <c r="N194" i="5"/>
  <c r="M194" i="5"/>
  <c r="G194" i="5"/>
  <c r="F194" i="5"/>
  <c r="E194" i="5"/>
  <c r="Z171" i="5"/>
  <c r="Y171" i="5"/>
  <c r="X171" i="5"/>
  <c r="W171" i="5"/>
  <c r="V171" i="5"/>
  <c r="U171" i="5"/>
  <c r="O171" i="5"/>
  <c r="N171" i="5"/>
  <c r="M171" i="5"/>
  <c r="G171" i="5"/>
  <c r="F171" i="5"/>
  <c r="E171" i="5"/>
  <c r="Z183" i="5"/>
  <c r="Y183" i="5"/>
  <c r="X183" i="5"/>
  <c r="W183" i="5"/>
  <c r="V183" i="5"/>
  <c r="U183" i="5"/>
  <c r="O183" i="5"/>
  <c r="N183" i="5"/>
  <c r="M183" i="5"/>
  <c r="G183" i="5"/>
  <c r="F183" i="5"/>
  <c r="E183" i="5"/>
  <c r="Z177" i="5"/>
  <c r="Y177" i="5"/>
  <c r="X177" i="5"/>
  <c r="W177" i="5"/>
  <c r="V177" i="5"/>
  <c r="U177" i="5"/>
  <c r="O177" i="5"/>
  <c r="N177" i="5"/>
  <c r="M177" i="5"/>
  <c r="G177" i="5"/>
  <c r="F177" i="5"/>
  <c r="E177" i="5"/>
  <c r="Z178" i="5"/>
  <c r="Y178" i="5"/>
  <c r="X178" i="5"/>
  <c r="W178" i="5"/>
  <c r="V178" i="5"/>
  <c r="U178" i="5"/>
  <c r="O178" i="5"/>
  <c r="N178" i="5"/>
  <c r="M178" i="5"/>
  <c r="G178" i="5"/>
  <c r="F178" i="5"/>
  <c r="E178" i="5"/>
  <c r="Z180" i="5"/>
  <c r="Y180" i="5"/>
  <c r="X180" i="5"/>
  <c r="W180" i="5"/>
  <c r="V180" i="5"/>
  <c r="U180" i="5"/>
  <c r="O180" i="5"/>
  <c r="N180" i="5"/>
  <c r="M180" i="5"/>
  <c r="G180" i="5"/>
  <c r="F180" i="5"/>
  <c r="E180" i="5"/>
  <c r="Z175" i="5"/>
  <c r="Y175" i="5"/>
  <c r="X175" i="5"/>
  <c r="W175" i="5"/>
  <c r="V175" i="5"/>
  <c r="U175" i="5"/>
  <c r="O175" i="5"/>
  <c r="N175" i="5"/>
  <c r="M175" i="5"/>
  <c r="G175" i="5"/>
  <c r="F175" i="5"/>
  <c r="E175" i="5"/>
  <c r="Z181" i="5"/>
  <c r="Y181" i="5"/>
  <c r="X181" i="5"/>
  <c r="W181" i="5"/>
  <c r="V181" i="5"/>
  <c r="U181" i="5"/>
  <c r="O181" i="5"/>
  <c r="N181" i="5"/>
  <c r="M181" i="5"/>
  <c r="G181" i="5"/>
  <c r="F181" i="5"/>
  <c r="E181" i="5"/>
  <c r="Z173" i="5"/>
  <c r="Y173" i="5"/>
  <c r="X173" i="5"/>
  <c r="W173" i="5"/>
  <c r="V173" i="5"/>
  <c r="U173" i="5"/>
  <c r="O173" i="5"/>
  <c r="N173" i="5"/>
  <c r="M173" i="5"/>
  <c r="G173" i="5"/>
  <c r="F173" i="5"/>
  <c r="E173" i="5"/>
  <c r="Z172" i="5"/>
  <c r="Y172" i="5"/>
  <c r="X172" i="5"/>
  <c r="W172" i="5"/>
  <c r="V172" i="5"/>
  <c r="U172" i="5"/>
  <c r="O172" i="5"/>
  <c r="N172" i="5"/>
  <c r="M172" i="5"/>
  <c r="G172" i="5"/>
  <c r="F172" i="5"/>
  <c r="E172" i="5"/>
  <c r="Z174" i="5"/>
  <c r="Y174" i="5"/>
  <c r="X174" i="5"/>
  <c r="W174" i="5"/>
  <c r="V174" i="5"/>
  <c r="U174" i="5"/>
  <c r="O174" i="5"/>
  <c r="N174" i="5"/>
  <c r="M174" i="5"/>
  <c r="G174" i="5"/>
  <c r="F174" i="5"/>
  <c r="E174" i="5"/>
  <c r="Z182" i="5"/>
  <c r="Y182" i="5"/>
  <c r="X182" i="5"/>
  <c r="W182" i="5"/>
  <c r="V182" i="5"/>
  <c r="U182" i="5"/>
  <c r="O182" i="5"/>
  <c r="N182" i="5"/>
  <c r="M182" i="5"/>
  <c r="G182" i="5"/>
  <c r="F182" i="5"/>
  <c r="E182" i="5"/>
  <c r="Z162" i="5"/>
  <c r="Y162" i="5"/>
  <c r="X162" i="5"/>
  <c r="W162" i="5"/>
  <c r="V162" i="5"/>
  <c r="U162" i="5"/>
  <c r="O162" i="5"/>
  <c r="N162" i="5"/>
  <c r="M162" i="5"/>
  <c r="G162" i="5"/>
  <c r="F162" i="5"/>
  <c r="E162" i="5"/>
  <c r="Z165" i="5"/>
  <c r="Y165" i="5"/>
  <c r="X165" i="5"/>
  <c r="W165" i="5"/>
  <c r="V165" i="5"/>
  <c r="U165" i="5"/>
  <c r="O165" i="5"/>
  <c r="N165" i="5"/>
  <c r="M165" i="5"/>
  <c r="G165" i="5"/>
  <c r="F165" i="5"/>
  <c r="E165" i="5"/>
  <c r="Z130" i="5"/>
  <c r="Y130" i="5"/>
  <c r="X130" i="5"/>
  <c r="W130" i="5"/>
  <c r="V130" i="5"/>
  <c r="U130" i="5"/>
  <c r="O130" i="5"/>
  <c r="N130" i="5"/>
  <c r="M130" i="5"/>
  <c r="G130" i="5"/>
  <c r="F130" i="5"/>
  <c r="E130" i="5"/>
  <c r="Z160" i="5"/>
  <c r="Y160" i="5"/>
  <c r="X160" i="5"/>
  <c r="W160" i="5"/>
  <c r="V160" i="5"/>
  <c r="U160" i="5"/>
  <c r="O160" i="5"/>
  <c r="N160" i="5"/>
  <c r="M160" i="5"/>
  <c r="G160" i="5"/>
  <c r="F160" i="5"/>
  <c r="E160" i="5"/>
  <c r="Z164" i="5"/>
  <c r="Y164" i="5"/>
  <c r="X164" i="5"/>
  <c r="W164" i="5"/>
  <c r="V164" i="5"/>
  <c r="U164" i="5"/>
  <c r="O164" i="5"/>
  <c r="N164" i="5"/>
  <c r="M164" i="5"/>
  <c r="G164" i="5"/>
  <c r="F164" i="5"/>
  <c r="E164" i="5"/>
  <c r="Z176" i="5"/>
  <c r="Y176" i="5"/>
  <c r="X176" i="5"/>
  <c r="W176" i="5"/>
  <c r="V176" i="5"/>
  <c r="U176" i="5"/>
  <c r="O176" i="5"/>
  <c r="N176" i="5"/>
  <c r="M176" i="5"/>
  <c r="G176" i="5"/>
  <c r="F176" i="5"/>
  <c r="E176" i="5"/>
  <c r="Z133" i="5"/>
  <c r="Y133" i="5"/>
  <c r="X133" i="5"/>
  <c r="W133" i="5"/>
  <c r="V133" i="5"/>
  <c r="U133" i="5"/>
  <c r="O133" i="5"/>
  <c r="N133" i="5"/>
  <c r="M133" i="5"/>
  <c r="G133" i="5"/>
  <c r="F133" i="5"/>
  <c r="E133" i="5"/>
  <c r="Z154" i="5"/>
  <c r="Y154" i="5"/>
  <c r="X154" i="5"/>
  <c r="W154" i="5"/>
  <c r="V154" i="5"/>
  <c r="U154" i="5"/>
  <c r="O154" i="5"/>
  <c r="N154" i="5"/>
  <c r="M154" i="5"/>
  <c r="G154" i="5"/>
  <c r="F154" i="5"/>
  <c r="E154" i="5"/>
  <c r="Z161" i="5"/>
  <c r="Y161" i="5"/>
  <c r="X161" i="5"/>
  <c r="W161" i="5"/>
  <c r="V161" i="5"/>
  <c r="U161" i="5"/>
  <c r="O161" i="5"/>
  <c r="N161" i="5"/>
  <c r="M161" i="5"/>
  <c r="G161" i="5"/>
  <c r="F161" i="5"/>
  <c r="E161" i="5"/>
  <c r="Z167" i="5"/>
  <c r="Y167" i="5"/>
  <c r="X167" i="5"/>
  <c r="W167" i="5"/>
  <c r="V167" i="5"/>
  <c r="U167" i="5"/>
  <c r="O167" i="5"/>
  <c r="N167" i="5"/>
  <c r="M167" i="5"/>
  <c r="G167" i="5"/>
  <c r="F167" i="5"/>
  <c r="E167" i="5"/>
  <c r="Z163" i="5"/>
  <c r="Y163" i="5"/>
  <c r="X163" i="5"/>
  <c r="W163" i="5"/>
  <c r="V163" i="5"/>
  <c r="U163" i="5"/>
  <c r="O163" i="5"/>
  <c r="N163" i="5"/>
  <c r="M163" i="5"/>
  <c r="G163" i="5"/>
  <c r="F163" i="5"/>
  <c r="E163" i="5"/>
  <c r="Z169" i="5"/>
  <c r="Y169" i="5"/>
  <c r="X169" i="5"/>
  <c r="W169" i="5"/>
  <c r="V169" i="5"/>
  <c r="U169" i="5"/>
  <c r="O169" i="5"/>
  <c r="N169" i="5"/>
  <c r="M169" i="5"/>
  <c r="G169" i="5"/>
  <c r="F169" i="5"/>
  <c r="E169" i="5"/>
  <c r="Z166" i="5"/>
  <c r="Y166" i="5"/>
  <c r="X166" i="5"/>
  <c r="W166" i="5"/>
  <c r="V166" i="5"/>
  <c r="U166" i="5"/>
  <c r="O166" i="5"/>
  <c r="N166" i="5"/>
  <c r="M166" i="5"/>
  <c r="G166" i="5"/>
  <c r="F166" i="5"/>
  <c r="E166" i="5"/>
  <c r="Z156" i="5"/>
  <c r="Y156" i="5"/>
  <c r="X156" i="5"/>
  <c r="W156" i="5"/>
  <c r="V156" i="5"/>
  <c r="U156" i="5"/>
  <c r="O156" i="5"/>
  <c r="N156" i="5"/>
  <c r="M156" i="5"/>
  <c r="G156" i="5"/>
  <c r="F156" i="5"/>
  <c r="E156" i="5"/>
  <c r="Z150" i="5"/>
  <c r="Y150" i="5"/>
  <c r="X150" i="5"/>
  <c r="W150" i="5"/>
  <c r="V150" i="5"/>
  <c r="U150" i="5"/>
  <c r="O150" i="5"/>
  <c r="N150" i="5"/>
  <c r="M150" i="5"/>
  <c r="G150" i="5"/>
  <c r="F150" i="5"/>
  <c r="E150" i="5"/>
  <c r="Z153" i="5"/>
  <c r="Y153" i="5"/>
  <c r="X153" i="5"/>
  <c r="W153" i="5"/>
  <c r="V153" i="5"/>
  <c r="U153" i="5"/>
  <c r="O153" i="5"/>
  <c r="N153" i="5"/>
  <c r="M153" i="5"/>
  <c r="G153" i="5"/>
  <c r="F153" i="5"/>
  <c r="E153" i="5"/>
  <c r="Z155" i="5"/>
  <c r="Y155" i="5"/>
  <c r="X155" i="5"/>
  <c r="W155" i="5"/>
  <c r="V155" i="5"/>
  <c r="U155" i="5"/>
  <c r="O155" i="5"/>
  <c r="N155" i="5"/>
  <c r="M155" i="5"/>
  <c r="G155" i="5"/>
  <c r="F155" i="5"/>
  <c r="E155" i="5"/>
  <c r="Z152" i="5"/>
  <c r="Y152" i="5"/>
  <c r="X152" i="5"/>
  <c r="W152" i="5"/>
  <c r="V152" i="5"/>
  <c r="U152" i="5"/>
  <c r="O152" i="5"/>
  <c r="N152" i="5"/>
  <c r="M152" i="5"/>
  <c r="G152" i="5"/>
  <c r="F152" i="5"/>
  <c r="E152" i="5"/>
  <c r="Z157" i="5"/>
  <c r="Y157" i="5"/>
  <c r="X157" i="5"/>
  <c r="W157" i="5"/>
  <c r="V157" i="5"/>
  <c r="U157" i="5"/>
  <c r="O157" i="5"/>
  <c r="N157" i="5"/>
  <c r="M157" i="5"/>
  <c r="G157" i="5"/>
  <c r="F157" i="5"/>
  <c r="E157" i="5"/>
  <c r="Z158" i="5"/>
  <c r="Y158" i="5"/>
  <c r="X158" i="5"/>
  <c r="W158" i="5"/>
  <c r="V158" i="5"/>
  <c r="U158" i="5"/>
  <c r="O158" i="5"/>
  <c r="N158" i="5"/>
  <c r="M158" i="5"/>
  <c r="G158" i="5"/>
  <c r="F158" i="5"/>
  <c r="E158" i="5"/>
  <c r="Z134" i="5"/>
  <c r="Y134" i="5"/>
  <c r="X134" i="5"/>
  <c r="W134" i="5"/>
  <c r="V134" i="5"/>
  <c r="U134" i="5"/>
  <c r="O134" i="5"/>
  <c r="N134" i="5"/>
  <c r="M134" i="5"/>
  <c r="G134" i="5"/>
  <c r="F134" i="5"/>
  <c r="E134" i="5"/>
  <c r="Z151" i="5"/>
  <c r="Y151" i="5"/>
  <c r="X151" i="5"/>
  <c r="W151" i="5"/>
  <c r="V151" i="5"/>
  <c r="U151" i="5"/>
  <c r="O151" i="5"/>
  <c r="N151" i="5"/>
  <c r="M151" i="5"/>
  <c r="G151" i="5"/>
  <c r="F151" i="5"/>
  <c r="E151" i="5"/>
  <c r="Z146" i="5"/>
  <c r="Y146" i="5"/>
  <c r="X146" i="5"/>
  <c r="W146" i="5"/>
  <c r="V146" i="5"/>
  <c r="U146" i="5"/>
  <c r="O146" i="5"/>
  <c r="N146" i="5"/>
  <c r="M146" i="5"/>
  <c r="G146" i="5"/>
  <c r="F146" i="5"/>
  <c r="E146" i="5"/>
  <c r="Z145" i="5"/>
  <c r="Y145" i="5"/>
  <c r="X145" i="5"/>
  <c r="W145" i="5"/>
  <c r="V145" i="5"/>
  <c r="U145" i="5"/>
  <c r="O145" i="5"/>
  <c r="N145" i="5"/>
  <c r="M145" i="5"/>
  <c r="G145" i="5"/>
  <c r="F145" i="5"/>
  <c r="E145" i="5"/>
  <c r="Z148" i="5"/>
  <c r="Y148" i="5"/>
  <c r="X148" i="5"/>
  <c r="W148" i="5"/>
  <c r="V148" i="5"/>
  <c r="U148" i="5"/>
  <c r="O148" i="5"/>
  <c r="N148" i="5"/>
  <c r="M148" i="5"/>
  <c r="G148" i="5"/>
  <c r="F148" i="5"/>
  <c r="E148" i="5"/>
  <c r="Z159" i="5"/>
  <c r="Y159" i="5"/>
  <c r="X159" i="5"/>
  <c r="W159" i="5"/>
  <c r="V159" i="5"/>
  <c r="U159" i="5"/>
  <c r="O159" i="5"/>
  <c r="N159" i="5"/>
  <c r="M159" i="5"/>
  <c r="G159" i="5"/>
  <c r="F159" i="5"/>
  <c r="E159" i="5"/>
  <c r="Z139" i="5"/>
  <c r="Y139" i="5"/>
  <c r="X139" i="5"/>
  <c r="W139" i="5"/>
  <c r="V139" i="5"/>
  <c r="U139" i="5"/>
  <c r="O139" i="5"/>
  <c r="N139" i="5"/>
  <c r="M139" i="5"/>
  <c r="G139" i="5"/>
  <c r="F139" i="5"/>
  <c r="E139" i="5"/>
  <c r="Z147" i="5"/>
  <c r="Y147" i="5"/>
  <c r="X147" i="5"/>
  <c r="W147" i="5"/>
  <c r="V147" i="5"/>
  <c r="U147" i="5"/>
  <c r="O147" i="5"/>
  <c r="N147" i="5"/>
  <c r="M147" i="5"/>
  <c r="G147" i="5"/>
  <c r="F147" i="5"/>
  <c r="E147" i="5"/>
  <c r="Z135" i="5"/>
  <c r="Y135" i="5"/>
  <c r="X135" i="5"/>
  <c r="W135" i="5"/>
  <c r="V135" i="5"/>
  <c r="U135" i="5"/>
  <c r="O135" i="5"/>
  <c r="N135" i="5"/>
  <c r="M135" i="5"/>
  <c r="G135" i="5"/>
  <c r="F135" i="5"/>
  <c r="E135" i="5"/>
  <c r="Z138" i="5"/>
  <c r="Y138" i="5"/>
  <c r="X138" i="5"/>
  <c r="W138" i="5"/>
  <c r="V138" i="5"/>
  <c r="U138" i="5"/>
  <c r="O138" i="5"/>
  <c r="N138" i="5"/>
  <c r="M138" i="5"/>
  <c r="G138" i="5"/>
  <c r="F138" i="5"/>
  <c r="E138" i="5"/>
  <c r="Z140" i="5"/>
  <c r="Y140" i="5"/>
  <c r="X140" i="5"/>
  <c r="W140" i="5"/>
  <c r="V140" i="5"/>
  <c r="U140" i="5"/>
  <c r="O140" i="5"/>
  <c r="N140" i="5"/>
  <c r="M140" i="5"/>
  <c r="G140" i="5"/>
  <c r="F140" i="5"/>
  <c r="E140" i="5"/>
  <c r="Z142" i="5"/>
  <c r="Y142" i="5"/>
  <c r="X142" i="5"/>
  <c r="W142" i="5"/>
  <c r="V142" i="5"/>
  <c r="U142" i="5"/>
  <c r="O142" i="5"/>
  <c r="N142" i="5"/>
  <c r="M142" i="5"/>
  <c r="G142" i="5"/>
  <c r="F142" i="5"/>
  <c r="E142" i="5"/>
  <c r="Z107" i="5"/>
  <c r="Y107" i="5"/>
  <c r="X107" i="5"/>
  <c r="W107" i="5"/>
  <c r="V107" i="5"/>
  <c r="U107" i="5"/>
  <c r="O107" i="5"/>
  <c r="N107" i="5"/>
  <c r="M107" i="5"/>
  <c r="G107" i="5"/>
  <c r="F107" i="5"/>
  <c r="E107" i="5"/>
  <c r="Z144" i="5"/>
  <c r="Y144" i="5"/>
  <c r="X144" i="5"/>
  <c r="W144" i="5"/>
  <c r="V144" i="5"/>
  <c r="U144" i="5"/>
  <c r="O144" i="5"/>
  <c r="N144" i="5"/>
  <c r="M144" i="5"/>
  <c r="G144" i="5"/>
  <c r="F144" i="5"/>
  <c r="E144" i="5"/>
  <c r="Z141" i="5"/>
  <c r="Y141" i="5"/>
  <c r="X141" i="5"/>
  <c r="W141" i="5"/>
  <c r="V141" i="5"/>
  <c r="U141" i="5"/>
  <c r="O141" i="5"/>
  <c r="N141" i="5"/>
  <c r="M141" i="5"/>
  <c r="G141" i="5"/>
  <c r="F141" i="5"/>
  <c r="E141" i="5"/>
  <c r="Z136" i="5"/>
  <c r="Y136" i="5"/>
  <c r="X136" i="5"/>
  <c r="W136" i="5"/>
  <c r="V136" i="5"/>
  <c r="U136" i="5"/>
  <c r="O136" i="5"/>
  <c r="N136" i="5"/>
  <c r="M136" i="5"/>
  <c r="G136" i="5"/>
  <c r="F136" i="5"/>
  <c r="E136" i="5"/>
  <c r="Z137" i="5"/>
  <c r="Y137" i="5"/>
  <c r="X137" i="5"/>
  <c r="W137" i="5"/>
  <c r="V137" i="5"/>
  <c r="U137" i="5"/>
  <c r="O137" i="5"/>
  <c r="N137" i="5"/>
  <c r="M137" i="5"/>
  <c r="G137" i="5"/>
  <c r="F137" i="5"/>
  <c r="E137" i="5"/>
  <c r="Z143" i="5"/>
  <c r="Y143" i="5"/>
  <c r="X143" i="5"/>
  <c r="W143" i="5"/>
  <c r="V143" i="5"/>
  <c r="U143" i="5"/>
  <c r="O143" i="5"/>
  <c r="N143" i="5"/>
  <c r="M143" i="5"/>
  <c r="G143" i="5"/>
  <c r="F143" i="5"/>
  <c r="E143" i="5"/>
  <c r="Z128" i="5"/>
  <c r="Y128" i="5"/>
  <c r="X128" i="5"/>
  <c r="W128" i="5"/>
  <c r="V128" i="5"/>
  <c r="U128" i="5"/>
  <c r="O128" i="5"/>
  <c r="N128" i="5"/>
  <c r="M128" i="5"/>
  <c r="G128" i="5"/>
  <c r="F128" i="5"/>
  <c r="E128" i="5"/>
  <c r="Z129" i="5"/>
  <c r="Y129" i="5"/>
  <c r="X129" i="5"/>
  <c r="W129" i="5"/>
  <c r="V129" i="5"/>
  <c r="U129" i="5"/>
  <c r="O129" i="5"/>
  <c r="N129" i="5"/>
  <c r="M129" i="5"/>
  <c r="G129" i="5"/>
  <c r="F129" i="5"/>
  <c r="E129" i="5"/>
  <c r="Z131" i="5"/>
  <c r="Y131" i="5"/>
  <c r="X131" i="5"/>
  <c r="W131" i="5"/>
  <c r="V131" i="5"/>
  <c r="U131" i="5"/>
  <c r="O131" i="5"/>
  <c r="N131" i="5"/>
  <c r="M131" i="5"/>
  <c r="G131" i="5"/>
  <c r="F131" i="5"/>
  <c r="E131" i="5"/>
  <c r="Z126" i="5"/>
  <c r="Y126" i="5"/>
  <c r="X126" i="5"/>
  <c r="W126" i="5"/>
  <c r="V126" i="5"/>
  <c r="U126" i="5"/>
  <c r="O126" i="5"/>
  <c r="N126" i="5"/>
  <c r="M126" i="5"/>
  <c r="G126" i="5"/>
  <c r="F126" i="5"/>
  <c r="E126" i="5"/>
  <c r="Z123" i="5"/>
  <c r="Y123" i="5"/>
  <c r="X123" i="5"/>
  <c r="W123" i="5"/>
  <c r="V123" i="5"/>
  <c r="U123" i="5"/>
  <c r="O123" i="5"/>
  <c r="N123" i="5"/>
  <c r="M123" i="5"/>
  <c r="G123" i="5"/>
  <c r="F123" i="5"/>
  <c r="E123" i="5"/>
  <c r="Z132" i="5"/>
  <c r="Y132" i="5"/>
  <c r="X132" i="5"/>
  <c r="W132" i="5"/>
  <c r="V132" i="5"/>
  <c r="U132" i="5"/>
  <c r="O132" i="5"/>
  <c r="N132" i="5"/>
  <c r="M132" i="5"/>
  <c r="G132" i="5"/>
  <c r="F132" i="5"/>
  <c r="E132" i="5"/>
  <c r="Z127" i="5"/>
  <c r="Y127" i="5"/>
  <c r="X127" i="5"/>
  <c r="W127" i="5"/>
  <c r="V127" i="5"/>
  <c r="U127" i="5"/>
  <c r="O127" i="5"/>
  <c r="N127" i="5"/>
  <c r="M127" i="5"/>
  <c r="G127" i="5"/>
  <c r="F127" i="5"/>
  <c r="E127" i="5"/>
  <c r="Z122" i="5"/>
  <c r="Y122" i="5"/>
  <c r="X122" i="5"/>
  <c r="W122" i="5"/>
  <c r="V122" i="5"/>
  <c r="U122" i="5"/>
  <c r="O122" i="5"/>
  <c r="N122" i="5"/>
  <c r="M122" i="5"/>
  <c r="G122" i="5"/>
  <c r="F122" i="5"/>
  <c r="E122" i="5"/>
  <c r="Z120" i="5"/>
  <c r="Y120" i="5"/>
  <c r="X120" i="5"/>
  <c r="W120" i="5"/>
  <c r="V120" i="5"/>
  <c r="U120" i="5"/>
  <c r="O120" i="5"/>
  <c r="N120" i="5"/>
  <c r="M120" i="5"/>
  <c r="G120" i="5"/>
  <c r="F120" i="5"/>
  <c r="E120" i="5"/>
  <c r="Z124" i="5"/>
  <c r="Y124" i="5"/>
  <c r="X124" i="5"/>
  <c r="W124" i="5"/>
  <c r="V124" i="5"/>
  <c r="U124" i="5"/>
  <c r="O124" i="5"/>
  <c r="N124" i="5"/>
  <c r="M124" i="5"/>
  <c r="G124" i="5"/>
  <c r="F124" i="5"/>
  <c r="E124" i="5"/>
  <c r="Z115" i="5"/>
  <c r="Y115" i="5"/>
  <c r="X115" i="5"/>
  <c r="W115" i="5"/>
  <c r="V115" i="5"/>
  <c r="U115" i="5"/>
  <c r="O115" i="5"/>
  <c r="N115" i="5"/>
  <c r="M115" i="5"/>
  <c r="G115" i="5"/>
  <c r="F115" i="5"/>
  <c r="E115" i="5"/>
  <c r="Z117" i="5"/>
  <c r="Y117" i="5"/>
  <c r="X117" i="5"/>
  <c r="W117" i="5"/>
  <c r="V117" i="5"/>
  <c r="U117" i="5"/>
  <c r="O117" i="5"/>
  <c r="N117" i="5"/>
  <c r="M117" i="5"/>
  <c r="G117" i="5"/>
  <c r="F117" i="5"/>
  <c r="E117" i="5"/>
  <c r="Z119" i="5"/>
  <c r="Y119" i="5"/>
  <c r="X119" i="5"/>
  <c r="W119" i="5"/>
  <c r="V119" i="5"/>
  <c r="U119" i="5"/>
  <c r="O119" i="5"/>
  <c r="N119" i="5"/>
  <c r="M119" i="5"/>
  <c r="G119" i="5"/>
  <c r="F119" i="5"/>
  <c r="E119" i="5"/>
  <c r="Z106" i="5"/>
  <c r="Y106" i="5"/>
  <c r="X106" i="5"/>
  <c r="W106" i="5"/>
  <c r="V106" i="5"/>
  <c r="U106" i="5"/>
  <c r="O106" i="5"/>
  <c r="N106" i="5"/>
  <c r="M106" i="5"/>
  <c r="G106" i="5"/>
  <c r="F106" i="5"/>
  <c r="E106" i="5"/>
  <c r="Z121" i="5"/>
  <c r="Y121" i="5"/>
  <c r="X121" i="5"/>
  <c r="W121" i="5"/>
  <c r="V121" i="5"/>
  <c r="U121" i="5"/>
  <c r="O121" i="5"/>
  <c r="N121" i="5"/>
  <c r="M121" i="5"/>
  <c r="G121" i="5"/>
  <c r="F121" i="5"/>
  <c r="E121" i="5"/>
  <c r="Z116" i="5"/>
  <c r="Y116" i="5"/>
  <c r="X116" i="5"/>
  <c r="W116" i="5"/>
  <c r="V116" i="5"/>
  <c r="U116" i="5"/>
  <c r="O116" i="5"/>
  <c r="N116" i="5"/>
  <c r="M116" i="5"/>
  <c r="G116" i="5"/>
  <c r="F116" i="5"/>
  <c r="E116" i="5"/>
  <c r="Z125" i="5"/>
  <c r="Y125" i="5"/>
  <c r="X125" i="5"/>
  <c r="W125" i="5"/>
  <c r="V125" i="5"/>
  <c r="U125" i="5"/>
  <c r="O125" i="5"/>
  <c r="N125" i="5"/>
  <c r="M125" i="5"/>
  <c r="G125" i="5"/>
  <c r="F125" i="5"/>
  <c r="E125" i="5"/>
  <c r="Z118" i="5"/>
  <c r="Y118" i="5"/>
  <c r="X118" i="5"/>
  <c r="W118" i="5"/>
  <c r="V118" i="5"/>
  <c r="U118" i="5"/>
  <c r="O118" i="5"/>
  <c r="N118" i="5"/>
  <c r="M118" i="5"/>
  <c r="G118" i="5"/>
  <c r="F118" i="5"/>
  <c r="E118" i="5"/>
  <c r="Z110" i="5"/>
  <c r="Y110" i="5"/>
  <c r="X110" i="5"/>
  <c r="W110" i="5"/>
  <c r="V110" i="5"/>
  <c r="U110" i="5"/>
  <c r="O110" i="5"/>
  <c r="N110" i="5"/>
  <c r="M110" i="5"/>
  <c r="G110" i="5"/>
  <c r="F110" i="5"/>
  <c r="E110" i="5"/>
  <c r="Z114" i="5"/>
  <c r="Y114" i="5"/>
  <c r="X114" i="5"/>
  <c r="W114" i="5"/>
  <c r="V114" i="5"/>
  <c r="U114" i="5"/>
  <c r="O114" i="5"/>
  <c r="N114" i="5"/>
  <c r="M114" i="5"/>
  <c r="G114" i="5"/>
  <c r="F114" i="5"/>
  <c r="E114" i="5"/>
  <c r="Z109" i="5"/>
  <c r="Y109" i="5"/>
  <c r="X109" i="5"/>
  <c r="W109" i="5"/>
  <c r="V109" i="5"/>
  <c r="U109" i="5"/>
  <c r="O109" i="5"/>
  <c r="N109" i="5"/>
  <c r="M109" i="5"/>
  <c r="G109" i="5"/>
  <c r="F109" i="5"/>
  <c r="E109" i="5"/>
  <c r="Z112" i="5"/>
  <c r="Y112" i="5"/>
  <c r="X112" i="5"/>
  <c r="W112" i="5"/>
  <c r="V112" i="5"/>
  <c r="U112" i="5"/>
  <c r="O112" i="5"/>
  <c r="N112" i="5"/>
  <c r="M112" i="5"/>
  <c r="G112" i="5"/>
  <c r="F112" i="5"/>
  <c r="E112" i="5"/>
  <c r="Z113" i="5"/>
  <c r="Y113" i="5"/>
  <c r="X113" i="5"/>
  <c r="W113" i="5"/>
  <c r="V113" i="5"/>
  <c r="U113" i="5"/>
  <c r="O113" i="5"/>
  <c r="N113" i="5"/>
  <c r="M113" i="5"/>
  <c r="G113" i="5"/>
  <c r="F113" i="5"/>
  <c r="E113" i="5"/>
  <c r="Z111" i="5"/>
  <c r="Y111" i="5"/>
  <c r="X111" i="5"/>
  <c r="W111" i="5"/>
  <c r="V111" i="5"/>
  <c r="U111" i="5"/>
  <c r="O111" i="5"/>
  <c r="N111" i="5"/>
  <c r="M111" i="5"/>
  <c r="G111" i="5"/>
  <c r="F111" i="5"/>
  <c r="E111" i="5"/>
  <c r="Z100" i="5"/>
  <c r="Y100" i="5"/>
  <c r="X100" i="5"/>
  <c r="W100" i="5"/>
  <c r="V100" i="5"/>
  <c r="U100" i="5"/>
  <c r="O100" i="5"/>
  <c r="N100" i="5"/>
  <c r="M100" i="5"/>
  <c r="G100" i="5"/>
  <c r="F100" i="5"/>
  <c r="E100" i="5"/>
  <c r="Z103" i="5"/>
  <c r="Y103" i="5"/>
  <c r="X103" i="5"/>
  <c r="W103" i="5"/>
  <c r="V103" i="5"/>
  <c r="U103" i="5"/>
  <c r="O103" i="5"/>
  <c r="N103" i="5"/>
  <c r="M103" i="5"/>
  <c r="G103" i="5"/>
  <c r="F103" i="5"/>
  <c r="E103" i="5"/>
  <c r="Z101" i="5"/>
  <c r="Y101" i="5"/>
  <c r="X101" i="5"/>
  <c r="W101" i="5"/>
  <c r="V101" i="5"/>
  <c r="U101" i="5"/>
  <c r="O101" i="5"/>
  <c r="N101" i="5"/>
  <c r="M101" i="5"/>
  <c r="G101" i="5"/>
  <c r="F101" i="5"/>
  <c r="E101" i="5"/>
  <c r="Z99" i="5"/>
  <c r="Y99" i="5"/>
  <c r="X99" i="5"/>
  <c r="W99" i="5"/>
  <c r="V99" i="5"/>
  <c r="U99" i="5"/>
  <c r="O99" i="5"/>
  <c r="N99" i="5"/>
  <c r="M99" i="5"/>
  <c r="G99" i="5"/>
  <c r="F99" i="5"/>
  <c r="E99" i="5"/>
  <c r="Z104" i="5"/>
  <c r="Y104" i="5"/>
  <c r="X104" i="5"/>
  <c r="W104" i="5"/>
  <c r="V104" i="5"/>
  <c r="U104" i="5"/>
  <c r="O104" i="5"/>
  <c r="N104" i="5"/>
  <c r="M104" i="5"/>
  <c r="G104" i="5"/>
  <c r="F104" i="5"/>
  <c r="E104" i="5"/>
  <c r="Z97" i="5"/>
  <c r="Y97" i="5"/>
  <c r="X97" i="5"/>
  <c r="W97" i="5"/>
  <c r="V97" i="5"/>
  <c r="U97" i="5"/>
  <c r="O97" i="5"/>
  <c r="N97" i="5"/>
  <c r="M97" i="5"/>
  <c r="G97" i="5"/>
  <c r="F97" i="5"/>
  <c r="E97" i="5"/>
  <c r="Z102" i="5"/>
  <c r="Y102" i="5"/>
  <c r="X102" i="5"/>
  <c r="W102" i="5"/>
  <c r="V102" i="5"/>
  <c r="U102" i="5"/>
  <c r="O102" i="5"/>
  <c r="N102" i="5"/>
  <c r="M102" i="5"/>
  <c r="G102" i="5"/>
  <c r="F102" i="5"/>
  <c r="E102" i="5"/>
  <c r="Z108" i="5"/>
  <c r="Y108" i="5"/>
  <c r="X108" i="5"/>
  <c r="W108" i="5"/>
  <c r="V108" i="5"/>
  <c r="U108" i="5"/>
  <c r="O108" i="5"/>
  <c r="N108" i="5"/>
  <c r="M108" i="5"/>
  <c r="G108" i="5"/>
  <c r="F108" i="5"/>
  <c r="E108" i="5"/>
  <c r="Z105" i="5"/>
  <c r="Y105" i="5"/>
  <c r="X105" i="5"/>
  <c r="W105" i="5"/>
  <c r="V105" i="5"/>
  <c r="U105" i="5"/>
  <c r="O105" i="5"/>
  <c r="N105" i="5"/>
  <c r="M105" i="5"/>
  <c r="G105" i="5"/>
  <c r="F105" i="5"/>
  <c r="E105" i="5"/>
  <c r="Z96" i="5"/>
  <c r="Y96" i="5"/>
  <c r="X96" i="5"/>
  <c r="W96" i="5"/>
  <c r="V96" i="5"/>
  <c r="U96" i="5"/>
  <c r="O96" i="5"/>
  <c r="N96" i="5"/>
  <c r="M96" i="5"/>
  <c r="G96" i="5"/>
  <c r="F96" i="5"/>
  <c r="E96" i="5"/>
  <c r="Z92" i="5"/>
  <c r="Y92" i="5"/>
  <c r="X92" i="5"/>
  <c r="W92" i="5"/>
  <c r="V92" i="5"/>
  <c r="U92" i="5"/>
  <c r="O92" i="5"/>
  <c r="N92" i="5"/>
  <c r="M92" i="5"/>
  <c r="G92" i="5"/>
  <c r="F92" i="5"/>
  <c r="E92" i="5"/>
  <c r="Z93" i="5"/>
  <c r="Y93" i="5"/>
  <c r="X93" i="5"/>
  <c r="W93" i="5"/>
  <c r="V93" i="5"/>
  <c r="U93" i="5"/>
  <c r="O93" i="5"/>
  <c r="N93" i="5"/>
  <c r="M93" i="5"/>
  <c r="G93" i="5"/>
  <c r="F93" i="5"/>
  <c r="E93" i="5"/>
  <c r="Z98" i="5"/>
  <c r="Y98" i="5"/>
  <c r="X98" i="5"/>
  <c r="W98" i="5"/>
  <c r="V98" i="5"/>
  <c r="U98" i="5"/>
  <c r="O98" i="5"/>
  <c r="N98" i="5"/>
  <c r="M98" i="5"/>
  <c r="G98" i="5"/>
  <c r="F98" i="5"/>
  <c r="E98" i="5"/>
  <c r="Z83" i="5"/>
  <c r="Y83" i="5"/>
  <c r="X83" i="5"/>
  <c r="W83" i="5"/>
  <c r="V83" i="5"/>
  <c r="U83" i="5"/>
  <c r="O83" i="5"/>
  <c r="N83" i="5"/>
  <c r="M83" i="5"/>
  <c r="G83" i="5"/>
  <c r="F83" i="5"/>
  <c r="E83" i="5"/>
  <c r="Z86" i="5"/>
  <c r="Y86" i="5"/>
  <c r="X86" i="5"/>
  <c r="W86" i="5"/>
  <c r="V86" i="5"/>
  <c r="U86" i="5"/>
  <c r="O86" i="5"/>
  <c r="N86" i="5"/>
  <c r="M86" i="5"/>
  <c r="G86" i="5"/>
  <c r="F86" i="5"/>
  <c r="E86" i="5"/>
  <c r="Z87" i="5"/>
  <c r="Y87" i="5"/>
  <c r="X87" i="5"/>
  <c r="W87" i="5"/>
  <c r="V87" i="5"/>
  <c r="U87" i="5"/>
  <c r="O87" i="5"/>
  <c r="N87" i="5"/>
  <c r="M87" i="5"/>
  <c r="G87" i="5"/>
  <c r="F87" i="5"/>
  <c r="E87" i="5"/>
  <c r="Z88" i="5"/>
  <c r="Y88" i="5"/>
  <c r="X88" i="5"/>
  <c r="W88" i="5"/>
  <c r="V88" i="5"/>
  <c r="U88" i="5"/>
  <c r="O88" i="5"/>
  <c r="N88" i="5"/>
  <c r="M88" i="5"/>
  <c r="G88" i="5"/>
  <c r="F88" i="5"/>
  <c r="E88" i="5"/>
  <c r="Z95" i="5"/>
  <c r="Y95" i="5"/>
  <c r="X95" i="5"/>
  <c r="W95" i="5"/>
  <c r="V95" i="5"/>
  <c r="U95" i="5"/>
  <c r="O95" i="5"/>
  <c r="N95" i="5"/>
  <c r="M95" i="5"/>
  <c r="G95" i="5"/>
  <c r="F95" i="5"/>
  <c r="E95" i="5"/>
  <c r="Z90" i="5"/>
  <c r="Y90" i="5"/>
  <c r="X90" i="5"/>
  <c r="W90" i="5"/>
  <c r="V90" i="5"/>
  <c r="U90" i="5"/>
  <c r="O90" i="5"/>
  <c r="N90" i="5"/>
  <c r="M90" i="5"/>
  <c r="G90" i="5"/>
  <c r="F90" i="5"/>
  <c r="E90" i="5"/>
  <c r="Z67" i="5"/>
  <c r="Y67" i="5"/>
  <c r="X67" i="5"/>
  <c r="W67" i="5"/>
  <c r="V67" i="5"/>
  <c r="U67" i="5"/>
  <c r="O67" i="5"/>
  <c r="N67" i="5"/>
  <c r="M67" i="5"/>
  <c r="G67" i="5"/>
  <c r="F67" i="5"/>
  <c r="E67" i="5"/>
  <c r="Z91" i="5"/>
  <c r="Y91" i="5"/>
  <c r="X91" i="5"/>
  <c r="W91" i="5"/>
  <c r="V91" i="5"/>
  <c r="U91" i="5"/>
  <c r="O91" i="5"/>
  <c r="N91" i="5"/>
  <c r="M91" i="5"/>
  <c r="G91" i="5"/>
  <c r="F91" i="5"/>
  <c r="E91" i="5"/>
  <c r="Z89" i="5"/>
  <c r="Y89" i="5"/>
  <c r="X89" i="5"/>
  <c r="W89" i="5"/>
  <c r="V89" i="5"/>
  <c r="U89" i="5"/>
  <c r="O89" i="5"/>
  <c r="N89" i="5"/>
  <c r="M89" i="5"/>
  <c r="G89" i="5"/>
  <c r="F89" i="5"/>
  <c r="E89" i="5"/>
  <c r="Z84" i="5"/>
  <c r="Y84" i="5"/>
  <c r="X84" i="5"/>
  <c r="W84" i="5"/>
  <c r="V84" i="5"/>
  <c r="U84" i="5"/>
  <c r="O84" i="5"/>
  <c r="N84" i="5"/>
  <c r="M84" i="5"/>
  <c r="G84" i="5"/>
  <c r="F84" i="5"/>
  <c r="E84" i="5"/>
  <c r="Z78" i="5"/>
  <c r="Y78" i="5"/>
  <c r="X78" i="5"/>
  <c r="W78" i="5"/>
  <c r="V78" i="5"/>
  <c r="U78" i="5"/>
  <c r="O78" i="5"/>
  <c r="N78" i="5"/>
  <c r="M78" i="5"/>
  <c r="G78" i="5"/>
  <c r="F78" i="5"/>
  <c r="E78" i="5"/>
  <c r="Z79" i="5"/>
  <c r="Y79" i="5"/>
  <c r="X79" i="5"/>
  <c r="W79" i="5"/>
  <c r="V79" i="5"/>
  <c r="U79" i="5"/>
  <c r="O79" i="5"/>
  <c r="N79" i="5"/>
  <c r="M79" i="5"/>
  <c r="G79" i="5"/>
  <c r="F79" i="5"/>
  <c r="E79" i="5"/>
  <c r="Z80" i="5"/>
  <c r="Y80" i="5"/>
  <c r="X80" i="5"/>
  <c r="W80" i="5"/>
  <c r="V80" i="5"/>
  <c r="U80" i="5"/>
  <c r="O80" i="5"/>
  <c r="N80" i="5"/>
  <c r="M80" i="5"/>
  <c r="G80" i="5"/>
  <c r="F80" i="5"/>
  <c r="E80" i="5"/>
  <c r="Z85" i="5"/>
  <c r="Y85" i="5"/>
  <c r="X85" i="5"/>
  <c r="W85" i="5"/>
  <c r="V85" i="5"/>
  <c r="U85" i="5"/>
  <c r="O85" i="5"/>
  <c r="N85" i="5"/>
  <c r="M85" i="5"/>
  <c r="G85" i="5"/>
  <c r="F85" i="5"/>
  <c r="E85" i="5"/>
  <c r="Z82" i="5"/>
  <c r="Y82" i="5"/>
  <c r="X82" i="5"/>
  <c r="W82" i="5"/>
  <c r="V82" i="5"/>
  <c r="U82" i="5"/>
  <c r="O82" i="5"/>
  <c r="N82" i="5"/>
  <c r="M82" i="5"/>
  <c r="G82" i="5"/>
  <c r="F82" i="5"/>
  <c r="E82" i="5"/>
  <c r="Z74" i="5"/>
  <c r="Y74" i="5"/>
  <c r="X74" i="5"/>
  <c r="W74" i="5"/>
  <c r="V74" i="5"/>
  <c r="U74" i="5"/>
  <c r="O74" i="5"/>
  <c r="N74" i="5"/>
  <c r="M74" i="5"/>
  <c r="G74" i="5"/>
  <c r="F74" i="5"/>
  <c r="E74" i="5"/>
  <c r="Z81" i="5"/>
  <c r="Y81" i="5"/>
  <c r="X81" i="5"/>
  <c r="W81" i="5"/>
  <c r="V81" i="5"/>
  <c r="U81" i="5"/>
  <c r="O81" i="5"/>
  <c r="N81" i="5"/>
  <c r="M81" i="5"/>
  <c r="G81" i="5"/>
  <c r="F81" i="5"/>
  <c r="E81" i="5"/>
  <c r="Z66" i="5"/>
  <c r="Y66" i="5"/>
  <c r="X66" i="5"/>
  <c r="W66" i="5"/>
  <c r="V66" i="5"/>
  <c r="U66" i="5"/>
  <c r="O66" i="5"/>
  <c r="N66" i="5"/>
  <c r="M66" i="5"/>
  <c r="G66" i="5"/>
  <c r="F66" i="5"/>
  <c r="E66" i="5"/>
  <c r="Z75" i="5"/>
  <c r="Y75" i="5"/>
  <c r="X75" i="5"/>
  <c r="W75" i="5"/>
  <c r="V75" i="5"/>
  <c r="U75" i="5"/>
  <c r="O75" i="5"/>
  <c r="N75" i="5"/>
  <c r="M75" i="5"/>
  <c r="G75" i="5"/>
  <c r="F75" i="5"/>
  <c r="E75" i="5"/>
  <c r="Z76" i="5"/>
  <c r="Y76" i="5"/>
  <c r="X76" i="5"/>
  <c r="W76" i="5"/>
  <c r="V76" i="5"/>
  <c r="U76" i="5"/>
  <c r="O76" i="5"/>
  <c r="N76" i="5"/>
  <c r="M76" i="5"/>
  <c r="G76" i="5"/>
  <c r="F76" i="5"/>
  <c r="E76" i="5"/>
  <c r="Z71" i="5"/>
  <c r="Y71" i="5"/>
  <c r="X71" i="5"/>
  <c r="W71" i="5"/>
  <c r="V71" i="5"/>
  <c r="U71" i="5"/>
  <c r="O71" i="5"/>
  <c r="N71" i="5"/>
  <c r="M71" i="5"/>
  <c r="G71" i="5"/>
  <c r="F71" i="5"/>
  <c r="E71" i="5"/>
  <c r="Z77" i="5"/>
  <c r="Y77" i="5"/>
  <c r="X77" i="5"/>
  <c r="W77" i="5"/>
  <c r="V77" i="5"/>
  <c r="U77" i="5"/>
  <c r="O77" i="5"/>
  <c r="N77" i="5"/>
  <c r="M77" i="5"/>
  <c r="G77" i="5"/>
  <c r="F77" i="5"/>
  <c r="E77" i="5"/>
  <c r="Z70" i="5"/>
  <c r="Y70" i="5"/>
  <c r="X70" i="5"/>
  <c r="W70" i="5"/>
  <c r="V70" i="5"/>
  <c r="U70" i="5"/>
  <c r="O70" i="5"/>
  <c r="N70" i="5"/>
  <c r="M70" i="5"/>
  <c r="G70" i="5"/>
  <c r="F70" i="5"/>
  <c r="E70" i="5"/>
  <c r="Z72" i="5"/>
  <c r="Y72" i="5"/>
  <c r="X72" i="5"/>
  <c r="W72" i="5"/>
  <c r="V72" i="5"/>
  <c r="U72" i="5"/>
  <c r="O72" i="5"/>
  <c r="N72" i="5"/>
  <c r="M72" i="5"/>
  <c r="G72" i="5"/>
  <c r="F72" i="5"/>
  <c r="E72" i="5"/>
  <c r="Z73" i="5"/>
  <c r="Y73" i="5"/>
  <c r="X73" i="5"/>
  <c r="W73" i="5"/>
  <c r="V73" i="5"/>
  <c r="U73" i="5"/>
  <c r="O73" i="5"/>
  <c r="N73" i="5"/>
  <c r="M73" i="5"/>
  <c r="G73" i="5"/>
  <c r="F73" i="5"/>
  <c r="E73" i="5"/>
  <c r="Z61" i="5"/>
  <c r="Y61" i="5"/>
  <c r="X61" i="5"/>
  <c r="W61" i="5"/>
  <c r="V61" i="5"/>
  <c r="U61" i="5"/>
  <c r="O61" i="5"/>
  <c r="N61" i="5"/>
  <c r="M61" i="5"/>
  <c r="G61" i="5"/>
  <c r="F61" i="5"/>
  <c r="E61" i="5"/>
  <c r="Z69" i="5"/>
  <c r="Y69" i="5"/>
  <c r="X69" i="5"/>
  <c r="W69" i="5"/>
  <c r="V69" i="5"/>
  <c r="U69" i="5"/>
  <c r="O69" i="5"/>
  <c r="N69" i="5"/>
  <c r="M69" i="5"/>
  <c r="G69" i="5"/>
  <c r="F69" i="5"/>
  <c r="E69" i="5"/>
  <c r="Z68" i="5"/>
  <c r="Y68" i="5"/>
  <c r="X68" i="5"/>
  <c r="W68" i="5"/>
  <c r="V68" i="5"/>
  <c r="U68" i="5"/>
  <c r="O68" i="5"/>
  <c r="N68" i="5"/>
  <c r="M68" i="5"/>
  <c r="G68" i="5"/>
  <c r="F68" i="5"/>
  <c r="E68" i="5"/>
  <c r="Z64" i="5"/>
  <c r="Y64" i="5"/>
  <c r="X64" i="5"/>
  <c r="W64" i="5"/>
  <c r="V64" i="5"/>
  <c r="U64" i="5"/>
  <c r="O64" i="5"/>
  <c r="N64" i="5"/>
  <c r="M64" i="5"/>
  <c r="G64" i="5"/>
  <c r="F64" i="5"/>
  <c r="E64" i="5"/>
  <c r="Z65" i="5"/>
  <c r="Y65" i="5"/>
  <c r="X65" i="5"/>
  <c r="W65" i="5"/>
  <c r="V65" i="5"/>
  <c r="U65" i="5"/>
  <c r="O65" i="5"/>
  <c r="N65" i="5"/>
  <c r="M65" i="5"/>
  <c r="G65" i="5"/>
  <c r="F65" i="5"/>
  <c r="E65" i="5"/>
  <c r="Z60" i="5"/>
  <c r="Y60" i="5"/>
  <c r="X60" i="5"/>
  <c r="W60" i="5"/>
  <c r="V60" i="5"/>
  <c r="U60" i="5"/>
  <c r="O60" i="5"/>
  <c r="N60" i="5"/>
  <c r="M60" i="5"/>
  <c r="G60" i="5"/>
  <c r="F60" i="5"/>
  <c r="E60" i="5"/>
  <c r="Z62" i="5"/>
  <c r="Y62" i="5"/>
  <c r="X62" i="5"/>
  <c r="W62" i="5"/>
  <c r="V62" i="5"/>
  <c r="U62" i="5"/>
  <c r="O62" i="5"/>
  <c r="N62" i="5"/>
  <c r="M62" i="5"/>
  <c r="G62" i="5"/>
  <c r="F62" i="5"/>
  <c r="E62" i="5"/>
  <c r="Z63" i="5"/>
  <c r="Y63" i="5"/>
  <c r="X63" i="5"/>
  <c r="W63" i="5"/>
  <c r="V63" i="5"/>
  <c r="U63" i="5"/>
  <c r="O63" i="5"/>
  <c r="N63" i="5"/>
  <c r="M63" i="5"/>
  <c r="G63" i="5"/>
  <c r="F63" i="5"/>
  <c r="E63" i="5"/>
  <c r="Z52" i="5"/>
  <c r="Y52" i="5"/>
  <c r="X52" i="5"/>
  <c r="W52" i="5"/>
  <c r="V52" i="5"/>
  <c r="U52" i="5"/>
  <c r="O52" i="5"/>
  <c r="N52" i="5"/>
  <c r="M52" i="5"/>
  <c r="G52" i="5"/>
  <c r="F52" i="5"/>
  <c r="E52" i="5"/>
  <c r="Z55" i="5"/>
  <c r="Y55" i="5"/>
  <c r="X55" i="5"/>
  <c r="W55" i="5"/>
  <c r="V55" i="5"/>
  <c r="U55" i="5"/>
  <c r="O55" i="5"/>
  <c r="N55" i="5"/>
  <c r="M55" i="5"/>
  <c r="G55" i="5"/>
  <c r="F55" i="5"/>
  <c r="E55" i="5"/>
  <c r="Z53" i="5"/>
  <c r="Y53" i="5"/>
  <c r="X53" i="5"/>
  <c r="W53" i="5"/>
  <c r="V53" i="5"/>
  <c r="U53" i="5"/>
  <c r="O53" i="5"/>
  <c r="N53" i="5"/>
  <c r="M53" i="5"/>
  <c r="G53" i="5"/>
  <c r="F53" i="5"/>
  <c r="E53" i="5"/>
  <c r="Z59" i="5"/>
  <c r="Y59" i="5"/>
  <c r="X59" i="5"/>
  <c r="W59" i="5"/>
  <c r="V59" i="5"/>
  <c r="U59" i="5"/>
  <c r="O59" i="5"/>
  <c r="N59" i="5"/>
  <c r="M59" i="5"/>
  <c r="G59" i="5"/>
  <c r="F59" i="5"/>
  <c r="E59" i="5"/>
  <c r="Z58" i="5"/>
  <c r="Y58" i="5"/>
  <c r="X58" i="5"/>
  <c r="W58" i="5"/>
  <c r="V58" i="5"/>
  <c r="U58" i="5"/>
  <c r="O58" i="5"/>
  <c r="N58" i="5"/>
  <c r="M58" i="5"/>
  <c r="G58" i="5"/>
  <c r="F58" i="5"/>
  <c r="E58" i="5"/>
  <c r="Z56" i="5"/>
  <c r="Y56" i="5"/>
  <c r="X56" i="5"/>
  <c r="W56" i="5"/>
  <c r="V56" i="5"/>
  <c r="U56" i="5"/>
  <c r="O56" i="5"/>
  <c r="N56" i="5"/>
  <c r="M56" i="5"/>
  <c r="G56" i="5"/>
  <c r="F56" i="5"/>
  <c r="E56" i="5"/>
  <c r="Z48" i="5"/>
  <c r="Y48" i="5"/>
  <c r="X48" i="5"/>
  <c r="W48" i="5"/>
  <c r="V48" i="5"/>
  <c r="U48" i="5"/>
  <c r="O48" i="5"/>
  <c r="N48" i="5"/>
  <c r="M48" i="5"/>
  <c r="G48" i="5"/>
  <c r="F48" i="5"/>
  <c r="E48" i="5"/>
  <c r="Z50" i="5"/>
  <c r="Y50" i="5"/>
  <c r="X50" i="5"/>
  <c r="W50" i="5"/>
  <c r="V50" i="5"/>
  <c r="U50" i="5"/>
  <c r="O50" i="5"/>
  <c r="N50" i="5"/>
  <c r="M50" i="5"/>
  <c r="G50" i="5"/>
  <c r="F50" i="5"/>
  <c r="E50" i="5"/>
  <c r="Z57" i="5"/>
  <c r="Y57" i="5"/>
  <c r="X57" i="5"/>
  <c r="W57" i="5"/>
  <c r="V57" i="5"/>
  <c r="U57" i="5"/>
  <c r="O57" i="5"/>
  <c r="N57" i="5"/>
  <c r="M57" i="5"/>
  <c r="G57" i="5"/>
  <c r="F57" i="5"/>
  <c r="E57" i="5"/>
  <c r="Z54" i="5"/>
  <c r="Y54" i="5"/>
  <c r="X54" i="5"/>
  <c r="W54" i="5"/>
  <c r="V54" i="5"/>
  <c r="U54" i="5"/>
  <c r="O54" i="5"/>
  <c r="N54" i="5"/>
  <c r="M54" i="5"/>
  <c r="G54" i="5"/>
  <c r="F54" i="5"/>
  <c r="E54" i="5"/>
  <c r="Z51" i="5"/>
  <c r="Y51" i="5"/>
  <c r="X51" i="5"/>
  <c r="W51" i="5"/>
  <c r="V51" i="5"/>
  <c r="U51" i="5"/>
  <c r="O51" i="5"/>
  <c r="N51" i="5"/>
  <c r="M51" i="5"/>
  <c r="G51" i="5"/>
  <c r="F51" i="5"/>
  <c r="E51" i="5"/>
  <c r="Z47" i="5"/>
  <c r="Y47" i="5"/>
  <c r="X47" i="5"/>
  <c r="W47" i="5"/>
  <c r="V47" i="5"/>
  <c r="U47" i="5"/>
  <c r="O47" i="5"/>
  <c r="N47" i="5"/>
  <c r="M47" i="5"/>
  <c r="G47" i="5"/>
  <c r="F47" i="5"/>
  <c r="E47" i="5"/>
  <c r="Z49" i="5"/>
  <c r="Y49" i="5"/>
  <c r="X49" i="5"/>
  <c r="W49" i="5"/>
  <c r="V49" i="5"/>
  <c r="U49" i="5"/>
  <c r="O49" i="5"/>
  <c r="N49" i="5"/>
  <c r="M49" i="5"/>
  <c r="G49" i="5"/>
  <c r="F49" i="5"/>
  <c r="E49" i="5"/>
  <c r="Z40" i="5"/>
  <c r="Y40" i="5"/>
  <c r="X40" i="5"/>
  <c r="W40" i="5"/>
  <c r="V40" i="5"/>
  <c r="U40" i="5"/>
  <c r="O40" i="5"/>
  <c r="N40" i="5"/>
  <c r="M40" i="5"/>
  <c r="G40" i="5"/>
  <c r="F40" i="5"/>
  <c r="E40" i="5"/>
  <c r="Z44" i="5"/>
  <c r="Y44" i="5"/>
  <c r="X44" i="5"/>
  <c r="W44" i="5"/>
  <c r="V44" i="5"/>
  <c r="U44" i="5"/>
  <c r="O44" i="5"/>
  <c r="N44" i="5"/>
  <c r="M44" i="5"/>
  <c r="G44" i="5"/>
  <c r="F44" i="5"/>
  <c r="E44" i="5"/>
  <c r="Z42" i="5"/>
  <c r="Y42" i="5"/>
  <c r="X42" i="5"/>
  <c r="W42" i="5"/>
  <c r="V42" i="5"/>
  <c r="U42" i="5"/>
  <c r="O42" i="5"/>
  <c r="N42" i="5"/>
  <c r="M42" i="5"/>
  <c r="G42" i="5"/>
  <c r="F42" i="5"/>
  <c r="E42" i="5"/>
  <c r="Z41" i="5"/>
  <c r="Y41" i="5"/>
  <c r="X41" i="5"/>
  <c r="W41" i="5"/>
  <c r="V41" i="5"/>
  <c r="U41" i="5"/>
  <c r="O41" i="5"/>
  <c r="N41" i="5"/>
  <c r="M41" i="5"/>
  <c r="G41" i="5"/>
  <c r="F41" i="5"/>
  <c r="E41" i="5"/>
  <c r="Z46" i="5"/>
  <c r="Y46" i="5"/>
  <c r="X46" i="5"/>
  <c r="W46" i="5"/>
  <c r="V46" i="5"/>
  <c r="U46" i="5"/>
  <c r="O46" i="5"/>
  <c r="N46" i="5"/>
  <c r="M46" i="5"/>
  <c r="G46" i="5"/>
  <c r="F46" i="5"/>
  <c r="E46" i="5"/>
  <c r="Z38" i="5"/>
  <c r="Y38" i="5"/>
  <c r="X38" i="5"/>
  <c r="W38" i="5"/>
  <c r="V38" i="5"/>
  <c r="U38" i="5"/>
  <c r="O38" i="5"/>
  <c r="N38" i="5"/>
  <c r="M38" i="5"/>
  <c r="G38" i="5"/>
  <c r="F38" i="5"/>
  <c r="E38" i="5"/>
  <c r="Z37" i="5"/>
  <c r="Y37" i="5"/>
  <c r="X37" i="5"/>
  <c r="W37" i="5"/>
  <c r="V37" i="5"/>
  <c r="U37" i="5"/>
  <c r="O37" i="5"/>
  <c r="N37" i="5"/>
  <c r="M37" i="5"/>
  <c r="G37" i="5"/>
  <c r="F37" i="5"/>
  <c r="E37" i="5"/>
  <c r="Z39" i="5"/>
  <c r="Y39" i="5"/>
  <c r="X39" i="5"/>
  <c r="W39" i="5"/>
  <c r="V39" i="5"/>
  <c r="U39" i="5"/>
  <c r="O39" i="5"/>
  <c r="N39" i="5"/>
  <c r="M39" i="5"/>
  <c r="G39" i="5"/>
  <c r="F39" i="5"/>
  <c r="E39" i="5"/>
  <c r="Z33" i="5"/>
  <c r="Y33" i="5"/>
  <c r="X33" i="5"/>
  <c r="W33" i="5"/>
  <c r="V33" i="5"/>
  <c r="U33" i="5"/>
  <c r="O33" i="5"/>
  <c r="N33" i="5"/>
  <c r="M33" i="5"/>
  <c r="G33" i="5"/>
  <c r="F33" i="5"/>
  <c r="E33" i="5"/>
  <c r="Z35" i="5"/>
  <c r="Y35" i="5"/>
  <c r="X35" i="5"/>
  <c r="W35" i="5"/>
  <c r="V35" i="5"/>
  <c r="U35" i="5"/>
  <c r="O35" i="5"/>
  <c r="N35" i="5"/>
  <c r="M35" i="5"/>
  <c r="G35" i="5"/>
  <c r="F35" i="5"/>
  <c r="E35" i="5"/>
  <c r="Z34" i="5"/>
  <c r="Y34" i="5"/>
  <c r="X34" i="5"/>
  <c r="W34" i="5"/>
  <c r="V34" i="5"/>
  <c r="U34" i="5"/>
  <c r="O34" i="5"/>
  <c r="N34" i="5"/>
  <c r="M34" i="5"/>
  <c r="G34" i="5"/>
  <c r="F34" i="5"/>
  <c r="E34" i="5"/>
  <c r="Z43" i="5"/>
  <c r="Y43" i="5"/>
  <c r="X43" i="5"/>
  <c r="W43" i="5"/>
  <c r="V43" i="5"/>
  <c r="U43" i="5"/>
  <c r="O43" i="5"/>
  <c r="N43" i="5"/>
  <c r="M43" i="5"/>
  <c r="G43" i="5"/>
  <c r="F43" i="5"/>
  <c r="E43" i="5"/>
  <c r="Z32" i="5"/>
  <c r="Y32" i="5"/>
  <c r="X32" i="5"/>
  <c r="W32" i="5"/>
  <c r="V32" i="5"/>
  <c r="U32" i="5"/>
  <c r="O32" i="5"/>
  <c r="N32" i="5"/>
  <c r="M32" i="5"/>
  <c r="G32" i="5"/>
  <c r="F32" i="5"/>
  <c r="E32" i="5"/>
  <c r="Z36" i="5"/>
  <c r="Y36" i="5"/>
  <c r="X36" i="5"/>
  <c r="W36" i="5"/>
  <c r="V36" i="5"/>
  <c r="U36" i="5"/>
  <c r="O36" i="5"/>
  <c r="N36" i="5"/>
  <c r="M36" i="5"/>
  <c r="G36" i="5"/>
  <c r="F36" i="5"/>
  <c r="E36" i="5"/>
  <c r="Z45" i="5"/>
  <c r="Y45" i="5"/>
  <c r="X45" i="5"/>
  <c r="W45" i="5"/>
  <c r="V45" i="5"/>
  <c r="U45" i="5"/>
  <c r="O45" i="5"/>
  <c r="N45" i="5"/>
  <c r="M45" i="5"/>
  <c r="G45" i="5"/>
  <c r="F45" i="5"/>
  <c r="E45" i="5"/>
  <c r="Z29" i="5"/>
  <c r="Y29" i="5"/>
  <c r="X29" i="5"/>
  <c r="W29" i="5"/>
  <c r="V29" i="5"/>
  <c r="U29" i="5"/>
  <c r="O29" i="5"/>
  <c r="N29" i="5"/>
  <c r="M29" i="5"/>
  <c r="G29" i="5"/>
  <c r="F29" i="5"/>
  <c r="E29" i="5"/>
  <c r="Z31" i="5"/>
  <c r="Y31" i="5"/>
  <c r="X31" i="5"/>
  <c r="W31" i="5"/>
  <c r="V31" i="5"/>
  <c r="U31" i="5"/>
  <c r="O31" i="5"/>
  <c r="N31" i="5"/>
  <c r="M31" i="5"/>
  <c r="G31" i="5"/>
  <c r="F31" i="5"/>
  <c r="E31" i="5"/>
  <c r="Z27" i="5"/>
  <c r="Y27" i="5"/>
  <c r="X27" i="5"/>
  <c r="W27" i="5"/>
  <c r="V27" i="5"/>
  <c r="U27" i="5"/>
  <c r="O27" i="5"/>
  <c r="N27" i="5"/>
  <c r="M27" i="5"/>
  <c r="G27" i="5"/>
  <c r="F27" i="5"/>
  <c r="E27" i="5"/>
  <c r="Z30" i="5"/>
  <c r="Y30" i="5"/>
  <c r="X30" i="5"/>
  <c r="W30" i="5"/>
  <c r="V30" i="5"/>
  <c r="U30" i="5"/>
  <c r="O30" i="5"/>
  <c r="N30" i="5"/>
  <c r="M30" i="5"/>
  <c r="G30" i="5"/>
  <c r="F30" i="5"/>
  <c r="E30" i="5"/>
  <c r="Z28" i="5"/>
  <c r="Y28" i="5"/>
  <c r="X28" i="5"/>
  <c r="W28" i="5"/>
  <c r="V28" i="5"/>
  <c r="U28" i="5"/>
  <c r="O28" i="5"/>
  <c r="N28" i="5"/>
  <c r="M28" i="5"/>
  <c r="G28" i="5"/>
  <c r="F28" i="5"/>
  <c r="E28" i="5"/>
  <c r="Z26" i="5"/>
  <c r="Y26" i="5"/>
  <c r="X26" i="5"/>
  <c r="W26" i="5"/>
  <c r="V26" i="5"/>
  <c r="U26" i="5"/>
  <c r="O26" i="5"/>
  <c r="N26" i="5"/>
  <c r="M26" i="5"/>
  <c r="G26" i="5"/>
  <c r="F26" i="5"/>
  <c r="E26" i="5"/>
  <c r="Z22" i="5"/>
  <c r="Y22" i="5"/>
  <c r="X22" i="5"/>
  <c r="W22" i="5"/>
  <c r="V22" i="5"/>
  <c r="U22" i="5"/>
  <c r="O22" i="5"/>
  <c r="N22" i="5"/>
  <c r="M22" i="5"/>
  <c r="G22" i="5"/>
  <c r="F22" i="5"/>
  <c r="E22" i="5"/>
  <c r="Z21" i="5"/>
  <c r="Y21" i="5"/>
  <c r="X21" i="5"/>
  <c r="W21" i="5"/>
  <c r="V21" i="5"/>
  <c r="U21" i="5"/>
  <c r="O21" i="5"/>
  <c r="N21" i="5"/>
  <c r="M21" i="5"/>
  <c r="G21" i="5"/>
  <c r="F21" i="5"/>
  <c r="E21" i="5"/>
  <c r="Z24" i="5"/>
  <c r="Y24" i="5"/>
  <c r="X24" i="5"/>
  <c r="W24" i="5"/>
  <c r="V24" i="5"/>
  <c r="U24" i="5"/>
  <c r="O24" i="5"/>
  <c r="N24" i="5"/>
  <c r="M24" i="5"/>
  <c r="G24" i="5"/>
  <c r="F24" i="5"/>
  <c r="E24" i="5"/>
  <c r="Z23" i="5"/>
  <c r="Y23" i="5"/>
  <c r="X23" i="5"/>
  <c r="W23" i="5"/>
  <c r="V23" i="5"/>
  <c r="U23" i="5"/>
  <c r="O23" i="5"/>
  <c r="N23" i="5"/>
  <c r="M23" i="5"/>
  <c r="G23" i="5"/>
  <c r="F23" i="5"/>
  <c r="E23" i="5"/>
  <c r="Z18" i="5"/>
  <c r="Y18" i="5"/>
  <c r="X18" i="5"/>
  <c r="W18" i="5"/>
  <c r="V18" i="5"/>
  <c r="U18" i="5"/>
  <c r="O18" i="5"/>
  <c r="N18" i="5"/>
  <c r="M18" i="5"/>
  <c r="G18" i="5"/>
  <c r="F18" i="5"/>
  <c r="E18" i="5"/>
  <c r="Z25" i="5"/>
  <c r="Y25" i="5"/>
  <c r="X25" i="5"/>
  <c r="W25" i="5"/>
  <c r="V25" i="5"/>
  <c r="U25" i="5"/>
  <c r="O25" i="5"/>
  <c r="N25" i="5"/>
  <c r="M25" i="5"/>
  <c r="G25" i="5"/>
  <c r="F25" i="5"/>
  <c r="E25" i="5"/>
  <c r="Z20" i="5"/>
  <c r="Y20" i="5"/>
  <c r="X20" i="5"/>
  <c r="W20" i="5"/>
  <c r="V20" i="5"/>
  <c r="U20" i="5"/>
  <c r="O20" i="5"/>
  <c r="N20" i="5"/>
  <c r="M20" i="5"/>
  <c r="G20" i="5"/>
  <c r="F20" i="5"/>
  <c r="E20" i="5"/>
  <c r="Z19" i="5"/>
  <c r="Y19" i="5"/>
  <c r="X19" i="5"/>
  <c r="W19" i="5"/>
  <c r="V19" i="5"/>
  <c r="U19" i="5"/>
  <c r="O19" i="5"/>
  <c r="N19" i="5"/>
  <c r="M19" i="5"/>
  <c r="G19" i="5"/>
  <c r="F19" i="5"/>
  <c r="E19" i="5"/>
  <c r="Z17" i="5"/>
  <c r="Y17" i="5"/>
  <c r="X17" i="5"/>
  <c r="W17" i="5"/>
  <c r="V17" i="5"/>
  <c r="U17" i="5"/>
  <c r="O17" i="5"/>
  <c r="N17" i="5"/>
  <c r="M17" i="5"/>
  <c r="G17" i="5"/>
  <c r="F17" i="5"/>
  <c r="E17" i="5"/>
  <c r="Z16" i="5"/>
  <c r="Y16" i="5"/>
  <c r="X16" i="5"/>
  <c r="W16" i="5"/>
  <c r="V16" i="5"/>
  <c r="U16" i="5"/>
  <c r="O16" i="5"/>
  <c r="N16" i="5"/>
  <c r="M16" i="5"/>
  <c r="G16" i="5"/>
  <c r="F16" i="5"/>
  <c r="E16" i="5"/>
  <c r="Z15" i="5"/>
  <c r="Y15" i="5"/>
  <c r="X15" i="5"/>
  <c r="W15" i="5"/>
  <c r="V15" i="5"/>
  <c r="U15" i="5"/>
  <c r="O15" i="5"/>
  <c r="N15" i="5"/>
  <c r="M15" i="5"/>
  <c r="G15" i="5"/>
  <c r="F15" i="5"/>
  <c r="E15" i="5"/>
  <c r="Z13" i="5"/>
  <c r="Y13" i="5"/>
  <c r="X13" i="5"/>
  <c r="W13" i="5"/>
  <c r="V13" i="5"/>
  <c r="U13" i="5"/>
  <c r="O13" i="5"/>
  <c r="N13" i="5"/>
  <c r="M13" i="5"/>
  <c r="G13" i="5"/>
  <c r="F13" i="5"/>
  <c r="E13" i="5"/>
  <c r="Z14" i="5"/>
  <c r="Y14" i="5"/>
  <c r="X14" i="5"/>
  <c r="W14" i="5"/>
  <c r="V14" i="5"/>
  <c r="U14" i="5"/>
  <c r="O14" i="5"/>
  <c r="N14" i="5"/>
  <c r="M14" i="5"/>
  <c r="G14" i="5"/>
  <c r="F14" i="5"/>
  <c r="E14" i="5"/>
  <c r="Z12" i="5"/>
  <c r="Y12" i="5"/>
  <c r="X12" i="5"/>
  <c r="W12" i="5"/>
  <c r="V12" i="5"/>
  <c r="U12" i="5"/>
  <c r="O12" i="5"/>
  <c r="N12" i="5"/>
  <c r="M12" i="5"/>
  <c r="G12" i="5"/>
  <c r="F12" i="5"/>
  <c r="E12" i="5"/>
  <c r="Z10" i="5"/>
  <c r="Y10" i="5"/>
  <c r="X10" i="5"/>
  <c r="W10" i="5"/>
  <c r="V10" i="5"/>
  <c r="U10" i="5"/>
  <c r="O10" i="5"/>
  <c r="N10" i="5"/>
  <c r="M10" i="5"/>
  <c r="G10" i="5"/>
  <c r="F10" i="5"/>
  <c r="E10" i="5"/>
  <c r="Z11" i="5"/>
  <c r="Y11" i="5"/>
  <c r="X11" i="5"/>
  <c r="W11" i="5"/>
  <c r="V11" i="5"/>
  <c r="U11" i="5"/>
  <c r="O11" i="5"/>
  <c r="N11" i="5"/>
  <c r="M11" i="5"/>
  <c r="G11" i="5"/>
  <c r="F11" i="5"/>
  <c r="E11" i="5"/>
  <c r="Z9" i="5"/>
  <c r="Y9" i="5"/>
  <c r="X9" i="5"/>
  <c r="W9" i="5"/>
  <c r="V9" i="5"/>
  <c r="U9" i="5"/>
  <c r="O9" i="5"/>
  <c r="N9" i="5"/>
  <c r="M9" i="5"/>
  <c r="G9" i="5"/>
  <c r="F9" i="5"/>
  <c r="E9" i="5"/>
  <c r="Z8" i="5"/>
  <c r="Y8" i="5"/>
  <c r="X8" i="5"/>
  <c r="W8" i="5"/>
  <c r="V8" i="5"/>
  <c r="U8" i="5"/>
  <c r="O8" i="5"/>
  <c r="N8" i="5"/>
  <c r="M8" i="5"/>
  <c r="G8" i="5"/>
  <c r="F8" i="5"/>
  <c r="E8" i="5"/>
  <c r="Z7" i="5"/>
  <c r="Y7" i="5"/>
  <c r="X7" i="5"/>
  <c r="W7" i="5"/>
  <c r="V7" i="5"/>
  <c r="U7" i="5"/>
  <c r="O7" i="5"/>
  <c r="N7" i="5"/>
  <c r="M7" i="5"/>
  <c r="G7" i="5"/>
  <c r="F7" i="5"/>
  <c r="E7" i="5"/>
  <c r="Z6" i="5"/>
  <c r="Y6" i="5"/>
  <c r="X6" i="5"/>
  <c r="W6" i="5"/>
  <c r="V6" i="5"/>
  <c r="U6" i="5"/>
  <c r="O6" i="5"/>
  <c r="N6" i="5"/>
  <c r="M6" i="5"/>
  <c r="G6" i="5"/>
  <c r="F6" i="5"/>
  <c r="E6" i="5"/>
  <c r="Z5" i="5"/>
  <c r="Y5" i="5"/>
  <c r="X5" i="5"/>
  <c r="W5" i="5"/>
  <c r="V5" i="5"/>
  <c r="U5" i="5"/>
  <c r="O5" i="5"/>
  <c r="N5" i="5"/>
  <c r="M5" i="5"/>
  <c r="G5" i="5"/>
  <c r="F5" i="5"/>
  <c r="E5" i="5"/>
  <c r="Z4" i="5"/>
  <c r="Y4" i="5"/>
  <c r="X4" i="5"/>
  <c r="W4" i="5"/>
  <c r="V4" i="5"/>
  <c r="U4" i="5"/>
  <c r="O4" i="5"/>
  <c r="N4" i="5"/>
  <c r="M4" i="5"/>
  <c r="G4" i="5"/>
  <c r="F4" i="5"/>
  <c r="E4" i="5"/>
  <c r="Z3" i="5"/>
  <c r="Y3" i="5"/>
  <c r="X3" i="5"/>
  <c r="W3" i="5"/>
  <c r="V3" i="5"/>
  <c r="U3" i="5"/>
  <c r="O3" i="5"/>
  <c r="N3" i="5"/>
  <c r="M3" i="5"/>
  <c r="G3" i="5"/>
  <c r="F3" i="5"/>
  <c r="E3" i="5"/>
  <c r="Z2" i="5"/>
  <c r="Y2" i="5"/>
  <c r="X2" i="5"/>
  <c r="W2" i="5"/>
  <c r="V2" i="5"/>
  <c r="U2" i="5"/>
  <c r="M2" i="5"/>
  <c r="G2" i="5"/>
  <c r="F2" i="5"/>
  <c r="E2" i="5"/>
  <c r="Y877" i="2"/>
  <c r="T874" i="2"/>
  <c r="S874" i="2"/>
  <c r="R874" i="2"/>
  <c r="Q874" i="2"/>
  <c r="P874" i="2"/>
  <c r="O874" i="2"/>
  <c r="N874" i="2"/>
  <c r="M874" i="2"/>
  <c r="L874" i="2"/>
  <c r="K874" i="2"/>
  <c r="N597" i="5" s="1"/>
  <c r="J874" i="2"/>
  <c r="I874" i="2"/>
  <c r="H874" i="2"/>
  <c r="Z597" i="5" s="1"/>
  <c r="G874" i="2"/>
  <c r="F874" i="2"/>
  <c r="E874" i="2"/>
  <c r="T873" i="2"/>
  <c r="S873" i="2"/>
  <c r="Y291" i="5" s="1"/>
  <c r="R873" i="2"/>
  <c r="X291" i="5" s="1"/>
  <c r="Q873" i="2"/>
  <c r="P873" i="2"/>
  <c r="O873" i="2"/>
  <c r="N873" i="2"/>
  <c r="V745" i="5" s="1"/>
  <c r="M873" i="2"/>
  <c r="U746" i="5" s="1"/>
  <c r="L873" i="2"/>
  <c r="O598" i="5" s="1"/>
  <c r="K873" i="2"/>
  <c r="N291" i="5" s="1"/>
  <c r="J873" i="2"/>
  <c r="I873" i="2"/>
  <c r="H873" i="2"/>
  <c r="Z291" i="5" s="1"/>
  <c r="G873" i="2"/>
  <c r="F873" i="2"/>
  <c r="E873" i="2"/>
  <c r="X850" i="2"/>
  <c r="S46" i="5" l="1"/>
  <c r="S32" i="5"/>
  <c r="S26" i="5"/>
  <c r="S19" i="5"/>
  <c r="S11" i="5"/>
  <c r="S727" i="5"/>
  <c r="S716" i="5"/>
  <c r="S698" i="5"/>
  <c r="S705" i="5"/>
  <c r="S670" i="5"/>
  <c r="S700" i="5"/>
  <c r="S682" i="5"/>
  <c r="S656" i="5"/>
  <c r="S686" i="5"/>
  <c r="S631" i="5"/>
  <c r="S665" i="5"/>
  <c r="S638" i="5"/>
  <c r="S619" i="5"/>
  <c r="S622" i="5"/>
  <c r="S610" i="5"/>
  <c r="S607" i="5"/>
  <c r="S580" i="5"/>
  <c r="S583" i="5"/>
  <c r="S570" i="5"/>
  <c r="S555" i="5"/>
  <c r="S579" i="5"/>
  <c r="S577" i="5"/>
  <c r="S520" i="5"/>
  <c r="S550" i="5"/>
  <c r="S553" i="5"/>
  <c r="S510" i="5"/>
  <c r="S525" i="5"/>
  <c r="S501" i="5"/>
  <c r="S495" i="5"/>
  <c r="S492" i="5"/>
  <c r="S509" i="5"/>
  <c r="S477" i="5"/>
  <c r="S469" i="5"/>
  <c r="S455" i="5"/>
  <c r="S463" i="5"/>
  <c r="S430" i="5"/>
  <c r="S422" i="5"/>
  <c r="S424" i="5"/>
  <c r="S394" i="5"/>
  <c r="S420" i="5"/>
  <c r="S386" i="5"/>
  <c r="S393" i="5"/>
  <c r="S403" i="5"/>
  <c r="S372" i="5"/>
  <c r="S375" i="5"/>
  <c r="S373" i="5"/>
  <c r="S345" i="5"/>
  <c r="S356" i="5"/>
  <c r="S355" i="5"/>
  <c r="S328" i="5"/>
  <c r="S321" i="5"/>
  <c r="S309" i="5"/>
  <c r="S261" i="5"/>
  <c r="S281" i="5"/>
  <c r="S288" i="5"/>
  <c r="S277" i="5"/>
  <c r="S246" i="5"/>
  <c r="S263" i="5"/>
  <c r="S259" i="5"/>
  <c r="S265" i="5"/>
  <c r="S253" i="5"/>
  <c r="S245" i="5"/>
  <c r="S231" i="5"/>
  <c r="S224" i="5"/>
  <c r="S212" i="5"/>
  <c r="S218" i="5"/>
  <c r="S149" i="5"/>
  <c r="S186" i="5"/>
  <c r="S177" i="5"/>
  <c r="S182" i="5"/>
  <c r="S154" i="5"/>
  <c r="S153" i="5"/>
  <c r="S145" i="5"/>
  <c r="S142" i="5"/>
  <c r="S129" i="5"/>
  <c r="S124" i="5"/>
  <c r="S118" i="5"/>
  <c r="S103" i="5"/>
  <c r="S96" i="5"/>
  <c r="S95" i="5"/>
  <c r="S80" i="5"/>
  <c r="S71" i="5"/>
  <c r="S64" i="5"/>
  <c r="S59" i="5"/>
  <c r="S38" i="5"/>
  <c r="S36" i="5"/>
  <c r="S22" i="5"/>
  <c r="S17" i="5"/>
  <c r="S9" i="5"/>
  <c r="S725" i="5"/>
  <c r="S729" i="5"/>
  <c r="S731" i="5"/>
  <c r="S733" i="5"/>
  <c r="S719" i="5"/>
  <c r="S721" i="5"/>
  <c r="S697" i="5"/>
  <c r="S675" i="5"/>
  <c r="S676" i="5"/>
  <c r="S679" i="5"/>
  <c r="S662" i="5"/>
  <c r="S659" i="5"/>
  <c r="S633" i="5"/>
  <c r="S637" i="5"/>
  <c r="S636" i="5"/>
  <c r="S660" i="5"/>
  <c r="S615" i="5"/>
  <c r="S611" i="5"/>
  <c r="S612" i="5"/>
  <c r="S584" i="5"/>
  <c r="S586" i="5"/>
  <c r="S569" i="5"/>
  <c r="S592" i="5"/>
  <c r="S568" i="5"/>
  <c r="S556" i="5"/>
  <c r="S541" i="5"/>
  <c r="S554" i="5"/>
  <c r="S547" i="5"/>
  <c r="S551" i="5"/>
  <c r="S516" i="5"/>
  <c r="S533" i="5"/>
  <c r="S499" i="5"/>
  <c r="S491" i="5"/>
  <c r="S475" i="5"/>
  <c r="S490" i="5"/>
  <c r="S460" i="5"/>
  <c r="S473" i="5"/>
  <c r="S451" i="5"/>
  <c r="S458" i="5"/>
  <c r="S443" i="5"/>
  <c r="S429" i="5"/>
  <c r="S414" i="5"/>
  <c r="S411" i="5"/>
  <c r="S423" i="5"/>
  <c r="S396" i="5"/>
  <c r="S382" i="5"/>
  <c r="S364" i="5"/>
  <c r="S340" i="5"/>
  <c r="S376" i="5"/>
  <c r="S343" i="5"/>
  <c r="S339" i="5"/>
  <c r="S358" i="5"/>
  <c r="S361" i="5"/>
  <c r="S337" i="5"/>
  <c r="S311" i="5"/>
  <c r="S308" i="5"/>
  <c r="S314" i="5"/>
  <c r="S283" i="5"/>
  <c r="S291" i="5"/>
  <c r="S289" i="5"/>
  <c r="S286" i="5"/>
  <c r="S152" i="5"/>
  <c r="S159" i="5"/>
  <c r="S144" i="5"/>
  <c r="S126" i="5"/>
  <c r="S117" i="5"/>
  <c r="S114" i="5"/>
  <c r="S751" i="5"/>
  <c r="S742" i="5"/>
  <c r="S741" i="5"/>
  <c r="S743" i="5"/>
  <c r="S599" i="5"/>
  <c r="S588" i="5"/>
  <c r="S585" i="5"/>
  <c r="S608" i="5"/>
  <c r="S574" i="5"/>
  <c r="S576" i="5"/>
  <c r="S564" i="5"/>
  <c r="S573" i="5"/>
  <c r="S542" i="5"/>
  <c r="S515" i="5"/>
  <c r="S517" i="5"/>
  <c r="S527" i="5"/>
  <c r="S497" i="5"/>
  <c r="S503" i="5"/>
  <c r="S507" i="5"/>
  <c r="S489" i="5"/>
  <c r="S479" i="5"/>
  <c r="S461" i="5"/>
  <c r="S474" i="5"/>
  <c r="S454" i="5"/>
  <c r="S427" i="5"/>
  <c r="S438" i="5"/>
  <c r="S445" i="5"/>
  <c r="S416" i="5"/>
  <c r="S421" i="5"/>
  <c r="S397" i="5"/>
  <c r="S381" i="5"/>
  <c r="S408" i="5"/>
  <c r="S383" i="5"/>
  <c r="S365" i="5"/>
  <c r="S377" i="5"/>
  <c r="S363" i="5"/>
  <c r="S344" i="5"/>
  <c r="S329" i="5"/>
  <c r="S336" i="5"/>
  <c r="S323" i="5"/>
  <c r="S325" i="5"/>
  <c r="S307" i="5"/>
  <c r="S279" i="5"/>
  <c r="S304" i="5"/>
  <c r="S290" i="5"/>
  <c r="S269" i="5"/>
  <c r="S268" i="5"/>
  <c r="S276" i="5"/>
  <c r="S257" i="5"/>
  <c r="S225" i="5"/>
  <c r="S240" i="5"/>
  <c r="S222" i="5"/>
  <c r="S187" i="5"/>
  <c r="S227" i="5"/>
  <c r="S94" i="5"/>
  <c r="S203" i="5"/>
  <c r="S184" i="5"/>
  <c r="S183" i="5"/>
  <c r="S174" i="5"/>
  <c r="S133" i="5"/>
  <c r="S150" i="5"/>
  <c r="S146" i="5"/>
  <c r="S140" i="5"/>
  <c r="S128" i="5"/>
  <c r="S120" i="5"/>
  <c r="S125" i="5"/>
  <c r="S100" i="5"/>
  <c r="S750" i="5"/>
  <c r="S715" i="5"/>
  <c r="S695" i="5"/>
  <c r="S720" i="5"/>
  <c r="S677" i="5"/>
  <c r="S684" i="5"/>
  <c r="S693" i="5"/>
  <c r="S648" i="5"/>
  <c r="S645" i="5"/>
  <c r="S641" i="5"/>
  <c r="S646" i="5"/>
  <c r="S666" i="5"/>
  <c r="S630" i="5"/>
  <c r="S617" i="5"/>
  <c r="S621" i="5"/>
  <c r="S739" i="5"/>
  <c r="S744" i="5"/>
  <c r="S752" i="5"/>
  <c r="S753" i="5"/>
  <c r="S706" i="5"/>
  <c r="S713" i="5"/>
  <c r="S710" i="5"/>
  <c r="S673" i="5"/>
  <c r="S678" i="5"/>
  <c r="S690" i="5"/>
  <c r="S643" i="5"/>
  <c r="S691" i="5"/>
  <c r="S639" i="5"/>
  <c r="S663" i="5"/>
  <c r="S657" i="5"/>
  <c r="S640" i="5"/>
  <c r="S614" i="5"/>
  <c r="S625" i="5"/>
  <c r="S623" i="5"/>
  <c r="S603" i="5"/>
  <c r="S606" i="5"/>
  <c r="S581" i="5"/>
  <c r="S593" i="5"/>
  <c r="S535" i="5"/>
  <c r="S534" i="5"/>
  <c r="S548" i="5"/>
  <c r="S552" i="5"/>
  <c r="S557" i="5"/>
  <c r="S522" i="5"/>
  <c r="S518" i="5"/>
  <c r="S512" i="5"/>
  <c r="S498" i="5"/>
  <c r="S485" i="5"/>
  <c r="S500" i="5"/>
  <c r="S483" i="5"/>
  <c r="S472" i="5"/>
  <c r="S471" i="5"/>
  <c r="S437" i="5"/>
  <c r="S452" i="5"/>
  <c r="S432" i="5"/>
  <c r="S388" i="5"/>
  <c r="S417" i="5"/>
  <c r="S418" i="5"/>
  <c r="S401" i="5"/>
  <c r="S399" i="5"/>
  <c r="S404" i="5"/>
  <c r="S392" i="5"/>
  <c r="S347" i="5"/>
  <c r="S366" i="5"/>
  <c r="S354" i="5"/>
  <c r="S350" i="5"/>
  <c r="S342" i="5"/>
  <c r="S332" i="5"/>
  <c r="S317" i="5"/>
  <c r="S326" i="5"/>
  <c r="S310" i="5"/>
  <c r="S316" i="5"/>
  <c r="S287" i="5"/>
  <c r="S294" i="5"/>
  <c r="S284" i="5"/>
  <c r="S296" i="5"/>
  <c r="S262" i="5"/>
  <c r="S260" i="5"/>
  <c r="S255" i="5"/>
  <c r="S241" i="5"/>
  <c r="S220" i="5"/>
  <c r="S223" i="5"/>
  <c r="S215" i="5"/>
  <c r="S207" i="5"/>
  <c r="S170" i="5"/>
  <c r="S197" i="5"/>
  <c r="S200" i="5"/>
  <c r="S180" i="5"/>
  <c r="S165" i="5"/>
  <c r="S167" i="5"/>
  <c r="S730" i="5"/>
  <c r="S754" i="5"/>
  <c r="S737" i="5"/>
  <c r="S722" i="5"/>
  <c r="S84" i="5"/>
  <c r="S66" i="5"/>
  <c r="S61" i="5"/>
  <c r="S52" i="5"/>
  <c r="S57" i="5"/>
  <c r="S42" i="5"/>
  <c r="S34" i="5"/>
  <c r="S30" i="5"/>
  <c r="S25" i="5"/>
  <c r="S12" i="5"/>
  <c r="S4" i="5"/>
  <c r="S756" i="5"/>
  <c r="S735" i="5"/>
  <c r="S726" i="5"/>
  <c r="S734" i="5"/>
  <c r="S717" i="5"/>
  <c r="S704" i="5"/>
  <c r="S714" i="5"/>
  <c r="S683" i="5"/>
  <c r="S674" i="5"/>
  <c r="S687" i="5"/>
  <c r="S652" i="5"/>
  <c r="S644" i="5"/>
  <c r="S653" i="5"/>
  <c r="S667" i="5"/>
  <c r="S628" i="5"/>
  <c r="S634" i="5"/>
  <c r="S624" i="5"/>
  <c r="S605" i="5"/>
  <c r="S616" i="5"/>
  <c r="S562" i="5"/>
  <c r="S563" i="5"/>
  <c r="S594" i="5"/>
  <c r="S572" i="5"/>
  <c r="S565" i="5"/>
  <c r="S571" i="5"/>
  <c r="S545" i="5"/>
  <c r="S544" i="5"/>
  <c r="S546" i="5"/>
  <c r="S521" i="5"/>
  <c r="S528" i="5"/>
  <c r="S496" i="5"/>
  <c r="S524" i="5"/>
  <c r="S745" i="5"/>
  <c r="S724" i="5"/>
  <c r="S748" i="5"/>
  <c r="S732" i="5"/>
  <c r="S708" i="5"/>
  <c r="S718" i="5"/>
  <c r="S711" i="5"/>
  <c r="S702" i="5"/>
  <c r="S672" i="5"/>
  <c r="S685" i="5"/>
  <c r="S689" i="5"/>
  <c r="S688" i="5"/>
  <c r="S669" i="5"/>
  <c r="S654" i="5"/>
  <c r="S651" i="5"/>
  <c r="S668" i="5"/>
  <c r="S598" i="5"/>
  <c r="S613" i="5"/>
  <c r="S601" i="5"/>
  <c r="S582" i="5"/>
  <c r="S559" i="5"/>
  <c r="S561" i="5"/>
  <c r="S590" i="5"/>
  <c r="S536" i="5"/>
  <c r="S566" i="5"/>
  <c r="S567" i="5"/>
  <c r="S558" i="5"/>
  <c r="S513" i="5"/>
  <c r="S537" i="5"/>
  <c r="S531" i="5"/>
  <c r="S493" i="5"/>
  <c r="S508" i="5"/>
  <c r="S487" i="5"/>
  <c r="S484" i="5"/>
  <c r="S466" i="5"/>
  <c r="S468" i="5"/>
  <c r="S482" i="5"/>
  <c r="S453" i="5"/>
  <c r="S465" i="5"/>
  <c r="S428" i="5"/>
  <c r="S447" i="5"/>
  <c r="S434" i="5"/>
  <c r="S436" i="5"/>
  <c r="S435" i="5"/>
  <c r="S330" i="5"/>
  <c r="S324" i="5"/>
  <c r="S299" i="5"/>
  <c r="S302" i="5"/>
  <c r="S303" i="5"/>
  <c r="S278" i="5"/>
  <c r="S293" i="5"/>
  <c r="S272" i="5"/>
  <c r="S271" i="5"/>
  <c r="S239" i="5"/>
  <c r="S254" i="5"/>
  <c r="S237" i="5"/>
  <c r="S243" i="5"/>
  <c r="S219" i="5"/>
  <c r="S234" i="5"/>
  <c r="S196" i="5"/>
  <c r="S202" i="5"/>
  <c r="S190" i="5"/>
  <c r="S198" i="5"/>
  <c r="S181" i="5"/>
  <c r="S160" i="5"/>
  <c r="S169" i="5"/>
  <c r="S158" i="5"/>
  <c r="S147" i="5"/>
  <c r="S136" i="5"/>
  <c r="S132" i="5"/>
  <c r="S106" i="5"/>
  <c r="S112" i="5"/>
  <c r="S97" i="5"/>
  <c r="S83" i="5"/>
  <c r="S89" i="5"/>
  <c r="S81" i="5"/>
  <c r="S73" i="5"/>
  <c r="S63" i="5"/>
  <c r="S50" i="5"/>
  <c r="S44" i="5"/>
  <c r="S35" i="5"/>
  <c r="S27" i="5"/>
  <c r="S18" i="5"/>
  <c r="S14" i="5"/>
  <c r="S5" i="5"/>
  <c r="S467" i="5"/>
  <c r="S476" i="5"/>
  <c r="S502" i="5"/>
  <c r="S470" i="5"/>
  <c r="S450" i="5"/>
  <c r="S440" i="5"/>
  <c r="S444" i="5"/>
  <c r="S425" i="5"/>
  <c r="S441" i="5"/>
  <c r="S413" i="5"/>
  <c r="S412" i="5"/>
  <c r="S419" i="5"/>
  <c r="S402" i="5"/>
  <c r="S387" i="5"/>
  <c r="S390" i="5"/>
  <c r="S346" i="5"/>
  <c r="S378" i="5"/>
  <c r="S351" i="5"/>
  <c r="S348" i="5"/>
  <c r="S360" i="5"/>
  <c r="S338" i="5"/>
  <c r="S320" i="5"/>
  <c r="S319" i="5"/>
  <c r="S315" i="5"/>
  <c r="S313" i="5"/>
  <c r="S300" i="5"/>
  <c r="S295" i="5"/>
  <c r="S247" i="5"/>
  <c r="S267" i="5"/>
  <c r="S229" i="5"/>
  <c r="S248" i="5"/>
  <c r="S312" i="5"/>
  <c r="S236" i="5"/>
  <c r="S226" i="5"/>
  <c r="S232" i="5"/>
  <c r="S216" i="5"/>
  <c r="S209" i="5"/>
  <c r="S201" i="5"/>
  <c r="S185" i="5"/>
  <c r="S194" i="5"/>
  <c r="S173" i="5"/>
  <c r="S164" i="5"/>
  <c r="S166" i="5"/>
  <c r="S134" i="5"/>
  <c r="S135" i="5"/>
  <c r="S137" i="5"/>
  <c r="S127" i="5"/>
  <c r="S121" i="5"/>
  <c r="S113" i="5"/>
  <c r="S102" i="5"/>
  <c r="S86" i="5"/>
  <c r="S755" i="5"/>
  <c r="S746" i="5"/>
  <c r="S747" i="5"/>
  <c r="S740" i="5"/>
  <c r="S723" i="5"/>
  <c r="S709" i="5"/>
  <c r="S696" i="5"/>
  <c r="S692" i="5"/>
  <c r="S701" i="5"/>
  <c r="S703" i="5"/>
  <c r="S405" i="5"/>
  <c r="S398" i="5"/>
  <c r="S380" i="5"/>
  <c r="S374" i="5"/>
  <c r="S370" i="5"/>
  <c r="S362" i="5"/>
  <c r="S357" i="5"/>
  <c r="S331" i="5"/>
  <c r="S334" i="5"/>
  <c r="S661" i="5"/>
  <c r="S642" i="5"/>
  <c r="S650" i="5"/>
  <c r="S664" i="5"/>
  <c r="S658" i="5"/>
  <c r="S635" i="5"/>
  <c r="S600" i="5"/>
  <c r="S604" i="5"/>
  <c r="S597" i="5"/>
  <c r="S627" i="5"/>
  <c r="S596" i="5"/>
  <c r="S587" i="5"/>
  <c r="S591" i="5"/>
  <c r="S539" i="5"/>
  <c r="S549" i="5"/>
  <c r="S575" i="5"/>
  <c r="S578" i="5"/>
  <c r="S213" i="5"/>
  <c r="S511" i="5"/>
  <c r="S494" i="5"/>
  <c r="S529" i="5"/>
  <c r="S523" i="5"/>
  <c r="S504" i="5"/>
  <c r="S384" i="5"/>
  <c r="S506" i="5"/>
  <c r="S457" i="5"/>
  <c r="S480" i="5"/>
  <c r="S459" i="5"/>
  <c r="S449" i="5"/>
  <c r="S456" i="5"/>
  <c r="S446" i="5"/>
  <c r="S439" i="5"/>
  <c r="S410" i="5"/>
  <c r="S415" i="5"/>
  <c r="S395" i="5"/>
  <c r="S407" i="5"/>
  <c r="S406" i="5"/>
  <c r="S368" i="5"/>
  <c r="S341" i="5"/>
  <c r="S369" i="5"/>
  <c r="S359" i="5"/>
  <c r="S400" i="5"/>
  <c r="S352" i="5"/>
  <c r="S333" i="5"/>
  <c r="S306" i="5"/>
  <c r="S249" i="5"/>
  <c r="S270" i="5"/>
  <c r="S298" i="5"/>
  <c r="S301" i="5"/>
  <c r="S282" i="5"/>
  <c r="S266" i="5"/>
  <c r="S274" i="5"/>
  <c r="S214" i="5"/>
  <c r="S256" i="5"/>
  <c r="S252" i="5"/>
  <c r="S242" i="5"/>
  <c r="S305" i="5"/>
  <c r="S233" i="5"/>
  <c r="S193" i="5"/>
  <c r="S206" i="5"/>
  <c r="S204" i="5"/>
  <c r="S179" i="5"/>
  <c r="S171" i="5"/>
  <c r="S172" i="5"/>
  <c r="S176" i="5"/>
  <c r="S156" i="5"/>
  <c r="S151" i="5"/>
  <c r="S138" i="5"/>
  <c r="S143" i="5"/>
  <c r="S122" i="5"/>
  <c r="S116" i="5"/>
  <c r="S111" i="5"/>
  <c r="S108" i="5"/>
  <c r="S87" i="5"/>
  <c r="S78" i="5"/>
  <c r="S75" i="5"/>
  <c r="S69" i="5"/>
  <c r="S55" i="5"/>
  <c r="S54" i="5"/>
  <c r="S41" i="5"/>
  <c r="S43" i="5"/>
  <c r="S28" i="5"/>
  <c r="S20" i="5"/>
  <c r="S10" i="5"/>
  <c r="S3" i="5"/>
  <c r="AD442" i="5"/>
  <c r="S99" i="5"/>
  <c r="S2" i="5"/>
  <c r="S168" i="5"/>
  <c r="U291" i="5"/>
  <c r="V291" i="5"/>
  <c r="W291" i="5"/>
  <c r="O291" i="5"/>
  <c r="P291" i="5" s="1"/>
  <c r="K34" i="25"/>
  <c r="K9" i="25"/>
  <c r="L9" i="25" s="1"/>
  <c r="K13" i="25"/>
  <c r="L13" i="25" s="1"/>
  <c r="K65" i="25"/>
  <c r="L65" i="25" s="1"/>
  <c r="K62" i="25"/>
  <c r="L62" i="25" s="1"/>
  <c r="H194" i="17"/>
  <c r="W636" i="5"/>
  <c r="Y540" i="5"/>
  <c r="W576" i="5"/>
  <c r="N549" i="5"/>
  <c r="P549" i="5" s="1"/>
  <c r="Z549" i="5"/>
  <c r="V535" i="5"/>
  <c r="V636" i="5"/>
  <c r="X693" i="5"/>
  <c r="N705" i="5"/>
  <c r="P705" i="5" s="1"/>
  <c r="Z705" i="5"/>
  <c r="W752" i="5"/>
  <c r="N707" i="5"/>
  <c r="P707" i="5" s="1"/>
  <c r="Z707" i="5"/>
  <c r="V381" i="5"/>
  <c r="V463" i="5"/>
  <c r="O540" i="5"/>
  <c r="P540" i="5" s="1"/>
  <c r="Y576" i="5"/>
  <c r="X535" i="5"/>
  <c r="X636" i="5"/>
  <c r="N693" i="5"/>
  <c r="Z693" i="5"/>
  <c r="Y752" i="5"/>
  <c r="V729" i="5"/>
  <c r="W535" i="5"/>
  <c r="W381" i="5"/>
  <c r="W463" i="5"/>
  <c r="N576" i="5"/>
  <c r="Z576" i="5"/>
  <c r="U549" i="5"/>
  <c r="Y535" i="5"/>
  <c r="Y636" i="5"/>
  <c r="O693" i="5"/>
  <c r="U705" i="5"/>
  <c r="N752" i="5"/>
  <c r="Z752" i="5"/>
  <c r="W729" i="5"/>
  <c r="U707" i="5"/>
  <c r="X381" i="5"/>
  <c r="X463" i="5"/>
  <c r="U540" i="5"/>
  <c r="O576" i="5"/>
  <c r="V549" i="5"/>
  <c r="N535" i="5"/>
  <c r="Z535" i="5"/>
  <c r="N636" i="5"/>
  <c r="Z636" i="5"/>
  <c r="V705" i="5"/>
  <c r="O752" i="5"/>
  <c r="X729" i="5"/>
  <c r="V707" i="5"/>
  <c r="Y381" i="5"/>
  <c r="Y463" i="5"/>
  <c r="V540" i="5"/>
  <c r="W549" i="5"/>
  <c r="O535" i="5"/>
  <c r="O636" i="5"/>
  <c r="U693" i="5"/>
  <c r="W705" i="5"/>
  <c r="Y729" i="5"/>
  <c r="W707" i="5"/>
  <c r="N381" i="5"/>
  <c r="Z381" i="5"/>
  <c r="N463" i="5"/>
  <c r="Z463" i="5"/>
  <c r="W540" i="5"/>
  <c r="U576" i="5"/>
  <c r="X549" i="5"/>
  <c r="V693" i="5"/>
  <c r="X705" i="5"/>
  <c r="U752" i="5"/>
  <c r="N729" i="5"/>
  <c r="Z729" i="5"/>
  <c r="X707" i="5"/>
  <c r="O381" i="5"/>
  <c r="O463" i="5"/>
  <c r="X540" i="5"/>
  <c r="V576" i="5"/>
  <c r="Y549" i="5"/>
  <c r="U535" i="5"/>
  <c r="U636" i="5"/>
  <c r="W693" i="5"/>
  <c r="Y705" i="5"/>
  <c r="V752" i="5"/>
  <c r="O729" i="5"/>
  <c r="Y707" i="5"/>
  <c r="U290" i="5"/>
  <c r="U329" i="5"/>
  <c r="X454" i="5"/>
  <c r="N478" i="5"/>
  <c r="Z478" i="5"/>
  <c r="V467" i="5"/>
  <c r="N526" i="5"/>
  <c r="Z526" i="5"/>
  <c r="U580" i="5"/>
  <c r="O597" i="5"/>
  <c r="P597" i="5" s="1"/>
  <c r="Y624" i="5"/>
  <c r="W615" i="5"/>
  <c r="U626" i="5"/>
  <c r="N657" i="5"/>
  <c r="Z657" i="5"/>
  <c r="O631" i="5"/>
  <c r="V664" i="5"/>
  <c r="U639" i="5"/>
  <c r="V650" i="5"/>
  <c r="W688" i="5"/>
  <c r="N659" i="5"/>
  <c r="Z659" i="5"/>
  <c r="X647" i="5"/>
  <c r="U678" i="5"/>
  <c r="U673" i="5"/>
  <c r="X680" i="5"/>
  <c r="V692" i="5"/>
  <c r="W711" i="5"/>
  <c r="Y695" i="5"/>
  <c r="W718" i="5"/>
  <c r="U713" i="5"/>
  <c r="X699" i="5"/>
  <c r="V709" i="5"/>
  <c r="Y715" i="5"/>
  <c r="N719" i="5"/>
  <c r="Z719" i="5"/>
  <c r="U706" i="5"/>
  <c r="U731" i="5"/>
  <c r="V747" i="5"/>
  <c r="N754" i="5"/>
  <c r="Z754" i="5"/>
  <c r="V746" i="5"/>
  <c r="W745" i="5"/>
  <c r="N751" i="5"/>
  <c r="Z751" i="5"/>
  <c r="V290" i="5"/>
  <c r="V329" i="5"/>
  <c r="Y454" i="5"/>
  <c r="U460" i="5"/>
  <c r="O478" i="5"/>
  <c r="W467" i="5"/>
  <c r="U491" i="5"/>
  <c r="O526" i="5"/>
  <c r="U568" i="5"/>
  <c r="U586" i="5"/>
  <c r="V580" i="5"/>
  <c r="N624" i="5"/>
  <c r="Z624" i="5"/>
  <c r="U598" i="5"/>
  <c r="X615" i="5"/>
  <c r="V626" i="5"/>
  <c r="O657" i="5"/>
  <c r="W664" i="5"/>
  <c r="V639" i="5"/>
  <c r="W650" i="5"/>
  <c r="X688" i="5"/>
  <c r="O659" i="5"/>
  <c r="Y647" i="5"/>
  <c r="V678" i="5"/>
  <c r="V673" i="5"/>
  <c r="Y680" i="5"/>
  <c r="W692" i="5"/>
  <c r="X711" i="5"/>
  <c r="N695" i="5"/>
  <c r="Z695" i="5"/>
  <c r="U704" i="5"/>
  <c r="X718" i="5"/>
  <c r="V713" i="5"/>
  <c r="Y699" i="5"/>
  <c r="W709" i="5"/>
  <c r="N715" i="5"/>
  <c r="Z715" i="5"/>
  <c r="O719" i="5"/>
  <c r="V706" i="5"/>
  <c r="U734" i="5"/>
  <c r="V731" i="5"/>
  <c r="W747" i="5"/>
  <c r="O754" i="5"/>
  <c r="P754" i="5" s="1"/>
  <c r="W746" i="5"/>
  <c r="X745" i="5"/>
  <c r="O751" i="5"/>
  <c r="Y290" i="5"/>
  <c r="W290" i="5"/>
  <c r="W329" i="5"/>
  <c r="N454" i="5"/>
  <c r="Z454" i="5"/>
  <c r="V460" i="5"/>
  <c r="X467" i="5"/>
  <c r="V491" i="5"/>
  <c r="V568" i="5"/>
  <c r="V586" i="5"/>
  <c r="W580" i="5"/>
  <c r="U597" i="5"/>
  <c r="O624" i="5"/>
  <c r="V598" i="5"/>
  <c r="Y615" i="5"/>
  <c r="W626" i="5"/>
  <c r="U631" i="5"/>
  <c r="X664" i="5"/>
  <c r="W639" i="5"/>
  <c r="X650" i="5"/>
  <c r="Y688" i="5"/>
  <c r="N647" i="5"/>
  <c r="Z647" i="5"/>
  <c r="W678" i="5"/>
  <c r="W673" i="5"/>
  <c r="N680" i="5"/>
  <c r="Z680" i="5"/>
  <c r="X692" i="5"/>
  <c r="Y711" i="5"/>
  <c r="O695" i="5"/>
  <c r="V704" i="5"/>
  <c r="Y718" i="5"/>
  <c r="W713" i="5"/>
  <c r="N699" i="5"/>
  <c r="Z699" i="5"/>
  <c r="X709" i="5"/>
  <c r="O715" i="5"/>
  <c r="W706" i="5"/>
  <c r="V734" i="5"/>
  <c r="W731" i="5"/>
  <c r="X747" i="5"/>
  <c r="X746" i="5"/>
  <c r="Y745" i="5"/>
  <c r="X290" i="5"/>
  <c r="X329" i="5"/>
  <c r="O454" i="5"/>
  <c r="W460" i="5"/>
  <c r="U478" i="5"/>
  <c r="Y467" i="5"/>
  <c r="W491" i="5"/>
  <c r="U526" i="5"/>
  <c r="W568" i="5"/>
  <c r="W586" i="5"/>
  <c r="X580" i="5"/>
  <c r="V597" i="5"/>
  <c r="W598" i="5"/>
  <c r="N615" i="5"/>
  <c r="Z615" i="5"/>
  <c r="X626" i="5"/>
  <c r="U657" i="5"/>
  <c r="V631" i="5"/>
  <c r="Y664" i="5"/>
  <c r="X639" i="5"/>
  <c r="Y650" i="5"/>
  <c r="N688" i="5"/>
  <c r="Z688" i="5"/>
  <c r="U659" i="5"/>
  <c r="O647" i="5"/>
  <c r="X678" i="5"/>
  <c r="X673" i="5"/>
  <c r="O680" i="5"/>
  <c r="Y692" i="5"/>
  <c r="N711" i="5"/>
  <c r="Z711" i="5"/>
  <c r="W704" i="5"/>
  <c r="N718" i="5"/>
  <c r="Z718" i="5"/>
  <c r="X713" i="5"/>
  <c r="O699" i="5"/>
  <c r="Y709" i="5"/>
  <c r="U719" i="5"/>
  <c r="X706" i="5"/>
  <c r="W734" i="5"/>
  <c r="X731" i="5"/>
  <c r="Y747" i="5"/>
  <c r="U754" i="5"/>
  <c r="Y746" i="5"/>
  <c r="N745" i="5"/>
  <c r="Z745" i="5"/>
  <c r="U751" i="5"/>
  <c r="X460" i="5"/>
  <c r="V478" i="5"/>
  <c r="N467" i="5"/>
  <c r="Z467" i="5"/>
  <c r="X491" i="5"/>
  <c r="V526" i="5"/>
  <c r="X568" i="5"/>
  <c r="X586" i="5"/>
  <c r="Y580" i="5"/>
  <c r="W597" i="5"/>
  <c r="U624" i="5"/>
  <c r="X598" i="5"/>
  <c r="O615" i="5"/>
  <c r="Y626" i="5"/>
  <c r="V657" i="5"/>
  <c r="W631" i="5"/>
  <c r="N664" i="5"/>
  <c r="Z664" i="5"/>
  <c r="Y639" i="5"/>
  <c r="N650" i="5"/>
  <c r="Z650" i="5"/>
  <c r="O688" i="5"/>
  <c r="V659" i="5"/>
  <c r="Y678" i="5"/>
  <c r="Y673" i="5"/>
  <c r="N692" i="5"/>
  <c r="Z692" i="5"/>
  <c r="O711" i="5"/>
  <c r="U695" i="5"/>
  <c r="X704" i="5"/>
  <c r="O718" i="5"/>
  <c r="Y713" i="5"/>
  <c r="N709" i="5"/>
  <c r="Z709" i="5"/>
  <c r="U715" i="5"/>
  <c r="V719" i="5"/>
  <c r="Y706" i="5"/>
  <c r="X734" i="5"/>
  <c r="Y731" i="5"/>
  <c r="N747" i="5"/>
  <c r="Z747" i="5"/>
  <c r="V754" i="5"/>
  <c r="N746" i="5"/>
  <c r="Z746" i="5"/>
  <c r="O745" i="5"/>
  <c r="V751" i="5"/>
  <c r="N290" i="5"/>
  <c r="Z290" i="5"/>
  <c r="N329" i="5"/>
  <c r="Z329" i="5"/>
  <c r="U454" i="5"/>
  <c r="Y460" i="5"/>
  <c r="W478" i="5"/>
  <c r="O467" i="5"/>
  <c r="Y491" i="5"/>
  <c r="W526" i="5"/>
  <c r="Y568" i="5"/>
  <c r="Y586" i="5"/>
  <c r="N580" i="5"/>
  <c r="Z580" i="5"/>
  <c r="X597" i="5"/>
  <c r="V624" i="5"/>
  <c r="Y598" i="5"/>
  <c r="N626" i="5"/>
  <c r="Z626" i="5"/>
  <c r="W657" i="5"/>
  <c r="X631" i="5"/>
  <c r="O664" i="5"/>
  <c r="N639" i="5"/>
  <c r="Z639" i="5"/>
  <c r="O650" i="5"/>
  <c r="W659" i="5"/>
  <c r="U647" i="5"/>
  <c r="N678" i="5"/>
  <c r="Z678" i="5"/>
  <c r="N673" i="5"/>
  <c r="Z673" i="5"/>
  <c r="U680" i="5"/>
  <c r="O692" i="5"/>
  <c r="V695" i="5"/>
  <c r="Y704" i="5"/>
  <c r="N713" i="5"/>
  <c r="Z713" i="5"/>
  <c r="U699" i="5"/>
  <c r="O709" i="5"/>
  <c r="V715" i="5"/>
  <c r="W719" i="5"/>
  <c r="N706" i="5"/>
  <c r="Z706" i="5"/>
  <c r="Y734" i="5"/>
  <c r="N731" i="5"/>
  <c r="Z731" i="5"/>
  <c r="O747" i="5"/>
  <c r="W754" i="5"/>
  <c r="O746" i="5"/>
  <c r="W751" i="5"/>
  <c r="O290" i="5"/>
  <c r="O329" i="5"/>
  <c r="V454" i="5"/>
  <c r="N460" i="5"/>
  <c r="Z460" i="5"/>
  <c r="X478" i="5"/>
  <c r="N491" i="5"/>
  <c r="Z491" i="5"/>
  <c r="X526" i="5"/>
  <c r="N568" i="5"/>
  <c r="Z568" i="5"/>
  <c r="N586" i="5"/>
  <c r="Z586" i="5"/>
  <c r="O580" i="5"/>
  <c r="Y597" i="5"/>
  <c r="W624" i="5"/>
  <c r="N598" i="5"/>
  <c r="P598" i="5" s="1"/>
  <c r="Z598" i="5"/>
  <c r="U615" i="5"/>
  <c r="O626" i="5"/>
  <c r="X657" i="5"/>
  <c r="Y631" i="5"/>
  <c r="O639" i="5"/>
  <c r="U688" i="5"/>
  <c r="X659" i="5"/>
  <c r="V647" i="5"/>
  <c r="O678" i="5"/>
  <c r="O673" i="5"/>
  <c r="V680" i="5"/>
  <c r="U711" i="5"/>
  <c r="W695" i="5"/>
  <c r="N704" i="5"/>
  <c r="Z704" i="5"/>
  <c r="U718" i="5"/>
  <c r="O713" i="5"/>
  <c r="V699" i="5"/>
  <c r="W715" i="5"/>
  <c r="X719" i="5"/>
  <c r="O706" i="5"/>
  <c r="N734" i="5"/>
  <c r="Z734" i="5"/>
  <c r="O731" i="5"/>
  <c r="X754" i="5"/>
  <c r="U745" i="5"/>
  <c r="X751" i="5"/>
  <c r="Y329" i="5"/>
  <c r="W454" i="5"/>
  <c r="O460" i="5"/>
  <c r="Y478" i="5"/>
  <c r="U467" i="5"/>
  <c r="O491" i="5"/>
  <c r="Y526" i="5"/>
  <c r="O568" i="5"/>
  <c r="O586" i="5"/>
  <c r="X624" i="5"/>
  <c r="V615" i="5"/>
  <c r="Y657" i="5"/>
  <c r="N631" i="5"/>
  <c r="Z631" i="5"/>
  <c r="U664" i="5"/>
  <c r="U650" i="5"/>
  <c r="V688" i="5"/>
  <c r="Y659" i="5"/>
  <c r="W647" i="5"/>
  <c r="W680" i="5"/>
  <c r="U692" i="5"/>
  <c r="V711" i="5"/>
  <c r="X695" i="5"/>
  <c r="O704" i="5"/>
  <c r="V718" i="5"/>
  <c r="W699" i="5"/>
  <c r="U709" i="5"/>
  <c r="X715" i="5"/>
  <c r="Y719" i="5"/>
  <c r="O734" i="5"/>
  <c r="U747" i="5"/>
  <c r="Y754" i="5"/>
  <c r="Y751" i="5"/>
  <c r="P168" i="5"/>
  <c r="AD168" i="5" s="1"/>
  <c r="P15" i="5"/>
  <c r="AD15" i="5" s="1"/>
  <c r="P5" i="11"/>
  <c r="P13" i="11"/>
  <c r="P21" i="11"/>
  <c r="P29" i="11"/>
  <c r="O8" i="11"/>
  <c r="O16" i="11"/>
  <c r="O24" i="11"/>
  <c r="O32" i="11"/>
  <c r="N11" i="11"/>
  <c r="N19" i="11"/>
  <c r="N27" i="11"/>
  <c r="M6" i="11"/>
  <c r="M14" i="11"/>
  <c r="M22" i="11"/>
  <c r="M30" i="11"/>
  <c r="L9" i="11"/>
  <c r="L17" i="11"/>
  <c r="L25" i="11"/>
  <c r="L33" i="11"/>
  <c r="K12" i="11"/>
  <c r="K20" i="11"/>
  <c r="K28" i="11"/>
  <c r="J7" i="11"/>
  <c r="J42" i="11" s="1"/>
  <c r="J15" i="11"/>
  <c r="J50" i="11" s="1"/>
  <c r="J23" i="11"/>
  <c r="J58" i="11" s="1"/>
  <c r="J31" i="11"/>
  <c r="I10" i="11"/>
  <c r="I18" i="11"/>
  <c r="I26" i="11"/>
  <c r="H5" i="11"/>
  <c r="H13" i="11"/>
  <c r="H21" i="11"/>
  <c r="H29" i="11"/>
  <c r="G8" i="11"/>
  <c r="G16" i="11"/>
  <c r="G24" i="11"/>
  <c r="G32" i="11"/>
  <c r="F11" i="11"/>
  <c r="F19" i="11"/>
  <c r="F27" i="11"/>
  <c r="E6" i="11"/>
  <c r="E14" i="11"/>
  <c r="E22" i="11"/>
  <c r="E30" i="11"/>
  <c r="D9" i="11"/>
  <c r="D17" i="11"/>
  <c r="D25" i="11"/>
  <c r="D33" i="11"/>
  <c r="C12" i="11"/>
  <c r="C20" i="11"/>
  <c r="C28" i="11"/>
  <c r="B6" i="11"/>
  <c r="P6" i="11"/>
  <c r="P14" i="11"/>
  <c r="P22" i="11"/>
  <c r="P30" i="11"/>
  <c r="O9" i="11"/>
  <c r="O17" i="11"/>
  <c r="O25" i="11"/>
  <c r="O33" i="11"/>
  <c r="N12" i="11"/>
  <c r="N20" i="11"/>
  <c r="N28" i="11"/>
  <c r="M7" i="11"/>
  <c r="M15" i="11"/>
  <c r="M23" i="11"/>
  <c r="M31" i="11"/>
  <c r="L10" i="11"/>
  <c r="L18" i="11"/>
  <c r="L26" i="11"/>
  <c r="K5" i="11"/>
  <c r="K13" i="11"/>
  <c r="K21" i="11"/>
  <c r="K29" i="11"/>
  <c r="J8" i="11"/>
  <c r="J43" i="11" s="1"/>
  <c r="J16" i="11"/>
  <c r="J51" i="11" s="1"/>
  <c r="J24" i="11"/>
  <c r="J59" i="11" s="1"/>
  <c r="J32" i="11"/>
  <c r="I11" i="11"/>
  <c r="I19" i="11"/>
  <c r="I27" i="11"/>
  <c r="H6" i="11"/>
  <c r="H14" i="11"/>
  <c r="H22" i="11"/>
  <c r="H30" i="11"/>
  <c r="G9" i="11"/>
  <c r="G17" i="11"/>
  <c r="G25" i="11"/>
  <c r="G33" i="11"/>
  <c r="F12" i="11"/>
  <c r="F20" i="11"/>
  <c r="F28" i="11"/>
  <c r="E7" i="11"/>
  <c r="E15" i="11"/>
  <c r="E23" i="11"/>
  <c r="E31" i="11"/>
  <c r="D10" i="11"/>
  <c r="D18" i="11"/>
  <c r="D26" i="11"/>
  <c r="C5" i="11"/>
  <c r="C13" i="11"/>
  <c r="C21" i="11"/>
  <c r="C29" i="11"/>
  <c r="B7" i="11"/>
  <c r="P7" i="11"/>
  <c r="P15" i="11"/>
  <c r="P23" i="11"/>
  <c r="P31" i="11"/>
  <c r="O10" i="11"/>
  <c r="O18" i="11"/>
  <c r="O26" i="11"/>
  <c r="N5" i="11"/>
  <c r="N13" i="11"/>
  <c r="N21" i="11"/>
  <c r="N29" i="11"/>
  <c r="M8" i="11"/>
  <c r="M16" i="11"/>
  <c r="M24" i="11"/>
  <c r="M32" i="11"/>
  <c r="L11" i="11"/>
  <c r="L19" i="11"/>
  <c r="L27" i="11"/>
  <c r="K6" i="11"/>
  <c r="K14" i="11"/>
  <c r="K22" i="11"/>
  <c r="K30" i="11"/>
  <c r="J9" i="11"/>
  <c r="J44" i="11" s="1"/>
  <c r="J17" i="11"/>
  <c r="J52" i="11" s="1"/>
  <c r="J25" i="11"/>
  <c r="J33" i="11"/>
  <c r="J74" i="11" s="1"/>
  <c r="I12" i="11"/>
  <c r="I20" i="11"/>
  <c r="I28" i="11"/>
  <c r="H7" i="11"/>
  <c r="H15" i="11"/>
  <c r="H23" i="11"/>
  <c r="H31" i="11"/>
  <c r="G10" i="11"/>
  <c r="G18" i="11"/>
  <c r="G26" i="11"/>
  <c r="F5" i="11"/>
  <c r="F13" i="11"/>
  <c r="F21" i="11"/>
  <c r="F29" i="11"/>
  <c r="E8" i="11"/>
  <c r="E16" i="11"/>
  <c r="E24" i="11"/>
  <c r="E32" i="11"/>
  <c r="D11" i="11"/>
  <c r="D19" i="11"/>
  <c r="D27" i="11"/>
  <c r="C6" i="11"/>
  <c r="C14" i="11"/>
  <c r="C22" i="11"/>
  <c r="C30" i="11"/>
  <c r="A75" i="11"/>
  <c r="P8" i="11"/>
  <c r="P16" i="11"/>
  <c r="P24" i="11"/>
  <c r="P32" i="11"/>
  <c r="O11" i="11"/>
  <c r="O19" i="11"/>
  <c r="O27" i="11"/>
  <c r="N6" i="11"/>
  <c r="N14" i="11"/>
  <c r="N22" i="11"/>
  <c r="N30" i="11"/>
  <c r="M9" i="11"/>
  <c r="M17" i="11"/>
  <c r="M25" i="11"/>
  <c r="M33" i="11"/>
  <c r="L12" i="11"/>
  <c r="L20" i="11"/>
  <c r="L28" i="11"/>
  <c r="K7" i="11"/>
  <c r="K15" i="11"/>
  <c r="K23" i="11"/>
  <c r="K31" i="11"/>
  <c r="J10" i="11"/>
  <c r="J45" i="11" s="1"/>
  <c r="J18" i="11"/>
  <c r="J53" i="11" s="1"/>
  <c r="J26" i="11"/>
  <c r="I5" i="11"/>
  <c r="I13" i="11"/>
  <c r="I21" i="11"/>
  <c r="I29" i="11"/>
  <c r="H8" i="11"/>
  <c r="H16" i="11"/>
  <c r="H24" i="11"/>
  <c r="H32" i="11"/>
  <c r="G11" i="11"/>
  <c r="G19" i="11"/>
  <c r="G27" i="11"/>
  <c r="F6" i="11"/>
  <c r="F14" i="11"/>
  <c r="F22" i="11"/>
  <c r="F30" i="11"/>
  <c r="E9" i="11"/>
  <c r="E17" i="11"/>
  <c r="E25" i="11"/>
  <c r="E33" i="11"/>
  <c r="D12" i="11"/>
  <c r="D20" i="11"/>
  <c r="D28" i="11"/>
  <c r="C7" i="11"/>
  <c r="C15" i="11"/>
  <c r="C23" i="11"/>
  <c r="C31" i="11"/>
  <c r="B5" i="11"/>
  <c r="C27" i="11"/>
  <c r="C19" i="11"/>
  <c r="C11" i="11"/>
  <c r="D32" i="11"/>
  <c r="D24" i="11"/>
  <c r="D16" i="11"/>
  <c r="D8" i="11"/>
  <c r="E29" i="11"/>
  <c r="E21" i="11"/>
  <c r="E13" i="11"/>
  <c r="E5" i="11"/>
  <c r="F26" i="11"/>
  <c r="F18" i="11"/>
  <c r="F10" i="11"/>
  <c r="G31" i="11"/>
  <c r="G23" i="11"/>
  <c r="G15" i="11"/>
  <c r="G7" i="11"/>
  <c r="H28" i="11"/>
  <c r="H20" i="11"/>
  <c r="H12" i="11"/>
  <c r="I33" i="11"/>
  <c r="I25" i="11"/>
  <c r="I17" i="11"/>
  <c r="I9" i="11"/>
  <c r="J30" i="11"/>
  <c r="J22" i="11"/>
  <c r="J57" i="11" s="1"/>
  <c r="J14" i="11"/>
  <c r="J49" i="11" s="1"/>
  <c r="J6" i="11"/>
  <c r="J41" i="11" s="1"/>
  <c r="K27" i="11"/>
  <c r="K19" i="11"/>
  <c r="K11" i="11"/>
  <c r="L32" i="11"/>
  <c r="L24" i="11"/>
  <c r="L16" i="11"/>
  <c r="L8" i="11"/>
  <c r="M29" i="11"/>
  <c r="M21" i="11"/>
  <c r="M13" i="11"/>
  <c r="M5" i="11"/>
  <c r="N26" i="11"/>
  <c r="N18" i="11"/>
  <c r="N10" i="11"/>
  <c r="O31" i="11"/>
  <c r="O23" i="11"/>
  <c r="O15" i="11"/>
  <c r="O7" i="11"/>
  <c r="P28" i="11"/>
  <c r="P20" i="11"/>
  <c r="P12" i="11"/>
  <c r="B8" i="11"/>
  <c r="C26" i="11"/>
  <c r="C18" i="11"/>
  <c r="C10" i="11"/>
  <c r="D31" i="11"/>
  <c r="D23" i="11"/>
  <c r="D15" i="11"/>
  <c r="D7" i="11"/>
  <c r="E28" i="11"/>
  <c r="E20" i="11"/>
  <c r="E12" i="11"/>
  <c r="F33" i="11"/>
  <c r="F25" i="11"/>
  <c r="F17" i="11"/>
  <c r="F9" i="11"/>
  <c r="G30" i="11"/>
  <c r="G22" i="11"/>
  <c r="G14" i="11"/>
  <c r="G6" i="11"/>
  <c r="H27" i="11"/>
  <c r="H19" i="11"/>
  <c r="H11" i="11"/>
  <c r="I32" i="11"/>
  <c r="I24" i="11"/>
  <c r="I16" i="11"/>
  <c r="I8" i="11"/>
  <c r="J29" i="11"/>
  <c r="J21" i="11"/>
  <c r="J56" i="11" s="1"/>
  <c r="J13" i="11"/>
  <c r="J48" i="11" s="1"/>
  <c r="J5" i="11"/>
  <c r="J40" i="11" s="1"/>
  <c r="K26" i="11"/>
  <c r="K18" i="11"/>
  <c r="K10" i="11"/>
  <c r="L31" i="11"/>
  <c r="L23" i="11"/>
  <c r="L15" i="11"/>
  <c r="L7" i="11"/>
  <c r="M28" i="11"/>
  <c r="M20" i="11"/>
  <c r="M12" i="11"/>
  <c r="N33" i="11"/>
  <c r="N25" i="11"/>
  <c r="N17" i="11"/>
  <c r="N9" i="11"/>
  <c r="O30" i="11"/>
  <c r="O22" i="11"/>
  <c r="O14" i="11"/>
  <c r="O6" i="11"/>
  <c r="P27" i="11"/>
  <c r="P19" i="11"/>
  <c r="P11" i="11"/>
  <c r="C33" i="11"/>
  <c r="C17" i="11"/>
  <c r="C9" i="11"/>
  <c r="D30" i="11"/>
  <c r="D22" i="11"/>
  <c r="D14" i="11"/>
  <c r="D6" i="11"/>
  <c r="E27" i="11"/>
  <c r="E19" i="11"/>
  <c r="E11" i="11"/>
  <c r="F32" i="11"/>
  <c r="F24" i="11"/>
  <c r="F16" i="11"/>
  <c r="F8" i="11"/>
  <c r="G29" i="11"/>
  <c r="G21" i="11"/>
  <c r="G13" i="11"/>
  <c r="G5" i="11"/>
  <c r="H26" i="11"/>
  <c r="H18" i="11"/>
  <c r="H10" i="11"/>
  <c r="I31" i="11"/>
  <c r="I23" i="11"/>
  <c r="I15" i="11"/>
  <c r="I7" i="11"/>
  <c r="J28" i="11"/>
  <c r="J20" i="11"/>
  <c r="J55" i="11" s="1"/>
  <c r="J12" i="11"/>
  <c r="J47" i="11" s="1"/>
  <c r="K33" i="11"/>
  <c r="K25" i="11"/>
  <c r="K17" i="11"/>
  <c r="K9" i="11"/>
  <c r="L30" i="11"/>
  <c r="L22" i="11"/>
  <c r="L14" i="11"/>
  <c r="L6" i="11"/>
  <c r="M27" i="11"/>
  <c r="M19" i="11"/>
  <c r="M11" i="11"/>
  <c r="N32" i="11"/>
  <c r="N24" i="11"/>
  <c r="N16" i="11"/>
  <c r="N8" i="11"/>
  <c r="O29" i="11"/>
  <c r="O21" i="11"/>
  <c r="O13" i="11"/>
  <c r="O5" i="11"/>
  <c r="P26" i="11"/>
  <c r="P18" i="11"/>
  <c r="P10" i="11"/>
  <c r="C32" i="11"/>
  <c r="C24" i="11"/>
  <c r="C16" i="11"/>
  <c r="C8" i="11"/>
  <c r="D29" i="11"/>
  <c r="D21" i="11"/>
  <c r="D13" i="11"/>
  <c r="D5" i="11"/>
  <c r="E26" i="11"/>
  <c r="E18" i="11"/>
  <c r="E10" i="11"/>
  <c r="F31" i="11"/>
  <c r="F23" i="11"/>
  <c r="F15" i="11"/>
  <c r="F7" i="11"/>
  <c r="G28" i="11"/>
  <c r="G20" i="11"/>
  <c r="G12" i="11"/>
  <c r="H33" i="11"/>
  <c r="H25" i="11"/>
  <c r="H17" i="11"/>
  <c r="H9" i="11"/>
  <c r="I30" i="11"/>
  <c r="I22" i="11"/>
  <c r="I14" i="11"/>
  <c r="I6" i="11"/>
  <c r="J27" i="11"/>
  <c r="J19" i="11"/>
  <c r="J54" i="11" s="1"/>
  <c r="J11" i="11"/>
  <c r="J46" i="11" s="1"/>
  <c r="K32" i="11"/>
  <c r="K24" i="11"/>
  <c r="K16" i="11"/>
  <c r="K8" i="11"/>
  <c r="L29" i="11"/>
  <c r="L21" i="11"/>
  <c r="L13" i="11"/>
  <c r="L5" i="11"/>
  <c r="M26" i="11"/>
  <c r="M18" i="11"/>
  <c r="M10" i="11"/>
  <c r="N31" i="11"/>
  <c r="N23" i="11"/>
  <c r="N15" i="11"/>
  <c r="N7" i="11"/>
  <c r="O28" i="11"/>
  <c r="O20" i="11"/>
  <c r="O12" i="11"/>
  <c r="P33" i="11"/>
  <c r="P25" i="11"/>
  <c r="P17" i="11"/>
  <c r="P9" i="11"/>
  <c r="D34" i="11"/>
  <c r="L34" i="11"/>
  <c r="A57" i="11"/>
  <c r="B57" i="11" s="1"/>
  <c r="E34" i="11"/>
  <c r="M34" i="11"/>
  <c r="A45" i="11"/>
  <c r="B45" i="11" s="1"/>
  <c r="F34" i="11"/>
  <c r="P34" i="11"/>
  <c r="G34" i="11"/>
  <c r="A53" i="11"/>
  <c r="B53" i="11" s="1"/>
  <c r="A59" i="11"/>
  <c r="B59" i="11" s="1"/>
  <c r="H34" i="11"/>
  <c r="I34" i="11"/>
  <c r="B34" i="11"/>
  <c r="J34" i="11"/>
  <c r="J75" i="11" s="1"/>
  <c r="A49" i="11"/>
  <c r="B49" i="11" s="1"/>
  <c r="C34" i="11"/>
  <c r="K34" i="11"/>
  <c r="B33" i="11"/>
  <c r="B32" i="11"/>
  <c r="B31" i="11"/>
  <c r="B30" i="11"/>
  <c r="B29" i="11"/>
  <c r="B28" i="11"/>
  <c r="B27" i="11"/>
  <c r="B26" i="11"/>
  <c r="B25" i="11"/>
  <c r="B24" i="11"/>
  <c r="B23" i="11"/>
  <c r="B22" i="11"/>
  <c r="A56" i="11"/>
  <c r="B56" i="11" s="1"/>
  <c r="B21" i="11"/>
  <c r="B20" i="11"/>
  <c r="B19" i="11"/>
  <c r="B18" i="11"/>
  <c r="B17" i="11"/>
  <c r="B16" i="11"/>
  <c r="B15" i="11"/>
  <c r="A48" i="11"/>
  <c r="B48" i="11" s="1"/>
  <c r="B14" i="11"/>
  <c r="B13" i="11"/>
  <c r="B12" i="11"/>
  <c r="B11" i="11"/>
  <c r="A43" i="11"/>
  <c r="B43" i="11" s="1"/>
  <c r="A4" i="11"/>
  <c r="M4" i="11" s="1"/>
  <c r="B9" i="11"/>
  <c r="B10" i="11"/>
  <c r="A51" i="11"/>
  <c r="B51" i="11" s="1"/>
  <c r="A55" i="11"/>
  <c r="B55" i="11" s="1"/>
  <c r="A47" i="11"/>
  <c r="B47" i="11" s="1"/>
  <c r="A41" i="11"/>
  <c r="B41" i="11" s="1"/>
  <c r="A40" i="11"/>
  <c r="B40" i="11" s="1"/>
  <c r="A46" i="11"/>
  <c r="B46" i="11" s="1"/>
  <c r="A54" i="11"/>
  <c r="B54" i="11" s="1"/>
  <c r="A44" i="11"/>
  <c r="B44" i="11" s="1"/>
  <c r="A52" i="11"/>
  <c r="B52" i="11" s="1"/>
  <c r="A42" i="11"/>
  <c r="B42" i="11" s="1"/>
  <c r="A50" i="11"/>
  <c r="B50" i="11" s="1"/>
  <c r="A58" i="11"/>
  <c r="B58" i="11" s="1"/>
  <c r="K32" i="25"/>
  <c r="L32" i="25" s="1"/>
  <c r="K7" i="25"/>
  <c r="L7" i="25" s="1"/>
  <c r="K50" i="25"/>
  <c r="S50" i="25" s="1"/>
  <c r="K60" i="25"/>
  <c r="L60" i="25" s="1"/>
  <c r="K10" i="25"/>
  <c r="L10" i="25" s="1"/>
  <c r="K71" i="25"/>
  <c r="L71" i="25" s="1"/>
  <c r="K47" i="25"/>
  <c r="L47" i="25" s="1"/>
  <c r="K63" i="25"/>
  <c r="L63" i="25" s="1"/>
  <c r="K68" i="25"/>
  <c r="L68" i="25" s="1"/>
  <c r="K22" i="25"/>
  <c r="L22" i="25" s="1"/>
  <c r="K55" i="25"/>
  <c r="L55" i="25" s="1"/>
  <c r="K70" i="25"/>
  <c r="L70" i="25" s="1"/>
  <c r="K53" i="25"/>
  <c r="L53" i="25" s="1"/>
  <c r="N81" i="26"/>
  <c r="J80" i="26"/>
  <c r="K37" i="25"/>
  <c r="L37" i="25" s="1"/>
  <c r="K8" i="25"/>
  <c r="L8" i="25" s="1"/>
  <c r="K48" i="25"/>
  <c r="L48" i="25" s="1"/>
  <c r="K73" i="25"/>
  <c r="L73" i="25" s="1"/>
  <c r="K24" i="25"/>
  <c r="L24" i="25" s="1"/>
  <c r="G81" i="26"/>
  <c r="K57" i="25"/>
  <c r="L57" i="25" s="1"/>
  <c r="K42" i="25"/>
  <c r="L42" i="25" s="1"/>
  <c r="K45" i="25"/>
  <c r="L45" i="25" s="1"/>
  <c r="S34" i="25"/>
  <c r="K74" i="25"/>
  <c r="S74" i="25" s="1"/>
  <c r="K61" i="25"/>
  <c r="K20" i="25"/>
  <c r="L20" i="25" s="1"/>
  <c r="K77" i="25"/>
  <c r="L77" i="25" s="1"/>
  <c r="K78" i="25"/>
  <c r="F81" i="26"/>
  <c r="M77" i="25"/>
  <c r="K76" i="25"/>
  <c r="K29" i="25"/>
  <c r="L29" i="25" s="1"/>
  <c r="K28" i="25"/>
  <c r="L28" i="25" s="1"/>
  <c r="K31" i="25"/>
  <c r="L31" i="25" s="1"/>
  <c r="K56" i="25"/>
  <c r="S56" i="25" s="1"/>
  <c r="K49" i="25"/>
  <c r="L49" i="25" s="1"/>
  <c r="K66" i="25"/>
  <c r="L66" i="25" s="1"/>
  <c r="K4" i="25"/>
  <c r="S4" i="25" s="1"/>
  <c r="K5" i="25"/>
  <c r="L5" i="25" s="1"/>
  <c r="K44" i="25"/>
  <c r="L44" i="25" s="1"/>
  <c r="K36" i="25"/>
  <c r="L36" i="25" s="1"/>
  <c r="I81" i="26"/>
  <c r="M70" i="25"/>
  <c r="K3" i="25"/>
  <c r="L3" i="25" s="1"/>
  <c r="K64" i="25"/>
  <c r="L64" i="25" s="1"/>
  <c r="K54" i="25"/>
  <c r="L54" i="25" s="1"/>
  <c r="K59" i="25"/>
  <c r="K14" i="25"/>
  <c r="S14" i="25" s="1"/>
  <c r="S57" i="25"/>
  <c r="H81" i="26"/>
  <c r="G80" i="26"/>
  <c r="G5" i="26" s="1"/>
  <c r="K11" i="25"/>
  <c r="L11" i="25" s="1"/>
  <c r="K75" i="25"/>
  <c r="L75" i="25" s="1"/>
  <c r="M54" i="25"/>
  <c r="K72" i="25"/>
  <c r="L72" i="25" s="1"/>
  <c r="K52" i="25"/>
  <c r="L52" i="25" s="1"/>
  <c r="S78" i="25"/>
  <c r="K15" i="25"/>
  <c r="L15" i="25" s="1"/>
  <c r="I80" i="26"/>
  <c r="I66" i="26" s="1"/>
  <c r="M5" i="25"/>
  <c r="S61" i="25"/>
  <c r="S20" i="25"/>
  <c r="K40" i="25"/>
  <c r="L40" i="25" s="1"/>
  <c r="S63" i="25"/>
  <c r="K23" i="25"/>
  <c r="L23" i="25" s="1"/>
  <c r="S28" i="25"/>
  <c r="M31" i="25"/>
  <c r="S73" i="25"/>
  <c r="M15" i="25"/>
  <c r="K38" i="25"/>
  <c r="L38" i="25" s="1"/>
  <c r="S71" i="25"/>
  <c r="S47" i="25"/>
  <c r="K43" i="25"/>
  <c r="L43" i="25" s="1"/>
  <c r="K12" i="25"/>
  <c r="L12" i="25" s="1"/>
  <c r="K39" i="25"/>
  <c r="L39" i="25" s="1"/>
  <c r="K6" i="25"/>
  <c r="S6" i="25" s="1"/>
  <c r="S49" i="25"/>
  <c r="S62" i="25"/>
  <c r="S32" i="25"/>
  <c r="N80" i="26"/>
  <c r="K17" i="25"/>
  <c r="L17" i="25" s="1"/>
  <c r="K67" i="25"/>
  <c r="L67" i="25" s="1"/>
  <c r="K33" i="25"/>
  <c r="L33" i="25" s="1"/>
  <c r="K19" i="25"/>
  <c r="L19" i="25" s="1"/>
  <c r="K51" i="25"/>
  <c r="L51" i="25" s="1"/>
  <c r="S31" i="25"/>
  <c r="K27" i="25"/>
  <c r="L27" i="25" s="1"/>
  <c r="K2" i="25"/>
  <c r="S2" i="25" s="1"/>
  <c r="K35" i="25"/>
  <c r="L35" i="25" s="1"/>
  <c r="M36" i="25"/>
  <c r="S9" i="25"/>
  <c r="M78" i="25"/>
  <c r="L61" i="25"/>
  <c r="S77" i="25"/>
  <c r="S60" i="25"/>
  <c r="S13" i="25"/>
  <c r="I71" i="26"/>
  <c r="L34" i="25"/>
  <c r="S53" i="25"/>
  <c r="L6" i="25"/>
  <c r="L78" i="25"/>
  <c r="J81" i="26"/>
  <c r="L56" i="25"/>
  <c r="S70" i="25"/>
  <c r="K30" i="25"/>
  <c r="K58" i="25"/>
  <c r="K25" i="25"/>
  <c r="K26" i="25"/>
  <c r="K21" i="25"/>
  <c r="S21" i="25" s="1"/>
  <c r="K69" i="25"/>
  <c r="S69" i="25" s="1"/>
  <c r="K18" i="25"/>
  <c r="K46" i="25"/>
  <c r="K41" i="25"/>
  <c r="K16" i="25"/>
  <c r="M30" i="25"/>
  <c r="H80" i="26"/>
  <c r="P144" i="5"/>
  <c r="P78" i="5"/>
  <c r="AD78" i="5" s="1"/>
  <c r="P87" i="5"/>
  <c r="AD87" i="5" s="1"/>
  <c r="P187" i="5"/>
  <c r="P240" i="5"/>
  <c r="AD240" i="5" s="1"/>
  <c r="P257" i="5"/>
  <c r="AD257" i="5" s="1"/>
  <c r="P753" i="5"/>
  <c r="AD753" i="5" s="1"/>
  <c r="P239" i="5"/>
  <c r="P272" i="5"/>
  <c r="AD272" i="5" s="1"/>
  <c r="P303" i="5"/>
  <c r="P436" i="5"/>
  <c r="P358" i="5"/>
  <c r="AD358" i="5" s="1"/>
  <c r="P581" i="5"/>
  <c r="AD581" i="5" s="1"/>
  <c r="P669" i="5"/>
  <c r="AD669" i="5" s="1"/>
  <c r="P521" i="5"/>
  <c r="AD521" i="5" s="1"/>
  <c r="P546" i="5"/>
  <c r="AD546" i="5" s="1"/>
  <c r="P703" i="5"/>
  <c r="AD703" i="5" s="1"/>
  <c r="P723" i="5"/>
  <c r="AD723" i="5" s="1"/>
  <c r="P8" i="5"/>
  <c r="AD8" i="5" s="1"/>
  <c r="P16" i="5"/>
  <c r="AD16" i="5" s="1"/>
  <c r="P21" i="5"/>
  <c r="AD21" i="5" s="1"/>
  <c r="P47" i="5"/>
  <c r="AD47" i="5" s="1"/>
  <c r="P314" i="5"/>
  <c r="AD314" i="5" s="1"/>
  <c r="P308" i="5"/>
  <c r="P369" i="5"/>
  <c r="P123" i="5"/>
  <c r="AD123" i="5" s="1"/>
  <c r="P147" i="5"/>
  <c r="AD147" i="5" s="1"/>
  <c r="P158" i="5"/>
  <c r="P160" i="5"/>
  <c r="P319" i="5"/>
  <c r="AD319" i="5" s="1"/>
  <c r="P19" i="5"/>
  <c r="AD19" i="5" s="1"/>
  <c r="P26" i="5"/>
  <c r="AD26" i="5" s="1"/>
  <c r="P58" i="5"/>
  <c r="AD58" i="5" s="1"/>
  <c r="P77" i="5"/>
  <c r="AD77" i="5" s="1"/>
  <c r="P115" i="5"/>
  <c r="AD115" i="5" s="1"/>
  <c r="P7" i="5"/>
  <c r="AD7" i="5" s="1"/>
  <c r="P39" i="5"/>
  <c r="AD39" i="5" s="1"/>
  <c r="P53" i="5"/>
  <c r="AD53" i="5" s="1"/>
  <c r="P159" i="5"/>
  <c r="P167" i="5"/>
  <c r="P194" i="5"/>
  <c r="AD194" i="5" s="1"/>
  <c r="P233" i="5"/>
  <c r="AD233" i="5" s="1"/>
  <c r="P527" i="5"/>
  <c r="AD527" i="5" s="1"/>
  <c r="P517" i="5"/>
  <c r="P564" i="5"/>
  <c r="AD564" i="5" s="1"/>
  <c r="P574" i="5"/>
  <c r="AD574" i="5" s="1"/>
  <c r="P585" i="5"/>
  <c r="P655" i="5"/>
  <c r="AD655" i="5" s="1"/>
  <c r="P405" i="5"/>
  <c r="P435" i="5"/>
  <c r="AD435" i="5" s="1"/>
  <c r="P557" i="5"/>
  <c r="AD557" i="5" s="1"/>
  <c r="P552" i="5"/>
  <c r="AD552" i="5" s="1"/>
  <c r="P594" i="5"/>
  <c r="P313" i="5"/>
  <c r="P311" i="5"/>
  <c r="P352" i="5"/>
  <c r="P694" i="5"/>
  <c r="AD694" i="5" s="1"/>
  <c r="P712" i="5"/>
  <c r="AD712" i="5" s="1"/>
  <c r="P732" i="5"/>
  <c r="AD732" i="5" s="1"/>
  <c r="J765" i="7"/>
  <c r="J767" i="7"/>
  <c r="J764" i="7"/>
  <c r="K765" i="7"/>
  <c r="K767" i="7"/>
  <c r="K764" i="7"/>
  <c r="M765" i="7"/>
  <c r="M764" i="7"/>
  <c r="M767" i="7"/>
  <c r="P45" i="5"/>
  <c r="AD45" i="5" s="1"/>
  <c r="P75" i="5"/>
  <c r="AD75" i="5" s="1"/>
  <c r="P85" i="5"/>
  <c r="AD85" i="5" s="1"/>
  <c r="P90" i="5"/>
  <c r="AD90" i="5" s="1"/>
  <c r="P110" i="5"/>
  <c r="AD110" i="5" s="1"/>
  <c r="P256" i="5"/>
  <c r="P315" i="5"/>
  <c r="AD315" i="5" s="1"/>
  <c r="P374" i="5"/>
  <c r="P380" i="5"/>
  <c r="AD380" i="5" s="1"/>
  <c r="P427" i="5"/>
  <c r="AD427" i="5" s="1"/>
  <c r="P479" i="5"/>
  <c r="P489" i="5"/>
  <c r="P500" i="5"/>
  <c r="P485" i="5"/>
  <c r="AD485" i="5" s="1"/>
  <c r="P498" i="5"/>
  <c r="P512" i="5"/>
  <c r="AD512" i="5" s="1"/>
  <c r="P518" i="5"/>
  <c r="AD518" i="5" s="1"/>
  <c r="P608" i="5"/>
  <c r="AD608" i="5" s="1"/>
  <c r="P200" i="5"/>
  <c r="P205" i="5"/>
  <c r="AD205" i="5" s="1"/>
  <c r="P208" i="5"/>
  <c r="AD208" i="5" s="1"/>
  <c r="P219" i="5"/>
  <c r="AD219" i="5" s="1"/>
  <c r="P243" i="5"/>
  <c r="P237" i="5"/>
  <c r="P301" i="5"/>
  <c r="AD301" i="5" s="1"/>
  <c r="P434" i="5"/>
  <c r="AD434" i="5" s="1"/>
  <c r="P447" i="5"/>
  <c r="P440" i="5"/>
  <c r="P450" i="5"/>
  <c r="AD450" i="5" s="1"/>
  <c r="P470" i="5"/>
  <c r="P496" i="5"/>
  <c r="AD496" i="5" s="1"/>
  <c r="P528" i="5"/>
  <c r="P572" i="5"/>
  <c r="AD572" i="5" s="1"/>
  <c r="P593" i="5"/>
  <c r="AD593" i="5" s="1"/>
  <c r="P588" i="5"/>
  <c r="AD588" i="5" s="1"/>
  <c r="P599" i="5"/>
  <c r="P610" i="5"/>
  <c r="AD610" i="5" s="1"/>
  <c r="P749" i="5"/>
  <c r="AD749" i="5" s="1"/>
  <c r="P202" i="5"/>
  <c r="AD202" i="5" s="1"/>
  <c r="P196" i="5"/>
  <c r="AD196" i="5" s="1"/>
  <c r="P276" i="5"/>
  <c r="AD276" i="5" s="1"/>
  <c r="P268" i="5"/>
  <c r="AD268" i="5" s="1"/>
  <c r="P293" i="5"/>
  <c r="P304" i="5"/>
  <c r="P606" i="5"/>
  <c r="P603" i="5"/>
  <c r="AD603" i="5" s="1"/>
  <c r="P612" i="5"/>
  <c r="AD612" i="5" s="1"/>
  <c r="P672" i="5"/>
  <c r="AD672" i="5" s="1"/>
  <c r="P708" i="5"/>
  <c r="AD708" i="5" s="1"/>
  <c r="P48" i="5"/>
  <c r="AD48" i="5" s="1"/>
  <c r="P62" i="5"/>
  <c r="AD62" i="5" s="1"/>
  <c r="P71" i="5"/>
  <c r="AD71" i="5" s="1"/>
  <c r="P119" i="5"/>
  <c r="AD119" i="5" s="1"/>
  <c r="P132" i="5"/>
  <c r="P267" i="5"/>
  <c r="AD267" i="5" s="1"/>
  <c r="P330" i="5"/>
  <c r="AD330" i="5" s="1"/>
  <c r="P334" i="5"/>
  <c r="P400" i="5"/>
  <c r="AD400" i="5" s="1"/>
  <c r="P359" i="5"/>
  <c r="AD359" i="5" s="1"/>
  <c r="P407" i="5"/>
  <c r="AD407" i="5" s="1"/>
  <c r="P415" i="5"/>
  <c r="AD415" i="5" s="1"/>
  <c r="P748" i="5"/>
  <c r="P724" i="5"/>
  <c r="AD724" i="5" s="1"/>
  <c r="P739" i="5"/>
  <c r="AD739" i="5" s="1"/>
  <c r="P37" i="5"/>
  <c r="AD37" i="5" s="1"/>
  <c r="P139" i="5"/>
  <c r="AD139" i="5" s="1"/>
  <c r="P157" i="5"/>
  <c r="AD157" i="5" s="1"/>
  <c r="P130" i="5"/>
  <c r="AD130" i="5" s="1"/>
  <c r="P175" i="5"/>
  <c r="AD175" i="5" s="1"/>
  <c r="P189" i="5"/>
  <c r="AD189" i="5" s="1"/>
  <c r="P305" i="5"/>
  <c r="AD305" i="5" s="1"/>
  <c r="P248" i="5"/>
  <c r="AD248" i="5" s="1"/>
  <c r="P278" i="5"/>
  <c r="AD278" i="5" s="1"/>
  <c r="P341" i="5"/>
  <c r="AD341" i="5" s="1"/>
  <c r="P444" i="5"/>
  <c r="AD444" i="5" s="1"/>
  <c r="P474" i="5"/>
  <c r="P515" i="5"/>
  <c r="AD515" i="5" s="1"/>
  <c r="P542" i="5"/>
  <c r="P573" i="5"/>
  <c r="AD573" i="5" s="1"/>
  <c r="P548" i="5"/>
  <c r="P534" i="5"/>
  <c r="AD534" i="5" s="1"/>
  <c r="P563" i="5"/>
  <c r="AD563" i="5" s="1"/>
  <c r="P562" i="5"/>
  <c r="AD562" i="5" s="1"/>
  <c r="P65" i="5"/>
  <c r="AD65" i="5" s="1"/>
  <c r="P91" i="5"/>
  <c r="AD91" i="5" s="1"/>
  <c r="P98" i="5"/>
  <c r="AD98" i="5" s="1"/>
  <c r="P199" i="5"/>
  <c r="AD199" i="5" s="1"/>
  <c r="P368" i="5"/>
  <c r="AD368" i="5" s="1"/>
  <c r="P507" i="5"/>
  <c r="AD507" i="5" s="1"/>
  <c r="P503" i="5"/>
  <c r="AD503" i="5" s="1"/>
  <c r="P497" i="5"/>
  <c r="AD497" i="5" s="1"/>
  <c r="P744" i="5"/>
  <c r="P108" i="5"/>
  <c r="AD108" i="5" s="1"/>
  <c r="P111" i="5"/>
  <c r="P56" i="5"/>
  <c r="AD56" i="5" s="1"/>
  <c r="P60" i="5"/>
  <c r="AD60" i="5" s="1"/>
  <c r="P82" i="5"/>
  <c r="AD82" i="5" s="1"/>
  <c r="P92" i="5"/>
  <c r="AD92" i="5" s="1"/>
  <c r="P101" i="5"/>
  <c r="AD101" i="5" s="1"/>
  <c r="P126" i="5"/>
  <c r="AD126" i="5" s="1"/>
  <c r="P198" i="5"/>
  <c r="AD198" i="5" s="1"/>
  <c r="P232" i="5"/>
  <c r="P254" i="5"/>
  <c r="AD254" i="5" s="1"/>
  <c r="P214" i="5"/>
  <c r="P300" i="5"/>
  <c r="AD300" i="5" s="1"/>
  <c r="P398" i="5"/>
  <c r="AD398" i="5" s="1"/>
  <c r="P689" i="5"/>
  <c r="P685" i="5"/>
  <c r="AD685" i="5" s="1"/>
  <c r="P681" i="5"/>
  <c r="AD681" i="5" s="1"/>
  <c r="P671" i="5"/>
  <c r="AD671" i="5" s="1"/>
  <c r="P702" i="5"/>
  <c r="AD702" i="5" s="1"/>
  <c r="P6" i="5"/>
  <c r="AD6" i="5" s="1"/>
  <c r="P152" i="5"/>
  <c r="AD152" i="5" s="1"/>
  <c r="P165" i="5"/>
  <c r="P180" i="5"/>
  <c r="AD180" i="5" s="1"/>
  <c r="P185" i="5"/>
  <c r="AD185" i="5" s="1"/>
  <c r="P439" i="5"/>
  <c r="P622" i="5"/>
  <c r="AD622" i="5" s="1"/>
  <c r="P619" i="5"/>
  <c r="AD619" i="5" s="1"/>
  <c r="P638" i="5"/>
  <c r="AD638" i="5" s="1"/>
  <c r="P649" i="5"/>
  <c r="AD649" i="5" s="1"/>
  <c r="P632" i="5"/>
  <c r="AD632" i="5" s="1"/>
  <c r="P642" i="5"/>
  <c r="AD642" i="5" s="1"/>
  <c r="P661" i="5"/>
  <c r="AD661" i="5" s="1"/>
  <c r="P31" i="5"/>
  <c r="AD31" i="5" s="1"/>
  <c r="P33" i="5"/>
  <c r="AD33" i="5" s="1"/>
  <c r="P67" i="5"/>
  <c r="AD67" i="5" s="1"/>
  <c r="P93" i="5"/>
  <c r="AD93" i="5" s="1"/>
  <c r="P114" i="5"/>
  <c r="AD114" i="5" s="1"/>
  <c r="P216" i="5"/>
  <c r="P236" i="5"/>
  <c r="P266" i="5"/>
  <c r="AD266" i="5" s="1"/>
  <c r="P438" i="5"/>
  <c r="AD438" i="5" s="1"/>
  <c r="P611" i="5"/>
  <c r="AD611" i="5" s="1"/>
  <c r="P660" i="5"/>
  <c r="P425" i="5"/>
  <c r="AD425" i="5" s="1"/>
  <c r="P9" i="5"/>
  <c r="AD9" i="5" s="1"/>
  <c r="P13" i="5"/>
  <c r="AD13" i="5" s="1"/>
  <c r="P29" i="5"/>
  <c r="AD29" i="5" s="1"/>
  <c r="P32" i="5"/>
  <c r="AD32" i="5" s="1"/>
  <c r="P72" i="5"/>
  <c r="AD72" i="5" s="1"/>
  <c r="P104" i="5"/>
  <c r="AD104" i="5" s="1"/>
  <c r="P117" i="5"/>
  <c r="AD117" i="5" s="1"/>
  <c r="P169" i="5"/>
  <c r="P193" i="5"/>
  <c r="P406" i="5"/>
  <c r="P23" i="5"/>
  <c r="AD23" i="5" s="1"/>
  <c r="P74" i="5"/>
  <c r="AD74" i="5" s="1"/>
  <c r="P109" i="5"/>
  <c r="AD109" i="5" s="1"/>
  <c r="P141" i="5"/>
  <c r="AD141" i="5" s="1"/>
  <c r="P222" i="5"/>
  <c r="AD222" i="5" s="1"/>
  <c r="P410" i="5"/>
  <c r="AD410" i="5" s="1"/>
  <c r="P36" i="5"/>
  <c r="AD36" i="5" s="1"/>
  <c r="P225" i="5"/>
  <c r="AD225" i="5" s="1"/>
  <c r="P333" i="5"/>
  <c r="AD333" i="5" s="1"/>
  <c r="P38" i="5"/>
  <c r="AD38" i="5" s="1"/>
  <c r="P40" i="5"/>
  <c r="AD40" i="5" s="1"/>
  <c r="P70" i="5"/>
  <c r="AD70" i="5" s="1"/>
  <c r="P99" i="5"/>
  <c r="AD99" i="5" s="1"/>
  <c r="P136" i="5"/>
  <c r="AD136" i="5" s="1"/>
  <c r="P163" i="5"/>
  <c r="AD163" i="5" s="1"/>
  <c r="P271" i="5"/>
  <c r="AD271" i="5" s="1"/>
  <c r="P658" i="5"/>
  <c r="P252" i="5"/>
  <c r="P282" i="5"/>
  <c r="AD282" i="5" s="1"/>
  <c r="P181" i="5"/>
  <c r="P190" i="5"/>
  <c r="P226" i="5"/>
  <c r="AD226" i="5" s="1"/>
  <c r="P229" i="5"/>
  <c r="P571" i="5"/>
  <c r="P617" i="5"/>
  <c r="AD617" i="5" s="1"/>
  <c r="P335" i="5"/>
  <c r="AD335" i="5" s="1"/>
  <c r="P502" i="5"/>
  <c r="P483" i="5"/>
  <c r="P544" i="5"/>
  <c r="P616" i="5"/>
  <c r="P247" i="5"/>
  <c r="P395" i="5"/>
  <c r="AD395" i="5" s="1"/>
  <c r="P524" i="5"/>
  <c r="P565" i="5"/>
  <c r="P630" i="5"/>
  <c r="AD630" i="5" s="1"/>
  <c r="P201" i="5"/>
  <c r="P234" i="5"/>
  <c r="P312" i="5"/>
  <c r="AD312" i="5" s="1"/>
  <c r="P295" i="5"/>
  <c r="P522" i="5"/>
  <c r="P696" i="5"/>
  <c r="AD696" i="5" s="1"/>
  <c r="P209" i="5"/>
  <c r="AD209" i="5" s="1"/>
  <c r="P242" i="5"/>
  <c r="P274" i="5"/>
  <c r="AD274" i="5" s="1"/>
  <c r="P317" i="5"/>
  <c r="AD317" i="5" s="1"/>
  <c r="P461" i="5"/>
  <c r="AD461" i="5" s="1"/>
  <c r="P476" i="5"/>
  <c r="AD476" i="5" s="1"/>
  <c r="P545" i="5"/>
  <c r="AD545" i="5" s="1"/>
  <c r="P621" i="5"/>
  <c r="AD621" i="5" s="1"/>
  <c r="P666" i="5"/>
  <c r="P654" i="5"/>
  <c r="P740" i="5"/>
  <c r="AD740" i="5" s="1"/>
  <c r="P701" i="5"/>
  <c r="P20" i="5"/>
  <c r="P5" i="5"/>
  <c r="P14" i="5"/>
  <c r="AD14" i="5" s="1"/>
  <c r="P44" i="5"/>
  <c r="P298" i="5"/>
  <c r="P270" i="5"/>
  <c r="P249" i="5"/>
  <c r="P404" i="5"/>
  <c r="AD404" i="5" s="1"/>
  <c r="P414" i="5"/>
  <c r="AD414" i="5" s="1"/>
  <c r="P451" i="5"/>
  <c r="P24" i="5"/>
  <c r="P49" i="5"/>
  <c r="P396" i="5"/>
  <c r="AD396" i="5" s="1"/>
  <c r="P388" i="5"/>
  <c r="P482" i="5"/>
  <c r="AD482" i="5" s="1"/>
  <c r="P302" i="5"/>
  <c r="AD302" i="5" s="1"/>
  <c r="P299" i="5"/>
  <c r="AD299" i="5" s="1"/>
  <c r="P324" i="5"/>
  <c r="P355" i="5"/>
  <c r="AD355" i="5" s="1"/>
  <c r="P339" i="5"/>
  <c r="AD339" i="5" s="1"/>
  <c r="P343" i="5"/>
  <c r="P376" i="5"/>
  <c r="AD376" i="5" s="1"/>
  <c r="P340" i="5"/>
  <c r="P401" i="5"/>
  <c r="P428" i="5"/>
  <c r="P22" i="5"/>
  <c r="P64" i="5"/>
  <c r="AD64" i="5" s="1"/>
  <c r="P80" i="5"/>
  <c r="AD80" i="5" s="1"/>
  <c r="P95" i="5"/>
  <c r="AD95" i="5" s="1"/>
  <c r="P96" i="5"/>
  <c r="AD96" i="5" s="1"/>
  <c r="P103" i="5"/>
  <c r="AD103" i="5" s="1"/>
  <c r="P118" i="5"/>
  <c r="AD118" i="5" s="1"/>
  <c r="P131" i="5"/>
  <c r="AD131" i="5" s="1"/>
  <c r="P107" i="5"/>
  <c r="AD107" i="5" s="1"/>
  <c r="P148" i="5"/>
  <c r="AD148" i="5" s="1"/>
  <c r="P155" i="5"/>
  <c r="P161" i="5"/>
  <c r="AD161" i="5" s="1"/>
  <c r="P162" i="5"/>
  <c r="AD162" i="5" s="1"/>
  <c r="P178" i="5"/>
  <c r="AD178" i="5" s="1"/>
  <c r="P195" i="5"/>
  <c r="AD195" i="5" s="1"/>
  <c r="P197" i="5"/>
  <c r="AD197" i="5" s="1"/>
  <c r="P170" i="5"/>
  <c r="AD170" i="5" s="1"/>
  <c r="P207" i="5"/>
  <c r="P192" i="5"/>
  <c r="AD192" i="5" s="1"/>
  <c r="P191" i="5"/>
  <c r="AD191" i="5" s="1"/>
  <c r="P238" i="5"/>
  <c r="AD238" i="5" s="1"/>
  <c r="P221" i="5"/>
  <c r="AD221" i="5" s="1"/>
  <c r="P250" i="5"/>
  <c r="AD250" i="5" s="1"/>
  <c r="P235" i="5"/>
  <c r="AD235" i="5" s="1"/>
  <c r="P258" i="5"/>
  <c r="AD258" i="5" s="1"/>
  <c r="P286" i="5"/>
  <c r="AD286" i="5" s="1"/>
  <c r="P289" i="5"/>
  <c r="AD289" i="5" s="1"/>
  <c r="P283" i="5"/>
  <c r="AD283" i="5" s="1"/>
  <c r="P392" i="5"/>
  <c r="P411" i="5"/>
  <c r="P458" i="5"/>
  <c r="AD458" i="5" s="1"/>
  <c r="P59" i="5"/>
  <c r="AD59" i="5" s="1"/>
  <c r="P2" i="5"/>
  <c r="P11" i="5"/>
  <c r="AD11" i="5" s="1"/>
  <c r="P46" i="5"/>
  <c r="AD46" i="5" s="1"/>
  <c r="P51" i="5"/>
  <c r="P68" i="5"/>
  <c r="AD68" i="5" s="1"/>
  <c r="P76" i="5"/>
  <c r="AD76" i="5" s="1"/>
  <c r="P79" i="5"/>
  <c r="AD79" i="5" s="1"/>
  <c r="P88" i="5"/>
  <c r="AD88" i="5" s="1"/>
  <c r="P105" i="5"/>
  <c r="AD105" i="5" s="1"/>
  <c r="P100" i="5"/>
  <c r="AD100" i="5" s="1"/>
  <c r="P125" i="5"/>
  <c r="AD125" i="5" s="1"/>
  <c r="P124" i="5"/>
  <c r="AD124" i="5" s="1"/>
  <c r="P129" i="5"/>
  <c r="AD129" i="5" s="1"/>
  <c r="P142" i="5"/>
  <c r="AD142" i="5" s="1"/>
  <c r="P145" i="5"/>
  <c r="AD145" i="5" s="1"/>
  <c r="P153" i="5"/>
  <c r="AD153" i="5" s="1"/>
  <c r="P154" i="5"/>
  <c r="AD154" i="5" s="1"/>
  <c r="P182" i="5"/>
  <c r="AD182" i="5" s="1"/>
  <c r="P177" i="5"/>
  <c r="AD177" i="5" s="1"/>
  <c r="P186" i="5"/>
  <c r="AD186" i="5" s="1"/>
  <c r="P210" i="5"/>
  <c r="AD210" i="5" s="1"/>
  <c r="P188" i="5"/>
  <c r="AD188" i="5" s="1"/>
  <c r="P211" i="5"/>
  <c r="AD211" i="5" s="1"/>
  <c r="P215" i="5"/>
  <c r="AD215" i="5" s="1"/>
  <c r="P223" i="5"/>
  <c r="P220" i="5"/>
  <c r="P241" i="5"/>
  <c r="AD241" i="5" s="1"/>
  <c r="P255" i="5"/>
  <c r="P260" i="5"/>
  <c r="AD260" i="5" s="1"/>
  <c r="P262" i="5"/>
  <c r="AD262" i="5" s="1"/>
  <c r="P296" i="5"/>
  <c r="P284" i="5"/>
  <c r="AD284" i="5" s="1"/>
  <c r="P294" i="5"/>
  <c r="P287" i="5"/>
  <c r="P316" i="5"/>
  <c r="AD316" i="5" s="1"/>
  <c r="P310" i="5"/>
  <c r="P326" i="5"/>
  <c r="AD326" i="5" s="1"/>
  <c r="P336" i="5"/>
  <c r="P361" i="5"/>
  <c r="AD361" i="5" s="1"/>
  <c r="P357" i="5"/>
  <c r="P362" i="5"/>
  <c r="P370" i="5"/>
  <c r="P382" i="5"/>
  <c r="AD382" i="5" s="1"/>
  <c r="P417" i="5"/>
  <c r="P453" i="5"/>
  <c r="P17" i="5"/>
  <c r="AD17" i="5" s="1"/>
  <c r="P43" i="5"/>
  <c r="AD43" i="5" s="1"/>
  <c r="P41" i="5"/>
  <c r="P55" i="5"/>
  <c r="P116" i="5"/>
  <c r="AD116" i="5" s="1"/>
  <c r="P120" i="5"/>
  <c r="AD120" i="5" s="1"/>
  <c r="P128" i="5"/>
  <c r="AD128" i="5" s="1"/>
  <c r="P140" i="5"/>
  <c r="P146" i="5"/>
  <c r="AD146" i="5" s="1"/>
  <c r="P150" i="5"/>
  <c r="P133" i="5"/>
  <c r="P174" i="5"/>
  <c r="AD174" i="5" s="1"/>
  <c r="P183" i="5"/>
  <c r="AD183" i="5" s="1"/>
  <c r="P149" i="5"/>
  <c r="P218" i="5"/>
  <c r="AD218" i="5" s="1"/>
  <c r="P212" i="5"/>
  <c r="P217" i="5"/>
  <c r="AD217" i="5" s="1"/>
  <c r="P230" i="5"/>
  <c r="AD230" i="5" s="1"/>
  <c r="P228" i="5"/>
  <c r="AD228" i="5" s="1"/>
  <c r="P251" i="5"/>
  <c r="AD251" i="5" s="1"/>
  <c r="P264" i="5"/>
  <c r="AD264" i="5" s="1"/>
  <c r="P273" i="5"/>
  <c r="AD273" i="5" s="1"/>
  <c r="P275" i="5"/>
  <c r="AD275" i="5" s="1"/>
  <c r="P297" i="5"/>
  <c r="AD297" i="5" s="1"/>
  <c r="P285" i="5"/>
  <c r="AD285" i="5" s="1"/>
  <c r="P292" i="5"/>
  <c r="AD292" i="5" s="1"/>
  <c r="P280" i="5"/>
  <c r="AD280" i="5" s="1"/>
  <c r="P244" i="5"/>
  <c r="AD244" i="5" s="1"/>
  <c r="P318" i="5"/>
  <c r="AD318" i="5" s="1"/>
  <c r="P322" i="5"/>
  <c r="AD322" i="5" s="1"/>
  <c r="P320" i="5"/>
  <c r="P332" i="5"/>
  <c r="P327" i="5"/>
  <c r="P399" i="5"/>
  <c r="P429" i="5"/>
  <c r="P473" i="5"/>
  <c r="AD473" i="5" s="1"/>
  <c r="P3" i="5"/>
  <c r="P28" i="5"/>
  <c r="AD28" i="5" s="1"/>
  <c r="P54" i="5"/>
  <c r="AD54" i="5" s="1"/>
  <c r="P69" i="5"/>
  <c r="P4" i="5"/>
  <c r="P12" i="5"/>
  <c r="AD12" i="5" s="1"/>
  <c r="P25" i="5"/>
  <c r="P30" i="5"/>
  <c r="P34" i="5"/>
  <c r="P42" i="5"/>
  <c r="P57" i="5"/>
  <c r="P52" i="5"/>
  <c r="P61" i="5"/>
  <c r="P66" i="5"/>
  <c r="P84" i="5"/>
  <c r="P86" i="5"/>
  <c r="P102" i="5"/>
  <c r="P113" i="5"/>
  <c r="P121" i="5"/>
  <c r="AD121" i="5" s="1"/>
  <c r="P122" i="5"/>
  <c r="P143" i="5"/>
  <c r="P138" i="5"/>
  <c r="AD138" i="5" s="1"/>
  <c r="P151" i="5"/>
  <c r="P156" i="5"/>
  <c r="AD156" i="5" s="1"/>
  <c r="P176" i="5"/>
  <c r="AD176" i="5" s="1"/>
  <c r="P172" i="5"/>
  <c r="P171" i="5"/>
  <c r="AD171" i="5" s="1"/>
  <c r="P184" i="5"/>
  <c r="P203" i="5"/>
  <c r="AD203" i="5" s="1"/>
  <c r="P94" i="5"/>
  <c r="P227" i="5"/>
  <c r="AD227" i="5" s="1"/>
  <c r="P224" i="5"/>
  <c r="P231" i="5"/>
  <c r="AD231" i="5" s="1"/>
  <c r="P245" i="5"/>
  <c r="P253" i="5"/>
  <c r="P265" i="5"/>
  <c r="P259" i="5"/>
  <c r="P263" i="5"/>
  <c r="AD263" i="5" s="1"/>
  <c r="P246" i="5"/>
  <c r="P277" i="5"/>
  <c r="P288" i="5"/>
  <c r="P281" i="5"/>
  <c r="AD281" i="5" s="1"/>
  <c r="P261" i="5"/>
  <c r="P309" i="5"/>
  <c r="AD309" i="5" s="1"/>
  <c r="P321" i="5"/>
  <c r="P328" i="5"/>
  <c r="P350" i="5"/>
  <c r="AD350" i="5" s="1"/>
  <c r="P354" i="5"/>
  <c r="P366" i="5"/>
  <c r="AD366" i="5" s="1"/>
  <c r="P347" i="5"/>
  <c r="P423" i="5"/>
  <c r="P443" i="5"/>
  <c r="P468" i="5"/>
  <c r="P10" i="5"/>
  <c r="AD10" i="5" s="1"/>
  <c r="P18" i="5"/>
  <c r="P27" i="5"/>
  <c r="P35" i="5"/>
  <c r="P50" i="5"/>
  <c r="AD50" i="5" s="1"/>
  <c r="P63" i="5"/>
  <c r="P73" i="5"/>
  <c r="AD73" i="5" s="1"/>
  <c r="P81" i="5"/>
  <c r="P89" i="5"/>
  <c r="P83" i="5"/>
  <c r="P97" i="5"/>
  <c r="P112" i="5"/>
  <c r="P106" i="5"/>
  <c r="AD106" i="5" s="1"/>
  <c r="P127" i="5"/>
  <c r="P137" i="5"/>
  <c r="P135" i="5"/>
  <c r="P134" i="5"/>
  <c r="P166" i="5"/>
  <c r="P164" i="5"/>
  <c r="P173" i="5"/>
  <c r="AD173" i="5" s="1"/>
  <c r="P179" i="5"/>
  <c r="P204" i="5"/>
  <c r="P206" i="5"/>
  <c r="P269" i="5"/>
  <c r="AD269" i="5" s="1"/>
  <c r="P279" i="5"/>
  <c r="P307" i="5"/>
  <c r="P325" i="5"/>
  <c r="AD325" i="5" s="1"/>
  <c r="P323" i="5"/>
  <c r="P306" i="5"/>
  <c r="P337" i="5"/>
  <c r="P331" i="5"/>
  <c r="P342" i="5"/>
  <c r="AD342" i="5" s="1"/>
  <c r="P364" i="5"/>
  <c r="AD364" i="5" s="1"/>
  <c r="P418" i="5"/>
  <c r="P465" i="5"/>
  <c r="P466" i="5"/>
  <c r="P484" i="5"/>
  <c r="AD484" i="5" s="1"/>
  <c r="P487" i="5"/>
  <c r="P508" i="5"/>
  <c r="P493" i="5"/>
  <c r="AD493" i="5" s="1"/>
  <c r="P531" i="5"/>
  <c r="P537" i="5"/>
  <c r="AD537" i="5" s="1"/>
  <c r="P513" i="5"/>
  <c r="AD513" i="5" s="1"/>
  <c r="P558" i="5"/>
  <c r="P567" i="5"/>
  <c r="AD567" i="5" s="1"/>
  <c r="P566" i="5"/>
  <c r="P536" i="5"/>
  <c r="P590" i="5"/>
  <c r="AD590" i="5" s="1"/>
  <c r="P561" i="5"/>
  <c r="P559" i="5"/>
  <c r="AD559" i="5" s="1"/>
  <c r="P582" i="5"/>
  <c r="AD582" i="5" s="1"/>
  <c r="P605" i="5"/>
  <c r="AD605" i="5" s="1"/>
  <c r="P634" i="5"/>
  <c r="P628" i="5"/>
  <c r="AD628" i="5" s="1"/>
  <c r="P646" i="5"/>
  <c r="AD646" i="5" s="1"/>
  <c r="P641" i="5"/>
  <c r="P645" i="5"/>
  <c r="AD645" i="5" s="1"/>
  <c r="P648" i="5"/>
  <c r="AD648" i="5" s="1"/>
  <c r="P684" i="5"/>
  <c r="AD684" i="5" s="1"/>
  <c r="P677" i="5"/>
  <c r="AD677" i="5" s="1"/>
  <c r="P720" i="5"/>
  <c r="P750" i="5"/>
  <c r="P743" i="5"/>
  <c r="P741" i="5"/>
  <c r="AD741" i="5" s="1"/>
  <c r="P742" i="5"/>
  <c r="AD742" i="5" s="1"/>
  <c r="P755" i="5"/>
  <c r="AD755" i="5" s="1"/>
  <c r="P756" i="5"/>
  <c r="P490" i="5"/>
  <c r="AD490" i="5" s="1"/>
  <c r="P475" i="5"/>
  <c r="AD475" i="5" s="1"/>
  <c r="P499" i="5"/>
  <c r="P533" i="5"/>
  <c r="P516" i="5"/>
  <c r="AD516" i="5" s="1"/>
  <c r="P551" i="5"/>
  <c r="AD551" i="5" s="1"/>
  <c r="P547" i="5"/>
  <c r="AD547" i="5" s="1"/>
  <c r="P554" i="5"/>
  <c r="AD554" i="5" s="1"/>
  <c r="P541" i="5"/>
  <c r="AD541" i="5" s="1"/>
  <c r="P556" i="5"/>
  <c r="AD556" i="5" s="1"/>
  <c r="P592" i="5"/>
  <c r="P569" i="5"/>
  <c r="AD569" i="5" s="1"/>
  <c r="P584" i="5"/>
  <c r="AD584" i="5" s="1"/>
  <c r="P601" i="5"/>
  <c r="P613" i="5"/>
  <c r="AD613" i="5" s="1"/>
  <c r="P668" i="5"/>
  <c r="P651" i="5"/>
  <c r="AD651" i="5" s="1"/>
  <c r="P667" i="5"/>
  <c r="P653" i="5"/>
  <c r="AD653" i="5" s="1"/>
  <c r="P644" i="5"/>
  <c r="AD644" i="5" s="1"/>
  <c r="P652" i="5"/>
  <c r="P687" i="5"/>
  <c r="AD687" i="5" s="1"/>
  <c r="P674" i="5"/>
  <c r="AD674" i="5" s="1"/>
  <c r="P683" i="5"/>
  <c r="P714" i="5"/>
  <c r="AD714" i="5" s="1"/>
  <c r="P717" i="5"/>
  <c r="AD717" i="5" s="1"/>
  <c r="P726" i="5"/>
  <c r="P735" i="5"/>
  <c r="AD735" i="5" s="1"/>
  <c r="P349" i="5"/>
  <c r="AD349" i="5" s="1"/>
  <c r="P353" i="5"/>
  <c r="AD353" i="5" s="1"/>
  <c r="P371" i="5"/>
  <c r="AD371" i="5" s="1"/>
  <c r="P367" i="5"/>
  <c r="AD367" i="5" s="1"/>
  <c r="P379" i="5"/>
  <c r="AD379" i="5" s="1"/>
  <c r="P385" i="5"/>
  <c r="AD385" i="5" s="1"/>
  <c r="P389" i="5"/>
  <c r="AD389" i="5" s="1"/>
  <c r="P391" i="5"/>
  <c r="AD391" i="5" s="1"/>
  <c r="P433" i="5"/>
  <c r="AD433" i="5" s="1"/>
  <c r="P409" i="5"/>
  <c r="AD409" i="5" s="1"/>
  <c r="P448" i="5"/>
  <c r="AD448" i="5" s="1"/>
  <c r="P426" i="5"/>
  <c r="AD426" i="5" s="1"/>
  <c r="P432" i="5"/>
  <c r="AD432" i="5" s="1"/>
  <c r="P452" i="5"/>
  <c r="AD452" i="5" s="1"/>
  <c r="P437" i="5"/>
  <c r="AD437" i="5" s="1"/>
  <c r="P471" i="5"/>
  <c r="P472" i="5"/>
  <c r="AD472" i="5" s="1"/>
  <c r="P356" i="5"/>
  <c r="P345" i="5"/>
  <c r="P373" i="5"/>
  <c r="P375" i="5"/>
  <c r="P372" i="5"/>
  <c r="P403" i="5"/>
  <c r="P393" i="5"/>
  <c r="P386" i="5"/>
  <c r="P420" i="5"/>
  <c r="P394" i="5"/>
  <c r="P424" i="5"/>
  <c r="P422" i="5"/>
  <c r="P431" i="5"/>
  <c r="P462" i="5"/>
  <c r="P464" i="5"/>
  <c r="P481" i="5"/>
  <c r="P486" i="5"/>
  <c r="P488" i="5"/>
  <c r="P505" i="5"/>
  <c r="P530" i="5"/>
  <c r="P532" i="5"/>
  <c r="P519" i="5"/>
  <c r="P514" i="5"/>
  <c r="P560" i="5"/>
  <c r="P543" i="5"/>
  <c r="P538" i="5"/>
  <c r="P609" i="5"/>
  <c r="P589" i="5"/>
  <c r="P595" i="5"/>
  <c r="P618" i="5"/>
  <c r="P623" i="5"/>
  <c r="P625" i="5"/>
  <c r="P614" i="5"/>
  <c r="P640" i="5"/>
  <c r="P637" i="5"/>
  <c r="P633" i="5"/>
  <c r="P662" i="5"/>
  <c r="AD662" i="5" s="1"/>
  <c r="P679" i="5"/>
  <c r="AD679" i="5" s="1"/>
  <c r="P676" i="5"/>
  <c r="AD676" i="5" s="1"/>
  <c r="P675" i="5"/>
  <c r="P697" i="5"/>
  <c r="AD697" i="5" s="1"/>
  <c r="P721" i="5"/>
  <c r="AD721" i="5" s="1"/>
  <c r="P722" i="5"/>
  <c r="AD722" i="5" s="1"/>
  <c r="P737" i="5"/>
  <c r="AD737" i="5" s="1"/>
  <c r="P730" i="5"/>
  <c r="AD730" i="5" s="1"/>
  <c r="P344" i="5"/>
  <c r="P363" i="5"/>
  <c r="P377" i="5"/>
  <c r="AD377" i="5" s="1"/>
  <c r="P365" i="5"/>
  <c r="AD365" i="5" s="1"/>
  <c r="P383" i="5"/>
  <c r="AD383" i="5" s="1"/>
  <c r="P408" i="5"/>
  <c r="AD408" i="5" s="1"/>
  <c r="P397" i="5"/>
  <c r="AD397" i="5" s="1"/>
  <c r="P421" i="5"/>
  <c r="P416" i="5"/>
  <c r="P445" i="5"/>
  <c r="AD445" i="5" s="1"/>
  <c r="P430" i="5"/>
  <c r="AD430" i="5" s="1"/>
  <c r="P455" i="5"/>
  <c r="AD455" i="5" s="1"/>
  <c r="P469" i="5"/>
  <c r="AD469" i="5" s="1"/>
  <c r="P477" i="5"/>
  <c r="AD477" i="5" s="1"/>
  <c r="P509" i="5"/>
  <c r="AD509" i="5" s="1"/>
  <c r="P492" i="5"/>
  <c r="AD492" i="5" s="1"/>
  <c r="P495" i="5"/>
  <c r="AD495" i="5" s="1"/>
  <c r="P501" i="5"/>
  <c r="AD501" i="5" s="1"/>
  <c r="P525" i="5"/>
  <c r="AD525" i="5" s="1"/>
  <c r="P510" i="5"/>
  <c r="AD510" i="5" s="1"/>
  <c r="P553" i="5"/>
  <c r="AD553" i="5" s="1"/>
  <c r="P550" i="5"/>
  <c r="AD550" i="5" s="1"/>
  <c r="P520" i="5"/>
  <c r="AD520" i="5" s="1"/>
  <c r="P577" i="5"/>
  <c r="AD577" i="5" s="1"/>
  <c r="P579" i="5"/>
  <c r="AD579" i="5" s="1"/>
  <c r="P555" i="5"/>
  <c r="AD555" i="5" s="1"/>
  <c r="P570" i="5"/>
  <c r="AD570" i="5" s="1"/>
  <c r="P583" i="5"/>
  <c r="AD583" i="5" s="1"/>
  <c r="P607" i="5"/>
  <c r="AD607" i="5" s="1"/>
  <c r="P620" i="5"/>
  <c r="AD620" i="5" s="1"/>
  <c r="P602" i="5"/>
  <c r="AD602" i="5" s="1"/>
  <c r="P629" i="5"/>
  <c r="AD629" i="5" s="1"/>
  <c r="P663" i="5"/>
  <c r="AD663" i="5" s="1"/>
  <c r="P691" i="5"/>
  <c r="AD691" i="5" s="1"/>
  <c r="P643" i="5"/>
  <c r="P690" i="5"/>
  <c r="AD690" i="5" s="1"/>
  <c r="P710" i="5"/>
  <c r="AD710" i="5" s="1"/>
  <c r="P733" i="5"/>
  <c r="AD733" i="5" s="1"/>
  <c r="P725" i="5"/>
  <c r="AD725" i="5" s="1"/>
  <c r="P338" i="5"/>
  <c r="P360" i="5"/>
  <c r="P348" i="5"/>
  <c r="P351" i="5"/>
  <c r="AD351" i="5" s="1"/>
  <c r="P378" i="5"/>
  <c r="P346" i="5"/>
  <c r="P390" i="5"/>
  <c r="P387" i="5"/>
  <c r="P402" i="5"/>
  <c r="P419" i="5"/>
  <c r="P412" i="5"/>
  <c r="P413" i="5"/>
  <c r="P441" i="5"/>
  <c r="P446" i="5"/>
  <c r="P456" i="5"/>
  <c r="P449" i="5"/>
  <c r="P459" i="5"/>
  <c r="P480" i="5"/>
  <c r="P457" i="5"/>
  <c r="AD457" i="5" s="1"/>
  <c r="P506" i="5"/>
  <c r="AD506" i="5" s="1"/>
  <c r="P384" i="5"/>
  <c r="P504" i="5"/>
  <c r="AD504" i="5" s="1"/>
  <c r="P523" i="5"/>
  <c r="P529" i="5"/>
  <c r="P494" i="5"/>
  <c r="P511" i="5"/>
  <c r="P213" i="5"/>
  <c r="AD213" i="5" s="1"/>
  <c r="P578" i="5"/>
  <c r="P575" i="5"/>
  <c r="P539" i="5"/>
  <c r="P591" i="5"/>
  <c r="P587" i="5"/>
  <c r="AD587" i="5" s="1"/>
  <c r="P596" i="5"/>
  <c r="P627" i="5"/>
  <c r="P604" i="5"/>
  <c r="P600" i="5"/>
  <c r="AD600" i="5" s="1"/>
  <c r="P635" i="5"/>
  <c r="P665" i="5"/>
  <c r="AD665" i="5" s="1"/>
  <c r="P686" i="5"/>
  <c r="P656" i="5"/>
  <c r="P682" i="5"/>
  <c r="AD682" i="5" s="1"/>
  <c r="P700" i="5"/>
  <c r="P670" i="5"/>
  <c r="P698" i="5"/>
  <c r="P716" i="5"/>
  <c r="AD716" i="5" s="1"/>
  <c r="P727" i="5"/>
  <c r="P728" i="5"/>
  <c r="P736" i="5"/>
  <c r="AD736" i="5" s="1"/>
  <c r="P738" i="5"/>
  <c r="AD738" i="5" s="1"/>
  <c r="S52" i="25" l="1"/>
  <c r="AD187" i="5"/>
  <c r="AD641" i="5"/>
  <c r="AD340" i="5"/>
  <c r="AD249" i="5"/>
  <c r="AD483" i="5"/>
  <c r="AD542" i="5"/>
  <c r="AD470" i="5"/>
  <c r="AD256" i="5"/>
  <c r="AD303" i="5"/>
  <c r="AD660" i="5"/>
  <c r="AD243" i="5"/>
  <c r="AD643" i="5"/>
  <c r="AD675" i="5"/>
  <c r="AD150" i="5"/>
  <c r="AD419" i="5"/>
  <c r="AD344" i="5"/>
  <c r="AD499" i="5"/>
  <c r="AD566" i="5"/>
  <c r="AD487" i="5"/>
  <c r="AD599" i="5"/>
  <c r="AD167" i="5"/>
  <c r="AD308" i="5"/>
  <c r="AD144" i="5"/>
  <c r="AD421" i="5"/>
  <c r="AD447" i="5"/>
  <c r="AD479" i="5"/>
  <c r="AD35" i="5"/>
  <c r="AD571" i="5"/>
  <c r="AD216" i="5"/>
  <c r="AD134" i="5"/>
  <c r="AD701" i="5"/>
  <c r="AD523" i="5"/>
  <c r="AD456" i="5"/>
  <c r="AD756" i="5"/>
  <c r="AD97" i="5"/>
  <c r="AD55" i="5"/>
  <c r="AD294" i="5"/>
  <c r="AD223" i="5"/>
  <c r="AD247" i="5"/>
  <c r="AD160" i="5"/>
  <c r="AD166" i="5"/>
  <c r="AD133" i="5"/>
  <c r="AD214" i="5"/>
  <c r="AD548" i="5"/>
  <c r="AD237" i="5"/>
  <c r="AD181" i="5"/>
  <c r="AD232" i="5"/>
  <c r="AD69" i="5"/>
  <c r="AD143" i="5"/>
  <c r="AD363" i="5"/>
  <c r="AD743" i="5"/>
  <c r="AD508" i="5"/>
  <c r="AD502" i="5"/>
  <c r="AD500" i="5"/>
  <c r="AD416" i="5"/>
  <c r="AD592" i="5"/>
  <c r="AD750" i="5"/>
  <c r="AD565" i="5"/>
  <c r="AD744" i="5"/>
  <c r="AD304" i="5"/>
  <c r="AD489" i="5"/>
  <c r="AD61" i="5"/>
  <c r="AD533" i="5"/>
  <c r="AD536" i="5"/>
  <c r="AD634" i="5"/>
  <c r="AD524" i="5"/>
  <c r="AD658" i="5"/>
  <c r="AD311" i="5"/>
  <c r="AD159" i="5"/>
  <c r="AD529" i="5"/>
  <c r="AD3" i="5"/>
  <c r="AD287" i="5"/>
  <c r="AD220" i="5"/>
  <c r="AD406" i="5"/>
  <c r="AD165" i="5"/>
  <c r="AD683" i="5"/>
  <c r="AD668" i="5"/>
  <c r="AD354" i="5"/>
  <c r="AD295" i="5"/>
  <c r="L765" i="7"/>
  <c r="AD229" i="5"/>
  <c r="AD41" i="5"/>
  <c r="AD726" i="5"/>
  <c r="AD387" i="5"/>
  <c r="AD558" i="5"/>
  <c r="AD466" i="5"/>
  <c r="AD207" i="5"/>
  <c r="AD522" i="5"/>
  <c r="AD689" i="5"/>
  <c r="AD293" i="5"/>
  <c r="AD585" i="5"/>
  <c r="AD616" i="5"/>
  <c r="AD384" i="5"/>
  <c r="AD601" i="5"/>
  <c r="AD89" i="5"/>
  <c r="AD296" i="5"/>
  <c r="AD234" i="5"/>
  <c r="AD544" i="5"/>
  <c r="AD517" i="5"/>
  <c r="AD158" i="5"/>
  <c r="AD334" i="5"/>
  <c r="AD336" i="5"/>
  <c r="AD201" i="5"/>
  <c r="AD436" i="5"/>
  <c r="AD652" i="5"/>
  <c r="AD471" i="5"/>
  <c r="AD137" i="5"/>
  <c r="AD140" i="5"/>
  <c r="AD242" i="5"/>
  <c r="AD111" i="5"/>
  <c r="AD748" i="5"/>
  <c r="AD666" i="5"/>
  <c r="AD439" i="5"/>
  <c r="L767" i="7"/>
  <c r="AD18" i="5"/>
  <c r="AD320" i="5"/>
  <c r="AD606" i="5"/>
  <c r="AD405" i="5"/>
  <c r="AD369" i="5"/>
  <c r="AD720" i="5"/>
  <c r="AD42" i="5"/>
  <c r="AD474" i="5"/>
  <c r="AD440" i="5"/>
  <c r="AD324" i="5"/>
  <c r="AD236" i="5"/>
  <c r="AD239" i="5"/>
  <c r="AD84" i="5"/>
  <c r="AD200" i="5"/>
  <c r="AD352" i="5"/>
  <c r="AD441" i="5"/>
  <c r="AD378" i="5"/>
  <c r="AD561" i="5"/>
  <c r="AD531" i="5"/>
  <c r="AD190" i="5"/>
  <c r="AD193" i="5"/>
  <c r="AD313" i="5"/>
  <c r="AD498" i="5"/>
  <c r="AD374" i="5"/>
  <c r="AD654" i="5"/>
  <c r="AD310" i="5"/>
  <c r="AD132" i="5"/>
  <c r="AD528" i="5"/>
  <c r="AD594" i="5"/>
  <c r="AD511" i="5"/>
  <c r="AD255" i="5"/>
  <c r="AD667" i="5"/>
  <c r="AD347" i="5"/>
  <c r="L764" i="7"/>
  <c r="N13" i="26"/>
  <c r="M756" i="7"/>
  <c r="K756" i="7"/>
  <c r="J756" i="7"/>
  <c r="AD291" i="5"/>
  <c r="P576" i="5"/>
  <c r="AD576" i="5" s="1"/>
  <c r="P715" i="5"/>
  <c r="AD715" i="5" s="1"/>
  <c r="P624" i="5"/>
  <c r="AD624" i="5" s="1"/>
  <c r="P460" i="5"/>
  <c r="AD460" i="5" s="1"/>
  <c r="P329" i="5"/>
  <c r="AD329" i="5" s="1"/>
  <c r="P631" i="5"/>
  <c r="AD631" i="5" s="1"/>
  <c r="P734" i="5"/>
  <c r="AD734" i="5" s="1"/>
  <c r="P381" i="5"/>
  <c r="AD381" i="5" s="1"/>
  <c r="P673" i="5"/>
  <c r="AD673" i="5" s="1"/>
  <c r="P747" i="5"/>
  <c r="AD747" i="5" s="1"/>
  <c r="P647" i="5"/>
  <c r="AD647" i="5" s="1"/>
  <c r="P713" i="5"/>
  <c r="AD713" i="5" s="1"/>
  <c r="P678" i="5"/>
  <c r="AD678" i="5" s="1"/>
  <c r="P751" i="5"/>
  <c r="AD751" i="5" s="1"/>
  <c r="P752" i="5"/>
  <c r="AD752" i="5" s="1"/>
  <c r="P695" i="5"/>
  <c r="AD695" i="5" s="1"/>
  <c r="P478" i="5"/>
  <c r="AD478" i="5" s="1"/>
  <c r="P729" i="5"/>
  <c r="AD729" i="5" s="1"/>
  <c r="P463" i="5"/>
  <c r="AD463" i="5" s="1"/>
  <c r="S39" i="25"/>
  <c r="I68" i="26"/>
  <c r="S59" i="25"/>
  <c r="L59" i="25"/>
  <c r="L76" i="25"/>
  <c r="S76" i="25"/>
  <c r="I76" i="26"/>
  <c r="G74" i="26"/>
  <c r="G62" i="26"/>
  <c r="S43" i="25"/>
  <c r="L14" i="25"/>
  <c r="S44" i="25"/>
  <c r="S72" i="25"/>
  <c r="S36" i="25"/>
  <c r="S24" i="25"/>
  <c r="S65" i="25"/>
  <c r="L50" i="25"/>
  <c r="G70" i="26"/>
  <c r="L4" i="25"/>
  <c r="G67" i="26"/>
  <c r="G75" i="26"/>
  <c r="G78" i="26"/>
  <c r="G60" i="26"/>
  <c r="G63" i="26"/>
  <c r="G68" i="26"/>
  <c r="G71" i="26"/>
  <c r="S45" i="25"/>
  <c r="G73" i="26"/>
  <c r="G76" i="26"/>
  <c r="S37" i="25"/>
  <c r="S15" i="25"/>
  <c r="G65" i="26"/>
  <c r="G58" i="26"/>
  <c r="G69" i="26"/>
  <c r="G72" i="26"/>
  <c r="S64" i="25"/>
  <c r="G61" i="26"/>
  <c r="G66" i="26"/>
  <c r="G77" i="26"/>
  <c r="I7" i="26"/>
  <c r="S68" i="25"/>
  <c r="S7" i="25"/>
  <c r="S23" i="25"/>
  <c r="S42" i="25"/>
  <c r="S40" i="25"/>
  <c r="I74" i="26"/>
  <c r="I10" i="26"/>
  <c r="S22" i="25"/>
  <c r="I64" i="26"/>
  <c r="I69" i="26"/>
  <c r="S8" i="25"/>
  <c r="S11" i="25"/>
  <c r="I72" i="26"/>
  <c r="I67" i="26"/>
  <c r="I77" i="26"/>
  <c r="I75" i="26"/>
  <c r="I78" i="26"/>
  <c r="I65" i="26"/>
  <c r="S5" i="25"/>
  <c r="I73" i="26"/>
  <c r="I60" i="26"/>
  <c r="S54" i="25"/>
  <c r="N60" i="26"/>
  <c r="N78" i="26"/>
  <c r="S48" i="25"/>
  <c r="N66" i="26"/>
  <c r="N68" i="26"/>
  <c r="N63" i="26"/>
  <c r="S55" i="25"/>
  <c r="L74" i="25"/>
  <c r="N74" i="26"/>
  <c r="N76" i="26"/>
  <c r="N71" i="26"/>
  <c r="N59" i="26"/>
  <c r="N61" i="26"/>
  <c r="N64" i="26"/>
  <c r="N67" i="26"/>
  <c r="N69" i="26"/>
  <c r="N72" i="26"/>
  <c r="N75" i="26"/>
  <c r="N77" i="26"/>
  <c r="S10" i="25"/>
  <c r="S12" i="25"/>
  <c r="S75" i="25"/>
  <c r="N70" i="26"/>
  <c r="P719" i="5"/>
  <c r="AD719" i="5" s="1"/>
  <c r="P704" i="5"/>
  <c r="AD704" i="5" s="1"/>
  <c r="P711" i="5"/>
  <c r="AD711" i="5" s="1"/>
  <c r="P639" i="5"/>
  <c r="AD639" i="5" s="1"/>
  <c r="P535" i="5"/>
  <c r="AD535" i="5" s="1"/>
  <c r="P692" i="5"/>
  <c r="AD692" i="5" s="1"/>
  <c r="P688" i="5"/>
  <c r="AD688" i="5" s="1"/>
  <c r="P731" i="5"/>
  <c r="AD731" i="5" s="1"/>
  <c r="P709" i="5"/>
  <c r="AD709" i="5" s="1"/>
  <c r="P664" i="5"/>
  <c r="AD664" i="5" s="1"/>
  <c r="P580" i="5"/>
  <c r="AD580" i="5" s="1"/>
  <c r="P745" i="5"/>
  <c r="AD745" i="5" s="1"/>
  <c r="P568" i="5"/>
  <c r="AD568" i="5" s="1"/>
  <c r="P467" i="5"/>
  <c r="AD467" i="5" s="1"/>
  <c r="P586" i="5"/>
  <c r="AD586" i="5" s="1"/>
  <c r="P636" i="5"/>
  <c r="AD636" i="5" s="1"/>
  <c r="P693" i="5"/>
  <c r="AD693" i="5" s="1"/>
  <c r="P659" i="5"/>
  <c r="AD659" i="5" s="1"/>
  <c r="AD705" i="5"/>
  <c r="P699" i="5"/>
  <c r="AD699" i="5" s="1"/>
  <c r="P680" i="5"/>
  <c r="AD680" i="5" s="1"/>
  <c r="P650" i="5"/>
  <c r="AD650" i="5" s="1"/>
  <c r="AD549" i="5"/>
  <c r="P491" i="5"/>
  <c r="AD491" i="5" s="1"/>
  <c r="P626" i="5"/>
  <c r="AD626" i="5" s="1"/>
  <c r="S765" i="7"/>
  <c r="P454" i="5"/>
  <c r="AD454" i="5" s="1"/>
  <c r="AD754" i="5"/>
  <c r="P526" i="5"/>
  <c r="P746" i="5"/>
  <c r="AD746" i="5" s="1"/>
  <c r="P290" i="5"/>
  <c r="AD290" i="5" s="1"/>
  <c r="P615" i="5"/>
  <c r="AD615" i="5" s="1"/>
  <c r="P718" i="5"/>
  <c r="AD718" i="5" s="1"/>
  <c r="H765" i="7"/>
  <c r="R765" i="7"/>
  <c r="Q765" i="7"/>
  <c r="P767" i="7"/>
  <c r="N764" i="7"/>
  <c r="O767" i="7"/>
  <c r="P657" i="5"/>
  <c r="AD657" i="5" s="1"/>
  <c r="S764" i="7"/>
  <c r="Q767" i="7"/>
  <c r="P706" i="5"/>
  <c r="AD706" i="5" s="1"/>
  <c r="O764" i="7"/>
  <c r="AD597" i="5"/>
  <c r="H767" i="7"/>
  <c r="N765" i="7"/>
  <c r="H764" i="7"/>
  <c r="S767" i="7"/>
  <c r="G767" i="7"/>
  <c r="G764" i="7"/>
  <c r="Q764" i="7"/>
  <c r="O765" i="7"/>
  <c r="G765" i="7"/>
  <c r="N767" i="7"/>
  <c r="AD598" i="5"/>
  <c r="R767" i="7"/>
  <c r="P764" i="7"/>
  <c r="R764" i="7"/>
  <c r="R756" i="7" s="1"/>
  <c r="P765" i="7"/>
  <c r="M152" i="7"/>
  <c r="J152" i="7"/>
  <c r="L152" i="7"/>
  <c r="K152" i="7"/>
  <c r="A39" i="11"/>
  <c r="B39" i="11" s="1"/>
  <c r="I4" i="11"/>
  <c r="I41" i="11" s="1"/>
  <c r="L4" i="11"/>
  <c r="G4" i="11"/>
  <c r="G41" i="11" s="1"/>
  <c r="H4" i="11"/>
  <c r="H42" i="11" s="1"/>
  <c r="C4" i="11"/>
  <c r="C42" i="11" s="1"/>
  <c r="B4" i="11"/>
  <c r="O4" i="11"/>
  <c r="F4" i="11"/>
  <c r="F42" i="11" s="1"/>
  <c r="I50" i="11"/>
  <c r="N4" i="11"/>
  <c r="D4" i="11"/>
  <c r="D42" i="11" s="1"/>
  <c r="J4" i="11"/>
  <c r="J39" i="11" s="1"/>
  <c r="K4" i="11"/>
  <c r="K42" i="11" s="1"/>
  <c r="E4" i="11"/>
  <c r="E41" i="11" s="1"/>
  <c r="H41" i="11"/>
  <c r="K40" i="11"/>
  <c r="G40" i="11"/>
  <c r="H44" i="11"/>
  <c r="C40" i="11"/>
  <c r="E40" i="11"/>
  <c r="I40" i="11"/>
  <c r="M16" i="7"/>
  <c r="I44" i="26"/>
  <c r="J74" i="26"/>
  <c r="I36" i="26"/>
  <c r="M81" i="26"/>
  <c r="I12" i="26"/>
  <c r="J71" i="26"/>
  <c r="J75" i="26"/>
  <c r="S38" i="25"/>
  <c r="I55" i="26"/>
  <c r="I33" i="26"/>
  <c r="S66" i="25"/>
  <c r="I46" i="26"/>
  <c r="J73" i="26"/>
  <c r="S3" i="25"/>
  <c r="I22" i="26"/>
  <c r="J67" i="26"/>
  <c r="J78" i="26"/>
  <c r="L2" i="25"/>
  <c r="S29" i="25"/>
  <c r="S27" i="25"/>
  <c r="G35" i="26"/>
  <c r="N9" i="26"/>
  <c r="N6" i="26"/>
  <c r="S33" i="25"/>
  <c r="S35" i="25"/>
  <c r="S67" i="25"/>
  <c r="I14" i="26"/>
  <c r="N11" i="26"/>
  <c r="G52" i="26"/>
  <c r="J72" i="26"/>
  <c r="J76" i="26"/>
  <c r="N53" i="26"/>
  <c r="N42" i="26"/>
  <c r="N26" i="26"/>
  <c r="N18" i="26"/>
  <c r="N73" i="26"/>
  <c r="N47" i="26"/>
  <c r="N39" i="26"/>
  <c r="N31" i="26"/>
  <c r="N23" i="26"/>
  <c r="N15" i="26"/>
  <c r="N55" i="26"/>
  <c r="N36" i="26"/>
  <c r="N28" i="26"/>
  <c r="N20" i="26"/>
  <c r="N12" i="26"/>
  <c r="N58" i="26"/>
  <c r="N52" i="26"/>
  <c r="N44" i="26"/>
  <c r="N4" i="26"/>
  <c r="N49" i="26"/>
  <c r="N41" i="26"/>
  <c r="N33" i="26"/>
  <c r="N25" i="26"/>
  <c r="N17" i="26"/>
  <c r="N22" i="26"/>
  <c r="N57" i="26"/>
  <c r="N46" i="26"/>
  <c r="N38" i="26"/>
  <c r="N30" i="26"/>
  <c r="N14" i="26"/>
  <c r="N62" i="26"/>
  <c r="N54" i="26"/>
  <c r="N51" i="26"/>
  <c r="N35" i="26"/>
  <c r="N27" i="26"/>
  <c r="N19" i="26"/>
  <c r="N40" i="26"/>
  <c r="N16" i="26"/>
  <c r="N48" i="26"/>
  <c r="N32" i="26"/>
  <c r="N24" i="26"/>
  <c r="N8" i="26"/>
  <c r="N56" i="26"/>
  <c r="N45" i="26"/>
  <c r="N37" i="26"/>
  <c r="N29" i="26"/>
  <c r="N21" i="26"/>
  <c r="N5" i="26"/>
  <c r="N50" i="26"/>
  <c r="N34" i="26"/>
  <c r="N10" i="26"/>
  <c r="N2" i="26"/>
  <c r="G12" i="26"/>
  <c r="N43" i="26"/>
  <c r="S17" i="25"/>
  <c r="G33" i="26"/>
  <c r="I63" i="26"/>
  <c r="I59" i="26"/>
  <c r="I37" i="26"/>
  <c r="I13" i="26"/>
  <c r="I5" i="26"/>
  <c r="I53" i="26"/>
  <c r="I50" i="26"/>
  <c r="I42" i="26"/>
  <c r="I34" i="26"/>
  <c r="I26" i="26"/>
  <c r="I18" i="26"/>
  <c r="I2" i="26"/>
  <c r="I70" i="26"/>
  <c r="I47" i="26"/>
  <c r="I31" i="26"/>
  <c r="I39" i="26"/>
  <c r="I23" i="26"/>
  <c r="I15" i="26"/>
  <c r="I58" i="26"/>
  <c r="I52" i="26"/>
  <c r="I28" i="26"/>
  <c r="I20" i="26"/>
  <c r="I4" i="26"/>
  <c r="I17" i="26"/>
  <c r="I9" i="26"/>
  <c r="I19" i="26"/>
  <c r="I49" i="26"/>
  <c r="I41" i="26"/>
  <c r="I25" i="26"/>
  <c r="I3" i="26"/>
  <c r="I57" i="26"/>
  <c r="I38" i="26"/>
  <c r="I30" i="26"/>
  <c r="I62" i="26"/>
  <c r="I54" i="26"/>
  <c r="I35" i="26"/>
  <c r="I27" i="26"/>
  <c r="I11" i="26"/>
  <c r="I51" i="26"/>
  <c r="I43" i="26"/>
  <c r="I61" i="26"/>
  <c r="I48" i="26"/>
  <c r="I32" i="26"/>
  <c r="I24" i="26"/>
  <c r="I16" i="26"/>
  <c r="I56" i="26"/>
  <c r="I45" i="26"/>
  <c r="I29" i="26"/>
  <c r="I21" i="26"/>
  <c r="S51" i="25"/>
  <c r="G53" i="26"/>
  <c r="G48" i="26"/>
  <c r="G32" i="26"/>
  <c r="G24" i="26"/>
  <c r="G8" i="26"/>
  <c r="G59" i="26"/>
  <c r="G56" i="26"/>
  <c r="G45" i="26"/>
  <c r="G37" i="26"/>
  <c r="G29" i="26"/>
  <c r="G21" i="26"/>
  <c r="G13" i="26"/>
  <c r="G42" i="26"/>
  <c r="G10" i="26"/>
  <c r="G2" i="26"/>
  <c r="G50" i="26"/>
  <c r="G34" i="26"/>
  <c r="G26" i="26"/>
  <c r="G18" i="26"/>
  <c r="G47" i="26"/>
  <c r="G39" i="26"/>
  <c r="G31" i="26"/>
  <c r="G23" i="26"/>
  <c r="G15" i="26"/>
  <c r="G55" i="26"/>
  <c r="G64" i="26"/>
  <c r="G44" i="26"/>
  <c r="G36" i="26"/>
  <c r="G28" i="26"/>
  <c r="G20" i="26"/>
  <c r="G4" i="26"/>
  <c r="G22" i="26"/>
  <c r="G49" i="26"/>
  <c r="G41" i="26"/>
  <c r="G25" i="26"/>
  <c r="G9" i="26"/>
  <c r="G46" i="26"/>
  <c r="G6" i="26"/>
  <c r="G57" i="26"/>
  <c r="G38" i="26"/>
  <c r="G30" i="26"/>
  <c r="G14" i="26"/>
  <c r="G54" i="26"/>
  <c r="G51" i="26"/>
  <c r="G43" i="26"/>
  <c r="G27" i="26"/>
  <c r="G19" i="26"/>
  <c r="G11" i="26"/>
  <c r="G40" i="26"/>
  <c r="G16" i="26"/>
  <c r="I40" i="26"/>
  <c r="I6" i="26"/>
  <c r="G7" i="26"/>
  <c r="S19" i="25"/>
  <c r="I8" i="26"/>
  <c r="N3" i="26"/>
  <c r="N65" i="26"/>
  <c r="G3" i="26"/>
  <c r="N7" i="26"/>
  <c r="G17" i="26"/>
  <c r="M187" i="7"/>
  <c r="M236" i="7"/>
  <c r="M174" i="7"/>
  <c r="M397" i="7"/>
  <c r="M104" i="7"/>
  <c r="M179" i="7"/>
  <c r="M257" i="7"/>
  <c r="M203" i="7"/>
  <c r="M487" i="7"/>
  <c r="M485" i="7"/>
  <c r="M40" i="7"/>
  <c r="M45" i="7"/>
  <c r="M66" i="7"/>
  <c r="M137" i="7"/>
  <c r="M378" i="7"/>
  <c r="M336" i="7"/>
  <c r="M193" i="7"/>
  <c r="M51" i="7"/>
  <c r="M201" i="7"/>
  <c r="M273" i="7"/>
  <c r="M129" i="7"/>
  <c r="M178" i="7"/>
  <c r="M244" i="7"/>
  <c r="M369" i="7"/>
  <c r="M9" i="7"/>
  <c r="M121" i="7"/>
  <c r="M230" i="7"/>
  <c r="M153" i="7"/>
  <c r="M403" i="7"/>
  <c r="M529" i="7"/>
  <c r="M429" i="7"/>
  <c r="M76" i="7"/>
  <c r="M75" i="7"/>
  <c r="M37" i="7"/>
  <c r="M200" i="7"/>
  <c r="M150" i="7"/>
  <c r="M331" i="7"/>
  <c r="M261" i="7"/>
  <c r="M81" i="7"/>
  <c r="M134" i="7"/>
  <c r="M128" i="7"/>
  <c r="M13" i="7"/>
  <c r="M93" i="7"/>
  <c r="M181" i="7"/>
  <c r="M364" i="7"/>
  <c r="M238" i="7"/>
  <c r="M35" i="7"/>
  <c r="M86" i="7"/>
  <c r="M209" i="7"/>
  <c r="M117" i="7"/>
  <c r="M205" i="7"/>
  <c r="M123" i="7"/>
  <c r="M434" i="7"/>
  <c r="M46" i="7"/>
  <c r="M60" i="7"/>
  <c r="M111" i="7"/>
  <c r="M95" i="7"/>
  <c r="M285" i="7"/>
  <c r="M306" i="7"/>
  <c r="M392" i="7"/>
  <c r="M43" i="7"/>
  <c r="M67" i="7"/>
  <c r="M245" i="7"/>
  <c r="M34" i="7"/>
  <c r="M127" i="7"/>
  <c r="M188" i="7"/>
  <c r="M414" i="7"/>
  <c r="M197" i="7"/>
  <c r="M20" i="7"/>
  <c r="M30" i="7"/>
  <c r="M94" i="7"/>
  <c r="M381" i="7"/>
  <c r="M228" i="7"/>
  <c r="M224" i="7"/>
  <c r="M8" i="7"/>
  <c r="K5" i="14" s="1"/>
  <c r="M77" i="7"/>
  <c r="M90" i="7"/>
  <c r="M125" i="7"/>
  <c r="M274" i="7"/>
  <c r="M303" i="7"/>
  <c r="M503" i="7"/>
  <c r="M6" i="7"/>
  <c r="M71" i="7"/>
  <c r="M155" i="7"/>
  <c r="M223" i="7"/>
  <c r="M41" i="7"/>
  <c r="M102" i="7"/>
  <c r="M115" i="7"/>
  <c r="M348" i="7"/>
  <c r="M445" i="7"/>
  <c r="M50" i="7"/>
  <c r="M100" i="7"/>
  <c r="M215" i="7"/>
  <c r="M208" i="7"/>
  <c r="M502" i="7"/>
  <c r="M240" i="7"/>
  <c r="M38" i="7"/>
  <c r="M3" i="7"/>
  <c r="M31" i="7"/>
  <c r="M64" i="7"/>
  <c r="M185" i="7"/>
  <c r="M318" i="7"/>
  <c r="M433" i="7"/>
  <c r="M19" i="7"/>
  <c r="M82" i="7"/>
  <c r="M259" i="7"/>
  <c r="M23" i="7"/>
  <c r="M42" i="7"/>
  <c r="M135" i="7"/>
  <c r="M170" i="7"/>
  <c r="M189" i="7"/>
  <c r="M401" i="7"/>
  <c r="M79" i="7"/>
  <c r="M168" i="7"/>
  <c r="M130" i="7"/>
  <c r="M165" i="7"/>
  <c r="M410" i="7"/>
  <c r="M26" i="7"/>
  <c r="M33" i="7"/>
  <c r="M107" i="7"/>
  <c r="M171" i="7"/>
  <c r="M190" i="7"/>
  <c r="M159" i="7"/>
  <c r="M467" i="7"/>
  <c r="M29" i="7"/>
  <c r="M113" i="7"/>
  <c r="M229" i="7"/>
  <c r="M108" i="7"/>
  <c r="M80" i="7"/>
  <c r="M140" i="7"/>
  <c r="M235" i="7"/>
  <c r="M316" i="7"/>
  <c r="M428" i="7"/>
  <c r="M36" i="7"/>
  <c r="M62" i="7"/>
  <c r="M317" i="7"/>
  <c r="M74" i="7"/>
  <c r="M448" i="7"/>
  <c r="M385" i="7"/>
  <c r="M55" i="7"/>
  <c r="M22" i="7"/>
  <c r="M194" i="7"/>
  <c r="M268" i="7"/>
  <c r="M210" i="7"/>
  <c r="M390" i="7"/>
  <c r="M255" i="7"/>
  <c r="M24" i="7"/>
  <c r="M147" i="7"/>
  <c r="M87" i="7"/>
  <c r="M676" i="7"/>
  <c r="M2" i="7"/>
  <c r="K4" i="14" s="1"/>
  <c r="M361" i="7"/>
  <c r="M689" i="7"/>
  <c r="M466" i="7"/>
  <c r="M451" i="7"/>
  <c r="M133" i="7"/>
  <c r="M449" i="7"/>
  <c r="M425" i="7"/>
  <c r="M663" i="7"/>
  <c r="M459" i="7"/>
  <c r="M278" i="7"/>
  <c r="M496" i="7"/>
  <c r="M670" i="7"/>
  <c r="M643" i="7"/>
  <c r="M132" i="7"/>
  <c r="M530" i="7"/>
  <c r="M489" i="7"/>
  <c r="M521" i="7"/>
  <c r="M242" i="7"/>
  <c r="M338" i="7"/>
  <c r="M106" i="7"/>
  <c r="M580" i="7"/>
  <c r="M708" i="7"/>
  <c r="M398" i="7"/>
  <c r="M695" i="7"/>
  <c r="M423" i="7"/>
  <c r="M548" i="7"/>
  <c r="M571" i="7"/>
  <c r="M340" i="7"/>
  <c r="M684" i="7"/>
  <c r="M515" i="7"/>
  <c r="M456" i="7"/>
  <c r="M499" i="7"/>
  <c r="M697" i="7"/>
  <c r="M747" i="7"/>
  <c r="M243" i="7"/>
  <c r="M579" i="7"/>
  <c r="M112" i="7"/>
  <c r="M544" i="7"/>
  <c r="M315" i="7"/>
  <c r="M344" i="7"/>
  <c r="M260" i="7"/>
  <c r="M415" i="7"/>
  <c r="M326" i="7"/>
  <c r="M497" i="7"/>
  <c r="M351" i="7"/>
  <c r="M710" i="7"/>
  <c r="M498" i="7"/>
  <c r="M483" i="7"/>
  <c r="M482" i="7"/>
  <c r="M727" i="7"/>
  <c r="M718" i="7"/>
  <c r="M702" i="7"/>
  <c r="M353" i="7"/>
  <c r="M413" i="7"/>
  <c r="M384" i="7"/>
  <c r="M494" i="7"/>
  <c r="M371" i="7"/>
  <c r="M120" i="7"/>
  <c r="M156" i="7"/>
  <c r="M177" i="7"/>
  <c r="M126" i="7"/>
  <c r="M21" i="7"/>
  <c r="M480" i="7"/>
  <c r="M293" i="7"/>
  <c r="M333" i="7"/>
  <c r="M143" i="7"/>
  <c r="M647" i="7"/>
  <c r="M744" i="7"/>
  <c r="M752" i="7"/>
  <c r="M722" i="7"/>
  <c r="M588" i="7"/>
  <c r="M751" i="7"/>
  <c r="M207" i="7"/>
  <c r="M507" i="7"/>
  <c r="M506" i="7"/>
  <c r="M144" i="7"/>
  <c r="M685" i="7"/>
  <c r="M717" i="7"/>
  <c r="M698" i="7"/>
  <c r="M560" i="7"/>
  <c r="M674" i="7"/>
  <c r="M621" i="7"/>
  <c r="M564" i="7"/>
  <c r="M225" i="7"/>
  <c r="M625" i="7"/>
  <c r="M534" i="7"/>
  <c r="M608" i="7"/>
  <c r="M324" i="7"/>
  <c r="M220" i="7"/>
  <c r="M490" i="7"/>
  <c r="M99" i="7"/>
  <c r="M206" i="7"/>
  <c r="M49" i="7"/>
  <c r="M611" i="7"/>
  <c r="M664" i="7"/>
  <c r="M725" i="7"/>
  <c r="M622" i="7"/>
  <c r="M703" i="7"/>
  <c r="M591" i="7"/>
  <c r="M465" i="7"/>
  <c r="M734" i="7"/>
  <c r="M660" i="7"/>
  <c r="M713" i="7"/>
  <c r="M610" i="7"/>
  <c r="M614" i="7"/>
  <c r="M438" i="7"/>
  <c r="M462" i="7"/>
  <c r="M488" i="7"/>
  <c r="M741" i="7"/>
  <c r="M290" i="7"/>
  <c r="M651" i="7"/>
  <c r="M437" i="7"/>
  <c r="M604" i="7"/>
  <c r="M391" i="7"/>
  <c r="M581" i="7"/>
  <c r="M252" i="7"/>
  <c r="M687" i="7"/>
  <c r="M750" i="7"/>
  <c r="M729" i="7"/>
  <c r="M202" i="7"/>
  <c r="M418" i="7"/>
  <c r="M411" i="7"/>
  <c r="M334" i="7"/>
  <c r="M561" i="7"/>
  <c r="M576" i="7"/>
  <c r="M472" i="7"/>
  <c r="M300" i="7"/>
  <c r="M250" i="7"/>
  <c r="M271" i="7"/>
  <c r="M211" i="7"/>
  <c r="M281" i="7"/>
  <c r="M78" i="7"/>
  <c r="M305" i="7"/>
  <c r="M73" i="7"/>
  <c r="M58" i="7"/>
  <c r="M339" i="7"/>
  <c r="M167" i="7"/>
  <c r="M389" i="7"/>
  <c r="M182" i="7"/>
  <c r="M131" i="7"/>
  <c r="M53" i="7"/>
  <c r="M11" i="7"/>
  <c r="M295" i="7"/>
  <c r="M754" i="7"/>
  <c r="M631" i="7"/>
  <c r="M427" i="7"/>
  <c r="M404" i="7"/>
  <c r="M512" i="7"/>
  <c r="M292" i="7"/>
  <c r="M513" i="7"/>
  <c r="M302" i="7"/>
  <c r="M572" i="7"/>
  <c r="M632" i="7"/>
  <c r="M343" i="7"/>
  <c r="M320" i="7"/>
  <c r="M426" i="7"/>
  <c r="M570" i="7"/>
  <c r="M505" i="7"/>
  <c r="M679" i="7"/>
  <c r="M367" i="7"/>
  <c r="M638" i="7"/>
  <c r="M574" i="7"/>
  <c r="M288" i="7"/>
  <c r="M247" i="7"/>
  <c r="M233" i="7"/>
  <c r="M57" i="7"/>
  <c r="M266" i="7"/>
  <c r="M649" i="7"/>
  <c r="M533" i="7"/>
  <c r="M601" i="7"/>
  <c r="M406" i="7"/>
  <c r="M239" i="7"/>
  <c r="M648" i="7"/>
  <c r="M355" i="7"/>
  <c r="M419" i="7"/>
  <c r="M654" i="7"/>
  <c r="M599" i="7"/>
  <c r="M624" i="7"/>
  <c r="M694" i="7"/>
  <c r="M600" i="7"/>
  <c r="M536" i="7"/>
  <c r="M450" i="7"/>
  <c r="M399" i="7"/>
  <c r="M321" i="7"/>
  <c r="M276" i="7"/>
  <c r="M501" i="7"/>
  <c r="M662" i="7"/>
  <c r="M629" i="7"/>
  <c r="M408" i="7"/>
  <c r="M517" i="7"/>
  <c r="M500" i="7"/>
  <c r="M105" i="7"/>
  <c r="M540" i="7"/>
  <c r="M287" i="7"/>
  <c r="M592" i="7"/>
  <c r="M558" i="7"/>
  <c r="M420" i="7"/>
  <c r="M335" i="7"/>
  <c r="M277" i="7"/>
  <c r="M169" i="7"/>
  <c r="M142" i="7"/>
  <c r="M227" i="7"/>
  <c r="M204" i="7"/>
  <c r="M59" i="7"/>
  <c r="M314" i="7"/>
  <c r="M280" i="7"/>
  <c r="M454" i="7"/>
  <c r="M299" i="7"/>
  <c r="M160" i="7"/>
  <c r="M25" i="7"/>
  <c r="M669" i="7"/>
  <c r="M436" i="7"/>
  <c r="M726" i="7"/>
  <c r="M755" i="7"/>
  <c r="M374" i="7"/>
  <c r="M737" i="7"/>
  <c r="M644" i="7"/>
  <c r="M175" i="7"/>
  <c r="M186" i="7"/>
  <c r="M322" i="7"/>
  <c r="M666" i="7"/>
  <c r="M746" i="7"/>
  <c r="M470" i="7"/>
  <c r="M706" i="7"/>
  <c r="M590" i="7"/>
  <c r="M587" i="7"/>
  <c r="M376" i="7"/>
  <c r="M495" i="7"/>
  <c r="M672" i="7"/>
  <c r="M637" i="7"/>
  <c r="M405" i="7"/>
  <c r="M347" i="7"/>
  <c r="M346" i="7"/>
  <c r="M409" i="7"/>
  <c r="M158" i="7"/>
  <c r="M70" i="7"/>
  <c r="M733" i="7"/>
  <c r="M704" i="7"/>
  <c r="M493" i="7"/>
  <c r="M678" i="7"/>
  <c r="M221" i="7"/>
  <c r="M337" i="7"/>
  <c r="M707" i="7"/>
  <c r="M696" i="7"/>
  <c r="M460" i="7"/>
  <c r="M661" i="7"/>
  <c r="M249" i="7"/>
  <c r="M421" i="7"/>
  <c r="M478" i="7"/>
  <c r="M567" i="7"/>
  <c r="M595" i="7"/>
  <c r="M329" i="7"/>
  <c r="M396" i="7"/>
  <c r="M612" i="7"/>
  <c r="M518" i="7"/>
  <c r="M234" i="7"/>
  <c r="M309" i="7"/>
  <c r="M609" i="7"/>
  <c r="M736" i="7"/>
  <c r="M578" i="7"/>
  <c r="M524" i="7"/>
  <c r="M241" i="7"/>
  <c r="M658" i="7"/>
  <c r="M652" i="7"/>
  <c r="M387" i="7"/>
  <c r="M526" i="7"/>
  <c r="M659" i="7"/>
  <c r="M416" i="7"/>
  <c r="M388" i="7"/>
  <c r="M360" i="7"/>
  <c r="M328" i="7"/>
  <c r="M92" i="7"/>
  <c r="M27" i="7"/>
  <c r="M114" i="7"/>
  <c r="M69" i="7"/>
  <c r="M52" i="7"/>
  <c r="M267" i="7"/>
  <c r="M248" i="7"/>
  <c r="M282" i="7"/>
  <c r="M213" i="7"/>
  <c r="M48" i="7"/>
  <c r="M44" i="7"/>
  <c r="M88" i="7"/>
  <c r="M673" i="7"/>
  <c r="M443" i="7"/>
  <c r="M732" i="7"/>
  <c r="M693" i="7"/>
  <c r="M745" i="7"/>
  <c r="M716" i="7"/>
  <c r="M712" i="7"/>
  <c r="M325" i="7"/>
  <c r="M400" i="7"/>
  <c r="M545" i="7"/>
  <c r="M354" i="7"/>
  <c r="M357" i="7"/>
  <c r="M688" i="7"/>
  <c r="M714" i="7"/>
  <c r="M682" i="7"/>
  <c r="M543" i="7"/>
  <c r="M183" i="7"/>
  <c r="M542" i="7"/>
  <c r="M742" i="7"/>
  <c r="M457" i="7"/>
  <c r="M527" i="7"/>
  <c r="M606" i="7"/>
  <c r="M313" i="7"/>
  <c r="M516" i="7"/>
  <c r="M184" i="7"/>
  <c r="M212" i="7"/>
  <c r="M216" i="7"/>
  <c r="M585" i="7"/>
  <c r="M636" i="7"/>
  <c r="M583" i="7"/>
  <c r="M246" i="7"/>
  <c r="M575" i="7"/>
  <c r="M617" i="7"/>
  <c r="M402" i="7"/>
  <c r="M547" i="7"/>
  <c r="M613" i="7"/>
  <c r="M473" i="7"/>
  <c r="M461" i="7"/>
  <c r="M573" i="7"/>
  <c r="M362" i="7"/>
  <c r="M379" i="7"/>
  <c r="M705" i="7"/>
  <c r="M691" i="7"/>
  <c r="M424" i="7"/>
  <c r="M723" i="7"/>
  <c r="M237" i="7"/>
  <c r="M584" i="7"/>
  <c r="M444" i="7"/>
  <c r="M481" i="7"/>
  <c r="M380" i="7"/>
  <c r="M441" i="7"/>
  <c r="M721" i="7"/>
  <c r="M198" i="7"/>
  <c r="M586" i="7"/>
  <c r="M275" i="7"/>
  <c r="M602" i="7"/>
  <c r="M417" i="7"/>
  <c r="M323" i="7"/>
  <c r="M692" i="7"/>
  <c r="M477" i="7"/>
  <c r="M310" i="7"/>
  <c r="M297" i="7"/>
  <c r="M635" i="7"/>
  <c r="M455" i="7"/>
  <c r="M157" i="7"/>
  <c r="M294" i="7"/>
  <c r="M63" i="7"/>
  <c r="M109" i="7"/>
  <c r="M97" i="7"/>
  <c r="M28" i="7"/>
  <c r="M432" i="7"/>
  <c r="M370" i="7"/>
  <c r="M345" i="7"/>
  <c r="M98" i="7"/>
  <c r="M91" i="7"/>
  <c r="M12" i="7"/>
  <c r="M15" i="7"/>
  <c r="M468" i="7"/>
  <c r="M680" i="7"/>
  <c r="M553" i="7"/>
  <c r="M639" i="7"/>
  <c r="M386" i="7"/>
  <c r="M330" i="7"/>
  <c r="M176" i="7"/>
  <c r="M231" i="7"/>
  <c r="M557" i="7"/>
  <c r="M520" i="7"/>
  <c r="M537" i="7"/>
  <c r="M633" i="7"/>
  <c r="M350" i="7"/>
  <c r="M715" i="7"/>
  <c r="M749" i="7"/>
  <c r="M555" i="7"/>
  <c r="M618" i="7"/>
  <c r="M620" i="7"/>
  <c r="M492" i="7"/>
  <c r="M219" i="7"/>
  <c r="M422" i="7"/>
  <c r="M166" i="7"/>
  <c r="M146" i="7"/>
  <c r="M720" i="7"/>
  <c r="M269" i="7"/>
  <c r="M653" i="7"/>
  <c r="M671" i="7"/>
  <c r="M301" i="7"/>
  <c r="M453" i="7"/>
  <c r="M535" i="7"/>
  <c r="M484" i="7"/>
  <c r="M531" i="7"/>
  <c r="M605" i="7"/>
  <c r="M452" i="7"/>
  <c r="M711" i="7"/>
  <c r="M509" i="7"/>
  <c r="M546" i="7"/>
  <c r="M291" i="7"/>
  <c r="M594" i="7"/>
  <c r="M141" i="7"/>
  <c r="M311" i="7"/>
  <c r="M709" i="7"/>
  <c r="M619" i="7"/>
  <c r="M563" i="7"/>
  <c r="M582" i="7"/>
  <c r="M667" i="7"/>
  <c r="M559" i="7"/>
  <c r="M753" i="7"/>
  <c r="M731" i="7"/>
  <c r="M675" i="7"/>
  <c r="M748" i="7"/>
  <c r="M358" i="7"/>
  <c r="M508" i="7"/>
  <c r="M655" i="7"/>
  <c r="M138" i="7"/>
  <c r="M226" i="7"/>
  <c r="M72" i="7"/>
  <c r="M101" i="7"/>
  <c r="M172" i="7"/>
  <c r="M148" i="7"/>
  <c r="M32" i="7"/>
  <c r="M373" i="7"/>
  <c r="M458" i="7"/>
  <c r="M163" i="7"/>
  <c r="M18" i="7"/>
  <c r="M110" i="7"/>
  <c r="M10" i="7"/>
  <c r="M5" i="7"/>
  <c r="M740" i="7"/>
  <c r="M724" i="7"/>
  <c r="M738" i="7"/>
  <c r="M538" i="7"/>
  <c r="M251" i="7"/>
  <c r="M551" i="7"/>
  <c r="M554" i="7"/>
  <c r="M569" i="7"/>
  <c r="M149" i="7"/>
  <c r="M447" i="7"/>
  <c r="M728" i="7"/>
  <c r="M519" i="7"/>
  <c r="M701" i="7"/>
  <c r="M435" i="7"/>
  <c r="M550" i="7"/>
  <c r="M532" i="7"/>
  <c r="M626" i="7"/>
  <c r="M368" i="7"/>
  <c r="M195" i="7"/>
  <c r="M393" i="7"/>
  <c r="M254" i="7"/>
  <c r="M475" i="7"/>
  <c r="M214" i="7"/>
  <c r="M56" i="7"/>
  <c r="M173" i="7"/>
  <c r="M623" i="7"/>
  <c r="M491" i="7"/>
  <c r="M539" i="7"/>
  <c r="M522" i="7"/>
  <c r="M565" i="7"/>
  <c r="M616" i="7"/>
  <c r="M342" i="7"/>
  <c r="M686" i="7"/>
  <c r="M730" i="7"/>
  <c r="M514" i="7"/>
  <c r="M562" i="7"/>
  <c r="M382" i="7"/>
  <c r="M556" i="7"/>
  <c r="M372" i="7"/>
  <c r="M735" i="7"/>
  <c r="M739" i="7"/>
  <c r="M665" i="7"/>
  <c r="M265" i="7"/>
  <c r="M349" i="7"/>
  <c r="M525" i="7"/>
  <c r="M298" i="7"/>
  <c r="M377" i="7"/>
  <c r="M289" i="7"/>
  <c r="M677" i="7"/>
  <c r="M603" i="7"/>
  <c r="M308" i="7"/>
  <c r="M365" i="7"/>
  <c r="M523" i="7"/>
  <c r="M645" i="7"/>
  <c r="M642" i="7"/>
  <c r="M430" i="7"/>
  <c r="M549" i="7"/>
  <c r="M463" i="7"/>
  <c r="M312" i="7"/>
  <c r="M217" i="7"/>
  <c r="M270" i="7"/>
  <c r="M263" i="7"/>
  <c r="M145" i="7"/>
  <c r="M136" i="7"/>
  <c r="M199" i="7"/>
  <c r="M54" i="7"/>
  <c r="M7" i="7"/>
  <c r="M440" i="7"/>
  <c r="M139" i="7"/>
  <c r="M407" i="7"/>
  <c r="M162" i="7"/>
  <c r="M119" i="7"/>
  <c r="M17" i="7"/>
  <c r="M222" i="7"/>
  <c r="M597" i="7"/>
  <c r="M640" i="7"/>
  <c r="M743" i="7"/>
  <c r="M657" i="7"/>
  <c r="M656" i="7"/>
  <c r="M681" i="7"/>
  <c r="M307" i="7"/>
  <c r="M469" i="7"/>
  <c r="M650" i="7"/>
  <c r="M511" i="7"/>
  <c r="M471" i="7"/>
  <c r="M341" i="7"/>
  <c r="M253" i="7"/>
  <c r="M598" i="7"/>
  <c r="M646" i="7"/>
  <c r="M412" i="7"/>
  <c r="M284" i="7"/>
  <c r="M615" i="7"/>
  <c r="M641" i="7"/>
  <c r="M627" i="7"/>
  <c r="M332" i="7"/>
  <c r="M700" i="7"/>
  <c r="M528" i="7"/>
  <c r="M577" i="7"/>
  <c r="M630" i="7"/>
  <c r="M192" i="7"/>
  <c r="M479" i="7"/>
  <c r="M256" i="7"/>
  <c r="M47" i="7"/>
  <c r="M474" i="7"/>
  <c r="M607" i="7"/>
  <c r="M352" i="7"/>
  <c r="M628" i="7"/>
  <c r="M634" i="7"/>
  <c r="M719" i="7"/>
  <c r="M394" i="7"/>
  <c r="M596" i="7"/>
  <c r="M122" i="7"/>
  <c r="M566" i="7"/>
  <c r="M395" i="7"/>
  <c r="M504" i="7"/>
  <c r="M446" i="7"/>
  <c r="M589" i="7"/>
  <c r="M683" i="7"/>
  <c r="M486" i="7"/>
  <c r="M431" i="7"/>
  <c r="M552" i="7"/>
  <c r="M593" i="7"/>
  <c r="M464" i="7"/>
  <c r="M383" i="7"/>
  <c r="M366" i="7"/>
  <c r="M180" i="7"/>
  <c r="M699" i="7"/>
  <c r="M690" i="7"/>
  <c r="M568" i="7"/>
  <c r="M319" i="7"/>
  <c r="M668" i="7"/>
  <c r="M191" i="7"/>
  <c r="M541" i="7"/>
  <c r="M510" i="7"/>
  <c r="M476" i="7"/>
  <c r="M232" i="7"/>
  <c r="M258" i="7"/>
  <c r="M262" i="7"/>
  <c r="M363" i="7"/>
  <c r="M375" i="7"/>
  <c r="M124" i="7"/>
  <c r="M116" i="7"/>
  <c r="M151" i="7"/>
  <c r="M89" i="7"/>
  <c r="M359" i="7"/>
  <c r="M439" i="7"/>
  <c r="M327" i="7"/>
  <c r="M164" i="7"/>
  <c r="M103" i="7"/>
  <c r="M61" i="7"/>
  <c r="M84" i="7"/>
  <c r="M83" i="7"/>
  <c r="M304" i="7"/>
  <c r="M196" i="7"/>
  <c r="M442" i="7"/>
  <c r="M65" i="7"/>
  <c r="M85" i="7"/>
  <c r="M68" i="7"/>
  <c r="M286" i="7"/>
  <c r="M296" i="7"/>
  <c r="M356" i="7"/>
  <c r="M283" i="7"/>
  <c r="M39" i="7"/>
  <c r="M14" i="7"/>
  <c r="M118" i="7"/>
  <c r="M154" i="7"/>
  <c r="M218" i="7"/>
  <c r="M279" i="7"/>
  <c r="M272" i="7"/>
  <c r="M4" i="7"/>
  <c r="M96" i="7"/>
  <c r="M264" i="7"/>
  <c r="M161" i="7"/>
  <c r="L16" i="25"/>
  <c r="L25" i="25"/>
  <c r="L41" i="25"/>
  <c r="L58" i="25"/>
  <c r="L46" i="25"/>
  <c r="L30" i="25"/>
  <c r="J68" i="26"/>
  <c r="J59" i="26"/>
  <c r="J66" i="26"/>
  <c r="J65" i="26"/>
  <c r="J64" i="26"/>
  <c r="J63" i="26"/>
  <c r="J70" i="26"/>
  <c r="J56" i="26"/>
  <c r="J48" i="26"/>
  <c r="J40" i="26"/>
  <c r="J32" i="26"/>
  <c r="J24" i="26"/>
  <c r="J16" i="26"/>
  <c r="J8" i="26"/>
  <c r="J77" i="26"/>
  <c r="J62" i="26"/>
  <c r="J55" i="26"/>
  <c r="J47" i="26"/>
  <c r="J39" i="26"/>
  <c r="J31" i="26"/>
  <c r="J23" i="26"/>
  <c r="J15" i="26"/>
  <c r="J7" i="26"/>
  <c r="J69" i="26"/>
  <c r="J54" i="26"/>
  <c r="J46" i="26"/>
  <c r="J38" i="26"/>
  <c r="J30" i="26"/>
  <c r="J22" i="26"/>
  <c r="J14" i="26"/>
  <c r="J6" i="26"/>
  <c r="J60" i="26"/>
  <c r="J53" i="26"/>
  <c r="J45" i="26"/>
  <c r="J37" i="26"/>
  <c r="J29" i="26"/>
  <c r="J21" i="26"/>
  <c r="J13" i="26"/>
  <c r="J5" i="26"/>
  <c r="J52" i="26"/>
  <c r="J44" i="26"/>
  <c r="J36" i="26"/>
  <c r="J28" i="26"/>
  <c r="J20" i="26"/>
  <c r="J12" i="26"/>
  <c r="J4" i="26"/>
  <c r="J51" i="26"/>
  <c r="J43" i="26"/>
  <c r="J35" i="26"/>
  <c r="J27" i="26"/>
  <c r="J19" i="26"/>
  <c r="J11" i="26"/>
  <c r="J3" i="26"/>
  <c r="J61" i="26"/>
  <c r="J50" i="26"/>
  <c r="J42" i="26"/>
  <c r="J34" i="26"/>
  <c r="J26" i="26"/>
  <c r="J18" i="26"/>
  <c r="J10" i="26"/>
  <c r="J2" i="26"/>
  <c r="J58" i="26"/>
  <c r="J57" i="26"/>
  <c r="J49" i="26"/>
  <c r="J41" i="26"/>
  <c r="J33" i="26"/>
  <c r="J25" i="26"/>
  <c r="J17" i="26"/>
  <c r="J9" i="26"/>
  <c r="M80" i="26"/>
  <c r="S46" i="25"/>
  <c r="H325" i="27" s="1"/>
  <c r="S16" i="25"/>
  <c r="K80" i="26"/>
  <c r="K81" i="26"/>
  <c r="L18" i="25"/>
  <c r="F72" i="26"/>
  <c r="F64" i="26"/>
  <c r="F71" i="26"/>
  <c r="F63" i="26"/>
  <c r="F78" i="26"/>
  <c r="F70" i="26"/>
  <c r="F77" i="26"/>
  <c r="F69" i="26"/>
  <c r="F61" i="26"/>
  <c r="F76" i="26"/>
  <c r="F68" i="26"/>
  <c r="F75" i="26"/>
  <c r="F67" i="26"/>
  <c r="F59" i="26"/>
  <c r="F74" i="26"/>
  <c r="F52" i="26"/>
  <c r="F44" i="26"/>
  <c r="F36" i="26"/>
  <c r="F28" i="26"/>
  <c r="F20" i="26"/>
  <c r="F12" i="26"/>
  <c r="F4" i="26"/>
  <c r="F65" i="26"/>
  <c r="F51" i="26"/>
  <c r="F43" i="26"/>
  <c r="F35" i="26"/>
  <c r="F27" i="26"/>
  <c r="F19" i="26"/>
  <c r="F11" i="26"/>
  <c r="F3" i="26"/>
  <c r="F58" i="26"/>
  <c r="F50" i="26"/>
  <c r="F42" i="26"/>
  <c r="F34" i="26"/>
  <c r="F26" i="26"/>
  <c r="F18" i="26"/>
  <c r="F10" i="26"/>
  <c r="F2" i="26"/>
  <c r="F57" i="26"/>
  <c r="F49" i="26"/>
  <c r="F41" i="26"/>
  <c r="F33" i="26"/>
  <c r="F25" i="26"/>
  <c r="F17" i="26"/>
  <c r="F9" i="26"/>
  <c r="F62" i="26"/>
  <c r="F56" i="26"/>
  <c r="F48" i="26"/>
  <c r="F40" i="26"/>
  <c r="F32" i="26"/>
  <c r="F24" i="26"/>
  <c r="F16" i="26"/>
  <c r="F8" i="26"/>
  <c r="F60" i="26"/>
  <c r="F55" i="26"/>
  <c r="F47" i="26"/>
  <c r="F39" i="26"/>
  <c r="F31" i="26"/>
  <c r="F23" i="26"/>
  <c r="F15" i="26"/>
  <c r="F7" i="26"/>
  <c r="F73" i="26"/>
  <c r="F66" i="26"/>
  <c r="F54" i="26"/>
  <c r="F46" i="26"/>
  <c r="F38" i="26"/>
  <c r="F30" i="26"/>
  <c r="F22" i="26"/>
  <c r="F14" i="26"/>
  <c r="F6" i="26"/>
  <c r="F53" i="26"/>
  <c r="F45" i="26"/>
  <c r="F37" i="26"/>
  <c r="F29" i="26"/>
  <c r="F21" i="26"/>
  <c r="F13" i="26"/>
  <c r="F5" i="26"/>
  <c r="L69" i="25"/>
  <c r="H78" i="26"/>
  <c r="H70" i="26"/>
  <c r="H77" i="26"/>
  <c r="H69" i="26"/>
  <c r="H61" i="26"/>
  <c r="H76" i="26"/>
  <c r="H68" i="26"/>
  <c r="H75" i="26"/>
  <c r="H67" i="26"/>
  <c r="H74" i="26"/>
  <c r="H66" i="26"/>
  <c r="H73" i="26"/>
  <c r="H65" i="26"/>
  <c r="H72" i="26"/>
  <c r="H71" i="26"/>
  <c r="H50" i="26"/>
  <c r="H42" i="26"/>
  <c r="H34" i="26"/>
  <c r="H26" i="26"/>
  <c r="H18" i="26"/>
  <c r="H10" i="26"/>
  <c r="H2" i="26"/>
  <c r="H58" i="26"/>
  <c r="H57" i="26"/>
  <c r="H49" i="26"/>
  <c r="H41" i="26"/>
  <c r="H33" i="26"/>
  <c r="H25" i="26"/>
  <c r="H17" i="26"/>
  <c r="H9" i="26"/>
  <c r="H59" i="26"/>
  <c r="H56" i="26"/>
  <c r="H48" i="26"/>
  <c r="H40" i="26"/>
  <c r="H32" i="26"/>
  <c r="H24" i="26"/>
  <c r="H16" i="26"/>
  <c r="H8" i="26"/>
  <c r="H64" i="26"/>
  <c r="H62" i="26"/>
  <c r="H55" i="26"/>
  <c r="H47" i="26"/>
  <c r="H39" i="26"/>
  <c r="H31" i="26"/>
  <c r="H23" i="26"/>
  <c r="H15" i="26"/>
  <c r="H7" i="26"/>
  <c r="H60" i="26"/>
  <c r="H54" i="26"/>
  <c r="H46" i="26"/>
  <c r="H38" i="26"/>
  <c r="H30" i="26"/>
  <c r="H22" i="26"/>
  <c r="H14" i="26"/>
  <c r="H6" i="26"/>
  <c r="H53" i="26"/>
  <c r="H45" i="26"/>
  <c r="H37" i="26"/>
  <c r="H29" i="26"/>
  <c r="H21" i="26"/>
  <c r="H13" i="26"/>
  <c r="H5" i="26"/>
  <c r="H52" i="26"/>
  <c r="H44" i="26"/>
  <c r="H36" i="26"/>
  <c r="H28" i="26"/>
  <c r="H20" i="26"/>
  <c r="H12" i="26"/>
  <c r="H4" i="26"/>
  <c r="H63" i="26"/>
  <c r="H51" i="26"/>
  <c r="H43" i="26"/>
  <c r="H35" i="26"/>
  <c r="H27" i="26"/>
  <c r="H19" i="26"/>
  <c r="H11" i="26"/>
  <c r="H3" i="26"/>
  <c r="L21" i="25"/>
  <c r="S25" i="25"/>
  <c r="S41" i="25"/>
  <c r="S18" i="25"/>
  <c r="L26" i="25"/>
  <c r="S58" i="25"/>
  <c r="S30" i="25"/>
  <c r="S26" i="25"/>
  <c r="K99" i="7"/>
  <c r="K67" i="7"/>
  <c r="K277" i="7"/>
  <c r="K128" i="7"/>
  <c r="K360" i="7"/>
  <c r="K199" i="7"/>
  <c r="K322" i="7"/>
  <c r="K420" i="7"/>
  <c r="K52" i="7"/>
  <c r="K172" i="7"/>
  <c r="K545" i="7"/>
  <c r="K659" i="7"/>
  <c r="K21" i="7"/>
  <c r="K276" i="7"/>
  <c r="K175" i="7"/>
  <c r="K592" i="7"/>
  <c r="K407" i="7"/>
  <c r="K65" i="7"/>
  <c r="K44" i="7"/>
  <c r="K526" i="7"/>
  <c r="K482" i="7"/>
  <c r="K484" i="7"/>
  <c r="K160" i="7"/>
  <c r="K540" i="7"/>
  <c r="K267" i="7"/>
  <c r="K156" i="7"/>
  <c r="K328" i="7"/>
  <c r="K314" i="7"/>
  <c r="K419" i="7"/>
  <c r="K295" i="7"/>
  <c r="K25" i="7"/>
  <c r="K335" i="7"/>
  <c r="K287" i="7"/>
  <c r="K103" i="7"/>
  <c r="K483" i="7"/>
  <c r="K252" i="7"/>
  <c r="K614" i="7"/>
  <c r="K357" i="7"/>
  <c r="K48" i="7"/>
  <c r="K388" i="7"/>
  <c r="K387" i="7"/>
  <c r="K162" i="7"/>
  <c r="K191" i="7"/>
  <c r="K20" i="7"/>
  <c r="K205" i="7"/>
  <c r="K50" i="7"/>
  <c r="K502" i="7"/>
  <c r="K84" i="7"/>
  <c r="K354" i="7"/>
  <c r="K92" i="7"/>
  <c r="K416" i="7"/>
  <c r="K163" i="7"/>
  <c r="K80" i="7"/>
  <c r="K115" i="7"/>
  <c r="K116" i="7"/>
  <c r="K186" i="7"/>
  <c r="K169" i="7"/>
  <c r="K558" i="7"/>
  <c r="K458" i="7"/>
  <c r="K83" i="7"/>
  <c r="K170" i="7"/>
  <c r="K5" i="7"/>
  <c r="K136" i="7"/>
  <c r="K155" i="7"/>
  <c r="K245" i="7"/>
  <c r="K302" i="7"/>
  <c r="K513" i="7"/>
  <c r="K292" i="7"/>
  <c r="K53" i="7"/>
  <c r="K131" i="7"/>
  <c r="K281" i="7"/>
  <c r="K211" i="7"/>
  <c r="K271" i="7"/>
  <c r="K250" i="7"/>
  <c r="K300" i="7"/>
  <c r="K472" i="7"/>
  <c r="K576" i="7"/>
  <c r="K89" i="7"/>
  <c r="K105" i="7"/>
  <c r="K345" i="7"/>
  <c r="K280" i="7"/>
  <c r="K523" i="7"/>
  <c r="K275" i="7"/>
  <c r="K227" i="7"/>
  <c r="K366" i="7"/>
  <c r="K79" i="7"/>
  <c r="K235" i="7"/>
  <c r="K379" i="7"/>
  <c r="K515" i="7"/>
  <c r="K678" i="7"/>
  <c r="K15" i="7"/>
  <c r="K101" i="7"/>
  <c r="K259" i="7"/>
  <c r="K223" i="7"/>
  <c r="K144" i="7"/>
  <c r="K506" i="7"/>
  <c r="K507" i="7"/>
  <c r="K16" i="7"/>
  <c r="K161" i="7"/>
  <c r="K120" i="7"/>
  <c r="K371" i="7"/>
  <c r="K494" i="7"/>
  <c r="K384" i="7"/>
  <c r="K413" i="7"/>
  <c r="K353" i="7"/>
  <c r="K702" i="7"/>
  <c r="K54" i="7"/>
  <c r="K18" i="7"/>
  <c r="K389" i="7"/>
  <c r="K167" i="7"/>
  <c r="K339" i="7"/>
  <c r="K524" i="7"/>
  <c r="K93" i="7"/>
  <c r="K305" i="7"/>
  <c r="K377" i="7"/>
  <c r="K104" i="7"/>
  <c r="K414" i="7"/>
  <c r="K462" i="7"/>
  <c r="K40" i="7"/>
  <c r="K246" i="7"/>
  <c r="K88" i="7"/>
  <c r="K63" i="7"/>
  <c r="K229" i="7"/>
  <c r="K222" i="7"/>
  <c r="K425" i="7"/>
  <c r="K449" i="7"/>
  <c r="K133" i="7"/>
  <c r="K61" i="7"/>
  <c r="K124" i="7"/>
  <c r="K375" i="7"/>
  <c r="K363" i="7"/>
  <c r="K262" i="7"/>
  <c r="K258" i="7"/>
  <c r="K232" i="7"/>
  <c r="K476" i="7"/>
  <c r="K148" i="7"/>
  <c r="K98" i="7"/>
  <c r="K411" i="7"/>
  <c r="K293" i="7"/>
  <c r="K480" i="7"/>
  <c r="K517" i="7"/>
  <c r="K127" i="7"/>
  <c r="K177" i="7"/>
  <c r="K234" i="7"/>
  <c r="K30" i="7"/>
  <c r="K316" i="7"/>
  <c r="K362" i="7"/>
  <c r="K70" i="7"/>
  <c r="K31" i="7"/>
  <c r="K23" i="7"/>
  <c r="K27" i="7"/>
  <c r="K87" i="7"/>
  <c r="K253" i="7"/>
  <c r="K341" i="7"/>
  <c r="K471" i="7"/>
  <c r="K17" i="7"/>
  <c r="K119" i="7"/>
  <c r="K145" i="7"/>
  <c r="K263" i="7"/>
  <c r="K270" i="7"/>
  <c r="K217" i="7"/>
  <c r="K312" i="7"/>
  <c r="K463" i="7"/>
  <c r="K549" i="7"/>
  <c r="K430" i="7"/>
  <c r="K7" i="7"/>
  <c r="K97" i="7"/>
  <c r="K182" i="7"/>
  <c r="K333" i="7"/>
  <c r="K541" i="7"/>
  <c r="K602" i="7"/>
  <c r="K140" i="7"/>
  <c r="K180" i="7"/>
  <c r="K321" i="7"/>
  <c r="K100" i="7"/>
  <c r="K446" i="7"/>
  <c r="K421" i="7"/>
  <c r="K57" i="7"/>
  <c r="K111" i="7"/>
  <c r="K11" i="7"/>
  <c r="K142" i="7"/>
  <c r="K264" i="7"/>
  <c r="K447" i="7"/>
  <c r="K149" i="7"/>
  <c r="K569" i="7"/>
  <c r="K10" i="7"/>
  <c r="K110" i="7"/>
  <c r="K72" i="7"/>
  <c r="K226" i="7"/>
  <c r="K138" i="7"/>
  <c r="K655" i="7"/>
  <c r="K508" i="7"/>
  <c r="K358" i="7"/>
  <c r="K748" i="7"/>
  <c r="K675" i="7"/>
  <c r="K32" i="7"/>
  <c r="K69" i="7"/>
  <c r="K143" i="7"/>
  <c r="K327" i="7"/>
  <c r="K439" i="7"/>
  <c r="K241" i="7"/>
  <c r="K13" i="7"/>
  <c r="K304" i="7"/>
  <c r="K289" i="7"/>
  <c r="K581" i="7"/>
  <c r="K168" i="7"/>
  <c r="K442" i="7"/>
  <c r="K654" i="7"/>
  <c r="K179" i="7"/>
  <c r="K108" i="7"/>
  <c r="K78" i="7"/>
  <c r="K273" i="7"/>
  <c r="K231" i="7"/>
  <c r="K176" i="7"/>
  <c r="K330" i="7"/>
  <c r="K12" i="7"/>
  <c r="K91" i="7"/>
  <c r="K294" i="7"/>
  <c r="K157" i="7"/>
  <c r="K455" i="7"/>
  <c r="K635" i="7"/>
  <c r="K297" i="7"/>
  <c r="K310" i="7"/>
  <c r="K477" i="7"/>
  <c r="K692" i="7"/>
  <c r="K28" i="7"/>
  <c r="K126" i="7"/>
  <c r="K164" i="7"/>
  <c r="K139" i="7"/>
  <c r="K432" i="7"/>
  <c r="K500" i="7"/>
  <c r="K34" i="7"/>
  <c r="K187" i="7"/>
  <c r="K309" i="7"/>
  <c r="K298" i="7"/>
  <c r="K178" i="7"/>
  <c r="K445" i="7"/>
  <c r="K453" i="7"/>
  <c r="K286" i="7"/>
  <c r="K224" i="7"/>
  <c r="K398" i="7"/>
  <c r="K242" i="7"/>
  <c r="K418" i="7"/>
  <c r="K129" i="7"/>
  <c r="K151" i="7"/>
  <c r="K326" i="7"/>
  <c r="K415" i="7"/>
  <c r="K260" i="7"/>
  <c r="K36" i="7"/>
  <c r="K62" i="7"/>
  <c r="K196" i="7"/>
  <c r="K238" i="7"/>
  <c r="K478" i="7"/>
  <c r="K438" i="7"/>
  <c r="K26" i="7"/>
  <c r="K215" i="7"/>
  <c r="K591" i="7"/>
  <c r="K266" i="7"/>
  <c r="K521" i="7"/>
  <c r="K383" i="7"/>
  <c r="K85" i="7"/>
  <c r="K236" i="7"/>
  <c r="K197" i="7"/>
  <c r="K599" i="7"/>
  <c r="K456" i="7"/>
  <c r="K39" i="7"/>
  <c r="K130" i="7"/>
  <c r="K283" i="7"/>
  <c r="K664" i="7"/>
  <c r="K489" i="7"/>
  <c r="K616" i="7"/>
  <c r="K636" i="7"/>
  <c r="K332" i="7"/>
  <c r="K561" i="7"/>
  <c r="K59" i="7"/>
  <c r="K204" i="7"/>
  <c r="K213" i="7"/>
  <c r="K282" i="7"/>
  <c r="K370" i="7"/>
  <c r="K440" i="7"/>
  <c r="K559" i="7"/>
  <c r="K365" i="7"/>
  <c r="K41" i="7"/>
  <c r="K102" i="7"/>
  <c r="K109" i="7"/>
  <c r="K311" i="7"/>
  <c r="K141" i="7"/>
  <c r="K9" i="7"/>
  <c r="K121" i="7"/>
  <c r="K181" i="7"/>
  <c r="K348" i="7"/>
  <c r="K401" i="7"/>
  <c r="K499" i="7"/>
  <c r="K573" i="7"/>
  <c r="K76" i="7"/>
  <c r="K296" i="7"/>
  <c r="K628" i="7"/>
  <c r="K3" i="7"/>
  <c r="K58" i="7"/>
  <c r="K73" i="7"/>
  <c r="K299" i="7"/>
  <c r="K454" i="7"/>
  <c r="K248" i="7"/>
  <c r="K373" i="7"/>
  <c r="K359" i="7"/>
  <c r="K667" i="7"/>
  <c r="K42" i="7"/>
  <c r="K135" i="7"/>
  <c r="K114" i="7"/>
  <c r="K380" i="7"/>
  <c r="K481" i="7"/>
  <c r="K35" i="7"/>
  <c r="K86" i="7"/>
  <c r="K188" i="7"/>
  <c r="K189" i="7"/>
  <c r="K428" i="7"/>
  <c r="K535" i="7"/>
  <c r="K249" i="7"/>
  <c r="K46" i="7"/>
  <c r="K203" i="7"/>
  <c r="K575" i="7"/>
  <c r="K60" i="7"/>
  <c r="K317" i="7"/>
  <c r="K228" i="7"/>
  <c r="K485" i="7"/>
  <c r="K533" i="7"/>
  <c r="K474" i="7"/>
  <c r="K37" i="7"/>
  <c r="K630" i="7"/>
  <c r="K49" i="7"/>
  <c r="K257" i="7"/>
  <c r="K406" i="7"/>
  <c r="K429" i="7"/>
  <c r="K493" i="7"/>
  <c r="K338" i="7"/>
  <c r="K715" i="7"/>
  <c r="K55" i="7"/>
  <c r="K106" i="7"/>
  <c r="K381" i="7"/>
  <c r="K529" i="7"/>
  <c r="K617" i="7"/>
  <c r="K649" i="7"/>
  <c r="K585" i="7"/>
  <c r="K56" i="7"/>
  <c r="K386" i="7"/>
  <c r="K68" i="7"/>
  <c r="K74" i="7"/>
  <c r="K123" i="7"/>
  <c r="K423" i="7"/>
  <c r="K725" i="7"/>
  <c r="K637" i="7"/>
  <c r="K618" i="7"/>
  <c r="K475" i="7"/>
  <c r="K393" i="7"/>
  <c r="J443" i="7"/>
  <c r="J460" i="7"/>
  <c r="J556" i="7"/>
  <c r="J348" i="7"/>
  <c r="J30" i="7"/>
  <c r="J661" i="7"/>
  <c r="J462" i="7"/>
  <c r="J364" i="7"/>
  <c r="J121" i="7"/>
  <c r="J562" i="7"/>
  <c r="J372" i="7"/>
  <c r="J196" i="7"/>
  <c r="J36" i="7"/>
  <c r="J614" i="7"/>
  <c r="J428" i="7"/>
  <c r="J235" i="7"/>
  <c r="J20" i="7"/>
  <c r="J419" i="7"/>
  <c r="J401" i="7"/>
  <c r="J170" i="7"/>
  <c r="J35" i="7"/>
  <c r="J654" i="7"/>
  <c r="J445" i="7"/>
  <c r="J62" i="7"/>
  <c r="J9" i="7"/>
  <c r="J421" i="7"/>
  <c r="J197" i="7"/>
  <c r="J168" i="7"/>
  <c r="J100" i="7"/>
  <c r="J189" i="7"/>
  <c r="J362" i="7"/>
  <c r="K708" i="7"/>
  <c r="K733" i="7"/>
  <c r="K66" i="7"/>
  <c r="K247" i="7"/>
  <c r="K574" i="7"/>
  <c r="K700" i="7"/>
  <c r="K244" i="7"/>
  <c r="K174" i="7"/>
  <c r="K397" i="7"/>
  <c r="K504" i="7"/>
  <c r="K395" i="7"/>
  <c r="K8" i="7"/>
  <c r="K77" i="7"/>
  <c r="K230" i="7"/>
  <c r="K208" i="7"/>
  <c r="K337" i="7"/>
  <c r="K240" i="7"/>
  <c r="K221" i="7"/>
  <c r="K622" i="7"/>
  <c r="K607" i="7"/>
  <c r="K704" i="7"/>
  <c r="K33" i="7"/>
  <c r="K173" i="7"/>
  <c r="K214" i="7"/>
  <c r="K492" i="7"/>
  <c r="K274" i="7"/>
  <c r="K364" i="7"/>
  <c r="K369" i="7"/>
  <c r="K372" i="7"/>
  <c r="K556" i="7"/>
  <c r="K382" i="7"/>
  <c r="K38" i="7"/>
  <c r="K216" i="7"/>
  <c r="K94" i="7"/>
  <c r="K165" i="7"/>
  <c r="K385" i="7"/>
  <c r="K601" i="7"/>
  <c r="K695" i="7"/>
  <c r="K583" i="7"/>
  <c r="K45" i="7"/>
  <c r="K233" i="7"/>
  <c r="K288" i="7"/>
  <c r="K530" i="7"/>
  <c r="K448" i="7"/>
  <c r="K634" i="7"/>
  <c r="K703" i="7"/>
  <c r="K352" i="7"/>
  <c r="K580" i="7"/>
  <c r="K75" i="7"/>
  <c r="K206" i="7"/>
  <c r="K490" i="7"/>
  <c r="K465" i="7"/>
  <c r="K107" i="7"/>
  <c r="K146" i="7"/>
  <c r="K166" i="7"/>
  <c r="K422" i="7"/>
  <c r="K219" i="7"/>
  <c r="K606" i="7"/>
  <c r="K367" i="7"/>
  <c r="K368" i="7"/>
  <c r="K81" i="7"/>
  <c r="K553" i="7"/>
  <c r="K153" i="7"/>
  <c r="K402" i="7"/>
  <c r="K356" i="7"/>
  <c r="K410" i="7"/>
  <c r="K653" i="7"/>
  <c r="K565" i="7"/>
  <c r="K522" i="7"/>
  <c r="K539" i="7"/>
  <c r="K491" i="7"/>
  <c r="K623" i="7"/>
  <c r="K22" i="7"/>
  <c r="K194" i="7"/>
  <c r="K212" i="7"/>
  <c r="K184" i="7"/>
  <c r="K516" i="7"/>
  <c r="K313" i="7"/>
  <c r="K405" i="7"/>
  <c r="K132" i="7"/>
  <c r="K742" i="7"/>
  <c r="K134" i="7"/>
  <c r="K468" i="7"/>
  <c r="J50" i="7"/>
  <c r="J181" i="7"/>
  <c r="J316" i="7"/>
  <c r="J379" i="7"/>
  <c r="J438" i="7"/>
  <c r="K209" i="7"/>
  <c r="K117" i="7"/>
  <c r="K403" i="7"/>
  <c r="K487" i="7"/>
  <c r="K548" i="7"/>
  <c r="K434" i="7"/>
  <c r="K269" i="7"/>
  <c r="K720" i="7"/>
  <c r="K14" i="7"/>
  <c r="K118" i="7"/>
  <c r="K158" i="7"/>
  <c r="K409" i="7"/>
  <c r="K346" i="7"/>
  <c r="K347" i="7"/>
  <c r="K638" i="7"/>
  <c r="K528" i="7"/>
  <c r="K505" i="7"/>
  <c r="K125" i="7"/>
  <c r="J79" i="7"/>
  <c r="J115" i="7"/>
  <c r="J446" i="7"/>
  <c r="J478" i="7"/>
  <c r="J382" i="7"/>
  <c r="J696" i="7"/>
  <c r="J369" i="7"/>
  <c r="J599" i="7"/>
  <c r="J249" i="7"/>
  <c r="J707" i="7"/>
  <c r="K457" i="7"/>
  <c r="K749" i="7"/>
  <c r="K376" i="7"/>
  <c r="K620" i="7"/>
  <c r="K672" i="7"/>
  <c r="K495" i="7"/>
  <c r="K272" i="7"/>
  <c r="K611" i="7"/>
  <c r="K90" i="7"/>
  <c r="K47" i="7"/>
  <c r="K256" i="7"/>
  <c r="K479" i="7"/>
  <c r="K192" i="7"/>
  <c r="K254" i="7"/>
  <c r="K527" i="7"/>
  <c r="K679" i="7"/>
  <c r="K183" i="7"/>
  <c r="K643" i="7"/>
  <c r="K626" i="7"/>
  <c r="K43" i="7"/>
  <c r="K542" i="7"/>
  <c r="J355" i="7"/>
  <c r="J648" i="7"/>
  <c r="J239" i="7"/>
  <c r="J610" i="7"/>
  <c r="J713" i="7"/>
  <c r="J660" i="7"/>
  <c r="J734" i="7"/>
  <c r="J465" i="7"/>
  <c r="J85" i="7"/>
  <c r="J236" i="7"/>
  <c r="J442" i="7"/>
  <c r="J65" i="7"/>
  <c r="J499" i="7"/>
  <c r="J456" i="7"/>
  <c r="J515" i="7"/>
  <c r="J684" i="7"/>
  <c r="J340" i="7"/>
  <c r="J571" i="7"/>
  <c r="J39" i="7"/>
  <c r="K577" i="7"/>
  <c r="K195" i="7"/>
  <c r="K555" i="7"/>
  <c r="K95" i="7"/>
  <c r="K639" i="7"/>
  <c r="K255" i="7"/>
  <c r="J104" i="7"/>
  <c r="J178" i="7"/>
  <c r="J244" i="7"/>
  <c r="J174" i="7"/>
  <c r="J397" i="7"/>
  <c r="J504" i="7"/>
  <c r="J395" i="7"/>
  <c r="J566" i="7"/>
  <c r="J122" i="7"/>
  <c r="J596" i="7"/>
  <c r="J394" i="7"/>
  <c r="J719" i="7"/>
  <c r="J49" i="7"/>
  <c r="J514" i="7"/>
  <c r="J730" i="7"/>
  <c r="J686" i="7"/>
  <c r="J342" i="7"/>
  <c r="J130" i="7"/>
  <c r="K532" i="7"/>
  <c r="K285" i="7"/>
  <c r="K680" i="7"/>
  <c r="J86" i="7"/>
  <c r="J188" i="7"/>
  <c r="J414" i="7"/>
  <c r="J238" i="7"/>
  <c r="J484" i="7"/>
  <c r="J535" i="7"/>
  <c r="J453" i="7"/>
  <c r="J301" i="7"/>
  <c r="J671" i="7"/>
  <c r="J573" i="7"/>
  <c r="J461" i="7"/>
  <c r="J473" i="7"/>
  <c r="J613" i="7"/>
  <c r="J547" i="7"/>
  <c r="J2" i="7"/>
  <c r="K323" i="7"/>
  <c r="K417" i="7"/>
  <c r="J502" i="7"/>
  <c r="J123" i="7"/>
  <c r="J283" i="7"/>
  <c r="J601" i="7"/>
  <c r="J533" i="7"/>
  <c r="J649" i="7"/>
  <c r="J266" i="7"/>
  <c r="L342" i="7"/>
  <c r="L686" i="7"/>
  <c r="K578" i="7"/>
  <c r="K736" i="7"/>
  <c r="K609" i="7"/>
  <c r="J75" i="7"/>
  <c r="J37" i="7"/>
  <c r="J206" i="7"/>
  <c r="J99" i="7"/>
  <c r="J490" i="7"/>
  <c r="J220" i="7"/>
  <c r="J324" i="7"/>
  <c r="J608" i="7"/>
  <c r="J534" i="7"/>
  <c r="J625" i="7"/>
  <c r="J225" i="7"/>
  <c r="L728" i="7"/>
  <c r="K525" i="7"/>
  <c r="K349" i="7"/>
  <c r="K265" i="7"/>
  <c r="K665" i="7"/>
  <c r="K739" i="7"/>
  <c r="K735" i="7"/>
  <c r="J43" i="7"/>
  <c r="J125" i="7"/>
  <c r="J274" i="7"/>
  <c r="J303" i="7"/>
  <c r="J306" i="7"/>
  <c r="J193" i="7"/>
  <c r="J587" i="7"/>
  <c r="J590" i="7"/>
  <c r="J706" i="7"/>
  <c r="J470" i="7"/>
  <c r="J746" i="7"/>
  <c r="J666" i="7"/>
  <c r="L687" i="7"/>
  <c r="K301" i="7"/>
  <c r="K671" i="7"/>
  <c r="J116" i="7"/>
  <c r="J67" i="7"/>
  <c r="J295" i="7"/>
  <c r="J322" i="7"/>
  <c r="J186" i="7"/>
  <c r="J175" i="7"/>
  <c r="J644" i="7"/>
  <c r="J737" i="7"/>
  <c r="J374" i="7"/>
  <c r="J755" i="7"/>
  <c r="J726" i="7"/>
  <c r="L266" i="7"/>
  <c r="J61" i="7"/>
  <c r="J124" i="7"/>
  <c r="J375" i="7"/>
  <c r="J363" i="7"/>
  <c r="J262" i="7"/>
  <c r="J258" i="7"/>
  <c r="J232" i="7"/>
  <c r="J476" i="7"/>
  <c r="J510" i="7"/>
  <c r="J732" i="7"/>
  <c r="L32" i="7"/>
  <c r="L106" i="7"/>
  <c r="L245" i="7"/>
  <c r="L302" i="7"/>
  <c r="L4" i="7"/>
  <c r="L94" i="7"/>
  <c r="L205" i="7"/>
  <c r="L305" i="7"/>
  <c r="L35" i="7"/>
  <c r="L96" i="7"/>
  <c r="L10" i="7"/>
  <c r="L274" i="7"/>
  <c r="L303" i="7"/>
  <c r="L306" i="7"/>
  <c r="L160" i="7"/>
  <c r="L66" i="7"/>
  <c r="L270" i="7"/>
  <c r="L142" i="7"/>
  <c r="L304" i="7"/>
  <c r="L409" i="7"/>
  <c r="L324" i="7"/>
  <c r="L505" i="7"/>
  <c r="L545" i="7"/>
  <c r="L349" i="7"/>
  <c r="L265" i="7"/>
  <c r="L276" i="7"/>
  <c r="L84" i="7"/>
  <c r="L156" i="7"/>
  <c r="L49" i="7"/>
  <c r="L295" i="7"/>
  <c r="L24" i="7"/>
  <c r="L126" i="7"/>
  <c r="L209" i="7"/>
  <c r="L117" i="7"/>
  <c r="L403" i="7"/>
  <c r="L182" i="7"/>
  <c r="L78" i="7"/>
  <c r="L100" i="7"/>
  <c r="L95" i="7"/>
  <c r="L285" i="7"/>
  <c r="L48" i="7"/>
  <c r="L236" i="7"/>
  <c r="L442" i="7"/>
  <c r="L3" i="7"/>
  <c r="L118" i="7"/>
  <c r="L375" i="7"/>
  <c r="L363" i="7"/>
  <c r="L184" i="7"/>
  <c r="L525" i="7"/>
  <c r="L638" i="7"/>
  <c r="L608" i="7"/>
  <c r="L330" i="7"/>
  <c r="L593" i="7"/>
  <c r="L552" i="7"/>
  <c r="L431" i="7"/>
  <c r="L309" i="7"/>
  <c r="L234" i="7"/>
  <c r="L518" i="7"/>
  <c r="L57" i="7"/>
  <c r="L128" i="7"/>
  <c r="L357" i="7"/>
  <c r="L354" i="7"/>
  <c r="L29" i="7"/>
  <c r="L73" i="7"/>
  <c r="L230" i="7"/>
  <c r="L153" i="7"/>
  <c r="L402" i="7"/>
  <c r="L113" i="7"/>
  <c r="L299" i="7"/>
  <c r="L454" i="7"/>
  <c r="L30" i="7"/>
  <c r="L200" i="7"/>
  <c r="L150" i="7"/>
  <c r="L331" i="7"/>
  <c r="L91" i="7"/>
  <c r="L196" i="7"/>
  <c r="L446" i="7"/>
  <c r="L17" i="7"/>
  <c r="L194" i="7"/>
  <c r="L120" i="7"/>
  <c r="L371" i="7"/>
  <c r="L135" i="7"/>
  <c r="L166" i="7"/>
  <c r="L516" i="7"/>
  <c r="L464" i="7"/>
  <c r="L367" i="7"/>
  <c r="L555" i="7"/>
  <c r="L742" i="7"/>
  <c r="L569" i="7"/>
  <c r="L315" i="7"/>
  <c r="L544" i="7"/>
  <c r="L380" i="7"/>
  <c r="L481" i="7"/>
  <c r="L444" i="7"/>
  <c r="L28" i="7"/>
  <c r="L70" i="7"/>
  <c r="L273" i="7"/>
  <c r="L231" i="7"/>
  <c r="L176" i="7"/>
  <c r="L19" i="7"/>
  <c r="L204" i="7"/>
  <c r="L257" i="7"/>
  <c r="L203" i="7"/>
  <c r="L172" i="7"/>
  <c r="L82" i="7"/>
  <c r="L213" i="7"/>
  <c r="L282" i="7"/>
  <c r="L167" i="7"/>
  <c r="L86" i="7"/>
  <c r="L137" i="7"/>
  <c r="L378" i="7"/>
  <c r="L336" i="7"/>
  <c r="L110" i="7"/>
  <c r="L235" i="7"/>
  <c r="L316" i="7"/>
  <c r="L80" i="7"/>
  <c r="L31" i="7"/>
  <c r="L107" i="7"/>
  <c r="L281" i="7"/>
  <c r="L211" i="7"/>
  <c r="L102" i="7"/>
  <c r="L56" i="7"/>
  <c r="L422" i="7"/>
  <c r="L344" i="7"/>
  <c r="L637" i="7"/>
  <c r="L534" i="7"/>
  <c r="L643" i="7"/>
  <c r="L700" i="7"/>
  <c r="L368" i="7"/>
  <c r="L749" i="7"/>
  <c r="L471" i="7"/>
  <c r="L511" i="7"/>
  <c r="L604" i="7"/>
  <c r="L311" i="7"/>
  <c r="L141" i="7"/>
  <c r="L594" i="7"/>
  <c r="L216" i="7"/>
  <c r="L264" i="7"/>
  <c r="L447" i="7"/>
  <c r="L149" i="7"/>
  <c r="L38" i="7"/>
  <c r="L6" i="7"/>
  <c r="L69" i="7"/>
  <c r="L286" i="7"/>
  <c r="L296" i="7"/>
  <c r="L101" i="7"/>
  <c r="L71" i="7"/>
  <c r="L64" i="7"/>
  <c r="L98" i="7"/>
  <c r="L345" i="7"/>
  <c r="L280" i="7"/>
  <c r="L136" i="7"/>
  <c r="L155" i="7"/>
  <c r="L53" i="7"/>
  <c r="L121" i="7"/>
  <c r="L154" i="7"/>
  <c r="L218" i="7"/>
  <c r="L279" i="7"/>
  <c r="L227" i="7"/>
  <c r="L33" i="7"/>
  <c r="L75" i="7"/>
  <c r="L119" i="7"/>
  <c r="L145" i="7"/>
  <c r="L170" i="7"/>
  <c r="L189" i="7"/>
  <c r="L34" i="7"/>
  <c r="L41" i="7"/>
  <c r="L42" i="7"/>
  <c r="L60" i="7"/>
  <c r="L90" i="7"/>
  <c r="L169" i="7"/>
  <c r="L277" i="7"/>
  <c r="L335" i="7"/>
  <c r="L11" i="7"/>
  <c r="L108" i="7"/>
  <c r="L127" i="7"/>
  <c r="L338" i="7"/>
  <c r="L256" i="7"/>
  <c r="L214" i="7"/>
  <c r="L391" i="7"/>
  <c r="L527" i="7"/>
  <c r="L679" i="7"/>
  <c r="L626" i="7"/>
  <c r="L165" i="7"/>
  <c r="L449" i="7"/>
  <c r="L133" i="7"/>
  <c r="L450" i="7"/>
  <c r="L536" i="7"/>
  <c r="L600" i="7"/>
  <c r="L694" i="7"/>
  <c r="L199" i="7"/>
  <c r="L289" i="7"/>
  <c r="L377" i="7"/>
  <c r="L298" i="7"/>
  <c r="L26" i="7"/>
  <c r="L63" i="7"/>
  <c r="L7" i="7"/>
  <c r="L58" i="7"/>
  <c r="L77" i="7"/>
  <c r="L87" i="7"/>
  <c r="L253" i="7"/>
  <c r="L341" i="7"/>
  <c r="L177" i="7"/>
  <c r="L97" i="7"/>
  <c r="L317" i="7"/>
  <c r="L74" i="7"/>
  <c r="L79" i="7"/>
  <c r="L43" i="7"/>
  <c r="L125" i="7"/>
  <c r="L18" i="7"/>
  <c r="L163" i="7"/>
  <c r="L139" i="7"/>
  <c r="L25" i="7"/>
  <c r="L104" i="7"/>
  <c r="L178" i="7"/>
  <c r="L268" i="7"/>
  <c r="L210" i="7"/>
  <c r="L390" i="7"/>
  <c r="L45" i="7"/>
  <c r="L61" i="7"/>
  <c r="L124" i="7"/>
  <c r="L115" i="7"/>
  <c r="L348" i="7"/>
  <c r="L197" i="7"/>
  <c r="L13" i="7"/>
  <c r="L173" i="7"/>
  <c r="L92" i="7"/>
  <c r="L328" i="7"/>
  <c r="L360" i="7"/>
  <c r="L23" i="7"/>
  <c r="L93" i="7"/>
  <c r="L206" i="7"/>
  <c r="L479" i="7"/>
  <c r="L399" i="7"/>
  <c r="L393" i="7"/>
  <c r="L620" i="7"/>
  <c r="L672" i="7"/>
  <c r="L332" i="7"/>
  <c r="L337" i="7"/>
  <c r="L506" i="7"/>
  <c r="L507" i="7"/>
  <c r="L612" i="7"/>
  <c r="L396" i="7"/>
  <c r="L329" i="7"/>
  <c r="L180" i="7"/>
  <c r="L366" i="7"/>
  <c r="L383" i="7"/>
  <c r="L59" i="7"/>
  <c r="L46" i="7"/>
  <c r="L179" i="7"/>
  <c r="L229" i="7"/>
  <c r="L222" i="7"/>
  <c r="L425" i="7"/>
  <c r="L148" i="7"/>
  <c r="L130" i="7"/>
  <c r="L502" i="7"/>
  <c r="L55" i="7"/>
  <c r="L50" i="7"/>
  <c r="L81" i="7"/>
  <c r="L134" i="7"/>
  <c r="L105" i="7"/>
  <c r="L407" i="7"/>
  <c r="L327" i="7"/>
  <c r="L44" i="7"/>
  <c r="L85" i="7"/>
  <c r="L171" i="7"/>
  <c r="L190" i="7"/>
  <c r="L159" i="7"/>
  <c r="L12" i="7"/>
  <c r="L14" i="7"/>
  <c r="L16" i="7"/>
  <c r="L161" i="7"/>
  <c r="L188" i="7"/>
  <c r="L414" i="7"/>
  <c r="L238" i="7"/>
  <c r="L111" i="7"/>
  <c r="L47" i="7"/>
  <c r="L294" i="7"/>
  <c r="L157" i="7"/>
  <c r="L455" i="7"/>
  <c r="L88" i="7"/>
  <c r="L129" i="7"/>
  <c r="L151" i="7"/>
  <c r="L158" i="7"/>
  <c r="L233" i="7"/>
  <c r="L242" i="7"/>
  <c r="L577" i="7"/>
  <c r="L195" i="7"/>
  <c r="L618" i="7"/>
  <c r="L457" i="7"/>
  <c r="L513" i="7"/>
  <c r="L292" i="7"/>
  <c r="L584" i="7"/>
  <c r="L237" i="7"/>
  <c r="L723" i="7"/>
  <c r="L424" i="7"/>
  <c r="L415" i="7"/>
  <c r="L260" i="7"/>
  <c r="L52" i="7"/>
  <c r="L76" i="7"/>
  <c r="L68" i="7"/>
  <c r="L259" i="7"/>
  <c r="L223" i="7"/>
  <c r="L144" i="7"/>
  <c r="L67" i="7"/>
  <c r="L51" i="7"/>
  <c r="L54" i="7"/>
  <c r="L162" i="7"/>
  <c r="L215" i="7"/>
  <c r="L208" i="7"/>
  <c r="L228" i="7"/>
  <c r="L20" i="7"/>
  <c r="L201" i="7"/>
  <c r="L164" i="7"/>
  <c r="L333" i="7"/>
  <c r="L8" i="7"/>
  <c r="L114" i="7"/>
  <c r="L36" i="7"/>
  <c r="L62" i="7"/>
  <c r="L185" i="7"/>
  <c r="L318" i="7"/>
  <c r="L39" i="7"/>
  <c r="L22" i="7"/>
  <c r="L131" i="7"/>
  <c r="L181" i="7"/>
  <c r="L364" i="7"/>
  <c r="L369" i="7"/>
  <c r="L326" i="7"/>
  <c r="L37" i="7"/>
  <c r="L72" i="7"/>
  <c r="L226" i="7"/>
  <c r="L138" i="7"/>
  <c r="L109" i="7"/>
  <c r="L5" i="7"/>
  <c r="L15" i="7"/>
  <c r="L83" i="7"/>
  <c r="L187" i="7"/>
  <c r="L146" i="7"/>
  <c r="L212" i="7"/>
  <c r="L99" i="7"/>
  <c r="L530" i="7"/>
  <c r="L528" i="7"/>
  <c r="L625" i="7"/>
  <c r="L175" i="7"/>
  <c r="L546" i="7"/>
  <c r="L509" i="7"/>
  <c r="L711" i="7"/>
  <c r="L290" i="7"/>
  <c r="L458" i="7"/>
  <c r="L224" i="7"/>
  <c r="L650" i="7"/>
  <c r="L553" i="7"/>
  <c r="L716" i="7"/>
  <c r="L373" i="7"/>
  <c r="L429" i="7"/>
  <c r="L628" i="7"/>
  <c r="L352" i="7"/>
  <c r="L607" i="7"/>
  <c r="L65" i="7"/>
  <c r="L570" i="7"/>
  <c r="L627" i="7"/>
  <c r="L359" i="7"/>
  <c r="L667" i="7"/>
  <c r="L582" i="7"/>
  <c r="L563" i="7"/>
  <c r="L599" i="7"/>
  <c r="L587" i="7"/>
  <c r="L590" i="7"/>
  <c r="L706" i="7"/>
  <c r="L470" i="7"/>
  <c r="L420" i="7"/>
  <c r="L395" i="7"/>
  <c r="L566" i="7"/>
  <c r="L122" i="7"/>
  <c r="L596" i="7"/>
  <c r="L219" i="7"/>
  <c r="L606" i="7"/>
  <c r="L300" i="7"/>
  <c r="L472" i="7"/>
  <c r="L576" i="7"/>
  <c r="L561" i="7"/>
  <c r="L670" i="7"/>
  <c r="L673" i="7"/>
  <c r="L741" i="7"/>
  <c r="L488" i="7"/>
  <c r="L752" i="7"/>
  <c r="L595" i="7"/>
  <c r="L486" i="7"/>
  <c r="L123" i="7"/>
  <c r="L451" i="7"/>
  <c r="L466" i="7"/>
  <c r="L469" i="7"/>
  <c r="L251" i="7"/>
  <c r="L680" i="7"/>
  <c r="L440" i="7"/>
  <c r="L616" i="7"/>
  <c r="L423" i="7"/>
  <c r="L695" i="7"/>
  <c r="L398" i="7"/>
  <c r="L401" i="7"/>
  <c r="L428" i="7"/>
  <c r="L433" i="7"/>
  <c r="L496" i="7"/>
  <c r="L559" i="7"/>
  <c r="L365" i="7"/>
  <c r="L308" i="7"/>
  <c r="L603" i="7"/>
  <c r="L478" i="7"/>
  <c r="L542" i="7"/>
  <c r="L183" i="7"/>
  <c r="L543" i="7"/>
  <c r="L682" i="7"/>
  <c r="L192" i="7"/>
  <c r="L388" i="7"/>
  <c r="L416" i="7"/>
  <c r="L456" i="7"/>
  <c r="L515" i="7"/>
  <c r="L684" i="7"/>
  <c r="L340" i="7"/>
  <c r="L475" i="7"/>
  <c r="L492" i="7"/>
  <c r="L558" i="7"/>
  <c r="L592" i="7"/>
  <c r="L287" i="7"/>
  <c r="L540" i="7"/>
  <c r="L495" i="7"/>
  <c r="L225" i="7"/>
  <c r="L624" i="7"/>
  <c r="L631" i="7"/>
  <c r="L744" i="7"/>
  <c r="L657" i="7"/>
  <c r="L529" i="7"/>
  <c r="L207" i="7"/>
  <c r="L751" i="7"/>
  <c r="L538" i="7"/>
  <c r="L439" i="7"/>
  <c r="L485" i="7"/>
  <c r="L703" i="7"/>
  <c r="L622" i="7"/>
  <c r="L725" i="7"/>
  <c r="L445" i="7"/>
  <c r="L503" i="7"/>
  <c r="L261" i="7"/>
  <c r="L480" i="7"/>
  <c r="L191" i="7"/>
  <c r="L668" i="7"/>
  <c r="L319" i="7"/>
  <c r="L379" i="7"/>
  <c r="L362" i="7"/>
  <c r="L350" i="7"/>
  <c r="L633" i="7"/>
  <c r="L537" i="7"/>
  <c r="L520" i="7"/>
  <c r="L557" i="7"/>
  <c r="L521" i="7"/>
  <c r="L635" i="7"/>
  <c r="L297" i="7"/>
  <c r="L438" i="7"/>
  <c r="L614" i="7"/>
  <c r="L610" i="7"/>
  <c r="L713" i="7"/>
  <c r="L254" i="7"/>
  <c r="L659" i="7"/>
  <c r="L526" i="7"/>
  <c r="L387" i="7"/>
  <c r="L652" i="7"/>
  <c r="L669" i="7"/>
  <c r="L754" i="7"/>
  <c r="L647" i="7"/>
  <c r="L597" i="7"/>
  <c r="L740" i="7"/>
  <c r="L567" i="7"/>
  <c r="L755" i="7"/>
  <c r="L406" i="7"/>
  <c r="L512" i="7"/>
  <c r="L404" i="7"/>
  <c r="L307" i="7"/>
  <c r="L541" i="7"/>
  <c r="L339" i="7"/>
  <c r="L283" i="7"/>
  <c r="L601" i="7"/>
  <c r="L533" i="7"/>
  <c r="L649" i="7"/>
  <c r="L193" i="7"/>
  <c r="L483" i="7"/>
  <c r="L498" i="7"/>
  <c r="L710" i="7"/>
  <c r="L484" i="7"/>
  <c r="L535" i="7"/>
  <c r="L550" i="7"/>
  <c r="L435" i="7"/>
  <c r="L701" i="7"/>
  <c r="L519" i="7"/>
  <c r="L490" i="7"/>
  <c r="L655" i="7"/>
  <c r="L508" i="7"/>
  <c r="L654" i="7"/>
  <c r="L419" i="7"/>
  <c r="L355" i="7"/>
  <c r="L648" i="7"/>
  <c r="L630" i="7"/>
  <c r="L310" i="7"/>
  <c r="L477" i="7"/>
  <c r="L692" i="7"/>
  <c r="L323" i="7"/>
  <c r="L691" i="7"/>
  <c r="L705" i="7"/>
  <c r="L745" i="7"/>
  <c r="L726" i="7"/>
  <c r="L579" i="7"/>
  <c r="L452" i="7"/>
  <c r="L487" i="7"/>
  <c r="L644" i="7"/>
  <c r="L689" i="7"/>
  <c r="L293" i="7"/>
  <c r="L523" i="7"/>
  <c r="L634" i="7"/>
  <c r="L221" i="7"/>
  <c r="L678" i="7"/>
  <c r="L493" i="7"/>
  <c r="L272" i="7"/>
  <c r="L418" i="7"/>
  <c r="L202" i="7"/>
  <c r="L729" i="7"/>
  <c r="L750" i="7"/>
  <c r="L494" i="7"/>
  <c r="L372" i="7"/>
  <c r="L556" i="7"/>
  <c r="L641" i="7"/>
  <c r="L615" i="7"/>
  <c r="L284" i="7"/>
  <c r="L412" i="7"/>
  <c r="L288" i="7"/>
  <c r="L262" i="7"/>
  <c r="L217" i="7"/>
  <c r="L312" i="7"/>
  <c r="L421" i="7"/>
  <c r="L249" i="7"/>
  <c r="L661" i="7"/>
  <c r="L460" i="7"/>
  <c r="L489" i="7"/>
  <c r="L358" i="7"/>
  <c r="L748" i="7"/>
  <c r="L675" i="7"/>
  <c r="L731" i="7"/>
  <c r="L605" i="7"/>
  <c r="L531" i="7"/>
  <c r="L468" i="7"/>
  <c r="L482" i="7"/>
  <c r="L356" i="7"/>
  <c r="L410" i="7"/>
  <c r="L548" i="7"/>
  <c r="L385" i="7"/>
  <c r="L400" i="7"/>
  <c r="L325" i="7"/>
  <c r="L427" i="7"/>
  <c r="L588" i="7"/>
  <c r="L722" i="7"/>
  <c r="L314" i="7"/>
  <c r="L617" i="7"/>
  <c r="L575" i="7"/>
  <c r="L246" i="7"/>
  <c r="L583" i="7"/>
  <c r="L255" i="7"/>
  <c r="L500" i="7"/>
  <c r="L517" i="7"/>
  <c r="L408" i="7"/>
  <c r="L629" i="7"/>
  <c r="L271" i="7"/>
  <c r="L397" i="7"/>
  <c r="L504" i="7"/>
  <c r="L278" i="7"/>
  <c r="L459" i="7"/>
  <c r="L663" i="7"/>
  <c r="L346" i="7"/>
  <c r="L258" i="7"/>
  <c r="L573" i="7"/>
  <c r="L461" i="7"/>
  <c r="L220" i="7"/>
  <c r="L463" i="7"/>
  <c r="L549" i="7"/>
  <c r="L430" i="7"/>
  <c r="L642" i="7"/>
  <c r="L724" i="7"/>
  <c r="L739" i="7"/>
  <c r="L735" i="7"/>
  <c r="L651" i="7"/>
  <c r="L248" i="7"/>
  <c r="L448" i="7"/>
  <c r="L240" i="7"/>
  <c r="L386" i="7"/>
  <c r="L639" i="7"/>
  <c r="L737" i="7"/>
  <c r="L267" i="7"/>
  <c r="L434" i="7"/>
  <c r="L269" i="7"/>
  <c r="L720" i="7"/>
  <c r="L564" i="7"/>
  <c r="L241" i="7"/>
  <c r="L524" i="7"/>
  <c r="L578" i="7"/>
  <c r="L499" i="7"/>
  <c r="L621" i="7"/>
  <c r="L674" i="7"/>
  <c r="L560" i="7"/>
  <c r="L698" i="7"/>
  <c r="L384" i="7"/>
  <c r="L453" i="7"/>
  <c r="L301" i="7"/>
  <c r="L671" i="7"/>
  <c r="L574" i="7"/>
  <c r="L232" i="7"/>
  <c r="L476" i="7"/>
  <c r="L510" i="7"/>
  <c r="L640" i="7"/>
  <c r="L683" i="7"/>
  <c r="L589" i="7"/>
  <c r="L681" i="7"/>
  <c r="L738" i="7"/>
  <c r="L437" i="7"/>
  <c r="L112" i="7"/>
  <c r="L370" i="7"/>
  <c r="L591" i="7"/>
  <c r="L554" i="7"/>
  <c r="L551" i="7"/>
  <c r="L712" i="7"/>
  <c r="L374" i="7"/>
  <c r="L432" i="7"/>
  <c r="L653" i="7"/>
  <c r="L565" i="7"/>
  <c r="L522" i="7"/>
  <c r="L539" i="7"/>
  <c r="L467" i="7"/>
  <c r="L392" i="7"/>
  <c r="L602" i="7"/>
  <c r="L275" i="7"/>
  <c r="L586" i="7"/>
  <c r="L198" i="7"/>
  <c r="L462" i="7"/>
  <c r="L426" i="7"/>
  <c r="L320" i="7"/>
  <c r="L343" i="7"/>
  <c r="L632" i="7"/>
  <c r="L250" i="7"/>
  <c r="L382" i="7"/>
  <c r="L562" i="7"/>
  <c r="L514" i="7"/>
  <c r="L730" i="7"/>
  <c r="L313" i="7"/>
  <c r="L347" i="7"/>
  <c r="L405" i="7"/>
  <c r="L413" i="7"/>
  <c r="L353" i="7"/>
  <c r="L702" i="7"/>
  <c r="L718" i="7"/>
  <c r="L532" i="7"/>
  <c r="L715" i="7"/>
  <c r="L243" i="7"/>
  <c r="L747" i="7"/>
  <c r="L697" i="7"/>
  <c r="K303" i="7"/>
  <c r="K306" i="7"/>
  <c r="K193" i="7"/>
  <c r="K587" i="7"/>
  <c r="K590" i="7"/>
  <c r="K400" i="7"/>
  <c r="K325" i="7"/>
  <c r="K712" i="7"/>
  <c r="K716" i="7"/>
  <c r="K745" i="7"/>
  <c r="K693" i="7"/>
  <c r="L417" i="7"/>
  <c r="K652" i="7"/>
  <c r="K658" i="7"/>
  <c r="K676" i="7"/>
  <c r="J697" i="7"/>
  <c r="J747" i="7"/>
  <c r="J243" i="7"/>
  <c r="J579" i="7"/>
  <c r="J112" i="7"/>
  <c r="J544" i="7"/>
  <c r="J315" i="7"/>
  <c r="J344" i="7"/>
  <c r="J260" i="7"/>
  <c r="J415" i="7"/>
  <c r="J326" i="7"/>
  <c r="J151" i="7"/>
  <c r="J129" i="7"/>
  <c r="J699" i="7"/>
  <c r="J690" i="7"/>
  <c r="J568" i="7"/>
  <c r="J319" i="7"/>
  <c r="J668" i="7"/>
  <c r="J191" i="7"/>
  <c r="J480" i="7"/>
  <c r="J439" i="7"/>
  <c r="J458" i="7"/>
  <c r="J345" i="7"/>
  <c r="J98" i="7"/>
  <c r="J69" i="7"/>
  <c r="J52" i="7"/>
  <c r="J488" i="7"/>
  <c r="J741" i="7"/>
  <c r="J290" i="7"/>
  <c r="J651" i="7"/>
  <c r="J437" i="7"/>
  <c r="J604" i="7"/>
  <c r="J391" i="7"/>
  <c r="J581" i="7"/>
  <c r="J252" i="7"/>
  <c r="J177" i="7"/>
  <c r="J187" i="7"/>
  <c r="J497" i="7"/>
  <c r="J351" i="7"/>
  <c r="J710" i="7"/>
  <c r="J498" i="7"/>
  <c r="J483" i="7"/>
  <c r="J339" i="7"/>
  <c r="J541" i="7"/>
  <c r="J139" i="7"/>
  <c r="J163" i="7"/>
  <c r="J18" i="7"/>
  <c r="J97" i="7"/>
  <c r="J28" i="7"/>
  <c r="J624" i="7"/>
  <c r="J694" i="7"/>
  <c r="J600" i="7"/>
  <c r="J536" i="7"/>
  <c r="J450" i="7"/>
  <c r="J399" i="7"/>
  <c r="J321" i="7"/>
  <c r="J276" i="7"/>
  <c r="J305" i="7"/>
  <c r="J304" i="7"/>
  <c r="J83" i="7"/>
  <c r="J687" i="7"/>
  <c r="J750" i="7"/>
  <c r="J729" i="7"/>
  <c r="J202" i="7"/>
  <c r="J418" i="7"/>
  <c r="J523" i="7"/>
  <c r="J293" i="7"/>
  <c r="J327" i="7"/>
  <c r="J407" i="7"/>
  <c r="J105" i="7"/>
  <c r="J148" i="7"/>
  <c r="J32" i="7"/>
  <c r="J567" i="7"/>
  <c r="J595" i="7"/>
  <c r="J329" i="7"/>
  <c r="J396" i="7"/>
  <c r="J612" i="7"/>
  <c r="J518" i="7"/>
  <c r="J234" i="7"/>
  <c r="J309" i="7"/>
  <c r="J227" i="7"/>
  <c r="J140" i="7"/>
  <c r="J80" i="7"/>
  <c r="J501" i="7"/>
  <c r="J662" i="7"/>
  <c r="J629" i="7"/>
  <c r="J408" i="7"/>
  <c r="J517" i="7"/>
  <c r="J500" i="7"/>
  <c r="J314" i="7"/>
  <c r="J167" i="7"/>
  <c r="J333" i="7"/>
  <c r="J164" i="7"/>
  <c r="J162" i="7"/>
  <c r="J54" i="7"/>
  <c r="J7" i="7"/>
  <c r="J705" i="7"/>
  <c r="J691" i="7"/>
  <c r="J424" i="7"/>
  <c r="J723" i="7"/>
  <c r="J237" i="7"/>
  <c r="J584" i="7"/>
  <c r="J444" i="7"/>
  <c r="J481" i="7"/>
  <c r="J380" i="7"/>
  <c r="J114" i="7"/>
  <c r="J135" i="7"/>
  <c r="J42" i="7"/>
  <c r="J609" i="7"/>
  <c r="J736" i="7"/>
  <c r="J578" i="7"/>
  <c r="J524" i="7"/>
  <c r="J241" i="7"/>
  <c r="J267" i="7"/>
  <c r="J280" i="7"/>
  <c r="J411" i="7"/>
  <c r="J143" i="7"/>
  <c r="J103" i="7"/>
  <c r="J89" i="7"/>
  <c r="J531" i="7"/>
  <c r="J605" i="7"/>
  <c r="J452" i="7"/>
  <c r="J711" i="7"/>
  <c r="J509" i="7"/>
  <c r="J546" i="7"/>
  <c r="J291" i="7"/>
  <c r="J594" i="7"/>
  <c r="J141" i="7"/>
  <c r="J311" i="7"/>
  <c r="J109" i="7"/>
  <c r="J102" i="7"/>
  <c r="J41" i="7"/>
  <c r="J441" i="7"/>
  <c r="J721" i="7"/>
  <c r="J198" i="7"/>
  <c r="J586" i="7"/>
  <c r="J275" i="7"/>
  <c r="J602" i="7"/>
  <c r="J432" i="7"/>
  <c r="J482" i="7"/>
  <c r="J389" i="7"/>
  <c r="J182" i="7"/>
  <c r="J126" i="7"/>
  <c r="J21" i="7"/>
  <c r="J735" i="7"/>
  <c r="J739" i="7"/>
  <c r="J665" i="7"/>
  <c r="J265" i="7"/>
  <c r="J349" i="7"/>
  <c r="J525" i="7"/>
  <c r="J298" i="7"/>
  <c r="J377" i="7"/>
  <c r="J289" i="7"/>
  <c r="J172" i="7"/>
  <c r="J127" i="7"/>
  <c r="J34" i="7"/>
  <c r="J709" i="7"/>
  <c r="J619" i="7"/>
  <c r="J563" i="7"/>
  <c r="J582" i="7"/>
  <c r="J667" i="7"/>
  <c r="J359" i="7"/>
  <c r="J373" i="7"/>
  <c r="J248" i="7"/>
  <c r="J454" i="7"/>
  <c r="J299" i="7"/>
  <c r="J73" i="7"/>
  <c r="J58" i="7"/>
  <c r="J589" i="7"/>
  <c r="J683" i="7"/>
  <c r="J486" i="7"/>
  <c r="J431" i="7"/>
  <c r="J552" i="7"/>
  <c r="J593" i="7"/>
  <c r="J464" i="7"/>
  <c r="J383" i="7"/>
  <c r="J366" i="7"/>
  <c r="J180" i="7"/>
  <c r="J199" i="7"/>
  <c r="J93" i="7"/>
  <c r="J13" i="7"/>
  <c r="J677" i="7"/>
  <c r="J603" i="7"/>
  <c r="J308" i="7"/>
  <c r="J365" i="7"/>
  <c r="J559" i="7"/>
  <c r="J440" i="7"/>
  <c r="J370" i="7"/>
  <c r="J282" i="7"/>
  <c r="J213" i="7"/>
  <c r="J204" i="7"/>
  <c r="J59" i="7"/>
  <c r="J40" i="7"/>
  <c r="J106" i="7"/>
  <c r="J317" i="7"/>
  <c r="J74" i="7"/>
  <c r="J337" i="7"/>
  <c r="J224" i="7"/>
  <c r="J485" i="7"/>
  <c r="J703" i="7"/>
  <c r="J622" i="7"/>
  <c r="J725" i="7"/>
  <c r="J664" i="7"/>
  <c r="J611" i="7"/>
  <c r="K408" i="7"/>
  <c r="K629" i="7"/>
  <c r="K662" i="7"/>
  <c r="K501" i="7"/>
  <c r="J60" i="7"/>
  <c r="J111" i="7"/>
  <c r="J338" i="7"/>
  <c r="J242" i="7"/>
  <c r="J521" i="7"/>
  <c r="J489" i="7"/>
  <c r="J530" i="7"/>
  <c r="J132" i="7"/>
  <c r="J643" i="7"/>
  <c r="J670" i="7"/>
  <c r="J673" i="7"/>
  <c r="K594" i="7"/>
  <c r="K291" i="7"/>
  <c r="K546" i="7"/>
  <c r="K509" i="7"/>
  <c r="K711" i="7"/>
  <c r="K452" i="7"/>
  <c r="K605" i="7"/>
  <c r="K531" i="7"/>
  <c r="J6" i="7"/>
  <c r="J71" i="7"/>
  <c r="J64" i="7"/>
  <c r="J185" i="7"/>
  <c r="J318" i="7"/>
  <c r="J503" i="7"/>
  <c r="J261" i="7"/>
  <c r="J426" i="7"/>
  <c r="J320" i="7"/>
  <c r="J343" i="7"/>
  <c r="J632" i="7"/>
  <c r="J572" i="7"/>
  <c r="L497" i="7"/>
  <c r="L351" i="7"/>
  <c r="K461" i="7"/>
  <c r="K473" i="7"/>
  <c r="K613" i="7"/>
  <c r="K547" i="7"/>
  <c r="J5" i="7"/>
  <c r="J136" i="7"/>
  <c r="J155" i="7"/>
  <c r="J245" i="7"/>
  <c r="J302" i="7"/>
  <c r="J513" i="7"/>
  <c r="J292" i="7"/>
  <c r="J512" i="7"/>
  <c r="J404" i="7"/>
  <c r="J427" i="7"/>
  <c r="J631" i="7"/>
  <c r="L611" i="7"/>
  <c r="L664" i="7"/>
  <c r="J17" i="7"/>
  <c r="J119" i="7"/>
  <c r="J145" i="7"/>
  <c r="J263" i="7"/>
  <c r="J270" i="7"/>
  <c r="J217" i="7"/>
  <c r="J312" i="7"/>
  <c r="J463" i="7"/>
  <c r="J549" i="7"/>
  <c r="J430" i="7"/>
  <c r="J642" i="7"/>
  <c r="J645" i="7"/>
  <c r="J436" i="7"/>
  <c r="K6" i="7"/>
  <c r="K71" i="7"/>
  <c r="K64" i="7"/>
  <c r="K185" i="7"/>
  <c r="K318" i="7"/>
  <c r="K503" i="7"/>
  <c r="K261" i="7"/>
  <c r="K426" i="7"/>
  <c r="K320" i="7"/>
  <c r="K644" i="7"/>
  <c r="K737" i="7"/>
  <c r="K374" i="7"/>
  <c r="K755" i="7"/>
  <c r="K726" i="7"/>
  <c r="L676" i="7"/>
  <c r="L658" i="7"/>
  <c r="K743" i="7"/>
  <c r="J76" i="7"/>
  <c r="J68" i="7"/>
  <c r="J286" i="7"/>
  <c r="J296" i="7"/>
  <c r="J165" i="7"/>
  <c r="J591" i="7"/>
  <c r="J616" i="7"/>
  <c r="J423" i="7"/>
  <c r="J695" i="7"/>
  <c r="J398" i="7"/>
  <c r="J708" i="7"/>
  <c r="J580" i="7"/>
  <c r="L547" i="7"/>
  <c r="L613" i="7"/>
  <c r="L473" i="7"/>
  <c r="K202" i="7"/>
  <c r="K729" i="7"/>
  <c r="K750" i="7"/>
  <c r="K687" i="7"/>
  <c r="J90" i="7"/>
  <c r="J47" i="7"/>
  <c r="J256" i="7"/>
  <c r="J479" i="7"/>
  <c r="J192" i="7"/>
  <c r="J630" i="7"/>
  <c r="J577" i="7"/>
  <c r="J528" i="7"/>
  <c r="J700" i="7"/>
  <c r="J332" i="7"/>
  <c r="J669" i="7"/>
  <c r="L688" i="7"/>
  <c r="L714" i="7"/>
  <c r="K444" i="7"/>
  <c r="K584" i="7"/>
  <c r="K237" i="7"/>
  <c r="K723" i="7"/>
  <c r="K424" i="7"/>
  <c r="K691" i="7"/>
  <c r="K705" i="7"/>
  <c r="J19" i="7"/>
  <c r="J82" i="7"/>
  <c r="J171" i="7"/>
  <c r="J190" i="7"/>
  <c r="J159" i="7"/>
  <c r="J433" i="7"/>
  <c r="J496" i="7"/>
  <c r="J621" i="7"/>
  <c r="J674" i="7"/>
  <c r="J560" i="7"/>
  <c r="J698" i="7"/>
  <c r="J717" i="7"/>
  <c r="J685" i="7"/>
  <c r="L699" i="7"/>
  <c r="L690" i="7"/>
  <c r="L568" i="7"/>
  <c r="K661" i="7"/>
  <c r="K460" i="7"/>
  <c r="K696" i="7"/>
  <c r="K707" i="7"/>
  <c r="J15" i="7"/>
  <c r="J101" i="7"/>
  <c r="J259" i="7"/>
  <c r="J223" i="7"/>
  <c r="J144" i="7"/>
  <c r="J506" i="7"/>
  <c r="J507" i="7"/>
  <c r="J207" i="7"/>
  <c r="J751" i="7"/>
  <c r="J588" i="7"/>
  <c r="J722" i="7"/>
  <c r="J752" i="7"/>
  <c r="J744" i="7"/>
  <c r="L580" i="7"/>
  <c r="L708" i="7"/>
  <c r="J10" i="7"/>
  <c r="J110" i="7"/>
  <c r="J72" i="7"/>
  <c r="J226" i="7"/>
  <c r="J138" i="7"/>
  <c r="J655" i="7"/>
  <c r="J508" i="7"/>
  <c r="J358" i="7"/>
  <c r="J748" i="7"/>
  <c r="J675" i="7"/>
  <c r="J731" i="7"/>
  <c r="J753" i="7"/>
  <c r="AD2" i="5"/>
  <c r="L2" i="7"/>
  <c r="K19" i="7"/>
  <c r="K82" i="7"/>
  <c r="K171" i="7"/>
  <c r="K190" i="7"/>
  <c r="K159" i="7"/>
  <c r="K433" i="7"/>
  <c r="K496" i="7"/>
  <c r="K621" i="7"/>
  <c r="K674" i="7"/>
  <c r="K512" i="7"/>
  <c r="K404" i="7"/>
  <c r="K427" i="7"/>
  <c r="K631" i="7"/>
  <c r="L743" i="7"/>
  <c r="K334" i="7"/>
  <c r="J46" i="7"/>
  <c r="J179" i="7"/>
  <c r="J257" i="7"/>
  <c r="J203" i="7"/>
  <c r="J448" i="7"/>
  <c r="J240" i="7"/>
  <c r="J429" i="7"/>
  <c r="J628" i="7"/>
  <c r="J352" i="7"/>
  <c r="J607" i="7"/>
  <c r="J474" i="7"/>
  <c r="L707" i="7"/>
  <c r="L696" i="7"/>
  <c r="K498" i="7"/>
  <c r="K710" i="7"/>
  <c r="K351" i="7"/>
  <c r="K497" i="7"/>
  <c r="J3" i="7"/>
  <c r="J31" i="7"/>
  <c r="J173" i="7"/>
  <c r="J56" i="7"/>
  <c r="J214" i="7"/>
  <c r="J475" i="7"/>
  <c r="J254" i="7"/>
  <c r="J393" i="7"/>
  <c r="J195" i="7"/>
  <c r="J368" i="7"/>
  <c r="J626" i="7"/>
  <c r="J532" i="7"/>
  <c r="J754" i="7"/>
  <c r="L666" i="7"/>
  <c r="L746" i="7"/>
  <c r="K518" i="7"/>
  <c r="K612" i="7"/>
  <c r="K396" i="7"/>
  <c r="K329" i="7"/>
  <c r="K595" i="7"/>
  <c r="K567" i="7"/>
  <c r="J29" i="7"/>
  <c r="J113" i="7"/>
  <c r="J268" i="7"/>
  <c r="J210" i="7"/>
  <c r="J390" i="7"/>
  <c r="J570" i="7"/>
  <c r="J627" i="7"/>
  <c r="J278" i="7"/>
  <c r="J459" i="7"/>
  <c r="J663" i="7"/>
  <c r="L677" i="7"/>
  <c r="K355" i="7"/>
  <c r="K648" i="7"/>
  <c r="K239" i="7"/>
  <c r="J88" i="7"/>
  <c r="J63" i="7"/>
  <c r="J229" i="7"/>
  <c r="J222" i="7"/>
  <c r="J425" i="7"/>
  <c r="J449" i="7"/>
  <c r="J133" i="7"/>
  <c r="J451" i="7"/>
  <c r="J466" i="7"/>
  <c r="J689" i="7"/>
  <c r="J361" i="7"/>
  <c r="L474" i="7"/>
  <c r="J12" i="7"/>
  <c r="J91" i="7"/>
  <c r="J294" i="7"/>
  <c r="J157" i="7"/>
  <c r="J455" i="7"/>
  <c r="J635" i="7"/>
  <c r="J297" i="7"/>
  <c r="J310" i="7"/>
  <c r="J477" i="7"/>
  <c r="J692" i="7"/>
  <c r="J323" i="7"/>
  <c r="J417" i="7"/>
  <c r="K29" i="7"/>
  <c r="K113" i="7"/>
  <c r="K268" i="7"/>
  <c r="K210" i="7"/>
  <c r="K390" i="7"/>
  <c r="K570" i="7"/>
  <c r="K627" i="7"/>
  <c r="K278" i="7"/>
  <c r="K459" i="7"/>
  <c r="K207" i="7"/>
  <c r="K751" i="7"/>
  <c r="K588" i="7"/>
  <c r="K722" i="7"/>
  <c r="K752" i="7"/>
  <c r="K744" i="7"/>
  <c r="L334" i="7"/>
  <c r="K718" i="7"/>
  <c r="K727" i="7"/>
  <c r="J8" i="7"/>
  <c r="J77" i="7"/>
  <c r="J230" i="7"/>
  <c r="J153" i="7"/>
  <c r="J402" i="7"/>
  <c r="J356" i="7"/>
  <c r="J410" i="7"/>
  <c r="J653" i="7"/>
  <c r="J565" i="7"/>
  <c r="J522" i="7"/>
  <c r="J539" i="7"/>
  <c r="J491" i="7"/>
  <c r="J623" i="7"/>
  <c r="L239" i="7"/>
  <c r="K668" i="7"/>
  <c r="K319" i="7"/>
  <c r="K568" i="7"/>
  <c r="K690" i="7"/>
  <c r="K699" i="7"/>
  <c r="J33" i="7"/>
  <c r="J107" i="7"/>
  <c r="J146" i="7"/>
  <c r="J166" i="7"/>
  <c r="J422" i="7"/>
  <c r="J219" i="7"/>
  <c r="J492" i="7"/>
  <c r="J620" i="7"/>
  <c r="J618" i="7"/>
  <c r="J555" i="7"/>
  <c r="J749" i="7"/>
  <c r="J715" i="7"/>
  <c r="J647" i="7"/>
  <c r="L572" i="7"/>
  <c r="K399" i="7"/>
  <c r="K450" i="7"/>
  <c r="K536" i="7"/>
  <c r="K600" i="7"/>
  <c r="K694" i="7"/>
  <c r="K624" i="7"/>
  <c r="J24" i="7"/>
  <c r="J147" i="7"/>
  <c r="J154" i="7"/>
  <c r="J218" i="7"/>
  <c r="J279" i="7"/>
  <c r="J467" i="7"/>
  <c r="J392" i="7"/>
  <c r="J641" i="7"/>
  <c r="J615" i="7"/>
  <c r="J284" i="7"/>
  <c r="J412" i="7"/>
  <c r="J646" i="7"/>
  <c r="J598" i="7"/>
  <c r="L709" i="7"/>
  <c r="L619" i="7"/>
  <c r="K610" i="7"/>
  <c r="K713" i="7"/>
  <c r="K660" i="7"/>
  <c r="K734" i="7"/>
  <c r="J23" i="7"/>
  <c r="J27" i="7"/>
  <c r="J87" i="7"/>
  <c r="J253" i="7"/>
  <c r="J341" i="7"/>
  <c r="J471" i="7"/>
  <c r="J511" i="7"/>
  <c r="J650" i="7"/>
  <c r="J469" i="7"/>
  <c r="J307" i="7"/>
  <c r="J681" i="7"/>
  <c r="J656" i="7"/>
  <c r="J657" i="7"/>
  <c r="L623" i="7"/>
  <c r="L491" i="7"/>
  <c r="J44" i="7"/>
  <c r="J48" i="7"/>
  <c r="J92" i="7"/>
  <c r="J328" i="7"/>
  <c r="J360" i="7"/>
  <c r="J388" i="7"/>
  <c r="J416" i="7"/>
  <c r="J659" i="7"/>
  <c r="J526" i="7"/>
  <c r="J387" i="7"/>
  <c r="J652" i="7"/>
  <c r="J658" i="7"/>
  <c r="J676" i="7"/>
  <c r="K24" i="7"/>
  <c r="K147" i="7"/>
  <c r="K154" i="7"/>
  <c r="K218" i="7"/>
  <c r="K279" i="7"/>
  <c r="K467" i="7"/>
  <c r="K392" i="7"/>
  <c r="K641" i="7"/>
  <c r="K615" i="7"/>
  <c r="K451" i="7"/>
  <c r="K466" i="7"/>
  <c r="K689" i="7"/>
  <c r="K361" i="7"/>
  <c r="K663" i="7"/>
  <c r="K673" i="7"/>
  <c r="K685" i="7"/>
  <c r="K717" i="7"/>
  <c r="K698" i="7"/>
  <c r="K560" i="7"/>
  <c r="K572" i="7"/>
  <c r="K632" i="7"/>
  <c r="K343" i="7"/>
  <c r="K740" i="7"/>
  <c r="K724" i="7"/>
  <c r="K666" i="7"/>
  <c r="K746" i="7"/>
  <c r="K470" i="7"/>
  <c r="K706" i="7"/>
  <c r="K597" i="7"/>
  <c r="K640" i="7"/>
  <c r="K688" i="7"/>
  <c r="K714" i="7"/>
  <c r="K682" i="7"/>
  <c r="K543" i="7"/>
  <c r="K557" i="7"/>
  <c r="K520" i="7"/>
  <c r="K537" i="7"/>
  <c r="K647" i="7"/>
  <c r="K728" i="7"/>
  <c r="K519" i="7"/>
  <c r="K701" i="7"/>
  <c r="K754" i="7"/>
  <c r="K598" i="7"/>
  <c r="K646" i="7"/>
  <c r="K412" i="7"/>
  <c r="K284" i="7"/>
  <c r="K669" i="7"/>
  <c r="L727" i="7"/>
  <c r="K510" i="7"/>
  <c r="K732" i="7"/>
  <c r="K443" i="7"/>
  <c r="J38" i="7"/>
  <c r="J216" i="7"/>
  <c r="J209" i="7"/>
  <c r="J117" i="7"/>
  <c r="J403" i="7"/>
  <c r="J487" i="7"/>
  <c r="J548" i="7"/>
  <c r="J434" i="7"/>
  <c r="J269" i="7"/>
  <c r="J720" i="7"/>
  <c r="L465" i="7"/>
  <c r="L734" i="7"/>
  <c r="L660" i="7"/>
  <c r="K308" i="7"/>
  <c r="K603" i="7"/>
  <c r="K677" i="7"/>
  <c r="J22" i="7"/>
  <c r="J194" i="7"/>
  <c r="J212" i="7"/>
  <c r="J184" i="7"/>
  <c r="J516" i="7"/>
  <c r="J313" i="7"/>
  <c r="J606" i="7"/>
  <c r="J527" i="7"/>
  <c r="J457" i="7"/>
  <c r="J742" i="7"/>
  <c r="L685" i="7"/>
  <c r="L717" i="7"/>
  <c r="K391" i="7"/>
  <c r="K604" i="7"/>
  <c r="K437" i="7"/>
  <c r="K651" i="7"/>
  <c r="K290" i="7"/>
  <c r="K741" i="7"/>
  <c r="K488" i="7"/>
  <c r="J4" i="7"/>
  <c r="J96" i="7"/>
  <c r="J137" i="7"/>
  <c r="J378" i="7"/>
  <c r="J336" i="7"/>
  <c r="J564" i="7"/>
  <c r="J550" i="7"/>
  <c r="J435" i="7"/>
  <c r="J701" i="7"/>
  <c r="J519" i="7"/>
  <c r="J728" i="7"/>
  <c r="L441" i="7"/>
  <c r="L721" i="7"/>
  <c r="K684" i="7"/>
  <c r="K340" i="7"/>
  <c r="K571" i="7"/>
  <c r="J11" i="7"/>
  <c r="J142" i="7"/>
  <c r="J264" i="7"/>
  <c r="J447" i="7"/>
  <c r="J149" i="7"/>
  <c r="J569" i="7"/>
  <c r="J554" i="7"/>
  <c r="J551" i="7"/>
  <c r="J251" i="7"/>
  <c r="J538" i="7"/>
  <c r="J738" i="7"/>
  <c r="J25" i="7"/>
  <c r="J160" i="7"/>
  <c r="J169" i="7"/>
  <c r="J277" i="7"/>
  <c r="J335" i="7"/>
  <c r="J420" i="7"/>
  <c r="J558" i="7"/>
  <c r="J592" i="7"/>
  <c r="J287" i="7"/>
  <c r="J540" i="7"/>
  <c r="J743" i="7"/>
  <c r="L656" i="7"/>
  <c r="K220" i="7"/>
  <c r="K324" i="7"/>
  <c r="K608" i="7"/>
  <c r="K534" i="7"/>
  <c r="K625" i="7"/>
  <c r="K225" i="7"/>
  <c r="K4" i="7"/>
  <c r="K96" i="7"/>
  <c r="K137" i="7"/>
  <c r="K378" i="7"/>
  <c r="K336" i="7"/>
  <c r="K564" i="7"/>
  <c r="K550" i="7"/>
  <c r="K435" i="7"/>
  <c r="K511" i="7"/>
  <c r="K650" i="7"/>
  <c r="K469" i="7"/>
  <c r="K307" i="7"/>
  <c r="K681" i="7"/>
  <c r="K656" i="7"/>
  <c r="K657" i="7"/>
  <c r="K2" i="7"/>
  <c r="L443" i="7"/>
  <c r="L732" i="7"/>
  <c r="K642" i="7"/>
  <c r="K645" i="7"/>
  <c r="K436" i="7"/>
  <c r="J26" i="7"/>
  <c r="J70" i="7"/>
  <c r="J94" i="7"/>
  <c r="J381" i="7"/>
  <c r="J205" i="7"/>
  <c r="J406" i="7"/>
  <c r="J385" i="7"/>
  <c r="J617" i="7"/>
  <c r="J575" i="7"/>
  <c r="J246" i="7"/>
  <c r="J583" i="7"/>
  <c r="J636" i="7"/>
  <c r="J585" i="7"/>
  <c r="L571" i="7"/>
  <c r="K582" i="7"/>
  <c r="K563" i="7"/>
  <c r="K619" i="7"/>
  <c r="K709" i="7"/>
  <c r="J14" i="7"/>
  <c r="J118" i="7"/>
  <c r="J158" i="7"/>
  <c r="J409" i="7"/>
  <c r="J346" i="7"/>
  <c r="J347" i="7"/>
  <c r="J405" i="7"/>
  <c r="J637" i="7"/>
  <c r="J672" i="7"/>
  <c r="J495" i="7"/>
  <c r="J640" i="7"/>
  <c r="J597" i="7"/>
  <c r="K344" i="7"/>
  <c r="K315" i="7"/>
  <c r="K544" i="7"/>
  <c r="K112" i="7"/>
  <c r="K579" i="7"/>
  <c r="K243" i="7"/>
  <c r="K747" i="7"/>
  <c r="K697" i="7"/>
  <c r="J51" i="7"/>
  <c r="J201" i="7"/>
  <c r="J200" i="7"/>
  <c r="J150" i="7"/>
  <c r="J331" i="7"/>
  <c r="J255" i="7"/>
  <c r="J350" i="7"/>
  <c r="J633" i="7"/>
  <c r="J537" i="7"/>
  <c r="J520" i="7"/>
  <c r="J557" i="7"/>
  <c r="L609" i="7"/>
  <c r="L736" i="7"/>
  <c r="K566" i="7"/>
  <c r="K122" i="7"/>
  <c r="K596" i="7"/>
  <c r="K394" i="7"/>
  <c r="K719" i="7"/>
  <c r="J108" i="7"/>
  <c r="J78" i="7"/>
  <c r="J273" i="7"/>
  <c r="J231" i="7"/>
  <c r="J176" i="7"/>
  <c r="J330" i="7"/>
  <c r="J386" i="7"/>
  <c r="J639" i="7"/>
  <c r="J553" i="7"/>
  <c r="J680" i="7"/>
  <c r="J468" i="7"/>
  <c r="L585" i="7"/>
  <c r="L636" i="7"/>
  <c r="J53" i="7"/>
  <c r="J131" i="7"/>
  <c r="J281" i="7"/>
  <c r="J211" i="7"/>
  <c r="J271" i="7"/>
  <c r="J250" i="7"/>
  <c r="J300" i="7"/>
  <c r="J472" i="7"/>
  <c r="J576" i="7"/>
  <c r="J561" i="7"/>
  <c r="J334" i="7"/>
  <c r="L693" i="7"/>
  <c r="K670" i="7"/>
  <c r="K51" i="7"/>
  <c r="K201" i="7"/>
  <c r="K200" i="7"/>
  <c r="K150" i="7"/>
  <c r="K331" i="7"/>
  <c r="K350" i="7"/>
  <c r="K633" i="7"/>
  <c r="K554" i="7"/>
  <c r="K551" i="7"/>
  <c r="K251" i="7"/>
  <c r="K538" i="7"/>
  <c r="K738" i="7"/>
  <c r="L436" i="7"/>
  <c r="L645" i="7"/>
  <c r="K731" i="7"/>
  <c r="K753" i="7"/>
  <c r="J55" i="7"/>
  <c r="J57" i="7"/>
  <c r="J215" i="7"/>
  <c r="J208" i="7"/>
  <c r="J228" i="7"/>
  <c r="J529" i="7"/>
  <c r="J634" i="7"/>
  <c r="J221" i="7"/>
  <c r="J678" i="7"/>
  <c r="J493" i="7"/>
  <c r="J704" i="7"/>
  <c r="J733" i="7"/>
  <c r="L719" i="7"/>
  <c r="L394" i="7"/>
  <c r="K586" i="7"/>
  <c r="K198" i="7"/>
  <c r="K721" i="7"/>
  <c r="K441" i="7"/>
  <c r="J45" i="7"/>
  <c r="J66" i="7"/>
  <c r="J233" i="7"/>
  <c r="J247" i="7"/>
  <c r="J288" i="7"/>
  <c r="J574" i="7"/>
  <c r="J638" i="7"/>
  <c r="J367" i="7"/>
  <c r="J679" i="7"/>
  <c r="J505" i="7"/>
  <c r="J724" i="7"/>
  <c r="J740" i="7"/>
  <c r="L598" i="7"/>
  <c r="L646" i="7"/>
  <c r="K464" i="7"/>
  <c r="K593" i="7"/>
  <c r="K552" i="7"/>
  <c r="K431" i="7"/>
  <c r="K486" i="7"/>
  <c r="K683" i="7"/>
  <c r="K589" i="7"/>
  <c r="J81" i="7"/>
  <c r="J134" i="7"/>
  <c r="J95" i="7"/>
  <c r="J285" i="7"/>
  <c r="J376" i="7"/>
  <c r="J272" i="7"/>
  <c r="J542" i="7"/>
  <c r="J183" i="7"/>
  <c r="J543" i="7"/>
  <c r="J682" i="7"/>
  <c r="J714" i="7"/>
  <c r="J688" i="7"/>
  <c r="L501" i="7"/>
  <c r="L662" i="7"/>
  <c r="K562" i="7"/>
  <c r="K514" i="7"/>
  <c r="K730" i="7"/>
  <c r="K686" i="7"/>
  <c r="K342" i="7"/>
  <c r="J84" i="7"/>
  <c r="J156" i="7"/>
  <c r="J128" i="7"/>
  <c r="J357" i="7"/>
  <c r="J354" i="7"/>
  <c r="J545" i="7"/>
  <c r="J400" i="7"/>
  <c r="J325" i="7"/>
  <c r="J712" i="7"/>
  <c r="J716" i="7"/>
  <c r="J745" i="7"/>
  <c r="J693" i="7"/>
  <c r="L733" i="7"/>
  <c r="L704" i="7"/>
  <c r="J16" i="7"/>
  <c r="J161" i="7"/>
  <c r="J120" i="7"/>
  <c r="J371" i="7"/>
  <c r="J494" i="7"/>
  <c r="J384" i="7"/>
  <c r="J413" i="7"/>
  <c r="J353" i="7"/>
  <c r="J702" i="7"/>
  <c r="J718" i="7"/>
  <c r="J727" i="7"/>
  <c r="L361" i="7"/>
  <c r="AD169" i="5"/>
  <c r="AD252" i="5"/>
  <c r="AD543" i="5"/>
  <c r="AD560" i="5"/>
  <c r="AD526" i="5"/>
  <c r="AD420" i="5"/>
  <c r="AD686" i="5"/>
  <c r="AD49" i="5"/>
  <c r="AD34" i="5"/>
  <c r="AD614" i="5"/>
  <c r="AD589" i="5"/>
  <c r="AD505" i="5"/>
  <c r="AD481" i="5"/>
  <c r="AD462" i="5"/>
  <c r="AD403" i="5"/>
  <c r="AD356" i="5"/>
  <c r="AD465" i="5"/>
  <c r="AD443" i="5"/>
  <c r="AD591" i="5"/>
  <c r="AD323" i="5"/>
  <c r="AD596" i="5"/>
  <c r="AD411" i="5"/>
  <c r="AD451" i="5"/>
  <c r="AD246" i="5"/>
  <c r="AD306" i="5"/>
  <c r="AD5" i="5"/>
  <c r="AD609" i="5"/>
  <c r="AD464" i="5"/>
  <c r="AD431" i="5"/>
  <c r="AD424" i="5"/>
  <c r="AD393" i="5"/>
  <c r="AD372" i="5"/>
  <c r="AD345" i="5"/>
  <c r="AD337" i="5"/>
  <c r="AD362" i="5"/>
  <c r="AD480" i="5"/>
  <c r="AD112" i="5"/>
  <c r="AD52" i="5"/>
  <c r="AD179" i="5"/>
  <c r="AD637" i="5"/>
  <c r="AD625" i="5"/>
  <c r="AD623" i="5"/>
  <c r="AD618" i="5"/>
  <c r="AD530" i="5"/>
  <c r="AD468" i="5"/>
  <c r="AD412" i="5"/>
  <c r="AD399" i="5"/>
  <c r="AD459" i="5"/>
  <c r="AD417" i="5"/>
  <c r="AD327" i="5"/>
  <c r="AD401" i="5"/>
  <c r="AD388" i="5"/>
  <c r="AD261" i="5"/>
  <c r="AD4" i="5"/>
  <c r="AD206" i="5"/>
  <c r="AD172" i="5"/>
  <c r="AD540" i="5"/>
  <c r="AD373" i="5"/>
  <c r="AD346" i="5"/>
  <c r="AD707" i="5"/>
  <c r="AD402" i="5"/>
  <c r="AD390" i="5"/>
  <c r="AD578" i="5"/>
  <c r="AD279" i="5"/>
  <c r="AD360" i="5"/>
  <c r="AD298" i="5"/>
  <c r="AD57" i="5"/>
  <c r="AD321" i="5"/>
  <c r="AD331" i="5"/>
  <c r="AD83" i="5"/>
  <c r="AD113" i="5"/>
  <c r="AD640" i="5"/>
  <c r="AD514" i="5"/>
  <c r="AD488" i="5"/>
  <c r="AD486" i="5"/>
  <c r="AD422" i="5"/>
  <c r="AD394" i="5"/>
  <c r="AD375" i="5"/>
  <c r="AD656" i="5"/>
  <c r="AD423" i="5"/>
  <c r="AD446" i="5"/>
  <c r="AD700" i="5"/>
  <c r="AD453" i="5"/>
  <c r="AD428" i="5"/>
  <c r="AD343" i="5"/>
  <c r="AD357" i="5"/>
  <c r="AD494" i="5"/>
  <c r="AD277" i="5"/>
  <c r="AD270" i="5"/>
  <c r="AD253" i="5"/>
  <c r="AD102" i="5"/>
  <c r="AD245" i="5"/>
  <c r="AD164" i="5"/>
  <c r="AD86" i="5"/>
  <c r="AD265" i="5"/>
  <c r="AD44" i="5"/>
  <c r="AD307" i="5"/>
  <c r="AD538" i="5"/>
  <c r="AD728" i="5"/>
  <c r="AD604" i="5"/>
  <c r="AD338" i="5"/>
  <c r="AD332" i="5"/>
  <c r="AD635" i="5"/>
  <c r="AD127" i="5"/>
  <c r="AD94" i="5"/>
  <c r="AD151" i="5"/>
  <c r="AD81" i="5"/>
  <c r="AD66" i="5"/>
  <c r="AD224" i="5"/>
  <c r="AD22" i="5"/>
  <c r="AD259" i="5"/>
  <c r="AD122" i="5"/>
  <c r="AD63" i="5"/>
  <c r="AD288" i="5"/>
  <c r="AD633" i="5"/>
  <c r="AD595" i="5"/>
  <c r="AD519" i="5"/>
  <c r="AD532" i="5"/>
  <c r="AD386" i="5"/>
  <c r="AD670" i="5"/>
  <c r="AD449" i="5"/>
  <c r="AD418" i="5"/>
  <c r="AD328" i="5"/>
  <c r="AD212" i="5"/>
  <c r="AD149" i="5"/>
  <c r="AD627" i="5"/>
  <c r="AD698" i="5"/>
  <c r="AD429" i="5"/>
  <c r="AD348" i="5"/>
  <c r="AD155" i="5"/>
  <c r="AD575" i="5"/>
  <c r="AD727" i="5"/>
  <c r="AD413" i="5"/>
  <c r="AD392" i="5"/>
  <c r="AD539" i="5"/>
  <c r="AD370" i="5"/>
  <c r="AD24" i="5"/>
  <c r="AD27" i="5"/>
  <c r="AD25" i="5"/>
  <c r="AD184" i="5"/>
  <c r="AD20" i="5"/>
  <c r="AD51" i="5"/>
  <c r="AD204" i="5"/>
  <c r="AD135" i="5"/>
  <c r="AD30" i="5"/>
  <c r="H4" i="14" l="1"/>
  <c r="I4" i="14"/>
  <c r="I5" i="14"/>
  <c r="H5" i="14"/>
  <c r="L252" i="7"/>
  <c r="L389" i="7"/>
  <c r="L21" i="7"/>
  <c r="L321" i="7"/>
  <c r="L132" i="7"/>
  <c r="L263" i="7"/>
  <c r="L168" i="7"/>
  <c r="L381" i="7"/>
  <c r="L40" i="7"/>
  <c r="L753" i="7"/>
  <c r="L140" i="7"/>
  <c r="L116" i="7"/>
  <c r="L147" i="7"/>
  <c r="L186" i="7"/>
  <c r="L27" i="7"/>
  <c r="L291" i="7"/>
  <c r="L174" i="7"/>
  <c r="L411" i="7"/>
  <c r="L103" i="7"/>
  <c r="L581" i="7"/>
  <c r="L376" i="7"/>
  <c r="L9" i="7"/>
  <c r="L322" i="7"/>
  <c r="L665" i="7"/>
  <c r="L247" i="7"/>
  <c r="L244" i="7"/>
  <c r="L143" i="7"/>
  <c r="L89" i="7"/>
  <c r="L756" i="7"/>
  <c r="Q756" i="7"/>
  <c r="P756" i="7"/>
  <c r="S756" i="7"/>
  <c r="H756" i="7"/>
  <c r="N756" i="7"/>
  <c r="O756" i="7"/>
  <c r="G756" i="7"/>
  <c r="R562" i="7"/>
  <c r="O700" i="7"/>
  <c r="O243" i="7"/>
  <c r="O41" i="7"/>
  <c r="O329" i="7"/>
  <c r="O536" i="7"/>
  <c r="O683" i="7"/>
  <c r="O24" i="7"/>
  <c r="O673" i="7"/>
  <c r="O666" i="7"/>
  <c r="O703" i="7"/>
  <c r="O127" i="7"/>
  <c r="O625" i="7"/>
  <c r="O8" i="7"/>
  <c r="M5" i="14" s="1"/>
  <c r="O149" i="7"/>
  <c r="R748" i="7"/>
  <c r="O54" i="7"/>
  <c r="O356" i="7"/>
  <c r="O272" i="7"/>
  <c r="O504" i="7"/>
  <c r="O170" i="7"/>
  <c r="O150" i="7"/>
  <c r="Q391" i="7"/>
  <c r="O580" i="7"/>
  <c r="O568" i="7"/>
  <c r="O520" i="7"/>
  <c r="O483" i="7"/>
  <c r="O274" i="7"/>
  <c r="O492" i="7"/>
  <c r="O95" i="7"/>
  <c r="O733" i="7"/>
  <c r="O695" i="7"/>
  <c r="O509" i="7"/>
  <c r="O26" i="7"/>
  <c r="O163" i="7"/>
  <c r="O420" i="7"/>
  <c r="O598" i="7"/>
  <c r="O744" i="7"/>
  <c r="O579" i="7"/>
  <c r="O698" i="7"/>
  <c r="O143" i="7"/>
  <c r="O346" i="7"/>
  <c r="O239" i="7"/>
  <c r="O543" i="7"/>
  <c r="O751" i="7"/>
  <c r="O304" i="7"/>
  <c r="O75" i="7"/>
  <c r="O586" i="7"/>
  <c r="O716" i="7"/>
  <c r="O499" i="7"/>
  <c r="O190" i="7"/>
  <c r="O180" i="7"/>
  <c r="O739" i="7"/>
  <c r="O619" i="7"/>
  <c r="O745" i="7"/>
  <c r="O688" i="7"/>
  <c r="O557" i="7"/>
  <c r="O708" i="7"/>
  <c r="O497" i="7"/>
  <c r="O752" i="7"/>
  <c r="O532" i="7"/>
  <c r="O397" i="7"/>
  <c r="O725" i="7"/>
  <c r="O554" i="7"/>
  <c r="O604" i="7"/>
  <c r="O465" i="7"/>
  <c r="O241" i="7"/>
  <c r="O548" i="7"/>
  <c r="O686" i="7"/>
  <c r="O628" i="7"/>
  <c r="O367" i="7"/>
  <c r="O729" i="7"/>
  <c r="O349" i="7"/>
  <c r="O599" i="7"/>
  <c r="O123" i="7"/>
  <c r="O323" i="7"/>
  <c r="O314" i="7"/>
  <c r="O670" i="7"/>
  <c r="O466" i="7"/>
  <c r="O571" i="7"/>
  <c r="O469" i="7"/>
  <c r="O508" i="7"/>
  <c r="O377" i="7"/>
  <c r="O189" i="7"/>
  <c r="O55" i="7"/>
  <c r="O181" i="7"/>
  <c r="O194" i="7"/>
  <c r="O562" i="7"/>
  <c r="O402" i="7"/>
  <c r="O129" i="7"/>
  <c r="O178" i="7"/>
  <c r="O59" i="7"/>
  <c r="O661" i="7"/>
  <c r="O205" i="7"/>
  <c r="O15" i="7"/>
  <c r="O355" i="7"/>
  <c r="O77" i="7"/>
  <c r="O238" i="7"/>
  <c r="O199" i="7"/>
  <c r="O623" i="7"/>
  <c r="R300" i="7"/>
  <c r="O681" i="7"/>
  <c r="O664" i="7"/>
  <c r="O646" i="7"/>
  <c r="O704" i="7"/>
  <c r="O334" i="7"/>
  <c r="O198" i="7"/>
  <c r="O622" i="7"/>
  <c r="O410" i="7"/>
  <c r="O569" i="7"/>
  <c r="O660" i="7"/>
  <c r="O398" i="7"/>
  <c r="O487" i="7"/>
  <c r="O394" i="7"/>
  <c r="O429" i="7"/>
  <c r="O638" i="7"/>
  <c r="O202" i="7"/>
  <c r="O175" i="7"/>
  <c r="O710" i="7"/>
  <c r="O452" i="7"/>
  <c r="O561" i="7"/>
  <c r="O588" i="7"/>
  <c r="O734" i="7"/>
  <c r="O451" i="7"/>
  <c r="O641" i="7"/>
  <c r="O448" i="7"/>
  <c r="O414" i="7"/>
  <c r="O84" i="7"/>
  <c r="O318" i="7"/>
  <c r="O88" i="7"/>
  <c r="O159" i="7"/>
  <c r="O114" i="7"/>
  <c r="O566" i="7"/>
  <c r="O21" i="7"/>
  <c r="O217" i="7"/>
  <c r="O17" i="7"/>
  <c r="O63" i="7"/>
  <c r="O174" i="7"/>
  <c r="O381" i="7"/>
  <c r="O233" i="7"/>
  <c r="O369" i="7"/>
  <c r="O415" i="7"/>
  <c r="O285" i="7"/>
  <c r="O521" i="7"/>
  <c r="O691" i="7"/>
  <c r="O585" i="7"/>
  <c r="R510" i="7"/>
  <c r="O747" i="7"/>
  <c r="O656" i="7"/>
  <c r="O611" i="7"/>
  <c r="O687" i="7"/>
  <c r="Q280" i="7"/>
  <c r="O519" i="7"/>
  <c r="O275" i="7"/>
  <c r="O485" i="7"/>
  <c r="O248" i="7"/>
  <c r="O679" i="7"/>
  <c r="O633" i="7"/>
  <c r="O423" i="7"/>
  <c r="O112" i="7"/>
  <c r="O183" i="7"/>
  <c r="O712" i="7"/>
  <c r="O592" i="7"/>
  <c r="O539" i="7"/>
  <c r="O608" i="7"/>
  <c r="O193" i="7"/>
  <c r="O546" i="7"/>
  <c r="O462" i="7"/>
  <c r="O424" i="7"/>
  <c r="O603" i="7"/>
  <c r="O449" i="7"/>
  <c r="O667" i="7"/>
  <c r="O450" i="7"/>
  <c r="O182" i="7"/>
  <c r="O256" i="7"/>
  <c r="O96" i="7"/>
  <c r="O494" i="7"/>
  <c r="O281" i="7"/>
  <c r="O422" i="7"/>
  <c r="O16" i="7"/>
  <c r="O259" i="7"/>
  <c r="O219" i="7"/>
  <c r="O50" i="7"/>
  <c r="O93" i="7"/>
  <c r="O45" i="7"/>
  <c r="O341" i="7"/>
  <c r="O635" i="7"/>
  <c r="O200" i="7"/>
  <c r="O102" i="7"/>
  <c r="O454" i="7"/>
  <c r="O693" i="7"/>
  <c r="O589" i="7"/>
  <c r="O474" i="7"/>
  <c r="R343" i="7"/>
  <c r="O697" i="7"/>
  <c r="O738" i="7"/>
  <c r="O690" i="7"/>
  <c r="O741" i="7"/>
  <c r="O567" i="7"/>
  <c r="O662" i="7"/>
  <c r="O701" i="7"/>
  <c r="O602" i="7"/>
  <c r="O439" i="7"/>
  <c r="O370" i="7"/>
  <c r="O672" i="7"/>
  <c r="O350" i="7"/>
  <c r="O440" i="7"/>
  <c r="O534" i="7"/>
  <c r="O484" i="7"/>
  <c r="O406" i="7"/>
  <c r="O645" i="7"/>
  <c r="O432" i="7"/>
  <c r="O176" i="7"/>
  <c r="O434" i="7"/>
  <c r="O368" i="7"/>
  <c r="O319" i="7"/>
  <c r="O507" i="7"/>
  <c r="O559" i="7"/>
  <c r="O428" i="7"/>
  <c r="O505" i="7"/>
  <c r="O147" i="7"/>
  <c r="O731" i="7"/>
  <c r="O296" i="7"/>
  <c r="O371" i="7"/>
  <c r="O29" i="7"/>
  <c r="O187" i="7"/>
  <c r="O22" i="7"/>
  <c r="O294" i="7"/>
  <c r="O461" i="7"/>
  <c r="O403" i="7"/>
  <c r="O138" i="7"/>
  <c r="O137" i="7"/>
  <c r="O253" i="7"/>
  <c r="O702" i="7"/>
  <c r="O25" i="7"/>
  <c r="O388" i="7"/>
  <c r="O735" i="7"/>
  <c r="O709" i="7"/>
  <c r="O714" i="7"/>
  <c r="O657" i="7"/>
  <c r="O717" i="7"/>
  <c r="O435" i="7"/>
  <c r="O392" i="7"/>
  <c r="O538" i="7"/>
  <c r="O290" i="7"/>
  <c r="O527" i="7"/>
  <c r="O535" i="7"/>
  <c r="O680" i="7"/>
  <c r="O637" i="7"/>
  <c r="O629" i="7"/>
  <c r="O486" i="7"/>
  <c r="O613" i="7"/>
  <c r="O374" i="7"/>
  <c r="O287" i="7"/>
  <c r="O267" i="7"/>
  <c r="O132" i="7"/>
  <c r="O480" i="7"/>
  <c r="O506" i="7"/>
  <c r="O493" i="7"/>
  <c r="O594" i="7"/>
  <c r="O266" i="7"/>
  <c r="O540" i="7"/>
  <c r="O317" i="7"/>
  <c r="O675" i="7"/>
  <c r="O295" i="7"/>
  <c r="O310" i="7"/>
  <c r="O203" i="7"/>
  <c r="O363" i="7"/>
  <c r="O268" i="7"/>
  <c r="O234" i="7"/>
  <c r="O442" i="7"/>
  <c r="O103" i="7"/>
  <c r="O226" i="7"/>
  <c r="O12" i="7"/>
  <c r="O46" i="7"/>
  <c r="O353" i="7"/>
  <c r="O82" i="7"/>
  <c r="O476" i="7"/>
  <c r="O130" i="7"/>
  <c r="O468" i="7"/>
  <c r="O677" i="7"/>
  <c r="O699" i="7"/>
  <c r="O728" i="7"/>
  <c r="O740" i="7"/>
  <c r="O488" i="7"/>
  <c r="O351" i="7"/>
  <c r="O624" i="7"/>
  <c r="O361" i="7"/>
  <c r="O647" i="7"/>
  <c r="O501" i="7"/>
  <c r="O550" i="7"/>
  <c r="O467" i="7"/>
  <c r="O251" i="7"/>
  <c r="O651" i="7"/>
  <c r="O518" i="7"/>
  <c r="O578" i="7"/>
  <c r="O553" i="7"/>
  <c r="O718" i="7"/>
  <c r="O517" i="7"/>
  <c r="O552" i="7"/>
  <c r="O706" i="7"/>
  <c r="O696" i="7"/>
  <c r="O331" i="7"/>
  <c r="O291" i="7"/>
  <c r="O583" i="7"/>
  <c r="O577" i="7"/>
  <c r="O678" i="7"/>
  <c r="O707" i="7"/>
  <c r="O601" i="7"/>
  <c r="O642" i="7"/>
  <c r="O128" i="7"/>
  <c r="O489" i="7"/>
  <c r="O57" i="7"/>
  <c r="O438" i="7"/>
  <c r="O107" i="7"/>
  <c r="O387" i="7"/>
  <c r="O105" i="7"/>
  <c r="O101" i="7"/>
  <c r="O235" i="7"/>
  <c r="O222" i="7"/>
  <c r="O300" i="7"/>
  <c r="O10" i="7"/>
  <c r="O252" i="7"/>
  <c r="O347" i="7"/>
  <c r="O228" i="7"/>
  <c r="O671" i="7"/>
  <c r="O231" i="7"/>
  <c r="O491" i="7"/>
  <c r="O685" i="7"/>
  <c r="O556" i="7"/>
  <c r="O65" i="7"/>
  <c r="O551" i="7"/>
  <c r="O437" i="7"/>
  <c r="O715" i="7"/>
  <c r="O524" i="7"/>
  <c r="O386" i="7"/>
  <c r="O640" i="7"/>
  <c r="O500" i="7"/>
  <c r="O593" i="7"/>
  <c r="O590" i="7"/>
  <c r="O644" i="7"/>
  <c r="O632" i="7"/>
  <c r="O525" i="7"/>
  <c r="O246" i="7"/>
  <c r="O669" i="7"/>
  <c r="O523" i="7"/>
  <c r="O547" i="7"/>
  <c r="O307" i="7"/>
  <c r="O463" i="7"/>
  <c r="O70" i="7"/>
  <c r="O297" i="7"/>
  <c r="O311" i="7"/>
  <c r="O416" i="7"/>
  <c r="O28" i="7"/>
  <c r="O254" i="7"/>
  <c r="O134" i="7"/>
  <c r="O151" i="7"/>
  <c r="O14" i="7"/>
  <c r="O229" i="7"/>
  <c r="O596" i="7"/>
  <c r="O64" i="7"/>
  <c r="O177" i="7"/>
  <c r="O610" i="7"/>
  <c r="O148" i="7"/>
  <c r="O514" i="7"/>
  <c r="N725" i="7"/>
  <c r="O726" i="7"/>
  <c r="O135" i="7"/>
  <c r="O366" i="7"/>
  <c r="O502" i="7"/>
  <c r="O92" i="7"/>
  <c r="O473" i="7"/>
  <c r="O206" i="7"/>
  <c r="O264" i="7"/>
  <c r="O213" i="7"/>
  <c r="O37" i="7"/>
  <c r="O684" i="7"/>
  <c r="O120" i="7"/>
  <c r="O247" i="7"/>
  <c r="O13" i="7"/>
  <c r="O60" i="7"/>
  <c r="O72" i="7"/>
  <c r="O44" i="7"/>
  <c r="O110" i="7"/>
  <c r="O581" i="7"/>
  <c r="O655" i="7"/>
  <c r="O305" i="7"/>
  <c r="O425" i="7"/>
  <c r="O43" i="7"/>
  <c r="O154" i="7"/>
  <c r="O250" i="7"/>
  <c r="O558" i="7"/>
  <c r="O212" i="7"/>
  <c r="O52" i="7"/>
  <c r="O126" i="7"/>
  <c r="O407" i="7"/>
  <c r="O61" i="7"/>
  <c r="O301" i="7"/>
  <c r="O262" i="7"/>
  <c r="O39" i="7"/>
  <c r="O49" i="7"/>
  <c r="O201" i="7"/>
  <c r="O3" i="7"/>
  <c r="O515" i="7"/>
  <c r="O42" i="7"/>
  <c r="O116" i="7"/>
  <c r="O322" i="7"/>
  <c r="O411" i="7"/>
  <c r="O654" i="7"/>
  <c r="O211" i="7"/>
  <c r="O156" i="7"/>
  <c r="O357" i="7"/>
  <c r="O389" i="7"/>
  <c r="O421" i="7"/>
  <c r="O444" i="7"/>
  <c r="O600" i="7"/>
  <c r="O541" i="7"/>
  <c r="O570" i="7"/>
  <c r="O615" i="7"/>
  <c r="O743" i="7"/>
  <c r="O133" i="7"/>
  <c r="O689" i="7"/>
  <c r="O401" i="7"/>
  <c r="O278" i="7"/>
  <c r="O510" i="7"/>
  <c r="O584" i="7"/>
  <c r="O722" i="7"/>
  <c r="O445" i="7"/>
  <c r="O621" i="7"/>
  <c r="O354" i="7"/>
  <c r="O555" i="7"/>
  <c r="O512" i="7"/>
  <c r="O269" i="7"/>
  <c r="O426" i="7"/>
  <c r="O260" i="7"/>
  <c r="O265" i="7"/>
  <c r="O653" i="7"/>
  <c r="O750" i="7"/>
  <c r="O436" i="7"/>
  <c r="O643" i="7"/>
  <c r="O385" i="7"/>
  <c r="O352" i="7"/>
  <c r="O379" i="7"/>
  <c r="O732" i="7"/>
  <c r="O330" i="7"/>
  <c r="O746" i="7"/>
  <c r="O531" i="7"/>
  <c r="O572" i="7"/>
  <c r="O338" i="7"/>
  <c r="O216" i="7"/>
  <c r="O113" i="7"/>
  <c r="O48" i="7"/>
  <c r="O574" i="7"/>
  <c r="O99" i="7"/>
  <c r="O447" i="7"/>
  <c r="O282" i="7"/>
  <c r="O91" i="7"/>
  <c r="O122" i="7"/>
  <c r="O157" i="7"/>
  <c r="O288" i="7"/>
  <c r="O173" i="7"/>
  <c r="O111" i="7"/>
  <c r="O79" i="7"/>
  <c r="O36" i="7"/>
  <c r="O196" i="7"/>
  <c r="O313" i="7"/>
  <c r="O375" i="7"/>
  <c r="O276" i="7"/>
  <c r="O4" i="7"/>
  <c r="O125" i="7"/>
  <c r="O218" i="7"/>
  <c r="O395" i="7"/>
  <c r="O263" i="7"/>
  <c r="O184" i="7"/>
  <c r="O40" i="7"/>
  <c r="O230" i="7"/>
  <c r="O327" i="7"/>
  <c r="O124" i="7"/>
  <c r="O713" i="7"/>
  <c r="O23" i="7"/>
  <c r="O136" i="7"/>
  <c r="O245" i="7"/>
  <c r="O164" i="7"/>
  <c r="O33" i="7"/>
  <c r="O648" i="7"/>
  <c r="O118" i="7"/>
  <c r="O67" i="7"/>
  <c r="O204" i="7"/>
  <c r="O100" i="7"/>
  <c r="O614" i="7"/>
  <c r="O271" i="7"/>
  <c r="O172" i="7"/>
  <c r="O19" i="7"/>
  <c r="O35" i="7"/>
  <c r="O419" i="7"/>
  <c r="O620" i="7"/>
  <c r="O694" i="7"/>
  <c r="O339" i="7"/>
  <c r="O627" i="7"/>
  <c r="O284" i="7"/>
  <c r="O754" i="7"/>
  <c r="O612" i="7"/>
  <c r="O306" i="7"/>
  <c r="O433" i="7"/>
  <c r="O459" i="7"/>
  <c r="O186" i="7"/>
  <c r="O237" i="7"/>
  <c r="O376" i="7"/>
  <c r="O503" i="7"/>
  <c r="O674" i="7"/>
  <c r="O383" i="7"/>
  <c r="O749" i="7"/>
  <c r="O404" i="7"/>
  <c r="O720" i="7"/>
  <c r="O320" i="7"/>
  <c r="O344" i="7"/>
  <c r="O665" i="7"/>
  <c r="O565" i="7"/>
  <c r="O478" i="7"/>
  <c r="O495" i="7"/>
  <c r="O332" i="7"/>
  <c r="O400" i="7"/>
  <c r="O607" i="7"/>
  <c r="O362" i="7"/>
  <c r="O443" i="7"/>
  <c r="O315" i="7"/>
  <c r="O639" i="7"/>
  <c r="O564" i="7"/>
  <c r="O537" i="7"/>
  <c r="O457" i="7"/>
  <c r="O755" i="7"/>
  <c r="O605" i="7"/>
  <c r="O609" i="7"/>
  <c r="O631" i="7"/>
  <c r="O242" i="7"/>
  <c r="O273" i="7"/>
  <c r="O299" i="7"/>
  <c r="O364" i="7"/>
  <c r="O232" i="7"/>
  <c r="O490" i="7"/>
  <c r="O513" i="7"/>
  <c r="O6" i="7"/>
  <c r="O244" i="7"/>
  <c r="O730" i="7"/>
  <c r="O455" i="7"/>
  <c r="O31" i="7"/>
  <c r="O58" i="7"/>
  <c r="O51" i="7"/>
  <c r="O71" i="7"/>
  <c r="O85" i="7"/>
  <c r="O236" i="7"/>
  <c r="O606" i="7"/>
  <c r="O108" i="7"/>
  <c r="O34" i="7"/>
  <c r="O89" i="7"/>
  <c r="O18" i="7"/>
  <c r="O279" i="7"/>
  <c r="O382" i="7"/>
  <c r="O270" i="7"/>
  <c r="O516" i="7"/>
  <c r="O106" i="7"/>
  <c r="O153" i="7"/>
  <c r="O62" i="7"/>
  <c r="O115" i="7"/>
  <c r="O475" i="7"/>
  <c r="O155" i="7"/>
  <c r="O302" i="7"/>
  <c r="O333" i="7"/>
  <c r="O161" i="7"/>
  <c r="O630" i="7"/>
  <c r="O83" i="7"/>
  <c r="O109" i="7"/>
  <c r="O286" i="7"/>
  <c r="O185" i="7"/>
  <c r="O460" i="7"/>
  <c r="O140" i="7"/>
  <c r="O289" i="7"/>
  <c r="O69" i="7"/>
  <c r="O30" i="7"/>
  <c r="O220" i="7"/>
  <c r="O618" i="7"/>
  <c r="O458" i="7"/>
  <c r="O283" i="7"/>
  <c r="O359" i="7"/>
  <c r="O412" i="7"/>
  <c r="O652" i="7"/>
  <c r="O396" i="7"/>
  <c r="O293" i="7"/>
  <c r="O496" i="7"/>
  <c r="O663" i="7"/>
  <c r="O298" i="7"/>
  <c r="O723" i="7"/>
  <c r="O167" i="7"/>
  <c r="O261" i="7"/>
  <c r="O560" i="7"/>
  <c r="O464" i="7"/>
  <c r="O292" i="7"/>
  <c r="O427" i="7"/>
  <c r="O197" i="7"/>
  <c r="O343" i="7"/>
  <c r="O324" i="7"/>
  <c r="O529" i="7"/>
  <c r="O522" i="7"/>
  <c r="O587" i="7"/>
  <c r="O724" i="7"/>
  <c r="O545" i="7"/>
  <c r="O325" i="7"/>
  <c r="O255" i="7"/>
  <c r="O542" i="7"/>
  <c r="O544" i="7"/>
  <c r="O441" i="7"/>
  <c r="O636" i="7"/>
  <c r="O38" i="7"/>
  <c r="O169" i="7"/>
  <c r="O53" i="7"/>
  <c r="O312" i="7"/>
  <c r="O328" i="7"/>
  <c r="O142" i="7"/>
  <c r="O215" i="7"/>
  <c r="O104" i="7"/>
  <c r="O258" i="7"/>
  <c r="O405" i="7"/>
  <c r="O90" i="7"/>
  <c r="O2" i="7"/>
  <c r="M4" i="14" s="1"/>
  <c r="O179" i="7"/>
  <c r="O162" i="7"/>
  <c r="O98" i="7"/>
  <c r="O378" i="7"/>
  <c r="O384" i="7"/>
  <c r="O472" i="7"/>
  <c r="O158" i="7"/>
  <c r="O76" i="7"/>
  <c r="O209" i="7"/>
  <c r="O139" i="7"/>
  <c r="O119" i="7"/>
  <c r="O340" i="7"/>
  <c r="O5" i="7"/>
  <c r="O227" i="7"/>
  <c r="O223" i="7"/>
  <c r="O20" i="7"/>
  <c r="O210" i="7"/>
  <c r="O446" i="7"/>
  <c r="O659" i="7"/>
  <c r="O146" i="7"/>
  <c r="O380" i="7"/>
  <c r="O73" i="7"/>
  <c r="O168" i="7"/>
  <c r="O188" i="7"/>
  <c r="O477" i="7"/>
  <c r="O56" i="7"/>
  <c r="O141" i="7"/>
  <c r="O165" i="7"/>
  <c r="O131" i="7"/>
  <c r="O358" i="7"/>
  <c r="O479" i="7"/>
  <c r="O80" i="7"/>
  <c r="O74" i="7"/>
  <c r="O303" i="7"/>
  <c r="O549" i="7"/>
  <c r="O471" i="7"/>
  <c r="O240" i="7"/>
  <c r="O533" i="7"/>
  <c r="O582" i="7"/>
  <c r="O719" i="7"/>
  <c r="O393" i="7"/>
  <c r="O595" i="7"/>
  <c r="O634" i="7"/>
  <c r="O365" i="7"/>
  <c r="O658" i="7"/>
  <c r="O528" i="7"/>
  <c r="O224" i="7"/>
  <c r="O617" i="7"/>
  <c r="O191" i="7"/>
  <c r="O417" i="7"/>
  <c r="O705" i="7"/>
  <c r="O277" i="7"/>
  <c r="O78" i="7"/>
  <c r="O97" i="7"/>
  <c r="O86" i="7"/>
  <c r="O249" i="7"/>
  <c r="O360" i="7"/>
  <c r="O326" i="7"/>
  <c r="O208" i="7"/>
  <c r="O121" i="7"/>
  <c r="O573" i="7"/>
  <c r="O413" i="7"/>
  <c r="O47" i="7"/>
  <c r="O27" i="7"/>
  <c r="O87" i="7"/>
  <c r="O94" i="7"/>
  <c r="O345" i="7"/>
  <c r="O336" i="7"/>
  <c r="O453" i="7"/>
  <c r="O576" i="7"/>
  <c r="O409" i="7"/>
  <c r="O68" i="7"/>
  <c r="O117" i="7"/>
  <c r="O9" i="7"/>
  <c r="O145" i="7"/>
  <c r="O321" i="7"/>
  <c r="O11" i="7"/>
  <c r="O309" i="7"/>
  <c r="O144" i="7"/>
  <c r="O81" i="7"/>
  <c r="O390" i="7"/>
  <c r="O456" i="7"/>
  <c r="O526" i="7"/>
  <c r="O166" i="7"/>
  <c r="O481" i="7"/>
  <c r="O257" i="7"/>
  <c r="O171" i="7"/>
  <c r="O316" i="7"/>
  <c r="O692" i="7"/>
  <c r="O214" i="7"/>
  <c r="O32" i="7"/>
  <c r="O66" i="7"/>
  <c r="O348" i="7"/>
  <c r="O748" i="7"/>
  <c r="O192" i="7"/>
  <c r="O7" i="7"/>
  <c r="O337" i="7"/>
  <c r="O160" i="7"/>
  <c r="O430" i="7"/>
  <c r="O511" i="7"/>
  <c r="O650" i="7"/>
  <c r="O649" i="7"/>
  <c r="O563" i="7"/>
  <c r="O342" i="7"/>
  <c r="O195" i="7"/>
  <c r="O591" i="7"/>
  <c r="O221" i="7"/>
  <c r="O308" i="7"/>
  <c r="O676" i="7"/>
  <c r="O742" i="7"/>
  <c r="O207" i="7"/>
  <c r="O575" i="7"/>
  <c r="O668" i="7"/>
  <c r="O225" i="7"/>
  <c r="O530" i="7"/>
  <c r="O711" i="7"/>
  <c r="O280" i="7"/>
  <c r="O498" i="7"/>
  <c r="O753" i="7"/>
  <c r="O626" i="7"/>
  <c r="O737" i="7"/>
  <c r="O418" i="7"/>
  <c r="O470" i="7"/>
  <c r="O391" i="7"/>
  <c r="O431" i="7"/>
  <c r="O373" i="7"/>
  <c r="O408" i="7"/>
  <c r="O682" i="7"/>
  <c r="O399" i="7"/>
  <c r="O482" i="7"/>
  <c r="O616" i="7"/>
  <c r="O372" i="7"/>
  <c r="O727" i="7"/>
  <c r="O721" i="7"/>
  <c r="O736" i="7"/>
  <c r="O335" i="7"/>
  <c r="O597" i="7"/>
  <c r="S74" i="7"/>
  <c r="H155" i="7"/>
  <c r="Q538" i="7"/>
  <c r="H668" i="7"/>
  <c r="S672" i="7"/>
  <c r="H613" i="7"/>
  <c r="S710" i="7"/>
  <c r="H710" i="7"/>
  <c r="H598" i="7"/>
  <c r="S655" i="7"/>
  <c r="H490" i="7"/>
  <c r="H283" i="7"/>
  <c r="S566" i="7"/>
  <c r="H114" i="7"/>
  <c r="S531" i="7"/>
  <c r="S92" i="7"/>
  <c r="H309" i="7"/>
  <c r="H158" i="7"/>
  <c r="H134" i="7"/>
  <c r="H428" i="7"/>
  <c r="H201" i="7"/>
  <c r="H573" i="7"/>
  <c r="H701" i="7"/>
  <c r="H450" i="7"/>
  <c r="H341" i="7"/>
  <c r="H189" i="7"/>
  <c r="H270" i="7"/>
  <c r="H735" i="7"/>
  <c r="H625" i="7"/>
  <c r="H562" i="7"/>
  <c r="H311" i="7"/>
  <c r="H274" i="7"/>
  <c r="H233" i="7"/>
  <c r="H722" i="7"/>
  <c r="H32" i="7"/>
  <c r="H402" i="7"/>
  <c r="H328" i="7"/>
  <c r="H117" i="7"/>
  <c r="H606" i="7"/>
  <c r="H445" i="7"/>
  <c r="H377" i="7"/>
  <c r="H236" i="7"/>
  <c r="H406" i="7"/>
  <c r="H228" i="7"/>
  <c r="H327" i="7"/>
  <c r="H157" i="7"/>
  <c r="H161" i="7"/>
  <c r="H287" i="7"/>
  <c r="H437" i="7"/>
  <c r="H204" i="7"/>
  <c r="H124" i="7"/>
  <c r="H487" i="7"/>
  <c r="H608" i="7"/>
  <c r="G325" i="7"/>
  <c r="G254" i="7"/>
  <c r="Q636" i="7"/>
  <c r="Q529" i="7"/>
  <c r="Q65" i="7"/>
  <c r="Q476" i="7"/>
  <c r="Q135" i="7"/>
  <c r="Q696" i="7"/>
  <c r="Q169" i="7"/>
  <c r="Q207" i="7"/>
  <c r="Q103" i="7"/>
  <c r="Q543" i="7"/>
  <c r="Q738" i="7"/>
  <c r="Q368" i="7"/>
  <c r="Q77" i="7"/>
  <c r="Q521" i="7"/>
  <c r="Q474" i="7"/>
  <c r="Q561" i="7"/>
  <c r="S494" i="7"/>
  <c r="N246" i="7"/>
  <c r="J4" i="14"/>
  <c r="S17" i="7"/>
  <c r="G356" i="7"/>
  <c r="S250" i="7"/>
  <c r="S546" i="7"/>
  <c r="S694" i="7"/>
  <c r="S469" i="7"/>
  <c r="S99" i="7"/>
  <c r="S657" i="7"/>
  <c r="S646" i="7"/>
  <c r="S602" i="7"/>
  <c r="S573" i="7"/>
  <c r="S343" i="7"/>
  <c r="S155" i="7"/>
  <c r="S248" i="7"/>
  <c r="S125" i="7"/>
  <c r="S714" i="7"/>
  <c r="S741" i="7"/>
  <c r="S667" i="7"/>
  <c r="S636" i="7"/>
  <c r="S319" i="7"/>
  <c r="S749" i="7"/>
  <c r="S157" i="7"/>
  <c r="S57" i="7"/>
  <c r="S238" i="7"/>
  <c r="S22" i="7"/>
  <c r="G269" i="7"/>
  <c r="S679" i="7"/>
  <c r="S594" i="7"/>
  <c r="S416" i="7"/>
  <c r="S30" i="7"/>
  <c r="S190" i="7"/>
  <c r="S498" i="7"/>
  <c r="S669" i="7"/>
  <c r="S526" i="7"/>
  <c r="S288" i="7"/>
  <c r="S398" i="7"/>
  <c r="S485" i="7"/>
  <c r="S373" i="7"/>
  <c r="S310" i="7"/>
  <c r="S753" i="7"/>
  <c r="S453" i="7"/>
  <c r="S528" i="7"/>
  <c r="S315" i="7"/>
  <c r="S58" i="7"/>
  <c r="K61" i="26"/>
  <c r="Q705" i="7"/>
  <c r="Q382" i="7"/>
  <c r="Q608" i="7"/>
  <c r="Q398" i="7"/>
  <c r="Q254" i="7"/>
  <c r="Q424" i="7"/>
  <c r="Q345" i="7"/>
  <c r="Q198" i="7"/>
  <c r="Q218" i="7"/>
  <c r="H187" i="7"/>
  <c r="H184" i="7"/>
  <c r="H82" i="7"/>
  <c r="H31" i="7"/>
  <c r="H72" i="7"/>
  <c r="H596" i="7"/>
  <c r="H364" i="7"/>
  <c r="H223" i="7"/>
  <c r="H419" i="7"/>
  <c r="H51" i="7"/>
  <c r="H397" i="7"/>
  <c r="H525" i="7"/>
  <c r="H213" i="7"/>
  <c r="H218" i="7"/>
  <c r="H200" i="7"/>
  <c r="H76" i="7"/>
  <c r="H141" i="7"/>
  <c r="H360" i="7"/>
  <c r="H442" i="7"/>
  <c r="H455" i="7"/>
  <c r="H294" i="7"/>
  <c r="H384" i="7"/>
  <c r="H39" i="7"/>
  <c r="H494" i="7"/>
  <c r="H110" i="7"/>
  <c r="H321" i="7"/>
  <c r="H6" i="7"/>
  <c r="H593" i="7"/>
  <c r="H345" i="7"/>
  <c r="H381" i="7"/>
  <c r="H567" i="7"/>
  <c r="H584" i="7"/>
  <c r="H599" i="7"/>
  <c r="H700" i="7"/>
  <c r="H538" i="7"/>
  <c r="H677" i="7"/>
  <c r="H460" i="7"/>
  <c r="H689" i="7"/>
  <c r="H246" i="7"/>
  <c r="H483" i="7"/>
  <c r="H742" i="7"/>
  <c r="H542" i="7"/>
  <c r="H533" i="7"/>
  <c r="Q694" i="7"/>
  <c r="Q250" i="7"/>
  <c r="Q700" i="7"/>
  <c r="Q469" i="7"/>
  <c r="Q587" i="7"/>
  <c r="Q278" i="7"/>
  <c r="Q55" i="7"/>
  <c r="H444" i="7"/>
  <c r="H128" i="7"/>
  <c r="H138" i="7"/>
  <c r="H58" i="7"/>
  <c r="H448" i="7"/>
  <c r="H509" i="7"/>
  <c r="H571" i="7"/>
  <c r="H147" i="7"/>
  <c r="H372" i="7"/>
  <c r="H355" i="7"/>
  <c r="H153" i="7"/>
  <c r="H174" i="7"/>
  <c r="H407" i="7"/>
  <c r="H59" i="7"/>
  <c r="H116" i="7"/>
  <c r="H113" i="7"/>
  <c r="H244" i="7"/>
  <c r="H115" i="7"/>
  <c r="H98" i="7"/>
  <c r="H188" i="7"/>
  <c r="H18" i="7"/>
  <c r="H160" i="7"/>
  <c r="H242" i="7"/>
  <c r="H415" i="7"/>
  <c r="H263" i="7"/>
  <c r="H259" i="7"/>
  <c r="H212" i="7"/>
  <c r="H370" i="7"/>
  <c r="H378" i="7"/>
  <c r="H45" i="7"/>
  <c r="H371" i="7"/>
  <c r="H119" i="7"/>
  <c r="H301" i="7"/>
  <c r="H388" i="7"/>
  <c r="H696" i="7"/>
  <c r="H193" i="7"/>
  <c r="H353" i="7"/>
  <c r="H12" i="7"/>
  <c r="H653" i="7"/>
  <c r="H561" i="7"/>
  <c r="H679" i="7"/>
  <c r="H325" i="7"/>
  <c r="H284" i="7"/>
  <c r="H530" i="7"/>
  <c r="H577" i="7"/>
  <c r="Q728" i="7"/>
  <c r="Q367" i="7"/>
  <c r="Q485" i="7"/>
  <c r="Q630" i="7"/>
  <c r="Q546" i="7"/>
  <c r="Q231" i="7"/>
  <c r="Q38" i="7"/>
  <c r="Q433" i="7"/>
  <c r="H286" i="7"/>
  <c r="H390" i="7"/>
  <c r="H109" i="7"/>
  <c r="H13" i="7"/>
  <c r="H479" i="7"/>
  <c r="H112" i="7"/>
  <c r="H547" i="7"/>
  <c r="H9" i="7"/>
  <c r="H315" i="7"/>
  <c r="H514" i="7"/>
  <c r="H111" i="7"/>
  <c r="H46" i="7"/>
  <c r="H172" i="7"/>
  <c r="H10" i="7"/>
  <c r="H15" i="7"/>
  <c r="H8" i="7"/>
  <c r="H215" i="7"/>
  <c r="H30" i="7"/>
  <c r="H69" i="7"/>
  <c r="H86" i="7"/>
  <c r="H17" i="7"/>
  <c r="H279" i="7"/>
  <c r="H409" i="7"/>
  <c r="H178" i="7"/>
  <c r="H162" i="7"/>
  <c r="H142" i="7"/>
  <c r="H55" i="7"/>
  <c r="H282" i="7"/>
  <c r="H108" i="7"/>
  <c r="H298" i="7"/>
  <c r="H126" i="7"/>
  <c r="H120" i="7"/>
  <c r="H671" i="7"/>
  <c r="H273" i="7"/>
  <c r="H410" i="7"/>
  <c r="H459" i="7"/>
  <c r="H540" i="7"/>
  <c r="H389" i="7"/>
  <c r="H703" i="7"/>
  <c r="H497" i="7"/>
  <c r="H350" i="7"/>
  <c r="H307" i="7"/>
  <c r="H512" i="7"/>
  <c r="H661" i="7"/>
  <c r="H477" i="7"/>
  <c r="H297" i="7"/>
  <c r="H332" i="7"/>
  <c r="Q225" i="7"/>
  <c r="H225" i="7"/>
  <c r="Q246" i="7"/>
  <c r="Q413" i="7"/>
  <c r="Q123" i="7"/>
  <c r="Q615" i="7"/>
  <c r="Q399" i="7"/>
  <c r="Q428" i="7"/>
  <c r="Q364" i="7"/>
  <c r="Q82" i="7"/>
  <c r="J5" i="14"/>
  <c r="H146" i="7"/>
  <c r="H145" i="7"/>
  <c r="H366" i="7"/>
  <c r="H177" i="7"/>
  <c r="H23" i="7"/>
  <c r="H595" i="7"/>
  <c r="H148" i="7"/>
  <c r="H78" i="7"/>
  <c r="H694" i="7"/>
  <c r="H27" i="7"/>
  <c r="H107" i="7"/>
  <c r="H481" i="7"/>
  <c r="H127" i="7"/>
  <c r="H20" i="7"/>
  <c r="H521" i="7"/>
  <c r="H464" i="7"/>
  <c r="H179" i="7"/>
  <c r="H333" i="7"/>
  <c r="H52" i="7"/>
  <c r="H280" i="7"/>
  <c r="H589" i="7"/>
  <c r="H210" i="7"/>
  <c r="H137" i="7"/>
  <c r="H349" i="7"/>
  <c r="H651" i="7"/>
  <c r="H250" i="7"/>
  <c r="H414" i="7"/>
  <c r="H227" i="7"/>
  <c r="H88" i="7"/>
  <c r="H401" i="7"/>
  <c r="H21" i="7"/>
  <c r="H302" i="7"/>
  <c r="H713" i="7"/>
  <c r="H331" i="7"/>
  <c r="H616" i="7"/>
  <c r="H543" i="7"/>
  <c r="H523" i="7"/>
  <c r="H281" i="7"/>
  <c r="H398" i="7"/>
  <c r="H493" i="7"/>
  <c r="H449" i="7"/>
  <c r="H546" i="7"/>
  <c r="H650" i="7"/>
  <c r="H707" i="7"/>
  <c r="H387" i="7"/>
  <c r="H431" i="7"/>
  <c r="H506" i="7"/>
  <c r="H123" i="7"/>
  <c r="H221" i="7"/>
  <c r="H269" i="7"/>
  <c r="Q443" i="7"/>
  <c r="Q548" i="7"/>
  <c r="Q686" i="7"/>
  <c r="Q132" i="7"/>
  <c r="Q607" i="7"/>
  <c r="Q456" i="7"/>
  <c r="Q365" i="7"/>
  <c r="Q18" i="7"/>
  <c r="Q158" i="7"/>
  <c r="H208" i="7"/>
  <c r="H295" i="7"/>
  <c r="H49" i="7"/>
  <c r="H234" i="7"/>
  <c r="H87" i="7"/>
  <c r="H747" i="7"/>
  <c r="H163" i="7"/>
  <c r="H336" i="7"/>
  <c r="H741" i="7"/>
  <c r="H11" i="7"/>
  <c r="H60" i="7"/>
  <c r="H380" i="7"/>
  <c r="H41" i="7"/>
  <c r="H306" i="7"/>
  <c r="H346" i="7"/>
  <c r="H337" i="7"/>
  <c r="H57" i="7"/>
  <c r="H164" i="7"/>
  <c r="H22" i="7"/>
  <c r="H411" i="7"/>
  <c r="H243" i="7"/>
  <c r="H67" i="7"/>
  <c r="H502" i="7"/>
  <c r="H248" i="7"/>
  <c r="H237" i="7"/>
  <c r="H422" i="7"/>
  <c r="H317" i="7"/>
  <c r="H375" i="7"/>
  <c r="H71" i="7"/>
  <c r="H369" i="7"/>
  <c r="H104" i="7"/>
  <c r="H149" i="7"/>
  <c r="H686" i="7"/>
  <c r="H38" i="7"/>
  <c r="H168" i="7"/>
  <c r="H565" i="7"/>
  <c r="H560" i="7"/>
  <c r="H365" i="7"/>
  <c r="H697" i="7"/>
  <c r="H640" i="7"/>
  <c r="H749" i="7"/>
  <c r="H507" i="7"/>
  <c r="H624" i="7"/>
  <c r="H576" i="7"/>
  <c r="H534" i="7"/>
  <c r="H462" i="7"/>
  <c r="H751" i="7"/>
  <c r="H392" i="7"/>
  <c r="H652" i="7"/>
  <c r="H725" i="7"/>
  <c r="Q133" i="7"/>
  <c r="Q601" i="7"/>
  <c r="Q463" i="7"/>
  <c r="Q591" i="7"/>
  <c r="Q598" i="7"/>
  <c r="Q321" i="7"/>
  <c r="Q28" i="7"/>
  <c r="H203" i="7"/>
  <c r="H536" i="7"/>
  <c r="H85" i="7"/>
  <c r="H94" i="7"/>
  <c r="H91" i="7"/>
  <c r="H499" i="7"/>
  <c r="H399" i="7"/>
  <c r="H44" i="7"/>
  <c r="H691" i="7"/>
  <c r="H214" i="7"/>
  <c r="H14" i="7"/>
  <c r="H170" i="7"/>
  <c r="H335" i="7"/>
  <c r="H159" i="7"/>
  <c r="H247" i="7"/>
  <c r="H74" i="7"/>
  <c r="H391" i="7"/>
  <c r="H199" i="7"/>
  <c r="H65" i="7"/>
  <c r="H129" i="7"/>
  <c r="H723" i="7"/>
  <c r="H101" i="7"/>
  <c r="H37" i="7"/>
  <c r="H454" i="7"/>
  <c r="H635" i="7"/>
  <c r="H96" i="7"/>
  <c r="H209" i="7"/>
  <c r="H89" i="7"/>
  <c r="H154" i="7"/>
  <c r="H196" i="7"/>
  <c r="H130" i="7"/>
  <c r="H329" i="7"/>
  <c r="H235" i="7"/>
  <c r="H396" i="7"/>
  <c r="H171" i="7"/>
  <c r="H733" i="7"/>
  <c r="H688" i="7"/>
  <c r="H524" i="7"/>
  <c r="H249" i="7"/>
  <c r="H572" i="7"/>
  <c r="H421" i="7"/>
  <c r="H310" i="7"/>
  <c r="H634" i="7"/>
  <c r="H241" i="7"/>
  <c r="H505" i="7"/>
  <c r="H211" i="7"/>
  <c r="H125" i="7"/>
  <c r="H265" i="7"/>
  <c r="H118" i="7"/>
  <c r="H40" i="7"/>
  <c r="H131" i="7"/>
  <c r="H456" i="7"/>
  <c r="H77" i="7"/>
  <c r="H61" i="7"/>
  <c r="H504" i="7"/>
  <c r="H268" i="7"/>
  <c r="H79" i="7"/>
  <c r="H100" i="7"/>
  <c r="H277" i="7"/>
  <c r="H285" i="7"/>
  <c r="H166" i="7"/>
  <c r="H338" i="7"/>
  <c r="H260" i="7"/>
  <c r="H93" i="7"/>
  <c r="H197" i="7"/>
  <c r="H262" i="7"/>
  <c r="H231" i="7"/>
  <c r="H84" i="7"/>
  <c r="H33" i="7"/>
  <c r="H83" i="7"/>
  <c r="H245" i="7"/>
  <c r="H403" i="7"/>
  <c r="H106" i="7"/>
  <c r="H53" i="7"/>
  <c r="H19" i="7"/>
  <c r="H458" i="7"/>
  <c r="H173" i="7"/>
  <c r="H290" i="7"/>
  <c r="H348" i="7"/>
  <c r="H379" i="7"/>
  <c r="H739" i="7"/>
  <c r="H618" i="7"/>
  <c r="H400" i="7"/>
  <c r="H582" i="7"/>
  <c r="H684" i="7"/>
  <c r="H553" i="7"/>
  <c r="H730" i="7"/>
  <c r="H549" i="7"/>
  <c r="H132" i="7"/>
  <c r="H678" i="7"/>
  <c r="N447" i="7"/>
  <c r="N597" i="7"/>
  <c r="N473" i="7"/>
  <c r="N148" i="7"/>
  <c r="N640" i="7"/>
  <c r="N668" i="7"/>
  <c r="N711" i="7"/>
  <c r="N617" i="7"/>
  <c r="N661" i="7"/>
  <c r="N314" i="7"/>
  <c r="N648" i="7"/>
  <c r="N376" i="7"/>
  <c r="N645" i="7"/>
  <c r="N703" i="7"/>
  <c r="N272" i="7"/>
  <c r="N429" i="7"/>
  <c r="N522" i="7"/>
  <c r="N121" i="7"/>
  <c r="N247" i="7"/>
  <c r="N129" i="7"/>
  <c r="N480" i="7"/>
  <c r="N315" i="7"/>
  <c r="N573" i="7"/>
  <c r="N680" i="7"/>
  <c r="N421" i="7"/>
  <c r="N716" i="7"/>
  <c r="N654" i="7"/>
  <c r="N374" i="7"/>
  <c r="N713" i="7"/>
  <c r="N541" i="7"/>
  <c r="N439" i="7"/>
  <c r="N451" i="7"/>
  <c r="N650" i="7"/>
  <c r="N345" i="7"/>
  <c r="N455" i="7"/>
  <c r="N413" i="7"/>
  <c r="N487" i="7"/>
  <c r="N678" i="7"/>
  <c r="N418" i="7"/>
  <c r="N483" i="7"/>
  <c r="N143" i="7"/>
  <c r="N735" i="7"/>
  <c r="N598" i="7"/>
  <c r="N301" i="7"/>
  <c r="N433" i="7"/>
  <c r="N495" i="7"/>
  <c r="N520" i="7"/>
  <c r="N386" i="7"/>
  <c r="N543" i="7"/>
  <c r="N325" i="7"/>
  <c r="N470" i="7"/>
  <c r="N644" i="7"/>
  <c r="N614" i="7"/>
  <c r="N404" i="7"/>
  <c r="N579" i="7"/>
  <c r="N536" i="7"/>
  <c r="N604" i="7"/>
  <c r="N215" i="7"/>
  <c r="N299" i="7"/>
  <c r="N333" i="7"/>
  <c r="N319" i="7"/>
  <c r="N652" i="7"/>
  <c r="N283" i="7"/>
  <c r="N462" i="7"/>
  <c r="N61" i="7"/>
  <c r="N218" i="7"/>
  <c r="N707" i="7"/>
  <c r="N519" i="7"/>
  <c r="N269" i="7"/>
  <c r="N740" i="7"/>
  <c r="N350" i="7"/>
  <c r="N406" i="7"/>
  <c r="N362" i="7"/>
  <c r="N595" i="7"/>
  <c r="N590" i="7"/>
  <c r="N329" i="7"/>
  <c r="N635" i="7"/>
  <c r="N237" i="7"/>
  <c r="N502" i="7"/>
  <c r="N165" i="7"/>
  <c r="N57" i="7"/>
  <c r="N28" i="7"/>
  <c r="N752" i="7"/>
  <c r="N580" i="7"/>
  <c r="N531" i="7"/>
  <c r="N681" i="7"/>
  <c r="N623" i="7"/>
  <c r="N697" i="7"/>
  <c r="N685" i="7"/>
  <c r="N636" i="7"/>
  <c r="N184" i="7"/>
  <c r="N128" i="7"/>
  <c r="N381" i="7"/>
  <c r="N25" i="7"/>
  <c r="N14" i="7"/>
  <c r="N107" i="7"/>
  <c r="N354" i="7"/>
  <c r="N166" i="7"/>
  <c r="N311" i="7"/>
  <c r="N4" i="7"/>
  <c r="N125" i="7"/>
  <c r="N390" i="7"/>
  <c r="N41" i="7"/>
  <c r="N463" i="7"/>
  <c r="N505" i="7"/>
  <c r="N377" i="7"/>
  <c r="N230" i="7"/>
  <c r="N12" i="7"/>
  <c r="N131" i="7"/>
  <c r="N47" i="7"/>
  <c r="N561" i="7"/>
  <c r="N151" i="7"/>
  <c r="N59" i="7"/>
  <c r="N257" i="7"/>
  <c r="N318" i="7"/>
  <c r="N277" i="7"/>
  <c r="N521" i="7"/>
  <c r="N68" i="7"/>
  <c r="N96" i="7"/>
  <c r="N244" i="7"/>
  <c r="N472" i="7"/>
  <c r="N142" i="7"/>
  <c r="N223" i="7"/>
  <c r="N454" i="7"/>
  <c r="N236" i="7"/>
  <c r="N518" i="7"/>
  <c r="N27" i="7"/>
  <c r="N102" i="7"/>
  <c r="N282" i="7"/>
  <c r="N110" i="7"/>
  <c r="N430" i="7"/>
  <c r="N332" i="7"/>
  <c r="N309" i="7"/>
  <c r="N162" i="7"/>
  <c r="N458" i="7"/>
  <c r="N16" i="7"/>
  <c r="N262" i="7"/>
  <c r="N186" i="7"/>
  <c r="N506" i="7"/>
  <c r="N410" i="7"/>
  <c r="N539" i="7"/>
  <c r="N360" i="7"/>
  <c r="N562" i="7"/>
  <c r="N112" i="7"/>
  <c r="N440" i="7"/>
  <c r="N202" i="7"/>
  <c r="N395" i="7"/>
  <c r="N651" i="7"/>
  <c r="N616" i="7"/>
  <c r="N629" i="7"/>
  <c r="N456" i="7"/>
  <c r="N600" i="7"/>
  <c r="N728" i="7"/>
  <c r="N609" i="7"/>
  <c r="N488" i="7"/>
  <c r="N465" i="7"/>
  <c r="N714" i="7"/>
  <c r="N746" i="7"/>
  <c r="N572" i="7"/>
  <c r="N699" i="7"/>
  <c r="N547" i="7"/>
  <c r="N693" i="7"/>
  <c r="N516" i="7"/>
  <c r="N357" i="7"/>
  <c r="N205" i="7"/>
  <c r="N104" i="7"/>
  <c r="N145" i="7"/>
  <c r="N281" i="7"/>
  <c r="N298" i="7"/>
  <c r="N422" i="7"/>
  <c r="N141" i="7"/>
  <c r="N21" i="7"/>
  <c r="N105" i="7"/>
  <c r="N3" i="7"/>
  <c r="N31" i="7"/>
  <c r="N477" i="7"/>
  <c r="N214" i="7"/>
  <c r="N58" i="7"/>
  <c r="N153" i="7"/>
  <c r="N36" i="7"/>
  <c r="N188" i="7"/>
  <c r="N72" i="7"/>
  <c r="N260" i="7"/>
  <c r="N84" i="7"/>
  <c r="N46" i="7"/>
  <c r="N203" i="7"/>
  <c r="N160" i="7"/>
  <c r="N405" i="7"/>
  <c r="N5" i="7"/>
  <c r="N229" i="7"/>
  <c r="N182" i="7"/>
  <c r="N174" i="7"/>
  <c r="N387" i="7"/>
  <c r="N177" i="7"/>
  <c r="N144" i="7"/>
  <c r="N657" i="7"/>
  <c r="N589" i="7"/>
  <c r="N709" i="7"/>
  <c r="N313" i="7"/>
  <c r="N83" i="7"/>
  <c r="N79" i="7"/>
  <c r="N178" i="7"/>
  <c r="N170" i="7"/>
  <c r="N120" i="7"/>
  <c r="N525" i="7"/>
  <c r="N219" i="7"/>
  <c r="N212" i="7"/>
  <c r="N126" i="7"/>
  <c r="N407" i="7"/>
  <c r="N161" i="7"/>
  <c r="N173" i="7"/>
  <c r="N718" i="7"/>
  <c r="N475" i="7"/>
  <c r="N77" i="7"/>
  <c r="N402" i="7"/>
  <c r="N62" i="7"/>
  <c r="N414" i="7"/>
  <c r="N294" i="7"/>
  <c r="N344" i="7"/>
  <c r="N156" i="7"/>
  <c r="N179" i="7"/>
  <c r="N181" i="7"/>
  <c r="N300" i="7"/>
  <c r="N26" i="7"/>
  <c r="N222" i="7"/>
  <c r="N389" i="7"/>
  <c r="N56" i="7"/>
  <c r="N399" i="7"/>
  <c r="N252" i="7"/>
  <c r="N6" i="7"/>
  <c r="N10" i="7"/>
  <c r="N66" i="7"/>
  <c r="N195" i="7"/>
  <c r="N276" i="7"/>
  <c r="N130" i="7"/>
  <c r="N11" i="7"/>
  <c r="N446" i="7"/>
  <c r="N731" i="7"/>
  <c r="N158" i="7"/>
  <c r="N108" i="7"/>
  <c r="N208" i="7"/>
  <c r="N20" i="7"/>
  <c r="N235" i="7"/>
  <c r="N310" i="7"/>
  <c r="N291" i="7"/>
  <c r="N133" i="7"/>
  <c r="N469" i="7"/>
  <c r="N503" i="7"/>
  <c r="N504" i="7"/>
  <c r="N730" i="7"/>
  <c r="N486" i="7"/>
  <c r="N628" i="7"/>
  <c r="N750" i="7"/>
  <c r="N122" i="7"/>
  <c r="N567" i="7"/>
  <c r="N591" i="7"/>
  <c r="N695" i="7"/>
  <c r="N621" i="7"/>
  <c r="N684" i="7"/>
  <c r="N605" i="7"/>
  <c r="N224" i="7"/>
  <c r="N501" i="7"/>
  <c r="N688" i="7"/>
  <c r="N708" i="7"/>
  <c r="N719" i="7"/>
  <c r="N474" i="7"/>
  <c r="N342" i="7"/>
  <c r="N491" i="7"/>
  <c r="N717" i="7"/>
  <c r="N468" i="7"/>
  <c r="N583" i="7"/>
  <c r="N101" i="7"/>
  <c r="N304" i="7"/>
  <c r="N71" i="7"/>
  <c r="N154" i="7"/>
  <c r="N189" i="7"/>
  <c r="N363" i="7"/>
  <c r="N324" i="7"/>
  <c r="N38" i="7"/>
  <c r="N216" i="7"/>
  <c r="N209" i="7"/>
  <c r="N327" i="7"/>
  <c r="N124" i="7"/>
  <c r="N92" i="7"/>
  <c r="N383" i="7"/>
  <c r="N55" i="7"/>
  <c r="N264" i="7"/>
  <c r="N2" i="7"/>
  <c r="N171" i="7"/>
  <c r="N238" i="7"/>
  <c r="N211" i="7"/>
  <c r="N637" i="7"/>
  <c r="N199" i="7"/>
  <c r="N87" i="7"/>
  <c r="N201" i="7"/>
  <c r="N364" i="7"/>
  <c r="N353" i="7"/>
  <c r="N78" i="7"/>
  <c r="N425" i="7"/>
  <c r="N482" i="7"/>
  <c r="N37" i="7"/>
  <c r="N620" i="7"/>
  <c r="N581" i="7"/>
  <c r="N97" i="7"/>
  <c r="N30" i="7"/>
  <c r="N226" i="7"/>
  <c r="N368" i="7"/>
  <c r="N321" i="7"/>
  <c r="N86" i="7"/>
  <c r="N118" i="7"/>
  <c r="N323" i="7"/>
  <c r="N409" i="7"/>
  <c r="N7" i="7"/>
  <c r="N448" i="7"/>
  <c r="N53" i="7"/>
  <c r="N316" i="7"/>
  <c r="N287" i="7"/>
  <c r="N530" i="7"/>
  <c r="N511" i="7"/>
  <c r="N307" i="7"/>
  <c r="N261" i="7"/>
  <c r="N641" i="7"/>
  <c r="N743" i="7"/>
  <c r="N337" i="7"/>
  <c r="N240" i="7"/>
  <c r="N352" i="7"/>
  <c r="N499" i="7"/>
  <c r="N596" i="7"/>
  <c r="N457" i="7"/>
  <c r="N207" i="7"/>
  <c r="N398" i="7"/>
  <c r="N674" i="7"/>
  <c r="N340" i="7"/>
  <c r="N691" i="7"/>
  <c r="N512" i="7"/>
  <c r="N266" i="7"/>
  <c r="N664" i="7"/>
  <c r="N744" i="7"/>
  <c r="N571" i="7"/>
  <c r="N361" i="7"/>
  <c r="N656" i="7"/>
  <c r="N690" i="7"/>
  <c r="N738" i="7"/>
  <c r="N619" i="7"/>
  <c r="N585" i="7"/>
  <c r="N380" i="7"/>
  <c r="N89" i="7"/>
  <c r="N18" i="7"/>
  <c r="N279" i="7"/>
  <c r="N23" i="7"/>
  <c r="N358" i="7"/>
  <c r="N534" i="7"/>
  <c r="N136" i="7"/>
  <c r="N231" i="7"/>
  <c r="N403" i="7"/>
  <c r="N85" i="7"/>
  <c r="N348" i="7"/>
  <c r="N371" i="7"/>
  <c r="N638" i="7"/>
  <c r="N67" i="7"/>
  <c r="N149" i="7"/>
  <c r="N134" i="7"/>
  <c r="N159" i="7"/>
  <c r="N34" i="7"/>
  <c r="N476" i="7"/>
  <c r="N479" i="7"/>
  <c r="N366" i="7"/>
  <c r="N341" i="7"/>
  <c r="N411" i="7"/>
  <c r="N187" i="7"/>
  <c r="N391" i="7"/>
  <c r="N415" i="7"/>
  <c r="N69" i="7"/>
  <c r="N274" i="7"/>
  <c r="N328" i="7"/>
  <c r="N555" i="7"/>
  <c r="N40" i="7"/>
  <c r="N74" i="7"/>
  <c r="N285" i="7"/>
  <c r="N492" i="7"/>
  <c r="N288" i="7"/>
  <c r="N49" i="7"/>
  <c r="N9" i="7"/>
  <c r="N150" i="7"/>
  <c r="N138" i="7"/>
  <c r="N577" i="7"/>
  <c r="N347" i="7"/>
  <c r="N662" i="7"/>
  <c r="N394" i="7"/>
  <c r="N666" i="7"/>
  <c r="N686" i="7"/>
  <c r="N481" i="7"/>
  <c r="N103" i="7"/>
  <c r="N163" i="7"/>
  <c r="N33" i="7"/>
  <c r="N42" i="7"/>
  <c r="N526" i="7"/>
  <c r="N625" i="7"/>
  <c r="N155" i="7"/>
  <c r="N176" i="7"/>
  <c r="N50" i="7"/>
  <c r="N268" i="7"/>
  <c r="N197" i="7"/>
  <c r="N220" i="7"/>
  <c r="N367" i="7"/>
  <c r="N172" i="7"/>
  <c r="N24" i="7"/>
  <c r="N164" i="7"/>
  <c r="N146" i="7"/>
  <c r="N60" i="7"/>
  <c r="N549" i="7"/>
  <c r="N192" i="7"/>
  <c r="N127" i="7"/>
  <c r="N29" i="7"/>
  <c r="N168" i="7"/>
  <c r="N13" i="7"/>
  <c r="N527" i="7"/>
  <c r="N52" i="7"/>
  <c r="N286" i="7"/>
  <c r="N303" i="7"/>
  <c r="N606" i="7"/>
  <c r="N99" i="7"/>
  <c r="N106" i="7"/>
  <c r="N147" i="7"/>
  <c r="N35" i="7"/>
  <c r="N592" i="7"/>
  <c r="N574" i="7"/>
  <c r="N245" i="7"/>
  <c r="N113" i="7"/>
  <c r="N75" i="7"/>
  <c r="N254" i="7"/>
  <c r="N528" i="7"/>
  <c r="N63" i="7"/>
  <c r="N322" i="7"/>
  <c r="N98" i="7"/>
  <c r="N378" i="7"/>
  <c r="N375" i="7"/>
  <c r="N665" i="7"/>
  <c r="N565" i="7"/>
  <c r="N710" i="7"/>
  <c r="N250" i="7"/>
  <c r="N450" i="7"/>
  <c r="N689" i="7"/>
  <c r="N193" i="7"/>
  <c r="N663" i="7"/>
  <c r="N715" i="7"/>
  <c r="N612" i="7"/>
  <c r="N722" i="7"/>
  <c r="N517" i="7"/>
  <c r="N388" i="7"/>
  <c r="N532" i="7"/>
  <c r="N584" i="7"/>
  <c r="N255" i="7"/>
  <c r="N734" i="7"/>
  <c r="N745" i="7"/>
  <c r="N22" i="7"/>
  <c r="N109" i="7"/>
  <c r="N233" i="7"/>
  <c r="N73" i="7"/>
  <c r="N748" i="7"/>
  <c r="N185" i="7"/>
  <c r="N296" i="7"/>
  <c r="N259" i="7"/>
  <c r="N692" i="7"/>
  <c r="N356" i="7"/>
  <c r="N675" i="7"/>
  <c r="N295" i="7"/>
  <c r="N137" i="7"/>
  <c r="N702" i="7"/>
  <c r="N437" i="7"/>
  <c r="N498" i="7"/>
  <c r="N466" i="7"/>
  <c r="N459" i="7"/>
  <c r="N175" i="7"/>
  <c r="N500" i="7"/>
  <c r="N443" i="7"/>
  <c r="N427" i="7"/>
  <c r="N241" i="7"/>
  <c r="N632" i="7"/>
  <c r="N727" i="7"/>
  <c r="N739" i="7"/>
  <c r="N694" i="7"/>
  <c r="N293" i="7"/>
  <c r="N275" i="7"/>
  <c r="N217" i="7"/>
  <c r="N670" i="7"/>
  <c r="N349" i="7"/>
  <c r="N336" i="7"/>
  <c r="N392" i="7"/>
  <c r="N542" i="7"/>
  <c r="N460" i="7"/>
  <c r="N639" i="7"/>
  <c r="N570" i="7"/>
  <c r="N484" i="7"/>
  <c r="N461" i="7"/>
  <c r="N676" i="7"/>
  <c r="N544" i="7"/>
  <c r="N432" i="7"/>
  <c r="N191" i="7"/>
  <c r="N435" i="7"/>
  <c r="N412" i="7"/>
  <c r="N441" i="7"/>
  <c r="N497" i="7"/>
  <c r="N445" i="7"/>
  <c r="N169" i="7"/>
  <c r="N369" i="7"/>
  <c r="N317" i="7"/>
  <c r="N213" i="7"/>
  <c r="N444" i="7"/>
  <c r="N45" i="7"/>
  <c r="N420" i="7"/>
  <c r="N408" i="7"/>
  <c r="N306" i="7"/>
  <c r="N655" i="7"/>
  <c r="N742" i="7"/>
  <c r="N586" i="7"/>
  <c r="N167" i="7"/>
  <c r="N183" i="7"/>
  <c r="N471" i="7"/>
  <c r="N627" i="7"/>
  <c r="N114" i="7"/>
  <c r="N273" i="7"/>
  <c r="N81" i="7"/>
  <c r="N672" i="7"/>
  <c r="N100" i="7"/>
  <c r="N393" i="7"/>
  <c r="N54" i="7"/>
  <c r="N642" i="7"/>
  <c r="N351" i="7"/>
  <c r="N396" i="7"/>
  <c r="N754" i="7"/>
  <c r="N524" i="7"/>
  <c r="N123" i="7"/>
  <c r="N523" i="7"/>
  <c r="N508" i="7"/>
  <c r="N265" i="7"/>
  <c r="N359" i="7"/>
  <c r="N553" i="7"/>
  <c r="N535" i="7"/>
  <c r="N677" i="7"/>
  <c r="N70" i="7"/>
  <c r="N80" i="7"/>
  <c r="N256" i="7"/>
  <c r="N239" i="7"/>
  <c r="N660" i="7"/>
  <c r="N51" i="7"/>
  <c r="N489" i="7"/>
  <c r="N117" i="7"/>
  <c r="N464" i="7"/>
  <c r="N190" i="7"/>
  <c r="N180" i="7"/>
  <c r="N540" i="7"/>
  <c r="N157" i="7"/>
  <c r="N248" i="7"/>
  <c r="N8" i="7"/>
  <c r="N200" i="7"/>
  <c r="N93" i="7"/>
  <c r="N135" i="7"/>
  <c r="N88" i="7"/>
  <c r="N132" i="7"/>
  <c r="N373" i="7"/>
  <c r="N615" i="7"/>
  <c r="N513" i="7"/>
  <c r="N607" i="7"/>
  <c r="N658" i="7"/>
  <c r="N751" i="7"/>
  <c r="N560" i="7"/>
  <c r="N228" i="7"/>
  <c r="N339" i="7"/>
  <c r="N578" i="7"/>
  <c r="N297" i="7"/>
  <c r="N753" i="7"/>
  <c r="N330" i="7"/>
  <c r="N601" i="7"/>
  <c r="N478" i="7"/>
  <c r="N419" i="7"/>
  <c r="N683" i="7"/>
  <c r="N529" i="7"/>
  <c r="N634" i="7"/>
  <c r="N582" i="7"/>
  <c r="N682" i="7"/>
  <c r="N552" i="7"/>
  <c r="N280" i="7"/>
  <c r="N365" i="7"/>
  <c r="N633" i="7"/>
  <c r="N741" i="7"/>
  <c r="N548" i="7"/>
  <c r="N720" i="7"/>
  <c r="N568" i="7"/>
  <c r="N384" i="7"/>
  <c r="N624" i="7"/>
  <c r="N696" i="7"/>
  <c r="N721" i="7"/>
  <c r="N733" i="7"/>
  <c r="N726" i="7"/>
  <c r="N747" i="7"/>
  <c r="N679" i="7"/>
  <c r="N206" i="7"/>
  <c r="N558" i="7"/>
  <c r="N305" i="7"/>
  <c r="N346" i="7"/>
  <c r="N194" i="7"/>
  <c r="N643" i="7"/>
  <c r="N292" i="7"/>
  <c r="N401" i="7"/>
  <c r="N588" i="7"/>
  <c r="N545" i="7"/>
  <c r="N599" i="7"/>
  <c r="N737" i="7"/>
  <c r="N587" i="7"/>
  <c r="N705" i="7"/>
  <c r="N400" i="7"/>
  <c r="N312" i="7"/>
  <c r="N424" i="7"/>
  <c r="N308" i="7"/>
  <c r="N732" i="7"/>
  <c r="N554" i="7"/>
  <c r="N335" i="7"/>
  <c r="N613" i="7"/>
  <c r="N64" i="7"/>
  <c r="N116" i="7"/>
  <c r="N618" i="7"/>
  <c r="N196" i="7"/>
  <c r="N94" i="7"/>
  <c r="N510" i="7"/>
  <c r="N43" i="7"/>
  <c r="N17" i="7"/>
  <c r="N242" i="7"/>
  <c r="N95" i="7"/>
  <c r="N119" i="7"/>
  <c r="N82" i="7"/>
  <c r="N653" i="7"/>
  <c r="N284" i="7"/>
  <c r="N698" i="7"/>
  <c r="N485" i="7"/>
  <c r="N438" i="7"/>
  <c r="N546" i="7"/>
  <c r="N533" i="7"/>
  <c r="N355" i="7"/>
  <c r="N221" i="7"/>
  <c r="N563" i="7"/>
  <c r="N267" i="7"/>
  <c r="N537" i="7"/>
  <c r="N626" i="7"/>
  <c r="N65" i="7"/>
  <c r="N453" i="7"/>
  <c r="N608" i="7"/>
  <c r="N338" i="7"/>
  <c r="N326" i="7"/>
  <c r="N32" i="7"/>
  <c r="N736" i="7"/>
  <c r="N631" i="7"/>
  <c r="N44" i="7"/>
  <c r="N253" i="7"/>
  <c r="N91" i="7"/>
  <c r="N227" i="7"/>
  <c r="N557" i="7"/>
  <c r="N611" i="7"/>
  <c r="N687" i="7"/>
  <c r="N139" i="7"/>
  <c r="N15" i="7"/>
  <c r="N210" i="7"/>
  <c r="N289" i="7"/>
  <c r="N90" i="7"/>
  <c r="N204" i="7"/>
  <c r="N76" i="7"/>
  <c r="N490" i="7"/>
  <c r="N442" i="7"/>
  <c r="N302" i="7"/>
  <c r="N263" i="7"/>
  <c r="N234" i="7"/>
  <c r="N140" i="7"/>
  <c r="N630" i="7"/>
  <c r="N507" i="7"/>
  <c r="N428" i="7"/>
  <c r="N514" i="7"/>
  <c r="N431" i="7"/>
  <c r="N729" i="7"/>
  <c r="N423" i="7"/>
  <c r="N515" i="7"/>
  <c r="N290" i="7"/>
  <c r="N622" i="7"/>
  <c r="N320" i="7"/>
  <c r="N610" i="7"/>
  <c r="N669" i="7"/>
  <c r="N723" i="7"/>
  <c r="N331" i="7"/>
  <c r="N564" i="7"/>
  <c r="N706" i="7"/>
  <c r="N334" i="7"/>
  <c r="N225" i="7"/>
  <c r="N712" i="7"/>
  <c r="N493" i="7"/>
  <c r="N379" i="7"/>
  <c r="N249" i="7"/>
  <c r="N385" i="7"/>
  <c r="N575" i="7"/>
  <c r="N258" i="7"/>
  <c r="N449" i="7"/>
  <c r="N251" i="7"/>
  <c r="N496" i="7"/>
  <c r="N556" i="7"/>
  <c r="N671" i="7"/>
  <c r="N704" i="7"/>
  <c r="N755" i="7"/>
  <c r="N701" i="7"/>
  <c r="N434" i="7"/>
  <c r="N724" i="7"/>
  <c r="N271" i="7"/>
  <c r="N593" i="7"/>
  <c r="N494" i="7"/>
  <c r="N569" i="7"/>
  <c r="N198" i="7"/>
  <c r="N509" i="7"/>
  <c r="N343" i="7"/>
  <c r="N452" i="7"/>
  <c r="N647" i="7"/>
  <c r="N594" i="7"/>
  <c r="N700" i="7"/>
  <c r="N48" i="7"/>
  <c r="N232" i="7"/>
  <c r="N550" i="7"/>
  <c r="N538" i="7"/>
  <c r="N603" i="7"/>
  <c r="N243" i="7"/>
  <c r="N667" i="7"/>
  <c r="N602" i="7"/>
  <c r="N749" i="7"/>
  <c r="N426" i="7"/>
  <c r="N417" i="7"/>
  <c r="N566" i="7"/>
  <c r="N382" i="7"/>
  <c r="N576" i="7"/>
  <c r="N659" i="7"/>
  <c r="N19" i="7"/>
  <c r="N115" i="7"/>
  <c r="N646" i="7"/>
  <c r="N372" i="7"/>
  <c r="N551" i="7"/>
  <c r="N436" i="7"/>
  <c r="N559" i="7"/>
  <c r="N467" i="7"/>
  <c r="N673" i="7"/>
  <c r="N649" i="7"/>
  <c r="N416" i="7"/>
  <c r="N278" i="7"/>
  <c r="N397" i="7"/>
  <c r="N270" i="7"/>
  <c r="N370" i="7"/>
  <c r="N111" i="7"/>
  <c r="N39" i="7"/>
  <c r="R426" i="7"/>
  <c r="R430" i="7"/>
  <c r="R393" i="7"/>
  <c r="R186" i="7"/>
  <c r="R546" i="7"/>
  <c r="R385" i="7"/>
  <c r="R329" i="7"/>
  <c r="R687" i="7"/>
  <c r="R736" i="7"/>
  <c r="R578" i="7"/>
  <c r="R706" i="7"/>
  <c r="R682" i="7"/>
  <c r="R584" i="7"/>
  <c r="R332" i="7"/>
  <c r="R557" i="7"/>
  <c r="R412" i="7"/>
  <c r="R386" i="7"/>
  <c r="Q13" i="7"/>
  <c r="H478" i="7"/>
  <c r="P633" i="7"/>
  <c r="R597" i="7"/>
  <c r="H568" i="7"/>
  <c r="H368" i="7"/>
  <c r="H721" i="7"/>
  <c r="H601" i="7"/>
  <c r="H594" i="7"/>
  <c r="H457" i="7"/>
  <c r="S212" i="7"/>
  <c r="H292" i="7"/>
  <c r="R410" i="7"/>
  <c r="R44" i="7"/>
  <c r="R203" i="7"/>
  <c r="R285" i="7"/>
  <c r="R732" i="7"/>
  <c r="R647" i="7"/>
  <c r="R745" i="7"/>
  <c r="R693" i="7"/>
  <c r="R639" i="7"/>
  <c r="R569" i="7"/>
  <c r="R472" i="7"/>
  <c r="R250" i="7"/>
  <c r="R609" i="7"/>
  <c r="R400" i="7"/>
  <c r="R195" i="7"/>
  <c r="R514" i="7"/>
  <c r="R728" i="7"/>
  <c r="R529" i="7"/>
  <c r="R391" i="7"/>
  <c r="R632" i="7"/>
  <c r="R509" i="7"/>
  <c r="R642" i="7"/>
  <c r="R560" i="7"/>
  <c r="R723" i="7"/>
  <c r="R731" i="7"/>
  <c r="R587" i="7"/>
  <c r="R595" i="7"/>
  <c r="R298" i="7"/>
  <c r="R284" i="7"/>
  <c r="R337" i="7"/>
  <c r="R481" i="7"/>
  <c r="R551" i="7"/>
  <c r="R132" i="7"/>
  <c r="R520" i="7"/>
  <c r="R208" i="7"/>
  <c r="R66" i="7"/>
  <c r="R710" i="7"/>
  <c r="R49" i="7"/>
  <c r="R85" i="7"/>
  <c r="R29" i="7"/>
  <c r="R164" i="7"/>
  <c r="R87" i="7"/>
  <c r="R294" i="7"/>
  <c r="R432" i="7"/>
  <c r="R18" i="7"/>
  <c r="R86" i="7"/>
  <c r="R46" i="7"/>
  <c r="R12" i="7"/>
  <c r="R128" i="7"/>
  <c r="R376" i="7"/>
  <c r="R252" i="7"/>
  <c r="R303" i="7"/>
  <c r="R444" i="7"/>
  <c r="R38" i="7"/>
  <c r="R196" i="7"/>
  <c r="R439" i="7"/>
  <c r="R624" i="7"/>
  <c r="R441" i="7"/>
  <c r="R548" i="7"/>
  <c r="R700" i="7"/>
  <c r="R606" i="7"/>
  <c r="R537" i="7"/>
  <c r="R487" i="7"/>
  <c r="R399" i="7"/>
  <c r="R384" i="7"/>
  <c r="R501" i="7"/>
  <c r="R665" i="7"/>
  <c r="R476" i="7"/>
  <c r="R350" i="7"/>
  <c r="R205" i="7"/>
  <c r="R463" i="7"/>
  <c r="R183" i="7"/>
  <c r="R497" i="7"/>
  <c r="R513" i="7"/>
  <c r="R358" i="7"/>
  <c r="R666" i="7"/>
  <c r="R612" i="7"/>
  <c r="R477" i="7"/>
  <c r="R568" i="7"/>
  <c r="R307" i="7"/>
  <c r="R534" i="7"/>
  <c r="R614" i="7"/>
  <c r="R290" i="7"/>
  <c r="R592" i="7"/>
  <c r="R599" i="7"/>
  <c r="R57" i="7"/>
  <c r="R124" i="7"/>
  <c r="R423" i="7"/>
  <c r="R56" i="7"/>
  <c r="R668" i="7"/>
  <c r="R222" i="7"/>
  <c r="R42" i="7"/>
  <c r="R433" i="7"/>
  <c r="R141" i="7"/>
  <c r="R279" i="7"/>
  <c r="R4" i="7"/>
  <c r="R409" i="7"/>
  <c r="R602" i="7"/>
  <c r="R247" i="7"/>
  <c r="R458" i="7"/>
  <c r="R5" i="7"/>
  <c r="R282" i="7"/>
  <c r="R521" i="7"/>
  <c r="R567" i="7"/>
  <c r="R717" i="7"/>
  <c r="R739" i="7"/>
  <c r="R656" i="7"/>
  <c r="R670" i="7"/>
  <c r="R738" i="7"/>
  <c r="R705" i="7"/>
  <c r="R248" i="7"/>
  <c r="R161" i="7"/>
  <c r="R135" i="7"/>
  <c r="R2" i="7"/>
  <c r="R601" i="7"/>
  <c r="R440" i="7"/>
  <c r="R181" i="7"/>
  <c r="R206" i="7"/>
  <c r="R9" i="7"/>
  <c r="R314" i="7"/>
  <c r="R524" i="7"/>
  <c r="R200" i="7"/>
  <c r="R169" i="7"/>
  <c r="R101" i="7"/>
  <c r="R97" i="7"/>
  <c r="R352" i="7"/>
  <c r="R163" i="7"/>
  <c r="R48" i="7"/>
  <c r="R108" i="7"/>
  <c r="R8" i="7"/>
  <c r="R52" i="7"/>
  <c r="R148" i="7"/>
  <c r="R65" i="7"/>
  <c r="R53" i="7"/>
  <c r="R80" i="7"/>
  <c r="R129" i="7"/>
  <c r="R67" i="7"/>
  <c r="R341" i="7"/>
  <c r="R373" i="7"/>
  <c r="R559" i="7"/>
  <c r="R25" i="7"/>
  <c r="R235" i="7"/>
  <c r="R226" i="7"/>
  <c r="R147" i="7"/>
  <c r="R106" i="7"/>
  <c r="R89" i="7"/>
  <c r="R269" i="7"/>
  <c r="R71" i="7"/>
  <c r="R75" i="7"/>
  <c r="R263" i="7"/>
  <c r="R199" i="7"/>
  <c r="R19" i="7"/>
  <c r="R193" i="7"/>
  <c r="R36" i="7"/>
  <c r="R348" i="7"/>
  <c r="R479" i="7"/>
  <c r="R302" i="7"/>
  <c r="R272" i="7"/>
  <c r="R459" i="7"/>
  <c r="R340" i="7"/>
  <c r="R540" i="7"/>
  <c r="R747" i="7"/>
  <c r="R744" i="7"/>
  <c r="R589" i="7"/>
  <c r="R724" i="7"/>
  <c r="R531" i="7"/>
  <c r="R452" i="7"/>
  <c r="R676" i="7"/>
  <c r="R652" i="7"/>
  <c r="R532" i="7"/>
  <c r="R168" i="7"/>
  <c r="R188" i="7"/>
  <c r="R338" i="7"/>
  <c r="R70" i="7"/>
  <c r="R246" i="7"/>
  <c r="R100" i="7"/>
  <c r="R364" i="7"/>
  <c r="R99" i="7"/>
  <c r="R58" i="7"/>
  <c r="R221" i="7"/>
  <c r="R150" i="7"/>
  <c r="R277" i="7"/>
  <c r="R227" i="7"/>
  <c r="R257" i="7"/>
  <c r="R539" i="7"/>
  <c r="R139" i="7"/>
  <c r="R236" i="7"/>
  <c r="R93" i="7"/>
  <c r="R39" i="7"/>
  <c r="R40" i="7"/>
  <c r="R317" i="7"/>
  <c r="R570" i="7"/>
  <c r="R121" i="7"/>
  <c r="R90" i="7"/>
  <c r="R151" i="7"/>
  <c r="R109" i="7"/>
  <c r="R82" i="7"/>
  <c r="R429" i="7"/>
  <c r="R365" i="7"/>
  <c r="R104" i="7"/>
  <c r="R316" i="7"/>
  <c r="R138" i="7"/>
  <c r="R299" i="7"/>
  <c r="R68" i="7"/>
  <c r="R103" i="7"/>
  <c r="R725" i="7"/>
  <c r="R411" i="7"/>
  <c r="R119" i="7"/>
  <c r="R270" i="7"/>
  <c r="R180" i="7"/>
  <c r="R640" i="7"/>
  <c r="R323" i="7"/>
  <c r="R571" i="7"/>
  <c r="R719" i="7"/>
  <c r="R334" i="7"/>
  <c r="R274" i="7"/>
  <c r="R414" i="7"/>
  <c r="R242" i="7"/>
  <c r="R295" i="7"/>
  <c r="R255" i="7"/>
  <c r="R95" i="7"/>
  <c r="R369" i="7"/>
  <c r="R490" i="7"/>
  <c r="R216" i="7"/>
  <c r="R522" i="7"/>
  <c r="R345" i="7"/>
  <c r="R331" i="7"/>
  <c r="R217" i="7"/>
  <c r="R309" i="7"/>
  <c r="R402" i="7"/>
  <c r="R467" i="7"/>
  <c r="R541" i="7"/>
  <c r="R442" i="7"/>
  <c r="R158" i="7"/>
  <c r="R136" i="7"/>
  <c r="R76" i="7"/>
  <c r="R286" i="7"/>
  <c r="R627" i="7"/>
  <c r="R154" i="7"/>
  <c r="R47" i="7"/>
  <c r="R212" i="7"/>
  <c r="R311" i="7"/>
  <c r="R64" i="7"/>
  <c r="R653" i="7"/>
  <c r="R308" i="7"/>
  <c r="R178" i="7"/>
  <c r="R401" i="7"/>
  <c r="R23" i="7"/>
  <c r="R26" i="7"/>
  <c r="R229" i="7"/>
  <c r="R94" i="7"/>
  <c r="R503" i="7"/>
  <c r="R280" i="7"/>
  <c r="R145" i="7"/>
  <c r="R83" i="7"/>
  <c r="R366" i="7"/>
  <c r="R230" i="7"/>
  <c r="R498" i="7"/>
  <c r="R185" i="7"/>
  <c r="R34" i="7"/>
  <c r="R142" i="7"/>
  <c r="R381" i="7"/>
  <c r="R202" i="7"/>
  <c r="R701" i="7"/>
  <c r="R321" i="7"/>
  <c r="R530" i="7"/>
  <c r="R437" i="7"/>
  <c r="R538" i="7"/>
  <c r="R572" i="7"/>
  <c r="R519" i="7"/>
  <c r="R475" i="7"/>
  <c r="R608" i="7"/>
  <c r="R536" i="7"/>
  <c r="R580" i="7"/>
  <c r="R746" i="7"/>
  <c r="R297" i="7"/>
  <c r="R692" i="7"/>
  <c r="R591" i="7"/>
  <c r="R714" i="7"/>
  <c r="R508" i="7"/>
  <c r="R675" i="7"/>
  <c r="R495" i="7"/>
  <c r="R224" i="7"/>
  <c r="R362" i="7"/>
  <c r="R461" i="7"/>
  <c r="R176" i="7"/>
  <c r="R175" i="7"/>
  <c r="R582" i="7"/>
  <c r="R258" i="7"/>
  <c r="R349" i="7"/>
  <c r="R374" i="7"/>
  <c r="R667" i="7"/>
  <c r="R382" i="7"/>
  <c r="R702" i="7"/>
  <c r="R593" i="7"/>
  <c r="R325" i="7"/>
  <c r="R462" i="7"/>
  <c r="R596" i="7"/>
  <c r="R645" i="7"/>
  <c r="R707" i="7"/>
  <c r="R686" i="7"/>
  <c r="R239" i="7"/>
  <c r="R361" i="7"/>
  <c r="R735" i="7"/>
  <c r="R631" i="7"/>
  <c r="R697" i="7"/>
  <c r="R243" i="7"/>
  <c r="R752" i="7"/>
  <c r="R683" i="7"/>
  <c r="R740" i="7"/>
  <c r="R605" i="7"/>
  <c r="R658" i="7"/>
  <c r="R691" i="7"/>
  <c r="R743" i="7"/>
  <c r="R754" i="7"/>
  <c r="R81" i="7"/>
  <c r="R118" i="7"/>
  <c r="R177" i="7"/>
  <c r="R117" i="7"/>
  <c r="R408" i="7"/>
  <c r="R43" i="7"/>
  <c r="R211" i="7"/>
  <c r="R63" i="7"/>
  <c r="R69" i="7"/>
  <c r="R583" i="7"/>
  <c r="R182" i="7"/>
  <c r="R244" i="7"/>
  <c r="R233" i="7"/>
  <c r="R77" i="7"/>
  <c r="R533" i="7"/>
  <c r="R275" i="7"/>
  <c r="R378" i="7"/>
  <c r="R92" i="7"/>
  <c r="R35" i="7"/>
  <c r="R380" i="7"/>
  <c r="R149" i="7"/>
  <c r="R434" i="7"/>
  <c r="R407" i="7"/>
  <c r="R91" i="7"/>
  <c r="R455" i="7"/>
  <c r="R20" i="7"/>
  <c r="R179" i="7"/>
  <c r="R162" i="7"/>
  <c r="R428" i="7"/>
  <c r="R333" i="7"/>
  <c r="R390" i="7"/>
  <c r="R60" i="7"/>
  <c r="R146" i="7"/>
  <c r="R172" i="7"/>
  <c r="R113" i="7"/>
  <c r="R616" i="7"/>
  <c r="R191" i="7"/>
  <c r="R171" i="7"/>
  <c r="R445" i="7"/>
  <c r="R214" i="7"/>
  <c r="R223" i="7"/>
  <c r="R485" i="7"/>
  <c r="R389" i="7"/>
  <c r="R61" i="7"/>
  <c r="R363" i="7"/>
  <c r="R201" i="7"/>
  <c r="R283" i="7"/>
  <c r="R629" i="7"/>
  <c r="R456" i="7"/>
  <c r="R558" i="7"/>
  <c r="R448" i="7"/>
  <c r="R266" i="7"/>
  <c r="R598" i="7"/>
  <c r="R438" i="7"/>
  <c r="R526" i="7"/>
  <c r="R225" i="7"/>
  <c r="R240" i="7"/>
  <c r="R379" i="7"/>
  <c r="R355" i="7"/>
  <c r="R525" i="7"/>
  <c r="R507" i="7"/>
  <c r="R689" i="7"/>
  <c r="R484" i="7"/>
  <c r="R661" i="7"/>
  <c r="R383" i="7"/>
  <c r="R292" i="7"/>
  <c r="R588" i="7"/>
  <c r="R436" i="7"/>
  <c r="R696" i="7"/>
  <c r="R465" i="7"/>
  <c r="R660" i="7"/>
  <c r="R394" i="7"/>
  <c r="R454" i="7"/>
  <c r="R16" i="7"/>
  <c r="R371" i="7"/>
  <c r="R134" i="7"/>
  <c r="R634" i="7"/>
  <c r="R370" i="7"/>
  <c r="R131" i="7"/>
  <c r="R102" i="7"/>
  <c r="R276" i="7"/>
  <c r="R403" i="7"/>
  <c r="R241" i="7"/>
  <c r="R30" i="7"/>
  <c r="R107" i="7"/>
  <c r="R288" i="7"/>
  <c r="R231" i="7"/>
  <c r="R695" i="7"/>
  <c r="R143" i="7"/>
  <c r="R3" i="7"/>
  <c r="R262" i="7"/>
  <c r="R15" i="7"/>
  <c r="R28" i="7"/>
  <c r="R51" i="7"/>
  <c r="R607" i="7"/>
  <c r="R293" i="7"/>
  <c r="R446" i="7"/>
  <c r="R11" i="7"/>
  <c r="R116" i="7"/>
  <c r="R253" i="7"/>
  <c r="R296" i="7"/>
  <c r="R496" i="7"/>
  <c r="R105" i="7"/>
  <c r="R110" i="7"/>
  <c r="R72" i="7"/>
  <c r="R422" i="7"/>
  <c r="R377" i="7"/>
  <c r="R21" i="7"/>
  <c r="R565" i="7"/>
  <c r="R319" i="7"/>
  <c r="R159" i="7"/>
  <c r="R37" i="7"/>
  <c r="R78" i="7"/>
  <c r="R6" i="7"/>
  <c r="R649" i="7"/>
  <c r="R10" i="7"/>
  <c r="R115" i="7"/>
  <c r="R256" i="7"/>
  <c r="R245" i="7"/>
  <c r="R493" i="7"/>
  <c r="R278" i="7"/>
  <c r="R684" i="7"/>
  <c r="R287" i="7"/>
  <c r="R471" i="7"/>
  <c r="R554" i="7"/>
  <c r="R619" i="7"/>
  <c r="R478" i="7"/>
  <c r="R610" i="7"/>
  <c r="R594" i="7"/>
  <c r="R449" i="7"/>
  <c r="R469" i="7"/>
  <c r="R733" i="7"/>
  <c r="R320" i="7"/>
  <c r="R630" i="7"/>
  <c r="R367" i="7"/>
  <c r="R396" i="7"/>
  <c r="R590" i="7"/>
  <c r="R489" i="7"/>
  <c r="R637" i="7"/>
  <c r="R237" i="7"/>
  <c r="R372" i="7"/>
  <c r="R698" i="7"/>
  <c r="R549" i="7"/>
  <c r="R742" i="7"/>
  <c r="R512" i="7"/>
  <c r="R633" i="7"/>
  <c r="R574" i="7"/>
  <c r="R555" i="7"/>
  <c r="R644" i="7"/>
  <c r="R543" i="7"/>
  <c r="R405" i="7"/>
  <c r="R368" i="7"/>
  <c r="R406" i="7"/>
  <c r="R491" i="7"/>
  <c r="R646" i="7"/>
  <c r="R547" i="7"/>
  <c r="R727" i="7"/>
  <c r="R721" i="7"/>
  <c r="R356" i="7"/>
  <c r="R528" i="7"/>
  <c r="R313" i="7"/>
  <c r="R641" i="7"/>
  <c r="R486" i="7"/>
  <c r="R718" i="7"/>
  <c r="R470" i="7"/>
  <c r="R662" i="7"/>
  <c r="R265" i="7"/>
  <c r="R232" i="7"/>
  <c r="R504" i="7"/>
  <c r="R704" i="7"/>
  <c r="R220" i="7"/>
  <c r="R542" i="7"/>
  <c r="R228" i="7"/>
  <c r="R460" i="7"/>
  <c r="R699" i="7"/>
  <c r="R506" i="7"/>
  <c r="R310" i="7"/>
  <c r="R650" i="7"/>
  <c r="R324" i="7"/>
  <c r="R416" i="7"/>
  <c r="R709" i="7"/>
  <c r="R651" i="7"/>
  <c r="R492" i="7"/>
  <c r="R750" i="7"/>
  <c r="R415" i="7"/>
  <c r="R45" i="7"/>
  <c r="R304" i="7"/>
  <c r="R480" i="7"/>
  <c r="R289" i="7"/>
  <c r="R98" i="7"/>
  <c r="R398" i="7"/>
  <c r="R55" i="7"/>
  <c r="R218" i="7"/>
  <c r="R447" i="7"/>
  <c r="R328" i="7"/>
  <c r="R392" i="7"/>
  <c r="R127" i="7"/>
  <c r="R564" i="7"/>
  <c r="R125" i="7"/>
  <c r="R517" i="7"/>
  <c r="R120" i="7"/>
  <c r="R342" i="7"/>
  <c r="R468" i="7"/>
  <c r="R685" i="7"/>
  <c r="R483" i="7"/>
  <c r="R7" i="7"/>
  <c r="R305" i="7"/>
  <c r="R755" i="7"/>
  <c r="R715" i="7"/>
  <c r="R611" i="7"/>
  <c r="R579" i="7"/>
  <c r="R577" i="7"/>
  <c r="R581" i="7"/>
  <c r="R360" i="7"/>
  <c r="R474" i="7"/>
  <c r="R431" i="7"/>
  <c r="R353" i="7"/>
  <c r="R435" i="7"/>
  <c r="R545" i="7"/>
  <c r="R397" i="7"/>
  <c r="R427" i="7"/>
  <c r="R457" i="7"/>
  <c r="R473" i="7"/>
  <c r="R535" i="7"/>
  <c r="R722" i="7"/>
  <c r="R249" i="7"/>
  <c r="R690" i="7"/>
  <c r="R502" i="7"/>
  <c r="R648" i="7"/>
  <c r="R694" i="7"/>
  <c r="R291" i="7"/>
  <c r="R388" i="7"/>
  <c r="R604" i="7"/>
  <c r="R219" i="7"/>
  <c r="R729" i="7"/>
  <c r="R326" i="7"/>
  <c r="R318" i="7"/>
  <c r="R209" i="7"/>
  <c r="R41" i="7"/>
  <c r="R261" i="7"/>
  <c r="R156" i="7"/>
  <c r="R96" i="7"/>
  <c r="R575" i="7"/>
  <c r="R516" i="7"/>
  <c r="R327" i="7"/>
  <c r="R264" i="7"/>
  <c r="R173" i="7"/>
  <c r="R622" i="7"/>
  <c r="R88" i="7"/>
  <c r="R50" i="7"/>
  <c r="R500" i="7"/>
  <c r="R13" i="7"/>
  <c r="R669" i="7"/>
  <c r="R734" i="7"/>
  <c r="R625" i="7"/>
  <c r="R73" i="7"/>
  <c r="R111" i="7"/>
  <c r="R346" i="7"/>
  <c r="R27" i="7"/>
  <c r="R488" i="7"/>
  <c r="R741" i="7"/>
  <c r="R664" i="7"/>
  <c r="R112" i="7"/>
  <c r="R518" i="7"/>
  <c r="R122" i="7"/>
  <c r="R198" i="7"/>
  <c r="R708" i="7"/>
  <c r="R552" i="7"/>
  <c r="R413" i="7"/>
  <c r="R550" i="7"/>
  <c r="R636" i="7"/>
  <c r="R749" i="7"/>
  <c r="R671" i="7"/>
  <c r="R271" i="7"/>
  <c r="R404" i="7"/>
  <c r="R527" i="7"/>
  <c r="R556" i="7"/>
  <c r="R751" i="7"/>
  <c r="R672" i="7"/>
  <c r="R421" i="7"/>
  <c r="R505" i="7"/>
  <c r="R419" i="7"/>
  <c r="R677" i="7"/>
  <c r="R600" i="7"/>
  <c r="R387" i="7"/>
  <c r="R674" i="7"/>
  <c r="R511" i="7"/>
  <c r="R234" i="7"/>
  <c r="R418" i="7"/>
  <c r="R192" i="7"/>
  <c r="R62" i="7"/>
  <c r="R126" i="7"/>
  <c r="R189" i="7"/>
  <c r="R628" i="7"/>
  <c r="R84" i="7"/>
  <c r="R210" i="7"/>
  <c r="R130" i="7"/>
  <c r="R184" i="7"/>
  <c r="R79" i="7"/>
  <c r="R32" i="7"/>
  <c r="R31" i="7"/>
  <c r="R617" i="7"/>
  <c r="R174" i="7"/>
  <c r="R720" i="7"/>
  <c r="R281" i="7"/>
  <c r="R523" i="7"/>
  <c r="R238" i="7"/>
  <c r="R657" i="7"/>
  <c r="R681" i="7"/>
  <c r="R615" i="7"/>
  <c r="R425" i="7"/>
  <c r="R586" i="7"/>
  <c r="R213" i="7"/>
  <c r="R688" i="7"/>
  <c r="R443" i="7"/>
  <c r="R726" i="7"/>
  <c r="R680" i="7"/>
  <c r="R544" i="7"/>
  <c r="R561" i="7"/>
  <c r="R566" i="7"/>
  <c r="R716" i="7"/>
  <c r="R330" i="7"/>
  <c r="R347" i="7"/>
  <c r="R499" i="7"/>
  <c r="R737" i="7"/>
  <c r="R618" i="7"/>
  <c r="R301" i="7"/>
  <c r="R123" i="7"/>
  <c r="R344" i="7"/>
  <c r="R573" i="7"/>
  <c r="R494" i="7"/>
  <c r="R207" i="7"/>
  <c r="R464" i="7"/>
  <c r="R655" i="7"/>
  <c r="R466" i="7"/>
  <c r="R679" i="7"/>
  <c r="R654" i="7"/>
  <c r="R585" i="7"/>
  <c r="R450" i="7"/>
  <c r="R659" i="7"/>
  <c r="R621" i="7"/>
  <c r="R165" i="7"/>
  <c r="R515" i="7"/>
  <c r="R703" i="7"/>
  <c r="R140" i="7"/>
  <c r="R482" i="7"/>
  <c r="R144" i="7"/>
  <c r="R170" i="7"/>
  <c r="R74" i="7"/>
  <c r="R166" i="7"/>
  <c r="R268" i="7"/>
  <c r="R54" i="7"/>
  <c r="R17" i="7"/>
  <c r="R359" i="7"/>
  <c r="R114" i="7"/>
  <c r="R336" i="7"/>
  <c r="R267" i="7"/>
  <c r="R160" i="7"/>
  <c r="R153" i="7"/>
  <c r="R194" i="7"/>
  <c r="R204" i="7"/>
  <c r="R14" i="7"/>
  <c r="R753" i="7"/>
  <c r="R713" i="7"/>
  <c r="R197" i="7"/>
  <c r="R603" i="7"/>
  <c r="R59" i="7"/>
  <c r="R613" i="7"/>
  <c r="R553" i="7"/>
  <c r="R315" i="7"/>
  <c r="R576" i="7"/>
  <c r="R395" i="7"/>
  <c r="R712" i="7"/>
  <c r="R626" i="7"/>
  <c r="R730" i="7"/>
  <c r="R335" i="7"/>
  <c r="R620" i="7"/>
  <c r="R453" i="7"/>
  <c r="R711" i="7"/>
  <c r="R260" i="7"/>
  <c r="R312" i="7"/>
  <c r="R563" i="7"/>
  <c r="R424" i="7"/>
  <c r="R354" i="7"/>
  <c r="R663" i="7"/>
  <c r="R451" i="7"/>
  <c r="R638" i="7"/>
  <c r="R635" i="7"/>
  <c r="R623" i="7"/>
  <c r="R133" i="7"/>
  <c r="R254" i="7"/>
  <c r="R251" i="7"/>
  <c r="R643" i="7"/>
  <c r="R420" i="7"/>
  <c r="R339" i="7"/>
  <c r="R375" i="7"/>
  <c r="R351" i="7"/>
  <c r="R259" i="7"/>
  <c r="R190" i="7"/>
  <c r="R215" i="7"/>
  <c r="R187" i="7"/>
  <c r="R167" i="7"/>
  <c r="R24" i="7"/>
  <c r="R157" i="7"/>
  <c r="R678" i="7"/>
  <c r="R155" i="7"/>
  <c r="R137" i="7"/>
  <c r="R273" i="7"/>
  <c r="R33" i="7"/>
  <c r="R357" i="7"/>
  <c r="R22" i="7"/>
  <c r="R322" i="7"/>
  <c r="R306" i="7"/>
  <c r="R673" i="7"/>
  <c r="R417" i="7"/>
  <c r="H619" i="7"/>
  <c r="H681" i="7"/>
  <c r="H395" i="7"/>
  <c r="H551" i="7"/>
  <c r="H429" i="7"/>
  <c r="H267" i="7"/>
  <c r="H558" i="7"/>
  <c r="H592" i="7"/>
  <c r="H491" i="7"/>
  <c r="H736" i="7"/>
  <c r="H720" i="7"/>
  <c r="H185" i="7"/>
  <c r="H198" i="7"/>
  <c r="H394" i="7"/>
  <c r="H443" i="7"/>
  <c r="H463" i="7"/>
  <c r="H569" i="7"/>
  <c r="H240" i="7"/>
  <c r="H452" i="7"/>
  <c r="H516" i="7"/>
  <c r="H202" i="7"/>
  <c r="H207" i="7"/>
  <c r="H272" i="7"/>
  <c r="H585" i="7"/>
  <c r="H488" i="7"/>
  <c r="H226" i="7"/>
  <c r="H322" i="7"/>
  <c r="H314" i="7"/>
  <c r="H508" i="7"/>
  <c r="H255" i="7"/>
  <c r="H648" i="7"/>
  <c r="H190" i="7"/>
  <c r="H717" i="7"/>
  <c r="H351" i="7"/>
  <c r="H682" i="7"/>
  <c r="H754" i="7"/>
  <c r="H638" i="7"/>
  <c r="H575" i="7"/>
  <c r="H205" i="7"/>
  <c r="H438" i="7"/>
  <c r="H586" i="7"/>
  <c r="H312" i="7"/>
  <c r="H639" i="7"/>
  <c r="H663" i="7"/>
  <c r="H367" i="7"/>
  <c r="H500" i="7"/>
  <c r="H330" i="7"/>
  <c r="H358" i="7"/>
  <c r="H418" i="7"/>
  <c r="H342" i="7"/>
  <c r="H102" i="7"/>
  <c r="H293" i="7"/>
  <c r="H600" i="7"/>
  <c r="H676" i="7"/>
  <c r="H416" i="7"/>
  <c r="H495" i="7"/>
  <c r="H580" i="7"/>
  <c r="H711" i="7"/>
  <c r="H2" i="7"/>
  <c r="H275" i="7"/>
  <c r="H510" i="7"/>
  <c r="H386" i="7"/>
  <c r="H570" i="7"/>
  <c r="H636" i="7"/>
  <c r="H354" i="7"/>
  <c r="H528" i="7"/>
  <c r="H92" i="7"/>
  <c r="H693" i="7"/>
  <c r="H433" i="7"/>
  <c r="H708" i="7"/>
  <c r="H122" i="7"/>
  <c r="H4" i="7"/>
  <c r="H470" i="7"/>
  <c r="H603" i="7"/>
  <c r="H743" i="7"/>
  <c r="H657" i="7"/>
  <c r="H706" i="7"/>
  <c r="H724" i="7"/>
  <c r="H254" i="7"/>
  <c r="H434" i="7"/>
  <c r="H612" i="7"/>
  <c r="H699" i="7"/>
  <c r="H498" i="7"/>
  <c r="H644" i="7"/>
  <c r="H615" i="7"/>
  <c r="H623" i="7"/>
  <c r="H465" i="7"/>
  <c r="H531" i="7"/>
  <c r="H750" i="7"/>
  <c r="H440" i="7"/>
  <c r="H467" i="7"/>
  <c r="H704" i="7"/>
  <c r="H340" i="7"/>
  <c r="H66" i="7"/>
  <c r="H144" i="7"/>
  <c r="H99" i="7"/>
  <c r="H482" i="7"/>
  <c r="H614" i="7"/>
  <c r="H552" i="7"/>
  <c r="H318" i="7"/>
  <c r="H581" i="7"/>
  <c r="H271" i="7"/>
  <c r="H276" i="7"/>
  <c r="H90" i="7"/>
  <c r="H95" i="7"/>
  <c r="H303" i="7"/>
  <c r="H363" i="7"/>
  <c r="H518" i="7"/>
  <c r="H194" i="7"/>
  <c r="H64" i="7"/>
  <c r="H513" i="7"/>
  <c r="H7" i="7"/>
  <c r="H304" i="7"/>
  <c r="H446" i="7"/>
  <c r="H50" i="7"/>
  <c r="H29" i="7"/>
  <c r="H376" i="7"/>
  <c r="H424" i="7"/>
  <c r="H28" i="7"/>
  <c r="H151" i="7"/>
  <c r="H26" i="7"/>
  <c r="H692" i="7"/>
  <c r="H361" i="7"/>
  <c r="H105" i="7"/>
  <c r="H550" i="7"/>
  <c r="H432" i="7"/>
  <c r="H430" i="7"/>
  <c r="H344" i="7"/>
  <c r="H732" i="7"/>
  <c r="H726" i="7"/>
  <c r="H643" i="7"/>
  <c r="H474" i="7"/>
  <c r="H719" i="7"/>
  <c r="H356" i="7"/>
  <c r="H257" i="7"/>
  <c r="H191" i="7"/>
  <c r="H702" i="7"/>
  <c r="H539" i="7"/>
  <c r="H712" i="7"/>
  <c r="H324" i="7"/>
  <c r="H738" i="7"/>
  <c r="H728" i="7"/>
  <c r="H673" i="7"/>
  <c r="H607" i="7"/>
  <c r="H461" i="7"/>
  <c r="H75" i="7"/>
  <c r="H278" i="7"/>
  <c r="H729" i="7"/>
  <c r="H320" i="7"/>
  <c r="H670" i="7"/>
  <c r="H385" i="7"/>
  <c r="H471" i="7"/>
  <c r="H373" i="7"/>
  <c r="H752" i="7"/>
  <c r="H554" i="7"/>
  <c r="H261" i="7"/>
  <c r="H664" i="7"/>
  <c r="H605" i="7"/>
  <c r="H319" i="7"/>
  <c r="H436" i="7"/>
  <c r="H746" i="7"/>
  <c r="H715" i="7"/>
  <c r="H266" i="7"/>
  <c r="H655" i="7"/>
  <c r="H453" i="7"/>
  <c r="H253" i="7"/>
  <c r="H36" i="7"/>
  <c r="H382" i="7"/>
  <c r="H219" i="7"/>
  <c r="H63" i="7"/>
  <c r="H181" i="7"/>
  <c r="H80" i="7"/>
  <c r="H604" i="7"/>
  <c r="H296" i="7"/>
  <c r="H288" i="7"/>
  <c r="H503" i="7"/>
  <c r="H140" i="7"/>
  <c r="H216" i="7"/>
  <c r="H47" i="7"/>
  <c r="H256" i="7"/>
  <c r="H16" i="7"/>
  <c r="H54" i="7"/>
  <c r="H305" i="7"/>
  <c r="H238" i="7"/>
  <c r="H43" i="7"/>
  <c r="H5" i="7"/>
  <c r="H217" i="7"/>
  <c r="H579" i="7"/>
  <c r="H97" i="7"/>
  <c r="H143" i="7"/>
  <c r="H656" i="7"/>
  <c r="H451" i="7"/>
  <c r="H609" i="7"/>
  <c r="H727" i="7"/>
  <c r="H526" i="7"/>
  <c r="H748" i="7"/>
  <c r="H731" i="7"/>
  <c r="H232" i="7"/>
  <c r="H334" i="7"/>
  <c r="H588" i="7"/>
  <c r="H412" i="7"/>
  <c r="H195" i="7"/>
  <c r="H649" i="7"/>
  <c r="H222" i="7"/>
  <c r="H42" i="7"/>
  <c r="H359" i="7"/>
  <c r="H685" i="7"/>
  <c r="H532" i="7"/>
  <c r="H628" i="7"/>
  <c r="H620" i="7"/>
  <c r="H133" i="7"/>
  <c r="H441" i="7"/>
  <c r="H645" i="7"/>
  <c r="H755" i="7"/>
  <c r="H557" i="7"/>
  <c r="H647" i="7"/>
  <c r="H423" i="7"/>
  <c r="H654" i="7"/>
  <c r="H73" i="7"/>
  <c r="H492" i="7"/>
  <c r="H517" i="7"/>
  <c r="H323" i="7"/>
  <c r="H680" i="7"/>
  <c r="H633" i="7"/>
  <c r="H626" i="7"/>
  <c r="H529" i="7"/>
  <c r="H343" i="7"/>
  <c r="H501" i="7"/>
  <c r="H564" i="7"/>
  <c r="H583" i="7"/>
  <c r="H239" i="7"/>
  <c r="H408" i="7"/>
  <c r="H417" i="7"/>
  <c r="H745" i="7"/>
  <c r="H520" i="7"/>
  <c r="H566" i="7"/>
  <c r="H230" i="7"/>
  <c r="H362" i="7"/>
  <c r="H25" i="7"/>
  <c r="H484" i="7"/>
  <c r="H299" i="7"/>
  <c r="H535" i="7"/>
  <c r="H186" i="7"/>
  <c r="H56" i="7"/>
  <c r="H139" i="7"/>
  <c r="H135" i="7"/>
  <c r="H316" i="7"/>
  <c r="H165" i="7"/>
  <c r="H420" i="7"/>
  <c r="H468" i="7"/>
  <c r="H629" i="7"/>
  <c r="H439" i="7"/>
  <c r="H637" i="7"/>
  <c r="H744" i="7"/>
  <c r="H669" i="7"/>
  <c r="H737" i="7"/>
  <c r="H642" i="7"/>
  <c r="H466" i="7"/>
  <c r="H632" i="7"/>
  <c r="H527" i="7"/>
  <c r="H522" i="7"/>
  <c r="H473" i="7"/>
  <c r="H169" i="7"/>
  <c r="H167" i="7"/>
  <c r="H631" i="7"/>
  <c r="H714" i="7"/>
  <c r="H591" i="7"/>
  <c r="H611" i="7"/>
  <c r="H674" i="7"/>
  <c r="H352" i="7"/>
  <c r="H662" i="7"/>
  <c r="H718" i="7"/>
  <c r="H427" i="7"/>
  <c r="H617" i="7"/>
  <c r="H705" i="7"/>
  <c r="H667" i="7"/>
  <c r="H675" i="7"/>
  <c r="H469" i="7"/>
  <c r="H621" i="7"/>
  <c r="H555" i="7"/>
  <c r="H183" i="7"/>
  <c r="H709" i="7"/>
  <c r="H658" i="7"/>
  <c r="H374" i="7"/>
  <c r="H666" i="7"/>
  <c r="H740" i="7"/>
  <c r="H563" i="7"/>
  <c r="H690" i="7"/>
  <c r="H597" i="7"/>
  <c r="H574" i="7"/>
  <c r="H426" i="7"/>
  <c r="H447" i="7"/>
  <c r="H687" i="7"/>
  <c r="H405" i="7"/>
  <c r="H180" i="7"/>
  <c r="H472" i="7"/>
  <c r="H175" i="7"/>
  <c r="H347" i="7"/>
  <c r="H485" i="7"/>
  <c r="H192" i="7"/>
  <c r="H308" i="7"/>
  <c r="H753" i="7"/>
  <c r="H251" i="7"/>
  <c r="H627" i="7"/>
  <c r="H489" i="7"/>
  <c r="H515" i="7"/>
  <c r="H68" i="7"/>
  <c r="H339" i="7"/>
  <c r="H413" i="7"/>
  <c r="H545" i="7"/>
  <c r="H496" i="7"/>
  <c r="H220" i="7"/>
  <c r="H660" i="7"/>
  <c r="H383" i="7"/>
  <c r="H541" i="7"/>
  <c r="H300" i="7"/>
  <c r="H393" i="7"/>
  <c r="H695" i="7"/>
  <c r="H357" i="7"/>
  <c r="H224" i="7"/>
  <c r="H578" i="7"/>
  <c r="H476" i="7"/>
  <c r="H404" i="7"/>
  <c r="H698" i="7"/>
  <c r="H672" i="7"/>
  <c r="H548" i="7"/>
  <c r="H556" i="7"/>
  <c r="H480" i="7"/>
  <c r="H258" i="7"/>
  <c r="H590" i="7"/>
  <c r="H630" i="7"/>
  <c r="H425" i="7"/>
  <c r="H683" i="7"/>
  <c r="H156" i="7"/>
  <c r="H70" i="7"/>
  <c r="H610" i="7"/>
  <c r="H665" i="7"/>
  <c r="H48" i="7"/>
  <c r="H3" i="7"/>
  <c r="H182" i="7"/>
  <c r="H62" i="7"/>
  <c r="H121" i="7"/>
  <c r="H81" i="7"/>
  <c r="H136" i="7"/>
  <c r="H103" i="7"/>
  <c r="H252" i="7"/>
  <c r="H313" i="7"/>
  <c r="H24" i="7"/>
  <c r="H264" i="7"/>
  <c r="H544" i="7"/>
  <c r="H35" i="7"/>
  <c r="H326" i="7"/>
  <c r="H206" i="7"/>
  <c r="H475" i="7"/>
  <c r="H150" i="7"/>
  <c r="H176" i="7"/>
  <c r="H34" i="7"/>
  <c r="H289" i="7"/>
  <c r="H559" i="7"/>
  <c r="H734" i="7"/>
  <c r="H659" i="7"/>
  <c r="H537" i="7"/>
  <c r="H229" i="7"/>
  <c r="H587" i="7"/>
  <c r="H435" i="7"/>
  <c r="H486" i="7"/>
  <c r="H519" i="7"/>
  <c r="H291" i="7"/>
  <c r="H641" i="7"/>
  <c r="H646" i="7"/>
  <c r="H622" i="7"/>
  <c r="H716" i="7"/>
  <c r="H511" i="7"/>
  <c r="H602" i="7"/>
  <c r="N152" i="7"/>
  <c r="R152" i="7"/>
  <c r="G661" i="7"/>
  <c r="G77" i="7"/>
  <c r="G179" i="7"/>
  <c r="G280" i="7"/>
  <c r="G317" i="7"/>
  <c r="G137" i="7"/>
  <c r="G285" i="7"/>
  <c r="G203" i="7"/>
  <c r="G487" i="7"/>
  <c r="G186" i="7"/>
  <c r="G565" i="7"/>
  <c r="G307" i="7"/>
  <c r="G401" i="7"/>
  <c r="G462" i="7"/>
  <c r="G613" i="7"/>
  <c r="G527" i="7"/>
  <c r="G449" i="7"/>
  <c r="G86" i="7"/>
  <c r="G63" i="7"/>
  <c r="G223" i="7"/>
  <c r="G529" i="7"/>
  <c r="G754" i="7"/>
  <c r="G716" i="7"/>
  <c r="G602" i="7"/>
  <c r="G6" i="7"/>
  <c r="G92" i="7"/>
  <c r="G686" i="7"/>
  <c r="G405" i="7"/>
  <c r="G321" i="7"/>
  <c r="G149" i="7"/>
  <c r="G422" i="7"/>
  <c r="G357" i="7"/>
  <c r="G138" i="7"/>
  <c r="G224" i="7"/>
  <c r="G636" i="7"/>
  <c r="G332" i="7"/>
  <c r="G435" i="7"/>
  <c r="G188" i="7"/>
  <c r="G167" i="7"/>
  <c r="G44" i="7"/>
  <c r="G599" i="7"/>
  <c r="G578" i="7"/>
  <c r="G692" i="7"/>
  <c r="G742" i="7"/>
  <c r="G249" i="7"/>
  <c r="G452" i="7"/>
  <c r="G658" i="7"/>
  <c r="G698" i="7"/>
  <c r="G89" i="7"/>
  <c r="G385" i="7"/>
  <c r="G697" i="7"/>
  <c r="G612" i="7"/>
  <c r="G320" i="7"/>
  <c r="G104" i="7"/>
  <c r="G187" i="7"/>
  <c r="G338" i="7"/>
  <c r="G244" i="7"/>
  <c r="G212" i="7"/>
  <c r="G313" i="7"/>
  <c r="G56" i="7"/>
  <c r="G535" i="7"/>
  <c r="G448" i="7"/>
  <c r="G409" i="7"/>
  <c r="G39" i="7"/>
  <c r="G493" i="7"/>
  <c r="G627" i="7"/>
  <c r="G47" i="7"/>
  <c r="G456" i="7"/>
  <c r="G240" i="7"/>
  <c r="G495" i="7"/>
  <c r="G330" i="7"/>
  <c r="G70" i="7"/>
  <c r="G210" i="7"/>
  <c r="G219" i="7"/>
  <c r="G720" i="7"/>
  <c r="G631" i="7"/>
  <c r="G483" i="7"/>
  <c r="G200" i="7"/>
  <c r="G499" i="7"/>
  <c r="G342" i="7"/>
  <c r="G643" i="7"/>
  <c r="G387" i="7"/>
  <c r="G381" i="7"/>
  <c r="G354" i="7"/>
  <c r="G347" i="7"/>
  <c r="G598" i="7"/>
  <c r="G657" i="7"/>
  <c r="G136" i="7"/>
  <c r="G302" i="7"/>
  <c r="G360" i="7"/>
  <c r="G548" i="7"/>
  <c r="G585" i="7"/>
  <c r="G377" i="7"/>
  <c r="G26" i="7"/>
  <c r="G245" i="7"/>
  <c r="G572" i="7"/>
  <c r="G88" i="7"/>
  <c r="G319" i="7"/>
  <c r="G297" i="7"/>
  <c r="G528" i="7"/>
  <c r="G59" i="7"/>
  <c r="G711" i="7"/>
  <c r="G753" i="7"/>
  <c r="G706" i="7"/>
  <c r="G120" i="7"/>
  <c r="G239" i="7"/>
  <c r="G721" i="7"/>
  <c r="G587" i="7"/>
  <c r="G102" i="7"/>
  <c r="G7" i="7"/>
  <c r="G107" i="7"/>
  <c r="G403" i="7"/>
  <c r="G37" i="7"/>
  <c r="G247" i="7"/>
  <c r="G28" i="7"/>
  <c r="G90" i="7"/>
  <c r="G142" i="7"/>
  <c r="G277" i="7"/>
  <c r="G674" i="7"/>
  <c r="G738" i="7"/>
  <c r="G82" i="7"/>
  <c r="G54" i="7"/>
  <c r="G634" i="7"/>
  <c r="G255" i="7"/>
  <c r="G512" i="7"/>
  <c r="G31" i="7"/>
  <c r="G159" i="7"/>
  <c r="G52" i="7"/>
  <c r="G411" i="7"/>
  <c r="G153" i="7"/>
  <c r="G34" i="7"/>
  <c r="G206" i="7"/>
  <c r="G242" i="7"/>
  <c r="G227" i="7"/>
  <c r="G129" i="7"/>
  <c r="G259" i="7"/>
  <c r="G421" i="7"/>
  <c r="G704" i="7"/>
  <c r="G388" i="7"/>
  <c r="G166" i="7"/>
  <c r="G204" i="7"/>
  <c r="G429" i="7"/>
  <c r="G183" i="7"/>
  <c r="G737" i="7"/>
  <c r="G158" i="7"/>
  <c r="G503" i="7"/>
  <c r="G21" i="7"/>
  <c r="G459" i="7"/>
  <c r="G199" i="7"/>
  <c r="G78" i="7"/>
  <c r="G299" i="7"/>
  <c r="G283" i="7"/>
  <c r="G597" i="7"/>
  <c r="G553" i="7"/>
  <c r="G510" i="7"/>
  <c r="G346" i="7"/>
  <c r="G461" i="7"/>
  <c r="G555" i="7"/>
  <c r="G551" i="7"/>
  <c r="G100" i="7"/>
  <c r="G87" i="7"/>
  <c r="G15" i="7"/>
  <c r="G610" i="7"/>
  <c r="G434" i="7"/>
  <c r="G638" i="7"/>
  <c r="G258" i="7"/>
  <c r="G197" i="7"/>
  <c r="G218" i="7"/>
  <c r="G447" i="7"/>
  <c r="G690" i="7"/>
  <c r="G700" i="7"/>
  <c r="G694" i="7"/>
  <c r="G668" i="7"/>
  <c r="G751" i="7"/>
  <c r="G622" i="7"/>
  <c r="G91" i="7"/>
  <c r="G552" i="7"/>
  <c r="G334" i="7"/>
  <c r="G46" i="7"/>
  <c r="G160" i="7"/>
  <c r="G735" i="7"/>
  <c r="G642" i="7"/>
  <c r="G620" i="7"/>
  <c r="G208" i="7"/>
  <c r="G121" i="7"/>
  <c r="G8" i="7"/>
  <c r="E5" i="14" s="1"/>
  <c r="G570" i="7"/>
  <c r="G214" i="7"/>
  <c r="G454" i="7"/>
  <c r="G62" i="7"/>
  <c r="G264" i="7"/>
  <c r="G684" i="7"/>
  <c r="G608" i="7"/>
  <c r="G728" i="7"/>
  <c r="G232" i="7"/>
  <c r="G76" i="7"/>
  <c r="G226" i="7"/>
  <c r="G398" i="7"/>
  <c r="G343" i="7"/>
  <c r="G361" i="7"/>
  <c r="G165" i="7"/>
  <c r="G453" i="7"/>
  <c r="G419" i="7"/>
  <c r="G530" i="7"/>
  <c r="G412" i="7"/>
  <c r="G178" i="7"/>
  <c r="G336" i="7"/>
  <c r="G157" i="7"/>
  <c r="G533" i="7"/>
  <c r="G467" i="7"/>
  <c r="G420" i="7"/>
  <c r="G652" i="7"/>
  <c r="G155" i="7"/>
  <c r="G696" i="7"/>
  <c r="G640" i="7"/>
  <c r="G689" i="7"/>
  <c r="G380" i="7"/>
  <c r="G150" i="7"/>
  <c r="G148" i="7"/>
  <c r="G514" i="7"/>
  <c r="G628" i="7"/>
  <c r="G367" i="7"/>
  <c r="G647" i="7"/>
  <c r="G507" i="7"/>
  <c r="G659" i="7"/>
  <c r="G296" i="7"/>
  <c r="G318" i="7"/>
  <c r="G437" i="7"/>
  <c r="G539" i="7"/>
  <c r="G600" i="7"/>
  <c r="G524" i="7"/>
  <c r="G644" i="7"/>
  <c r="G617" i="7"/>
  <c r="G190" i="7"/>
  <c r="G237" i="7"/>
  <c r="G540" i="7"/>
  <c r="G522" i="7"/>
  <c r="G260" i="7"/>
  <c r="G81" i="7"/>
  <c r="G329" i="7"/>
  <c r="G220" i="7"/>
  <c r="G389" i="7"/>
  <c r="G498" i="7"/>
  <c r="G181" i="7"/>
  <c r="G362" i="7"/>
  <c r="G30" i="7"/>
  <c r="G71" i="7"/>
  <c r="G288" i="7"/>
  <c r="G248" i="7"/>
  <c r="G68" i="7"/>
  <c r="G16" i="7"/>
  <c r="G671" i="7"/>
  <c r="G625" i="7"/>
  <c r="G139" i="7"/>
  <c r="G67" i="7"/>
  <c r="G363" i="7"/>
  <c r="G580" i="7"/>
  <c r="G284" i="7"/>
  <c r="G384" i="7"/>
  <c r="G43" i="7"/>
  <c r="G11" i="7"/>
  <c r="G473" i="7"/>
  <c r="G195" i="7"/>
  <c r="G732" i="7"/>
  <c r="G415" i="7"/>
  <c r="G48" i="7"/>
  <c r="G211" i="7"/>
  <c r="G266" i="7"/>
  <c r="G641" i="7"/>
  <c r="G508" i="7"/>
  <c r="G556" i="7"/>
  <c r="G273" i="7"/>
  <c r="G601" i="7"/>
  <c r="G272" i="7"/>
  <c r="G722" i="7"/>
  <c r="G49" i="7"/>
  <c r="G390" i="7"/>
  <c r="G69" i="7"/>
  <c r="G575" i="7"/>
  <c r="G618" i="7"/>
  <c r="G554" i="7"/>
  <c r="G472" i="7"/>
  <c r="G60" i="7"/>
  <c r="G331" i="7"/>
  <c r="G315" i="7"/>
  <c r="G191" i="7"/>
  <c r="G591" i="7"/>
  <c r="G349" i="7"/>
  <c r="G523" i="7"/>
  <c r="G175" i="7"/>
  <c r="G108" i="7"/>
  <c r="G518" i="7"/>
  <c r="G744" i="7"/>
  <c r="G703" i="7"/>
  <c r="G550" i="7"/>
  <c r="G484" i="7"/>
  <c r="G536" i="7"/>
  <c r="G752" i="7"/>
  <c r="G623" i="7"/>
  <c r="G163" i="7"/>
  <c r="G41" i="7"/>
  <c r="G180" i="7"/>
  <c r="G233" i="7"/>
  <c r="G236" i="7"/>
  <c r="G96" i="7"/>
  <c r="G229" i="7"/>
  <c r="G428" i="7"/>
  <c r="G442" i="7"/>
  <c r="G144" i="7"/>
  <c r="G394" i="7"/>
  <c r="G386" i="7"/>
  <c r="G170" i="7"/>
  <c r="G231" i="7"/>
  <c r="G455" i="7"/>
  <c r="G489" i="7"/>
  <c r="G714" i="7"/>
  <c r="G310" i="7"/>
  <c r="G192" i="7"/>
  <c r="G17" i="7"/>
  <c r="G734" i="7"/>
  <c r="G292" i="7"/>
  <c r="G676" i="7"/>
  <c r="G230" i="7"/>
  <c r="G124" i="7"/>
  <c r="G262" i="7"/>
  <c r="G519" i="7"/>
  <c r="G463" i="7"/>
  <c r="G36" i="7"/>
  <c r="G217" i="7"/>
  <c r="G352" i="7"/>
  <c r="G615" i="7"/>
  <c r="G745" i="7"/>
  <c r="G316" i="7"/>
  <c r="G38" i="7"/>
  <c r="G73" i="7"/>
  <c r="G571" i="7"/>
  <c r="G246" i="7"/>
  <c r="G679" i="7"/>
  <c r="G496" i="7"/>
  <c r="G469" i="7"/>
  <c r="G407" i="7"/>
  <c r="G125" i="7"/>
  <c r="G306" i="7"/>
  <c r="G450" i="7"/>
  <c r="G436" i="7"/>
  <c r="G633" i="7"/>
  <c r="G364" i="7"/>
  <c r="G441" i="7"/>
  <c r="G755" i="7"/>
  <c r="G457" i="7"/>
  <c r="G326" i="7"/>
  <c r="G593" i="7"/>
  <c r="G328" i="7"/>
  <c r="G177" i="7"/>
  <c r="G173" i="7"/>
  <c r="G648" i="7"/>
  <c r="G261" i="7"/>
  <c r="G105" i="7"/>
  <c r="G561" i="7"/>
  <c r="G545" i="7"/>
  <c r="G614" i="7"/>
  <c r="G222" i="7"/>
  <c r="G509" i="7"/>
  <c r="G18" i="7"/>
  <c r="G118" i="7"/>
  <c r="G606" i="7"/>
  <c r="G511" i="7"/>
  <c r="G122" i="7"/>
  <c r="G196" i="7"/>
  <c r="G656" i="7"/>
  <c r="G374" i="7"/>
  <c r="G594" i="7"/>
  <c r="G79" i="7"/>
  <c r="G176" i="7"/>
  <c r="G666" i="7"/>
  <c r="G24" i="7"/>
  <c r="G413" i="7"/>
  <c r="G485" i="7"/>
  <c r="G635" i="7"/>
  <c r="G736" i="7"/>
  <c r="G705" i="7"/>
  <c r="G109" i="7"/>
  <c r="G2" i="7"/>
  <c r="G592" i="7"/>
  <c r="G443" i="7"/>
  <c r="G110" i="7"/>
  <c r="G171" i="7"/>
  <c r="G583" i="7"/>
  <c r="G333" i="7"/>
  <c r="G430" i="7"/>
  <c r="G646" i="7"/>
  <c r="G604" i="7"/>
  <c r="G581" i="7"/>
  <c r="G251" i="7"/>
  <c r="G25" i="7"/>
  <c r="G402" i="7"/>
  <c r="G746" i="7"/>
  <c r="G607" i="7"/>
  <c r="G53" i="7"/>
  <c r="G505" i="7"/>
  <c r="G479" i="7"/>
  <c r="G182" i="7"/>
  <c r="G340" i="7"/>
  <c r="G663" i="7"/>
  <c r="G359" i="7"/>
  <c r="G221" i="7"/>
  <c r="S473" i="7"/>
  <c r="S728" i="7"/>
  <c r="S686" i="7"/>
  <c r="S571" i="7"/>
  <c r="S670" i="7"/>
  <c r="S717" i="7"/>
  <c r="S660" i="7"/>
  <c r="S740" i="7"/>
  <c r="S738" i="7"/>
  <c r="S637" i="7"/>
  <c r="S254" i="7"/>
  <c r="S284" i="7"/>
  <c r="S392" i="7"/>
  <c r="S367" i="7"/>
  <c r="S659" i="7"/>
  <c r="S384" i="7"/>
  <c r="S241" i="7"/>
  <c r="S175" i="7"/>
  <c r="S540" i="7"/>
  <c r="S258" i="7"/>
  <c r="S517" i="7"/>
  <c r="S424" i="7"/>
  <c r="S576" i="7"/>
  <c r="S682" i="7"/>
  <c r="S577" i="7"/>
  <c r="S521" i="7"/>
  <c r="S539" i="7"/>
  <c r="S600" i="7"/>
  <c r="S232" i="7"/>
  <c r="S320" i="7"/>
  <c r="S620" i="7"/>
  <c r="S388" i="7"/>
  <c r="S677" i="7"/>
  <c r="S569" i="7"/>
  <c r="S395" i="7"/>
  <c r="S503" i="7"/>
  <c r="S207" i="7"/>
  <c r="S38" i="7"/>
  <c r="S294" i="7"/>
  <c r="S458" i="7"/>
  <c r="S306" i="7"/>
  <c r="S209" i="7"/>
  <c r="S94" i="7"/>
  <c r="S126" i="7"/>
  <c r="S722" i="7"/>
  <c r="S206" i="7"/>
  <c r="S454" i="7"/>
  <c r="S252" i="7"/>
  <c r="S171" i="7"/>
  <c r="S307" i="7"/>
  <c r="S371" i="7"/>
  <c r="S269" i="7"/>
  <c r="S257" i="7"/>
  <c r="S231" i="7"/>
  <c r="S43" i="7"/>
  <c r="S45" i="7"/>
  <c r="G243" i="7"/>
  <c r="G263" i="7"/>
  <c r="G670" i="7"/>
  <c r="G481" i="7"/>
  <c r="G655" i="7"/>
  <c r="G497" i="7"/>
  <c r="S688" i="7"/>
  <c r="S699" i="7"/>
  <c r="S676" i="7"/>
  <c r="S243" i="7"/>
  <c r="S709" i="7"/>
  <c r="S436" i="7"/>
  <c r="S443" i="7"/>
  <c r="S486" i="7"/>
  <c r="S344" i="7"/>
  <c r="S475" i="7"/>
  <c r="S615" i="7"/>
  <c r="S627" i="7"/>
  <c r="S638" i="7"/>
  <c r="S492" i="7"/>
  <c r="S519" i="7"/>
  <c r="S570" i="7"/>
  <c r="S744" i="7"/>
  <c r="S625" i="7"/>
  <c r="S287" i="7"/>
  <c r="S262" i="7"/>
  <c r="S723" i="7"/>
  <c r="S300" i="7"/>
  <c r="S543" i="7"/>
  <c r="S468" i="7"/>
  <c r="S718" i="7"/>
  <c r="S490" i="7"/>
  <c r="S687" i="7"/>
  <c r="S536" i="7"/>
  <c r="S220" i="7"/>
  <c r="S198" i="7"/>
  <c r="S474" i="7"/>
  <c r="S642" i="7"/>
  <c r="S698" i="7"/>
  <c r="S568" i="7"/>
  <c r="S527" i="7"/>
  <c r="S420" i="7"/>
  <c r="S224" i="7"/>
  <c r="S8" i="7"/>
  <c r="S80" i="7"/>
  <c r="S345" i="7"/>
  <c r="S737" i="7"/>
  <c r="S309" i="7"/>
  <c r="S97" i="7"/>
  <c r="S282" i="7"/>
  <c r="S427" i="7"/>
  <c r="S335" i="7"/>
  <c r="S147" i="7"/>
  <c r="S63" i="7"/>
  <c r="S36" i="7"/>
  <c r="S554" i="7"/>
  <c r="S66" i="7"/>
  <c r="S538" i="7"/>
  <c r="S178" i="7"/>
  <c r="S76" i="7"/>
  <c r="S634" i="7"/>
  <c r="S200" i="7"/>
  <c r="G478" i="7"/>
  <c r="G72" i="7"/>
  <c r="G669" i="7"/>
  <c r="G225" i="7"/>
  <c r="G713" i="7"/>
  <c r="S605" i="7"/>
  <c r="S647" i="7"/>
  <c r="S735" i="7"/>
  <c r="S754" i="7"/>
  <c r="S412" i="7"/>
  <c r="S417" i="7"/>
  <c r="S673" i="7"/>
  <c r="S465" i="7"/>
  <c r="S624" i="7"/>
  <c r="S431" i="7"/>
  <c r="S260" i="7"/>
  <c r="S321" i="7"/>
  <c r="S641" i="7"/>
  <c r="S496" i="7"/>
  <c r="S665" i="7"/>
  <c r="S464" i="7"/>
  <c r="S219" i="7"/>
  <c r="S701" i="7"/>
  <c r="S583" i="7"/>
  <c r="S534" i="7"/>
  <c r="S592" i="7"/>
  <c r="S520" i="7"/>
  <c r="S237" i="7"/>
  <c r="S405" i="7"/>
  <c r="S478" i="7"/>
  <c r="S595" i="7"/>
  <c r="S353" i="7"/>
  <c r="S470" i="7"/>
  <c r="S449" i="7"/>
  <c r="S713" i="7"/>
  <c r="S191" i="7"/>
  <c r="S430" i="7"/>
  <c r="S621" i="7"/>
  <c r="S731" i="7"/>
  <c r="S649" i="7"/>
  <c r="S273" i="7"/>
  <c r="S41" i="7"/>
  <c r="S348" i="7"/>
  <c r="S98" i="7"/>
  <c r="S712" i="7"/>
  <c r="S84" i="7"/>
  <c r="S397" i="7"/>
  <c r="S113" i="7"/>
  <c r="S144" i="7"/>
  <c r="S194" i="7"/>
  <c r="S208" i="7"/>
  <c r="S102" i="7"/>
  <c r="S317" i="7"/>
  <c r="S222" i="7"/>
  <c r="S236" i="7"/>
  <c r="S106" i="7"/>
  <c r="S6" i="7"/>
  <c r="S422" i="7"/>
  <c r="S357" i="7"/>
  <c r="S71" i="7"/>
  <c r="G4" i="7"/>
  <c r="G10" i="7"/>
  <c r="G27" i="7"/>
  <c r="G490" i="7"/>
  <c r="G274" i="7"/>
  <c r="G300" i="7"/>
  <c r="G123" i="7"/>
  <c r="S547" i="7"/>
  <c r="S557" i="7"/>
  <c r="S589" i="7"/>
  <c r="S719" i="7"/>
  <c r="S697" i="7"/>
  <c r="S572" i="7"/>
  <c r="S239" i="7"/>
  <c r="S724" i="7"/>
  <c r="S552" i="7"/>
  <c r="S341" i="7"/>
  <c r="S730" i="7"/>
  <c r="S556" i="7"/>
  <c r="S433" i="7"/>
  <c r="S265" i="7"/>
  <c r="S383" i="7"/>
  <c r="S581" i="7"/>
  <c r="S435" i="7"/>
  <c r="S607" i="7"/>
  <c r="S726" i="7"/>
  <c r="S608" i="7"/>
  <c r="S558" i="7"/>
  <c r="S633" i="7"/>
  <c r="S501" i="7"/>
  <c r="S347" i="7"/>
  <c r="S202" i="7"/>
  <c r="S329" i="7"/>
  <c r="S413" i="7"/>
  <c r="S587" i="7"/>
  <c r="S580" i="7"/>
  <c r="S626" i="7"/>
  <c r="S610" i="7"/>
  <c r="S480" i="7"/>
  <c r="S651" i="7"/>
  <c r="S549" i="7"/>
  <c r="S578" i="7"/>
  <c r="S623" i="7"/>
  <c r="S675" i="7"/>
  <c r="S278" i="7"/>
  <c r="S533" i="7"/>
  <c r="S59" i="7"/>
  <c r="S346" i="7"/>
  <c r="S115" i="7"/>
  <c r="S403" i="7"/>
  <c r="S553" i="7"/>
  <c r="S247" i="7"/>
  <c r="S189" i="7"/>
  <c r="S406" i="7"/>
  <c r="S70" i="7"/>
  <c r="S316" i="7"/>
  <c r="S628" i="7"/>
  <c r="S211" i="7"/>
  <c r="S389" i="7"/>
  <c r="S286" i="7"/>
  <c r="S33" i="7"/>
  <c r="S180" i="7"/>
  <c r="S165" i="7"/>
  <c r="S304" i="7"/>
  <c r="S141" i="7"/>
  <c r="G324" i="7"/>
  <c r="G156" i="7"/>
  <c r="G560" i="7"/>
  <c r="G709" i="7"/>
  <c r="G64" i="7"/>
  <c r="G393" i="7"/>
  <c r="S609" i="7"/>
  <c r="S658" i="7"/>
  <c r="S598" i="7"/>
  <c r="S488" i="7"/>
  <c r="S645" i="7"/>
  <c r="S225" i="7"/>
  <c r="S732" i="7"/>
  <c r="S593" i="7"/>
  <c r="S323" i="7"/>
  <c r="S514" i="7"/>
  <c r="S750" i="7"/>
  <c r="S65" i="7"/>
  <c r="S349" i="7"/>
  <c r="S149" i="7"/>
  <c r="S550" i="7"/>
  <c r="S736" i="7"/>
  <c r="S324" i="7"/>
  <c r="S313" i="7"/>
  <c r="S350" i="7"/>
  <c r="S132" i="7"/>
  <c r="S460" i="7"/>
  <c r="S418" i="7"/>
  <c r="S507" i="7"/>
  <c r="S574" i="7"/>
  <c r="S563" i="7"/>
  <c r="S708" i="7"/>
  <c r="S368" i="7"/>
  <c r="S297" i="7"/>
  <c r="S272" i="7"/>
  <c r="S604" i="7"/>
  <c r="S463" i="7"/>
  <c r="S586" i="7"/>
  <c r="S656" i="7"/>
  <c r="S748" i="7"/>
  <c r="S629" i="7"/>
  <c r="S601" i="7"/>
  <c r="S52" i="7"/>
  <c r="S151" i="7"/>
  <c r="S124" i="7"/>
  <c r="S725" i="7"/>
  <c r="S251" i="7"/>
  <c r="S233" i="7"/>
  <c r="S119" i="7"/>
  <c r="S205" i="7"/>
  <c r="S230" i="7"/>
  <c r="S235" i="7"/>
  <c r="S429" i="7"/>
  <c r="S281" i="7"/>
  <c r="S182" i="7"/>
  <c r="S415" i="7"/>
  <c r="S54" i="7"/>
  <c r="S214" i="7"/>
  <c r="S296" i="7"/>
  <c r="S263" i="7"/>
  <c r="S109" i="7"/>
  <c r="G567" i="7"/>
  <c r="G94" i="7"/>
  <c r="G132" i="7"/>
  <c r="G532" i="7"/>
  <c r="G114" i="7"/>
  <c r="S334" i="7"/>
  <c r="S743" i="7"/>
  <c r="S715" i="7"/>
  <c r="S739" i="7"/>
  <c r="S342" i="7"/>
  <c r="S532" i="7"/>
  <c r="S683" i="7"/>
  <c r="S685" i="7"/>
  <c r="S734" i="7"/>
  <c r="S330" i="7"/>
  <c r="S692" i="7"/>
  <c r="S562" i="7"/>
  <c r="S729" i="7"/>
  <c r="S619" i="7"/>
  <c r="S545" i="7"/>
  <c r="S652" i="7"/>
  <c r="S671" i="7"/>
  <c r="S535" i="7"/>
  <c r="S721" i="7"/>
  <c r="S452" i="7"/>
  <c r="S298" i="7"/>
  <c r="S362" i="7"/>
  <c r="S530" i="7"/>
  <c r="S421" i="7"/>
  <c r="S564" i="7"/>
  <c r="S332" i="7"/>
  <c r="S648" i="7"/>
  <c r="S308" i="7"/>
  <c r="S631" i="7"/>
  <c r="S195" i="7"/>
  <c r="S192" i="7"/>
  <c r="S445" i="7"/>
  <c r="S511" i="7"/>
  <c r="S684" i="7"/>
  <c r="S365" i="7"/>
  <c r="S112" i="7"/>
  <c r="S358" i="7"/>
  <c r="S408" i="7"/>
  <c r="S293" i="7"/>
  <c r="S69" i="7"/>
  <c r="S11" i="7"/>
  <c r="S61" i="7"/>
  <c r="S622" i="7"/>
  <c r="S302" i="7"/>
  <c r="S93" i="7"/>
  <c r="S274" i="7"/>
  <c r="S381" i="7"/>
  <c r="S305" i="7"/>
  <c r="S24" i="7"/>
  <c r="S689" i="7"/>
  <c r="S446" i="7"/>
  <c r="S162" i="7"/>
  <c r="S27" i="7"/>
  <c r="S268" i="7"/>
  <c r="S140" i="7"/>
  <c r="S246" i="7"/>
  <c r="S34" i="7"/>
  <c r="G169" i="7"/>
  <c r="G621" i="7"/>
  <c r="G103" i="7"/>
  <c r="G465" i="7"/>
  <c r="S746" i="7"/>
  <c r="S597" i="7"/>
  <c r="S666" i="7"/>
  <c r="S153" i="7"/>
  <c r="S18" i="7"/>
  <c r="S331" i="7"/>
  <c r="S42" i="7"/>
  <c r="S187" i="7"/>
  <c r="S311" i="7"/>
  <c r="S123" i="7"/>
  <c r="S221" i="7"/>
  <c r="S105" i="7"/>
  <c r="S21" i="7"/>
  <c r="S111" i="7"/>
  <c r="S166" i="7"/>
  <c r="S495" i="7"/>
  <c r="S727" i="7"/>
  <c r="S356" i="7"/>
  <c r="S139" i="7"/>
  <c r="S16" i="7"/>
  <c r="S47" i="7"/>
  <c r="S184" i="7"/>
  <c r="S28" i="7"/>
  <c r="S512" i="7"/>
  <c r="S493" i="7"/>
  <c r="S327" i="7"/>
  <c r="S131" i="7"/>
  <c r="S270" i="7"/>
  <c r="S78" i="7"/>
  <c r="S259" i="7"/>
  <c r="S280" i="7"/>
  <c r="S81" i="7"/>
  <c r="S154" i="7"/>
  <c r="S174" i="7"/>
  <c r="S142" i="7"/>
  <c r="S386" i="7"/>
  <c r="S201" i="7"/>
  <c r="S390" i="7"/>
  <c r="S691" i="7"/>
  <c r="S73" i="7"/>
  <c r="S9" i="7"/>
  <c r="S161" i="7"/>
  <c r="S72" i="7"/>
  <c r="S516" i="7"/>
  <c r="S46" i="7"/>
  <c r="S466" i="7"/>
  <c r="S203" i="7"/>
  <c r="S53" i="7"/>
  <c r="S181" i="7"/>
  <c r="S5" i="7"/>
  <c r="S172" i="7"/>
  <c r="S229" i="7"/>
  <c r="S267" i="7"/>
  <c r="S134" i="7"/>
  <c r="S218" i="7"/>
  <c r="S37" i="7"/>
  <c r="S199" i="7"/>
  <c r="S325" i="7"/>
  <c r="S143" i="7"/>
  <c r="S707" i="7"/>
  <c r="S215" i="7"/>
  <c r="S20" i="7"/>
  <c r="S188" i="7"/>
  <c r="S226" i="7"/>
  <c r="S2" i="7"/>
  <c r="S179" i="7"/>
  <c r="S716" i="7"/>
  <c r="S448" i="7"/>
  <c r="S121" i="7"/>
  <c r="S364" i="7"/>
  <c r="S88" i="7"/>
  <c r="S289" i="7"/>
  <c r="S640" i="7"/>
  <c r="S79" i="7"/>
  <c r="S86" i="7"/>
  <c r="S414" i="7"/>
  <c r="S138" i="7"/>
  <c r="S156" i="7"/>
  <c r="S87" i="7"/>
  <c r="S167" i="7"/>
  <c r="S50" i="7"/>
  <c r="S137" i="7"/>
  <c r="S369" i="7"/>
  <c r="S83" i="7"/>
  <c r="S377" i="7"/>
  <c r="S400" i="7"/>
  <c r="S575" i="7"/>
  <c r="S333" i="7"/>
  <c r="S89" i="7"/>
  <c r="S363" i="7"/>
  <c r="S366" i="7"/>
  <c r="S432" i="7"/>
  <c r="S19" i="7"/>
  <c r="S705" i="7"/>
  <c r="S402" i="7"/>
  <c r="S204" i="7"/>
  <c r="S264" i="7"/>
  <c r="S407" i="7"/>
  <c r="S146" i="7"/>
  <c r="S404" i="7"/>
  <c r="S164" i="7"/>
  <c r="S160" i="7"/>
  <c r="S7" i="7"/>
  <c r="S337" i="7"/>
  <c r="S48" i="7"/>
  <c r="S135" i="7"/>
  <c r="S49" i="7"/>
  <c r="S653" i="7"/>
  <c r="S482" i="7"/>
  <c r="S159" i="7"/>
  <c r="S271" i="7"/>
  <c r="S223" i="7"/>
  <c r="S352" i="7"/>
  <c r="S10" i="7"/>
  <c r="S372" i="7"/>
  <c r="S15" i="7"/>
  <c r="S245" i="7"/>
  <c r="S439" i="7"/>
  <c r="S213" i="7"/>
  <c r="S303" i="7"/>
  <c r="S107" i="7"/>
  <c r="S55" i="7"/>
  <c r="S295" i="7"/>
  <c r="S117" i="7"/>
  <c r="S95" i="7"/>
  <c r="S197" i="7"/>
  <c r="S129" i="7"/>
  <c r="S26" i="7"/>
  <c r="S77" i="7"/>
  <c r="S376" i="7"/>
  <c r="S428" i="7"/>
  <c r="S504" i="7"/>
  <c r="S122" i="7"/>
  <c r="S391" i="7"/>
  <c r="S579" i="7"/>
  <c r="S565" i="7"/>
  <c r="S499" i="7"/>
  <c r="S515" i="7"/>
  <c r="S399" i="7"/>
  <c r="S437" i="7"/>
  <c r="S351" i="7"/>
  <c r="S582" i="7"/>
  <c r="S635" i="7"/>
  <c r="S476" i="7"/>
  <c r="S506" i="7"/>
  <c r="S755" i="7"/>
  <c r="S720" i="7"/>
  <c r="S599" i="7"/>
  <c r="S508" i="7"/>
  <c r="S702" i="7"/>
  <c r="S513" i="7"/>
  <c r="S664" i="7"/>
  <c r="S603" i="7"/>
  <c r="S312" i="7"/>
  <c r="S472" i="7"/>
  <c r="S643" i="7"/>
  <c r="S681" i="7"/>
  <c r="S64" i="7"/>
  <c r="S23" i="7"/>
  <c r="S644" i="7"/>
  <c r="S336" i="7"/>
  <c r="S32" i="7"/>
  <c r="S680" i="7"/>
  <c r="S25" i="7"/>
  <c r="S375" i="7"/>
  <c r="S447" i="7"/>
  <c r="S44" i="7"/>
  <c r="S442" i="7"/>
  <c r="S479" i="7"/>
  <c r="S253" i="7"/>
  <c r="S502" i="7"/>
  <c r="S35" i="7"/>
  <c r="S91" i="7"/>
  <c r="S338" i="7"/>
  <c r="S410" i="7"/>
  <c r="S228" i="7"/>
  <c r="S185" i="7"/>
  <c r="S169" i="7"/>
  <c r="S136" i="7"/>
  <c r="S240" i="7"/>
  <c r="S423" i="7"/>
  <c r="S370" i="7"/>
  <c r="S145" i="7"/>
  <c r="S328" i="7"/>
  <c r="S116" i="7"/>
  <c r="S591" i="7"/>
  <c r="S541" i="7"/>
  <c r="S487" i="7"/>
  <c r="S130" i="7"/>
  <c r="S31" i="7"/>
  <c r="S158" i="7"/>
  <c r="S114" i="7"/>
  <c r="S128" i="7"/>
  <c r="S523" i="7"/>
  <c r="S261" i="7"/>
  <c r="S459" i="7"/>
  <c r="S234" i="7"/>
  <c r="S457" i="7"/>
  <c r="S401" i="7"/>
  <c r="S674" i="7"/>
  <c r="S340" i="7"/>
  <c r="S618" i="7"/>
  <c r="S290" i="7"/>
  <c r="S690" i="7"/>
  <c r="S462" i="7"/>
  <c r="S438" i="7"/>
  <c r="S510" i="7"/>
  <c r="S133" i="7"/>
  <c r="S752" i="7"/>
  <c r="S255" i="7"/>
  <c r="S590" i="7"/>
  <c r="S419" i="7"/>
  <c r="S186" i="7"/>
  <c r="S612" i="7"/>
  <c r="S611" i="7"/>
  <c r="S542" i="7"/>
  <c r="S249" i="7"/>
  <c r="S561" i="7"/>
  <c r="S292" i="7"/>
  <c r="S467" i="7"/>
  <c r="S537" i="7"/>
  <c r="S606" i="7"/>
  <c r="S525" i="7"/>
  <c r="S711" i="7"/>
  <c r="S704" i="7"/>
  <c r="S524" i="7"/>
  <c r="S696" i="7"/>
  <c r="S163" i="7"/>
  <c r="S314" i="7"/>
  <c r="S14" i="7"/>
  <c r="S40" i="7"/>
  <c r="S617" i="7"/>
  <c r="S104" i="7"/>
  <c r="S13" i="7"/>
  <c r="S385" i="7"/>
  <c r="S85" i="7"/>
  <c r="S103" i="7"/>
  <c r="S51" i="7"/>
  <c r="S548" i="7"/>
  <c r="S148" i="7"/>
  <c r="S12" i="7"/>
  <c r="S196" i="7"/>
  <c r="S242" i="7"/>
  <c r="S551" i="7"/>
  <c r="S529" i="7"/>
  <c r="S318" i="7"/>
  <c r="S277" i="7"/>
  <c r="S101" i="7"/>
  <c r="S650" i="7"/>
  <c r="S695" i="7"/>
  <c r="S4" i="7"/>
  <c r="S170" i="7"/>
  <c r="S360" i="7"/>
  <c r="S227" i="7"/>
  <c r="S451" i="7"/>
  <c r="S339" i="7"/>
  <c r="S82" i="7"/>
  <c r="S75" i="7"/>
  <c r="S173" i="7"/>
  <c r="S409" i="7"/>
  <c r="S380" i="7"/>
  <c r="S322" i="7"/>
  <c r="S283" i="7"/>
  <c r="S359" i="7"/>
  <c r="S663" i="7"/>
  <c r="S630" i="7"/>
  <c r="S742" i="7"/>
  <c r="S491" i="7"/>
  <c r="S193" i="7"/>
  <c r="S560" i="7"/>
  <c r="S489" i="7"/>
  <c r="S555" i="7"/>
  <c r="S361" i="7"/>
  <c r="S522" i="7"/>
  <c r="S426" i="7"/>
  <c r="S614" i="7"/>
  <c r="S518" i="7"/>
  <c r="S450" i="7"/>
  <c r="S693" i="7"/>
  <c r="S483" i="7"/>
  <c r="S706" i="7"/>
  <c r="S355" i="7"/>
  <c r="S444" i="7"/>
  <c r="S396" i="7"/>
  <c r="S662" i="7"/>
  <c r="S183" i="7"/>
  <c r="S661" i="7"/>
  <c r="S354" i="7"/>
  <c r="S584" i="7"/>
  <c r="S500" i="7"/>
  <c r="S150" i="7"/>
  <c r="S67" i="7"/>
  <c r="S678" i="7"/>
  <c r="S60" i="7"/>
  <c r="S68" i="7"/>
  <c r="S29" i="7"/>
  <c r="S279" i="7"/>
  <c r="S56" i="7"/>
  <c r="S434" i="7"/>
  <c r="S210" i="7"/>
  <c r="S120" i="7"/>
  <c r="S326" i="7"/>
  <c r="S639" i="7"/>
  <c r="S96" i="7"/>
  <c r="S62" i="7"/>
  <c r="S118" i="7"/>
  <c r="S177" i="7"/>
  <c r="S440" i="7"/>
  <c r="S299" i="7"/>
  <c r="S110" i="7"/>
  <c r="S127" i="7"/>
  <c r="S276" i="7"/>
  <c r="S588" i="7"/>
  <c r="G595" i="7"/>
  <c r="I764" i="7"/>
  <c r="G298" i="7"/>
  <c r="G667" i="7"/>
  <c r="G451" i="7"/>
  <c r="G569" i="7"/>
  <c r="S613" i="7"/>
  <c r="S394" i="7"/>
  <c r="S747" i="7"/>
  <c r="S441" i="7"/>
  <c r="S567" i="7"/>
  <c r="S477" i="7"/>
  <c r="S382" i="7"/>
  <c r="S275" i="7"/>
  <c r="S585" i="7"/>
  <c r="S505" i="7"/>
  <c r="S387" i="7"/>
  <c r="S301" i="7"/>
  <c r="S484" i="7"/>
  <c r="S733" i="7"/>
  <c r="S509" i="7"/>
  <c r="S176" i="7"/>
  <c r="S461" i="7"/>
  <c r="S379" i="7"/>
  <c r="S291" i="7"/>
  <c r="S217" i="7"/>
  <c r="S266" i="7"/>
  <c r="S700" i="7"/>
  <c r="S654" i="7"/>
  <c r="S668" i="7"/>
  <c r="S745" i="7"/>
  <c r="S393" i="7"/>
  <c r="S632" i="7"/>
  <c r="S497" i="7"/>
  <c r="S471" i="7"/>
  <c r="S456" i="7"/>
  <c r="S559" i="7"/>
  <c r="S544" i="7"/>
  <c r="S596" i="7"/>
  <c r="S374" i="7"/>
  <c r="S481" i="7"/>
  <c r="S455" i="7"/>
  <c r="S285" i="7"/>
  <c r="S703" i="7"/>
  <c r="S216" i="7"/>
  <c r="S108" i="7"/>
  <c r="S100" i="7"/>
  <c r="S616" i="7"/>
  <c r="S39" i="7"/>
  <c r="S168" i="7"/>
  <c r="S425" i="7"/>
  <c r="S3" i="7"/>
  <c r="S256" i="7"/>
  <c r="S411" i="7"/>
  <c r="S244" i="7"/>
  <c r="S751" i="7"/>
  <c r="S378" i="7"/>
  <c r="S90" i="7"/>
  <c r="G161" i="7"/>
  <c r="G611" i="7"/>
  <c r="G715" i="7"/>
  <c r="G526" i="7"/>
  <c r="G84" i="7"/>
  <c r="O152" i="7"/>
  <c r="P741" i="7"/>
  <c r="P587" i="7"/>
  <c r="P688" i="7"/>
  <c r="P528" i="7"/>
  <c r="P443" i="7"/>
  <c r="P340" i="7"/>
  <c r="I765" i="7"/>
  <c r="P440" i="7"/>
  <c r="P721" i="7"/>
  <c r="P619" i="7"/>
  <c r="I767" i="7"/>
  <c r="P673" i="7"/>
  <c r="P54" i="7"/>
  <c r="P575" i="7"/>
  <c r="P319" i="7"/>
  <c r="P669" i="7"/>
  <c r="P609" i="7"/>
  <c r="P364" i="7"/>
  <c r="P732" i="7"/>
  <c r="P548" i="7"/>
  <c r="P709" i="7"/>
  <c r="P694" i="7"/>
  <c r="P698" i="7"/>
  <c r="P181" i="7"/>
  <c r="P239" i="7"/>
  <c r="P25" i="7"/>
  <c r="P647" i="7"/>
  <c r="P642" i="7"/>
  <c r="P611" i="7"/>
  <c r="P404" i="7"/>
  <c r="P666" i="7"/>
  <c r="P15" i="7"/>
  <c r="P718" i="7"/>
  <c r="P308" i="7"/>
  <c r="P589" i="7"/>
  <c r="P645" i="7"/>
  <c r="P582" i="7"/>
  <c r="P6" i="7"/>
  <c r="P358" i="7"/>
  <c r="P696" i="7"/>
  <c r="P577" i="7"/>
  <c r="P626" i="7"/>
  <c r="P662" i="7"/>
  <c r="P72" i="7"/>
  <c r="P253" i="7"/>
  <c r="P49" i="7"/>
  <c r="H152" i="7"/>
  <c r="P13" i="7"/>
  <c r="P547" i="7"/>
  <c r="P630" i="7"/>
  <c r="P561" i="7"/>
  <c r="P298" i="7"/>
  <c r="P532" i="7"/>
  <c r="P646" i="7"/>
  <c r="P449" i="7"/>
  <c r="P546" i="7"/>
  <c r="P196" i="7"/>
  <c r="P289" i="7"/>
  <c r="P540" i="7"/>
  <c r="P229" i="7"/>
  <c r="P334" i="7"/>
  <c r="P636" i="7"/>
  <c r="P579" i="7"/>
  <c r="P598" i="7"/>
  <c r="P205" i="7"/>
  <c r="P265" i="7"/>
  <c r="P297" i="7"/>
  <c r="P390" i="7"/>
  <c r="P113" i="7"/>
  <c r="P743" i="7"/>
  <c r="P30" i="7"/>
  <c r="P603" i="7"/>
  <c r="P331" i="7"/>
  <c r="P734" i="7"/>
  <c r="P623" i="7"/>
  <c r="P213" i="7"/>
  <c r="P434" i="7"/>
  <c r="P85" i="7"/>
  <c r="G202" i="7"/>
  <c r="G112" i="7"/>
  <c r="G358" i="7"/>
  <c r="G432" i="7"/>
  <c r="G562" i="7"/>
  <c r="G680" i="7"/>
  <c r="G662" i="7"/>
  <c r="G365" i="7"/>
  <c r="G42" i="7"/>
  <c r="G74" i="7"/>
  <c r="G458" i="7"/>
  <c r="G309" i="7"/>
  <c r="G189" i="7"/>
  <c r="G80" i="7"/>
  <c r="G3" i="7"/>
  <c r="G397" i="7"/>
  <c r="G151" i="7"/>
  <c r="G311" i="7"/>
  <c r="G414" i="7"/>
  <c r="G502" i="7"/>
  <c r="G268" i="7"/>
  <c r="G516" i="7"/>
  <c r="G279" i="7"/>
  <c r="G50" i="7"/>
  <c r="G13" i="7"/>
  <c r="G205" i="7"/>
  <c r="G128" i="7"/>
  <c r="G162" i="7"/>
  <c r="G719" i="7"/>
  <c r="G733" i="7"/>
  <c r="G133" i="7"/>
  <c r="G130" i="7"/>
  <c r="G23" i="7"/>
  <c r="G40" i="7"/>
  <c r="G301" i="7"/>
  <c r="G695" i="7"/>
  <c r="G368" i="7"/>
  <c r="G470" i="7"/>
  <c r="G650" i="7"/>
  <c r="G353" i="7"/>
  <c r="G45" i="7"/>
  <c r="G378" i="7"/>
  <c r="G12" i="7"/>
  <c r="G375" i="7"/>
  <c r="G423" i="7"/>
  <c r="G672" i="7"/>
  <c r="G426" i="7"/>
  <c r="G466" i="7"/>
  <c r="G416" i="7"/>
  <c r="G568" i="7"/>
  <c r="G369" i="7"/>
  <c r="G303" i="7"/>
  <c r="G281" i="7"/>
  <c r="G270" i="7"/>
  <c r="G410" i="7"/>
  <c r="G630" i="7"/>
  <c r="G392" i="7"/>
  <c r="G400" i="7"/>
  <c r="G748" i="7"/>
  <c r="G731" i="7"/>
  <c r="G286" i="7"/>
  <c r="G185" i="7"/>
  <c r="G271" i="7"/>
  <c r="G474" i="7"/>
  <c r="G673" i="7"/>
  <c r="G471" i="7"/>
  <c r="G582" i="7"/>
  <c r="G725" i="7"/>
  <c r="G391" i="7"/>
  <c r="G729" i="7"/>
  <c r="G685" i="7"/>
  <c r="G140" i="7"/>
  <c r="G337" i="7"/>
  <c r="G482" i="7"/>
  <c r="G366" i="7"/>
  <c r="G174" i="7"/>
  <c r="G304" i="7"/>
  <c r="G32" i="7"/>
  <c r="G14" i="7"/>
  <c r="G164" i="7"/>
  <c r="G252" i="7"/>
  <c r="G446" i="7"/>
  <c r="G22" i="7"/>
  <c r="G501" i="7"/>
  <c r="G564" i="7"/>
  <c r="G702" i="7"/>
  <c r="G701" i="7"/>
  <c r="G193" i="7"/>
  <c r="G433" i="7"/>
  <c r="G201" i="7"/>
  <c r="G616" i="7"/>
  <c r="G305" i="7"/>
  <c r="G395" i="7"/>
  <c r="G35" i="7"/>
  <c r="G234" i="7"/>
  <c r="G445" i="7"/>
  <c r="G345" i="7"/>
  <c r="G83" i="7"/>
  <c r="G194" i="7"/>
  <c r="G327" i="7"/>
  <c r="G141" i="7"/>
  <c r="G238" i="7"/>
  <c r="G19" i="7"/>
  <c r="G95" i="7"/>
  <c r="G521" i="7"/>
  <c r="G55" i="7"/>
  <c r="G573" i="7"/>
  <c r="G382" i="7"/>
  <c r="G147" i="7"/>
  <c r="G119" i="7"/>
  <c r="G335" i="7"/>
  <c r="G406" i="7"/>
  <c r="G534" i="7"/>
  <c r="G278" i="7"/>
  <c r="G639" i="7"/>
  <c r="G312" i="7"/>
  <c r="G439" i="7"/>
  <c r="G541" i="7"/>
  <c r="G97" i="7"/>
  <c r="G596" i="7"/>
  <c r="G708" i="7"/>
  <c r="G717" i="7"/>
  <c r="G468" i="7"/>
  <c r="G289" i="7"/>
  <c r="G256" i="7"/>
  <c r="G376" i="7"/>
  <c r="G295" i="7"/>
  <c r="G355" i="7"/>
  <c r="G537" i="7"/>
  <c r="G681" i="7"/>
  <c r="G127" i="7"/>
  <c r="G228" i="7"/>
  <c r="G513" i="7"/>
  <c r="G5" i="7"/>
  <c r="G566" i="7"/>
  <c r="G653" i="7"/>
  <c r="G637" i="7"/>
  <c r="G590" i="7"/>
  <c r="G404" i="7"/>
  <c r="G576" i="7"/>
  <c r="G370" i="7"/>
  <c r="G75" i="7"/>
  <c r="G61" i="7"/>
  <c r="G730" i="7"/>
  <c r="G542" i="7"/>
  <c r="G207" i="7"/>
  <c r="G750" i="7"/>
  <c r="G308" i="7"/>
  <c r="G558" i="7"/>
  <c r="G477" i="7"/>
  <c r="G424" i="7"/>
  <c r="G619" i="7"/>
  <c r="G574" i="7"/>
  <c r="G99" i="7"/>
  <c r="G293" i="7"/>
  <c r="G58" i="7"/>
  <c r="G168" i="7"/>
  <c r="G57" i="7"/>
  <c r="G33" i="7"/>
  <c r="G440" i="7"/>
  <c r="G282" i="7"/>
  <c r="G117" i="7"/>
  <c r="G85" i="7"/>
  <c r="G216" i="7"/>
  <c r="G373" i="7"/>
  <c r="G113" i="7"/>
  <c r="G184" i="7"/>
  <c r="G116" i="7"/>
  <c r="G135" i="7"/>
  <c r="G257" i="7"/>
  <c r="G276" i="7"/>
  <c r="G101" i="7"/>
  <c r="G341" i="7"/>
  <c r="G515" i="7"/>
  <c r="G678" i="7"/>
  <c r="G626" i="7"/>
  <c r="G682" i="7"/>
  <c r="G588" i="7"/>
  <c r="G549" i="7"/>
  <c r="G29" i="7"/>
  <c r="G322" i="7"/>
  <c r="G126" i="7"/>
  <c r="G547" i="7"/>
  <c r="G350" i="7"/>
  <c r="G726" i="7"/>
  <c r="G348" i="7"/>
  <c r="G654" i="7"/>
  <c r="G379" i="7"/>
  <c r="G253" i="7"/>
  <c r="G660" i="7"/>
  <c r="G688" i="7"/>
  <c r="G143" i="7"/>
  <c r="G51" i="7"/>
  <c r="G131" i="7"/>
  <c r="G98" i="7"/>
  <c r="G649" i="7"/>
  <c r="G749" i="7"/>
  <c r="G632" i="7"/>
  <c r="G538" i="7"/>
  <c r="G675" i="7"/>
  <c r="G9" i="7"/>
  <c r="G154" i="7"/>
  <c r="G425" i="7"/>
  <c r="G707" i="7"/>
  <c r="G577" i="7"/>
  <c r="G543" i="7"/>
  <c r="G427" i="7"/>
  <c r="G500" i="7"/>
  <c r="G603" i="7"/>
  <c r="G383" i="7"/>
  <c r="G444" i="7"/>
  <c r="G145" i="7"/>
  <c r="G111" i="7"/>
  <c r="G172" i="7"/>
  <c r="G235" i="7"/>
  <c r="G215" i="7"/>
  <c r="G146" i="7"/>
  <c r="G66" i="7"/>
  <c r="G20" i="7"/>
  <c r="G504" i="7"/>
  <c r="G115" i="7"/>
  <c r="G209" i="7"/>
  <c r="S152" i="7"/>
  <c r="G372" i="7"/>
  <c r="G291" i="7"/>
  <c r="G579" i="7"/>
  <c r="G475" i="7"/>
  <c r="G134" i="7"/>
  <c r="G106" i="7"/>
  <c r="G438" i="7"/>
  <c r="G65" i="7"/>
  <c r="G93" i="7"/>
  <c r="P37" i="7"/>
  <c r="P572" i="7"/>
  <c r="P290" i="7"/>
  <c r="P736" i="7"/>
  <c r="P563" i="7"/>
  <c r="P715" i="7"/>
  <c r="P307" i="7"/>
  <c r="P681" i="7"/>
  <c r="P368" i="7"/>
  <c r="P751" i="7"/>
  <c r="P415" i="7"/>
  <c r="P726" i="7"/>
  <c r="P248" i="7"/>
  <c r="P294" i="7"/>
  <c r="P566" i="7"/>
  <c r="P674" i="7"/>
  <c r="P739" i="7"/>
  <c r="P529" i="7"/>
  <c r="P188" i="7"/>
  <c r="P178" i="7"/>
  <c r="P675" i="7"/>
  <c r="P660" i="7"/>
  <c r="P369" i="7"/>
  <c r="P753" i="7"/>
  <c r="P215" i="7"/>
  <c r="P542" i="7"/>
  <c r="P564" i="7"/>
  <c r="P448" i="7"/>
  <c r="P273" i="7"/>
  <c r="P350" i="7"/>
  <c r="P605" i="7"/>
  <c r="P50" i="7"/>
  <c r="P583" i="7"/>
  <c r="P38" i="7"/>
  <c r="P661" i="7"/>
  <c r="P509" i="7"/>
  <c r="P183" i="7"/>
  <c r="P223" i="7"/>
  <c r="P378" i="7"/>
  <c r="P490" i="7"/>
  <c r="P67" i="7"/>
  <c r="P286" i="7"/>
  <c r="P313" i="7"/>
  <c r="P643" i="7"/>
  <c r="P541" i="7"/>
  <c r="P375" i="7"/>
  <c r="P126" i="7"/>
  <c r="P400" i="7"/>
  <c r="P389" i="7"/>
  <c r="P362" i="7"/>
  <c r="P454" i="7"/>
  <c r="P475" i="7"/>
  <c r="P338" i="7"/>
  <c r="P153" i="7"/>
  <c r="P456" i="7"/>
  <c r="P702" i="7"/>
  <c r="P73" i="7"/>
  <c r="P569" i="7"/>
  <c r="P56" i="7"/>
  <c r="P44" i="7"/>
  <c r="P40" i="7"/>
  <c r="P121" i="7"/>
  <c r="P428" i="7"/>
  <c r="P271" i="7"/>
  <c r="P555" i="7"/>
  <c r="P88" i="7"/>
  <c r="P668" i="7"/>
  <c r="P383" i="7"/>
  <c r="P395" i="7"/>
  <c r="P91" i="7"/>
  <c r="P326" i="7"/>
  <c r="P615" i="7"/>
  <c r="P175" i="7"/>
  <c r="P494" i="7"/>
  <c r="P333" i="7"/>
  <c r="P158" i="7"/>
  <c r="P622" i="7"/>
  <c r="P64" i="7"/>
  <c r="P92" i="7"/>
  <c r="P625" i="7"/>
  <c r="P32" i="7"/>
  <c r="P711" i="7"/>
  <c r="P634" i="7"/>
  <c r="P28" i="7"/>
  <c r="P238" i="7"/>
  <c r="P98" i="7"/>
  <c r="P180" i="7"/>
  <c r="P174" i="7"/>
  <c r="P522" i="7"/>
  <c r="P220" i="7"/>
  <c r="P279" i="7"/>
  <c r="P186" i="7"/>
  <c r="P120" i="7"/>
  <c r="P119" i="7"/>
  <c r="P70" i="7"/>
  <c r="P317" i="7"/>
  <c r="P401" i="7"/>
  <c r="P201" i="7"/>
  <c r="P182" i="7"/>
  <c r="P750" i="7"/>
  <c r="P116" i="7"/>
  <c r="P202" i="7"/>
  <c r="P679" i="7"/>
  <c r="P268" i="7"/>
  <c r="P545" i="7"/>
  <c r="P287" i="7"/>
  <c r="P45" i="7"/>
  <c r="P147" i="7"/>
  <c r="P455" i="7"/>
  <c r="P493" i="7"/>
  <c r="P207" i="7"/>
  <c r="P312" i="7"/>
  <c r="P339" i="7"/>
  <c r="P544" i="7"/>
  <c r="P515" i="7"/>
  <c r="P352" i="7"/>
  <c r="P26" i="7"/>
  <c r="P536" i="7"/>
  <c r="P474" i="7"/>
  <c r="P460" i="7"/>
  <c r="P52" i="7"/>
  <c r="Q656" i="7"/>
  <c r="Q733" i="7"/>
  <c r="Q707" i="7"/>
  <c r="Q334" i="7"/>
  <c r="Q752" i="7"/>
  <c r="Q583" i="7"/>
  <c r="Q386" i="7"/>
  <c r="Q612" i="7"/>
  <c r="Q341" i="7"/>
  <c r="Q562" i="7"/>
  <c r="Q314" i="7"/>
  <c r="Q482" i="7"/>
  <c r="Q679" i="7"/>
  <c r="Q353" i="7"/>
  <c r="Q284" i="7"/>
  <c r="Q533" i="7"/>
  <c r="Q644" i="7"/>
  <c r="Q534" i="7"/>
  <c r="Q573" i="7"/>
  <c r="Q746" i="7"/>
  <c r="Q703" i="7"/>
  <c r="Q512" i="7"/>
  <c r="Q643" i="7"/>
  <c r="Q549" i="7"/>
  <c r="Q288" i="7"/>
  <c r="Q497" i="7"/>
  <c r="Q751" i="7"/>
  <c r="Q332" i="7"/>
  <c r="Q358" i="7"/>
  <c r="Q490" i="7"/>
  <c r="Q690" i="7"/>
  <c r="Q451" i="7"/>
  <c r="Q626" i="7"/>
  <c r="Q310" i="7"/>
  <c r="Q217" i="7"/>
  <c r="Q307" i="7"/>
  <c r="Q509" i="7"/>
  <c r="Q620" i="7"/>
  <c r="Q515" i="7"/>
  <c r="Q660" i="7"/>
  <c r="Q432" i="7"/>
  <c r="Q527" i="7"/>
  <c r="Q590" i="7"/>
  <c r="Q51" i="7"/>
  <c r="Q34" i="7"/>
  <c r="Q710" i="7"/>
  <c r="Q95" i="7"/>
  <c r="Q3" i="7"/>
  <c r="Q627" i="7"/>
  <c r="Q256" i="7"/>
  <c r="Q459" i="7"/>
  <c r="Q49" i="7"/>
  <c r="Q369" i="7"/>
  <c r="Q454" i="7"/>
  <c r="Q40" i="7"/>
  <c r="Q277" i="7"/>
  <c r="Q271" i="7"/>
  <c r="Q94" i="7"/>
  <c r="Q116" i="7"/>
  <c r="Q75" i="7"/>
  <c r="Q299" i="7"/>
  <c r="Q109" i="7"/>
  <c r="Q682" i="7"/>
  <c r="Q264" i="7"/>
  <c r="Q316" i="7"/>
  <c r="Q681" i="7"/>
  <c r="Q704" i="7"/>
  <c r="Q743" i="7"/>
  <c r="Q647" i="7"/>
  <c r="Q699" i="7"/>
  <c r="Q575" i="7"/>
  <c r="Q487" i="7"/>
  <c r="Q449" i="7"/>
  <c r="Q576" i="7"/>
  <c r="Q388" i="7"/>
  <c r="Q568" i="7"/>
  <c r="Q716" i="7"/>
  <c r="Q600" i="7"/>
  <c r="Q638" i="7"/>
  <c r="Q574" i="7"/>
  <c r="Q688" i="7"/>
  <c r="Q283" i="7"/>
  <c r="Q290" i="7"/>
  <c r="Q324" i="7"/>
  <c r="Q232" i="7"/>
  <c r="Q698" i="7"/>
  <c r="Q687" i="7"/>
  <c r="Q339" i="7"/>
  <c r="Q579" i="7"/>
  <c r="Q530" i="7"/>
  <c r="Q489" i="7"/>
  <c r="Q613" i="7"/>
  <c r="Q695" i="7"/>
  <c r="Q224" i="7"/>
  <c r="Q528" i="7"/>
  <c r="Q596" i="7"/>
  <c r="Q352" i="7"/>
  <c r="Q195" i="7"/>
  <c r="Q730" i="7"/>
  <c r="Q677" i="7"/>
  <c r="Q650" i="7"/>
  <c r="Q292" i="7"/>
  <c r="Q387" i="7"/>
  <c r="Q416" i="7"/>
  <c r="Q646" i="7"/>
  <c r="Q251" i="7"/>
  <c r="Q723" i="7"/>
  <c r="Q558" i="7"/>
  <c r="Q478" i="7"/>
  <c r="Q273" i="7"/>
  <c r="Q446" i="7"/>
  <c r="Q480" i="7"/>
  <c r="Q276" i="7"/>
  <c r="Q442" i="7"/>
  <c r="Q163" i="7"/>
  <c r="Q15" i="7"/>
  <c r="Q499" i="7"/>
  <c r="Q415" i="7"/>
  <c r="Q181" i="7"/>
  <c r="Q105" i="7"/>
  <c r="Q121" i="7"/>
  <c r="Q107" i="7"/>
  <c r="Q498" i="7"/>
  <c r="Q126" i="7"/>
  <c r="Q516" i="7"/>
  <c r="Q159" i="7"/>
  <c r="Q79" i="7"/>
  <c r="Q151" i="7"/>
  <c r="Q58" i="7"/>
  <c r="Q86" i="7"/>
  <c r="Q755" i="7"/>
  <c r="Q732" i="7"/>
  <c r="Q597" i="7"/>
  <c r="Q691" i="7"/>
  <c r="Q617" i="7"/>
  <c r="Q248" i="7"/>
  <c r="Q472" i="7"/>
  <c r="Q712" i="7"/>
  <c r="Q536" i="7"/>
  <c r="Q464" i="7"/>
  <c r="Q648" i="7"/>
  <c r="Q523" i="7"/>
  <c r="Q651" i="7"/>
  <c r="Q525" i="7"/>
  <c r="Q220" i="7"/>
  <c r="Q662" i="7"/>
  <c r="Q541" i="7"/>
  <c r="Q112" i="7"/>
  <c r="Q291" i="7"/>
  <c r="Q340" i="7"/>
  <c r="Q473" i="7"/>
  <c r="Q423" i="7"/>
  <c r="Q486" i="7"/>
  <c r="Q577" i="7"/>
  <c r="Q684" i="7"/>
  <c r="Q628" i="7"/>
  <c r="Q665" i="7"/>
  <c r="Q393" i="7"/>
  <c r="Q514" i="7"/>
  <c r="Q520" i="7"/>
  <c r="Q539" i="7"/>
  <c r="Q240" i="7"/>
  <c r="Q513" i="7"/>
  <c r="Q526" i="7"/>
  <c r="Q297" i="7"/>
  <c r="Q709" i="7"/>
  <c r="Q551" i="7"/>
  <c r="Q237" i="7"/>
  <c r="Q606" i="7"/>
  <c r="Q408" i="7"/>
  <c r="Q309" i="7"/>
  <c r="Q100" i="7"/>
  <c r="Q96" i="7"/>
  <c r="Q338" i="7"/>
  <c r="Q331" i="7"/>
  <c r="Q69" i="7"/>
  <c r="Q47" i="7"/>
  <c r="Q392" i="7"/>
  <c r="Q56" i="7"/>
  <c r="Q303" i="7"/>
  <c r="Q35" i="7"/>
  <c r="Q156" i="7"/>
  <c r="Q124" i="7"/>
  <c r="Q389" i="7"/>
  <c r="Q229" i="7"/>
  <c r="Q350" i="7"/>
  <c r="Q24" i="7"/>
  <c r="Q129" i="7"/>
  <c r="Q586" i="7"/>
  <c r="Q101" i="7"/>
  <c r="Q17" i="7"/>
  <c r="Q697" i="7"/>
  <c r="Q266" i="7"/>
  <c r="Q740" i="7"/>
  <c r="Q715" i="7"/>
  <c r="Q623" i="7"/>
  <c r="Q267" i="7"/>
  <c r="Q672" i="7"/>
  <c r="Q300" i="7"/>
  <c r="Q519" i="7"/>
  <c r="Q493" i="7"/>
  <c r="Q325" i="7"/>
  <c r="Q450" i="7"/>
  <c r="Q383" i="7"/>
  <c r="Q301" i="7"/>
  <c r="Q714" i="7"/>
  <c r="Q167" i="7"/>
  <c r="Q437" i="7"/>
  <c r="Q298" i="7"/>
  <c r="Q713" i="7"/>
  <c r="Q293" i="7"/>
  <c r="Q544" i="7"/>
  <c r="Q594" i="7"/>
  <c r="Q610" i="7"/>
  <c r="Q616" i="7"/>
  <c r="Q431" i="7"/>
  <c r="Q444" i="7"/>
  <c r="Q419" i="7"/>
  <c r="Q429" i="7"/>
  <c r="Q265" i="7"/>
  <c r="Q518" i="7"/>
  <c r="Q122" i="7"/>
  <c r="Q734" i="7"/>
  <c r="Q522" i="7"/>
  <c r="Q448" i="7"/>
  <c r="Q337" i="7"/>
  <c r="Q659" i="7"/>
  <c r="Q508" i="7"/>
  <c r="Q554" i="7"/>
  <c r="Q584" i="7"/>
  <c r="Q313" i="7"/>
  <c r="Q261" i="7"/>
  <c r="Q63" i="7"/>
  <c r="Q564" i="7"/>
  <c r="Q10" i="7"/>
  <c r="Q5" i="7"/>
  <c r="Q171" i="7"/>
  <c r="Q295" i="7"/>
  <c r="Q42" i="7"/>
  <c r="Q134" i="7"/>
  <c r="Q88" i="7"/>
  <c r="Q641" i="7"/>
  <c r="Q117" i="7"/>
  <c r="Q26" i="7"/>
  <c r="Q45" i="7"/>
  <c r="Q98" i="7"/>
  <c r="Q76" i="7"/>
  <c r="Q211" i="7"/>
  <c r="Q484" i="7"/>
  <c r="Q29" i="7"/>
  <c r="Q33" i="7"/>
  <c r="Q582" i="7"/>
  <c r="Q475" i="7"/>
  <c r="Q436" i="7"/>
  <c r="Q645" i="7"/>
  <c r="Q747" i="7"/>
  <c r="Q488" i="7"/>
  <c r="Q727" i="7"/>
  <c r="Q640" i="7"/>
  <c r="Q631" i="7"/>
  <c r="Q501" i="7"/>
  <c r="Q680" i="7"/>
  <c r="Q595" i="7"/>
  <c r="Q637" i="7"/>
  <c r="Q405" i="7"/>
  <c r="Q394" i="7"/>
  <c r="Q678" i="7"/>
  <c r="Q400" i="7"/>
  <c r="Q511" i="7"/>
  <c r="Q149" i="7"/>
  <c r="Q453" i="7"/>
  <c r="Q374" i="7"/>
  <c r="Q604" i="7"/>
  <c r="Q354" i="7"/>
  <c r="Q355" i="7"/>
  <c r="Q721" i="7"/>
  <c r="Q315" i="7"/>
  <c r="Q186" i="7"/>
  <c r="Q249" i="7"/>
  <c r="Q439" i="7"/>
  <c r="Q552" i="7"/>
  <c r="Q731" i="7"/>
  <c r="Q654" i="7"/>
  <c r="Q685" i="7"/>
  <c r="Q440" i="7"/>
  <c r="Q349" i="7"/>
  <c r="Q323" i="7"/>
  <c r="Q614" i="7"/>
  <c r="Q239" i="7"/>
  <c r="Q565" i="7"/>
  <c r="Q458" i="7"/>
  <c r="Q749" i="7"/>
  <c r="Q492" i="7"/>
  <c r="Q655" i="7"/>
  <c r="Q720" i="7"/>
  <c r="Q410" i="7"/>
  <c r="Q165" i="7"/>
  <c r="Q327" i="7"/>
  <c r="Q99" i="7"/>
  <c r="Q336" i="7"/>
  <c r="Q296" i="7"/>
  <c r="Q137" i="7"/>
  <c r="Q560" i="7"/>
  <c r="Q57" i="7"/>
  <c r="Q22" i="7"/>
  <c r="Q9" i="7"/>
  <c r="Q12" i="7"/>
  <c r="Q504" i="7"/>
  <c r="Q209" i="7"/>
  <c r="Q422" i="7"/>
  <c r="Q503" i="7"/>
  <c r="Q64" i="7"/>
  <c r="Q52" i="7"/>
  <c r="Q281" i="7"/>
  <c r="Q494" i="7"/>
  <c r="Q19" i="7"/>
  <c r="Q445" i="7"/>
  <c r="Q113" i="7"/>
  <c r="Q247" i="7"/>
  <c r="Q465" i="7"/>
  <c r="Q724" i="7"/>
  <c r="Q657" i="7"/>
  <c r="Q624" i="7"/>
  <c r="Q567" i="7"/>
  <c r="Q744" i="7"/>
  <c r="Q491" i="7"/>
  <c r="Q736" i="7"/>
  <c r="Q553" i="7"/>
  <c r="Q329" i="7"/>
  <c r="Q344" i="7"/>
  <c r="Q347" i="7"/>
  <c r="Q221" i="7"/>
  <c r="Q385" i="7"/>
  <c r="Q471" i="7"/>
  <c r="Q718" i="7"/>
  <c r="Q420" i="7"/>
  <c r="Q619" i="7"/>
  <c r="Q737" i="7"/>
  <c r="Q569" i="7"/>
  <c r="Q176" i="7"/>
  <c r="Q661" i="7"/>
  <c r="Q725" i="7"/>
  <c r="Q427" i="7"/>
  <c r="Q330" i="7"/>
  <c r="Q642" i="7"/>
  <c r="Q421" i="7"/>
  <c r="Q572" i="7"/>
  <c r="Q722" i="7"/>
  <c r="Q593" i="7"/>
  <c r="Q675" i="7"/>
  <c r="Q258" i="7"/>
  <c r="Q717" i="7"/>
  <c r="Q689" i="7"/>
  <c r="Q175" i="7"/>
  <c r="Q692" i="7"/>
  <c r="Q438" i="7"/>
  <c r="Q653" i="7"/>
  <c r="Q452" i="7"/>
  <c r="Q555" i="7"/>
  <c r="Q219" i="7"/>
  <c r="Q192" i="7"/>
  <c r="Q269" i="7"/>
  <c r="Q356" i="7"/>
  <c r="Q742" i="7"/>
  <c r="Q566" i="7"/>
  <c r="Q164" i="7"/>
  <c r="Q206" i="7"/>
  <c r="Q378" i="7"/>
  <c r="Q286" i="7"/>
  <c r="Q138" i="7"/>
  <c r="Q674" i="7"/>
  <c r="Q44" i="7"/>
  <c r="Q174" i="7"/>
  <c r="Q402" i="7"/>
  <c r="Q360" i="7"/>
  <c r="Q397" i="7"/>
  <c r="Q73" i="7"/>
  <c r="Q166" i="7"/>
  <c r="Q318" i="7"/>
  <c r="Q71" i="7"/>
  <c r="Q7" i="7"/>
  <c r="Q194" i="7"/>
  <c r="Q578" i="7"/>
  <c r="Q141" i="7"/>
  <c r="Q189" i="7"/>
  <c r="Q468" i="7"/>
  <c r="Q669" i="7"/>
  <c r="Q417" i="7"/>
  <c r="Q547" i="7"/>
  <c r="Q726" i="7"/>
  <c r="Q605" i="7"/>
  <c r="Q279" i="7"/>
  <c r="Q66" i="7"/>
  <c r="Q114" i="7"/>
  <c r="Q447" i="7"/>
  <c r="Q143" i="7"/>
  <c r="Q629" i="7"/>
  <c r="Q210" i="7"/>
  <c r="Q14" i="7"/>
  <c r="Q409" i="7"/>
  <c r="Q59" i="7"/>
  <c r="Q162" i="7"/>
  <c r="Q182" i="7"/>
  <c r="Q535" i="7"/>
  <c r="Q119" i="7"/>
  <c r="Q11" i="7"/>
  <c r="Q67" i="7"/>
  <c r="Q68" i="7"/>
  <c r="Q381" i="7"/>
  <c r="Q213" i="7"/>
  <c r="Q372" i="7"/>
  <c r="Q61" i="7"/>
  <c r="Q335" i="7"/>
  <c r="Q84" i="7"/>
  <c r="Q106" i="7"/>
  <c r="Q403" i="7"/>
  <c r="Q602" i="7"/>
  <c r="Q178" i="7"/>
  <c r="Q80" i="7"/>
  <c r="Q140" i="7"/>
  <c r="Q245" i="7"/>
  <c r="Q282" i="7"/>
  <c r="Q663" i="7"/>
  <c r="Q90" i="7"/>
  <c r="Q479" i="7"/>
  <c r="Q322" i="7"/>
  <c r="Q559" i="7"/>
  <c r="Q150" i="7"/>
  <c r="Q41" i="7"/>
  <c r="Q102" i="7"/>
  <c r="Q70" i="7"/>
  <c r="Q30" i="7"/>
  <c r="Q599" i="7"/>
  <c r="Q25" i="7"/>
  <c r="Q37" i="7"/>
  <c r="Q227" i="7"/>
  <c r="Q54" i="7"/>
  <c r="Q191" i="7"/>
  <c r="Q706" i="7"/>
  <c r="Q670" i="7"/>
  <c r="Q580" i="7"/>
  <c r="Q693" i="7"/>
  <c r="Q735" i="7"/>
  <c r="Q754" i="7"/>
  <c r="Q658" i="7"/>
  <c r="Q467" i="7"/>
  <c r="Q375" i="7"/>
  <c r="Q380" i="7"/>
  <c r="Q2" i="7"/>
  <c r="O4" i="14" s="1"/>
  <c r="Q333" i="7"/>
  <c r="Q379" i="7"/>
  <c r="Q390" i="7"/>
  <c r="Q118" i="7"/>
  <c r="Q346" i="7"/>
  <c r="Q46" i="7"/>
  <c r="Q215" i="7"/>
  <c r="Q683" i="7"/>
  <c r="Q531" i="7"/>
  <c r="Q53" i="7"/>
  <c r="Q363" i="7"/>
  <c r="Q481" i="7"/>
  <c r="Q4" i="7"/>
  <c r="Q193" i="7"/>
  <c r="Q362" i="7"/>
  <c r="Q570" i="7"/>
  <c r="Q120" i="7"/>
  <c r="Q39" i="7"/>
  <c r="Q179" i="7"/>
  <c r="Q208" i="7"/>
  <c r="Q272" i="7"/>
  <c r="Q633" i="7"/>
  <c r="Q115" i="7"/>
  <c r="Q187" i="7"/>
  <c r="Q289" i="7"/>
  <c r="Q222" i="7"/>
  <c r="Q85" i="7"/>
  <c r="Q255" i="7"/>
  <c r="Q550" i="7"/>
  <c r="Q188" i="7"/>
  <c r="Q83" i="7"/>
  <c r="Q199" i="7"/>
  <c r="Q223" i="7"/>
  <c r="Q81" i="7"/>
  <c r="Q517" i="7"/>
  <c r="Q306" i="7"/>
  <c r="Q173" i="7"/>
  <c r="Q214" i="7"/>
  <c r="Q204" i="7"/>
  <c r="Q359" i="7"/>
  <c r="Q376" i="7"/>
  <c r="Q294" i="7"/>
  <c r="Q177" i="7"/>
  <c r="Q257" i="7"/>
  <c r="Q319" i="7"/>
  <c r="Q268" i="7"/>
  <c r="Q111" i="7"/>
  <c r="Q242" i="7"/>
  <c r="Q357" i="7"/>
  <c r="Q407" i="7"/>
  <c r="Q320" i="7"/>
  <c r="Q154" i="7"/>
  <c r="Q270" i="7"/>
  <c r="Q234" i="7"/>
  <c r="Q317" i="7"/>
  <c r="Q729" i="7"/>
  <c r="Q412" i="7"/>
  <c r="Q592" i="7"/>
  <c r="Q506" i="7"/>
  <c r="Q664" i="7"/>
  <c r="Q753" i="7"/>
  <c r="Q676" i="7"/>
  <c r="Q91" i="7"/>
  <c r="Q93" i="7"/>
  <c r="Q36" i="7"/>
  <c r="Q21" i="7"/>
  <c r="Q483" i="7"/>
  <c r="Q542" i="7"/>
  <c r="Q110" i="7"/>
  <c r="Q371" i="7"/>
  <c r="Q136" i="7"/>
  <c r="Q87" i="7"/>
  <c r="Q228" i="7"/>
  <c r="Q418" i="7"/>
  <c r="Q537" i="7"/>
  <c r="Q348" i="7"/>
  <c r="Q212" i="7"/>
  <c r="Q377" i="7"/>
  <c r="Q425" i="7"/>
  <c r="Q62" i="7"/>
  <c r="Q241" i="7"/>
  <c r="Q435" i="7"/>
  <c r="Q414" i="7"/>
  <c r="Q304" i="7"/>
  <c r="Q180" i="7"/>
  <c r="Q144" i="7"/>
  <c r="Q43" i="7"/>
  <c r="Q202" i="7"/>
  <c r="Q16" i="7"/>
  <c r="Q92" i="7"/>
  <c r="Q78" i="7"/>
  <c r="Q230" i="7"/>
  <c r="Q275" i="7"/>
  <c r="Q131" i="7"/>
  <c r="Q157" i="7"/>
  <c r="Q252" i="7"/>
  <c r="Q203" i="7"/>
  <c r="Q462" i="7"/>
  <c r="Q160" i="7"/>
  <c r="Q72" i="7"/>
  <c r="Q27" i="7"/>
  <c r="Q32" i="7"/>
  <c r="Q139" i="7"/>
  <c r="Q343" i="7"/>
  <c r="Q48" i="7"/>
  <c r="Q168" i="7"/>
  <c r="Q274" i="7"/>
  <c r="Q74" i="7"/>
  <c r="Q750" i="7"/>
  <c r="Q635" i="7"/>
  <c r="Q287" i="7"/>
  <c r="Q507" i="7"/>
  <c r="Q589" i="7"/>
  <c r="Q235" i="7"/>
  <c r="Q233" i="7"/>
  <c r="Q185" i="7"/>
  <c r="Q89" i="7"/>
  <c r="Q308" i="7"/>
  <c r="Q183" i="7"/>
  <c r="Q170" i="7"/>
  <c r="Q108" i="7"/>
  <c r="Q155" i="7"/>
  <c r="Q253" i="7"/>
  <c r="Q50" i="7"/>
  <c r="Q668" i="7"/>
  <c r="Q190" i="7"/>
  <c r="Q197" i="7"/>
  <c r="Q184" i="7"/>
  <c r="Q104" i="7"/>
  <c r="Q6" i="7"/>
  <c r="Q20" i="7"/>
  <c r="Q500" i="7"/>
  <c r="Q701" i="7"/>
  <c r="Q238" i="7"/>
  <c r="Q146" i="7"/>
  <c r="Q366" i="7"/>
  <c r="Q8" i="7"/>
  <c r="O5" i="14" s="1"/>
  <c r="Q125" i="7"/>
  <c r="Q563" i="7"/>
  <c r="Q161" i="7"/>
  <c r="Q328" i="7"/>
  <c r="Q326" i="7"/>
  <c r="Q153" i="7"/>
  <c r="Q603" i="7"/>
  <c r="Q244" i="7"/>
  <c r="Q455" i="7"/>
  <c r="Q581" i="7"/>
  <c r="Q201" i="7"/>
  <c r="Q621" i="7"/>
  <c r="Q236" i="7"/>
  <c r="Q226" i="7"/>
  <c r="Q305" i="7"/>
  <c r="Q97" i="7"/>
  <c r="Q496" i="7"/>
  <c r="Q632" i="7"/>
  <c r="Q196" i="7"/>
  <c r="Q127" i="7"/>
  <c r="Q216" i="7"/>
  <c r="Q147" i="7"/>
  <c r="Q351" i="7"/>
  <c r="Q395" i="7"/>
  <c r="Q540" i="7"/>
  <c r="Q152" i="7"/>
  <c r="Q673" i="7"/>
  <c r="Q611" i="7"/>
  <c r="Q708" i="7"/>
  <c r="Q739" i="7"/>
  <c r="Q532" i="7"/>
  <c r="Q652" i="7"/>
  <c r="Q243" i="7"/>
  <c r="Q719" i="7"/>
  <c r="Q741" i="7"/>
  <c r="Q495" i="7"/>
  <c r="Q361" i="7"/>
  <c r="Q585" i="7"/>
  <c r="Q342" i="7"/>
  <c r="Q441" i="7"/>
  <c r="Q639" i="7"/>
  <c r="Q396" i="7"/>
  <c r="Q260" i="7"/>
  <c r="Q460" i="7"/>
  <c r="Q634" i="7"/>
  <c r="Q406" i="7"/>
  <c r="Q505" i="7"/>
  <c r="Q702" i="7"/>
  <c r="Q557" i="7"/>
  <c r="Q649" i="7"/>
  <c r="Q625" i="7"/>
  <c r="Q510" i="7"/>
  <c r="Q461" i="7"/>
  <c r="Q666" i="7"/>
  <c r="Q622" i="7"/>
  <c r="Q404" i="7"/>
  <c r="Q430" i="7"/>
  <c r="Q384" i="7"/>
  <c r="Q609" i="7"/>
  <c r="Q588" i="7"/>
  <c r="Q545" i="7"/>
  <c r="Q748" i="7"/>
  <c r="Q262" i="7"/>
  <c r="Q466" i="7"/>
  <c r="Q502" i="7"/>
  <c r="Q477" i="7"/>
  <c r="Q312" i="7"/>
  <c r="Q373" i="7"/>
  <c r="Q711" i="7"/>
  <c r="Q618" i="7"/>
  <c r="Q671" i="7"/>
  <c r="Q571" i="7"/>
  <c r="Q434" i="7"/>
  <c r="Q370" i="7"/>
  <c r="Q457" i="7"/>
  <c r="Q470" i="7"/>
  <c r="Q148" i="7"/>
  <c r="Q263" i="7"/>
  <c r="Q426" i="7"/>
  <c r="Q128" i="7"/>
  <c r="Q60" i="7"/>
  <c r="Q667" i="7"/>
  <c r="Q142" i="7"/>
  <c r="Q285" i="7"/>
  <c r="Q302" i="7"/>
  <c r="Q31" i="7"/>
  <c r="Q524" i="7"/>
  <c r="Q259" i="7"/>
  <c r="Q23" i="7"/>
  <c r="Q556" i="7"/>
  <c r="Q205" i="7"/>
  <c r="Q172" i="7"/>
  <c r="Q145" i="7"/>
  <c r="Q411" i="7"/>
  <c r="Q311" i="7"/>
  <c r="Q200" i="7"/>
  <c r="Q130" i="7"/>
  <c r="Q401" i="7"/>
  <c r="Q745" i="7"/>
  <c r="G351" i="7"/>
  <c r="G371" i="7"/>
  <c r="G418" i="7"/>
  <c r="G710" i="7"/>
  <c r="G557" i="7"/>
  <c r="G712" i="7"/>
  <c r="G544" i="7"/>
  <c r="G740" i="7"/>
  <c r="G546" i="7"/>
  <c r="G287" i="7"/>
  <c r="G417" i="7"/>
  <c r="G339" i="7"/>
  <c r="G563" i="7"/>
  <c r="G399" i="7"/>
  <c r="P284" i="7"/>
  <c r="P105" i="7"/>
  <c r="P252" i="7"/>
  <c r="P438" i="7"/>
  <c r="P167" i="7"/>
  <c r="P600" i="7"/>
  <c r="P599" i="7"/>
  <c r="P17" i="7"/>
  <c r="P606" i="7"/>
  <c r="P185" i="7"/>
  <c r="P554" i="7"/>
  <c r="P328" i="7"/>
  <c r="P733" i="7"/>
  <c r="P657" i="7"/>
  <c r="G664" i="7"/>
  <c r="G651" i="7"/>
  <c r="G460" i="7"/>
  <c r="G665" i="7"/>
  <c r="G743" i="7"/>
  <c r="G506" i="7"/>
  <c r="G629" i="7"/>
  <c r="G464" i="7"/>
  <c r="G486" i="7"/>
  <c r="G525" i="7"/>
  <c r="G699" i="7"/>
  <c r="P82" i="7"/>
  <c r="P217" i="7"/>
  <c r="P292" i="7"/>
  <c r="P154" i="7"/>
  <c r="P203" i="7"/>
  <c r="P367" i="7"/>
  <c r="P83" i="7"/>
  <c r="P695" i="7"/>
  <c r="P58" i="7"/>
  <c r="P621" i="7"/>
  <c r="P62" i="7"/>
  <c r="P592" i="7"/>
  <c r="P723" i="7"/>
  <c r="P379" i="7"/>
  <c r="P730" i="7"/>
  <c r="G492" i="7"/>
  <c r="G723" i="7"/>
  <c r="G645" i="7"/>
  <c r="G314" i="7"/>
  <c r="G693" i="7"/>
  <c r="G241" i="7"/>
  <c r="G344" i="7"/>
  <c r="G396" i="7"/>
  <c r="G741" i="7"/>
  <c r="G724" i="7"/>
  <c r="G431" i="7"/>
  <c r="G267" i="7"/>
  <c r="G531" i="7"/>
  <c r="G294" i="7"/>
  <c r="G290" i="7"/>
  <c r="G683" i="7"/>
  <c r="G687" i="7"/>
  <c r="G517" i="7"/>
  <c r="G250" i="7"/>
  <c r="G198" i="7"/>
  <c r="G739" i="7"/>
  <c r="G624" i="7"/>
  <c r="G589" i="7"/>
  <c r="G691" i="7"/>
  <c r="P193" i="7"/>
  <c r="P724" i="7"/>
  <c r="P225" i="7"/>
  <c r="G152" i="7"/>
  <c r="G609" i="7"/>
  <c r="G488" i="7"/>
  <c r="G605" i="7"/>
  <c r="G323" i="7"/>
  <c r="G718" i="7"/>
  <c r="G480" i="7"/>
  <c r="P518" i="7"/>
  <c r="P170" i="7"/>
  <c r="P283" i="7"/>
  <c r="P166" i="7"/>
  <c r="P556" i="7"/>
  <c r="P537" i="7"/>
  <c r="G213" i="7"/>
  <c r="G494" i="7"/>
  <c r="G408" i="7"/>
  <c r="G520" i="7"/>
  <c r="G275" i="7"/>
  <c r="G491" i="7"/>
  <c r="G677" i="7"/>
  <c r="G476" i="7"/>
  <c r="G584" i="7"/>
  <c r="G265" i="7"/>
  <c r="G747" i="7"/>
  <c r="G727" i="7"/>
  <c r="G559" i="7"/>
  <c r="G586" i="7"/>
  <c r="P211" i="7"/>
  <c r="P524" i="7"/>
  <c r="P234" i="7"/>
  <c r="P135" i="7"/>
  <c r="P123" i="7"/>
  <c r="P146" i="7"/>
  <c r="P138" i="7"/>
  <c r="P382" i="7"/>
  <c r="P14" i="7"/>
  <c r="P476" i="7"/>
  <c r="P324" i="7"/>
  <c r="P260" i="7"/>
  <c r="P245" i="7"/>
  <c r="P230" i="7"/>
  <c r="P12" i="7"/>
  <c r="P498" i="7"/>
  <c r="P137" i="7"/>
  <c r="P129" i="7"/>
  <c r="P122" i="7"/>
  <c r="P463" i="7"/>
  <c r="P489" i="7"/>
  <c r="P366" i="7"/>
  <c r="P259" i="7"/>
  <c r="P86" i="7"/>
  <c r="P720" i="7"/>
  <c r="P191" i="7"/>
  <c r="P704" i="7"/>
  <c r="P543" i="7"/>
  <c r="P453" i="7"/>
  <c r="P635" i="7"/>
  <c r="P214" i="7"/>
  <c r="P109" i="7"/>
  <c r="P24" i="7"/>
  <c r="P469" i="7"/>
  <c r="P221" i="7"/>
  <c r="P373" i="7"/>
  <c r="P725" i="7"/>
  <c r="P452" i="7"/>
  <c r="P731" i="7"/>
  <c r="P520" i="7"/>
  <c r="P133" i="7"/>
  <c r="P652" i="7"/>
  <c r="P470" i="7"/>
  <c r="P466" i="7"/>
  <c r="P691" i="7"/>
  <c r="P417" i="7"/>
  <c r="P714" i="7"/>
  <c r="P385" i="7"/>
  <c r="P125" i="7"/>
  <c r="P41" i="7"/>
  <c r="P461" i="7"/>
  <c r="P416" i="7"/>
  <c r="P219" i="7"/>
  <c r="P380" i="7"/>
  <c r="P96" i="7"/>
  <c r="P79" i="7"/>
  <c r="P533" i="7"/>
  <c r="P602" i="7"/>
  <c r="P708" i="7"/>
  <c r="P261" i="7"/>
  <c r="P445" i="7"/>
  <c r="P169" i="7"/>
  <c r="P216" i="7"/>
  <c r="P742" i="7"/>
  <c r="P396" i="7"/>
  <c r="P330" i="7"/>
  <c r="P337" i="7"/>
  <c r="P143" i="7"/>
  <c r="P745" i="7"/>
  <c r="P171" i="7"/>
  <c r="P80" i="7"/>
  <c r="P355" i="7"/>
  <c r="P300" i="7"/>
  <c r="P347" i="7"/>
  <c r="P276" i="7"/>
  <c r="P124" i="7"/>
  <c r="P55" i="7"/>
  <c r="P534" i="7"/>
  <c r="P315" i="7"/>
  <c r="P513" i="7"/>
  <c r="P402" i="7"/>
  <c r="P18" i="7"/>
  <c r="P722" i="7"/>
  <c r="P336" i="7"/>
  <c r="P244" i="7"/>
  <c r="P136" i="7"/>
  <c r="P430" i="7"/>
  <c r="P132" i="7"/>
  <c r="P464" i="7"/>
  <c r="P144" i="7"/>
  <c r="P117" i="7"/>
  <c r="P48" i="7"/>
  <c r="P689" i="7"/>
  <c r="P95" i="7"/>
  <c r="P127" i="7"/>
  <c r="P671" i="7"/>
  <c r="P310" i="7"/>
  <c r="P254" i="7"/>
  <c r="P141" i="7"/>
  <c r="P87" i="7"/>
  <c r="P100" i="7"/>
  <c r="P9" i="7"/>
  <c r="P667" i="7"/>
  <c r="P597" i="7"/>
  <c r="P719" i="7"/>
  <c r="P497" i="7"/>
  <c r="P433" i="7"/>
  <c r="P316" i="7"/>
  <c r="P78" i="7"/>
  <c r="P2" i="7"/>
  <c r="P672" i="7"/>
  <c r="P450" i="7"/>
  <c r="P354" i="7"/>
  <c r="P296" i="7"/>
  <c r="P162" i="7"/>
  <c r="P374" i="7"/>
  <c r="P210" i="7"/>
  <c r="P304" i="7"/>
  <c r="P3" i="7"/>
  <c r="P353" i="7"/>
  <c r="P638" i="7"/>
  <c r="P581" i="7"/>
  <c r="P295" i="7"/>
  <c r="P179" i="7"/>
  <c r="P110" i="7"/>
  <c r="P729" i="7"/>
  <c r="P641" i="7"/>
  <c r="P499" i="7"/>
  <c r="P363" i="7"/>
  <c r="P206" i="7"/>
  <c r="P89" i="7"/>
  <c r="P112" i="7"/>
  <c r="P512" i="7"/>
  <c r="P410" i="7"/>
  <c r="P139" i="7"/>
  <c r="P744" i="7"/>
  <c r="P550" i="7"/>
  <c r="P397" i="7"/>
  <c r="P263" i="7"/>
  <c r="P106" i="7"/>
  <c r="P7" i="7"/>
  <c r="P552" i="7"/>
  <c r="P507" i="7"/>
  <c r="P487" i="7"/>
  <c r="P345" i="7"/>
  <c r="P361" i="7"/>
  <c r="P376" i="7"/>
  <c r="P414" i="7"/>
  <c r="P63" i="7"/>
  <c r="P692" i="7"/>
  <c r="P195" i="7"/>
  <c r="P291" i="7"/>
  <c r="P341" i="7"/>
  <c r="P208" i="7"/>
  <c r="P131" i="7"/>
  <c r="P538" i="7"/>
  <c r="P198" i="7"/>
  <c r="P495" i="7"/>
  <c r="P596" i="7"/>
  <c r="P585" i="7"/>
  <c r="P152" i="7"/>
  <c r="P20" i="7"/>
  <c r="P632" i="7"/>
  <c r="P624" i="7"/>
  <c r="P377" i="7"/>
  <c r="P441" i="7"/>
  <c r="P707" i="7"/>
  <c r="P748" i="7"/>
  <c r="P754" i="7"/>
  <c r="P101" i="7"/>
  <c r="P713" i="7"/>
  <c r="P749" i="7"/>
  <c r="P255" i="7"/>
  <c r="P160" i="7"/>
  <c r="P728" i="7"/>
  <c r="P436" i="7"/>
  <c r="P735" i="7"/>
  <c r="P406" i="7"/>
  <c r="P394" i="7"/>
  <c r="P531" i="7"/>
  <c r="P359" i="7"/>
  <c r="P228" i="7"/>
  <c r="P33" i="7"/>
  <c r="P393" i="7"/>
  <c r="P157" i="7"/>
  <c r="P34" i="7"/>
  <c r="P269" i="7"/>
  <c r="P506" i="7"/>
  <c r="P199" i="7"/>
  <c r="P549" i="7"/>
  <c r="P504" i="7"/>
  <c r="P66" i="7"/>
  <c r="P163" i="7"/>
  <c r="P427" i="7"/>
  <c r="P344" i="7"/>
  <c r="P99" i="7"/>
  <c r="P684" i="7"/>
  <c r="P392" i="7"/>
  <c r="P631" i="7"/>
  <c r="P429" i="7"/>
  <c r="P322" i="7"/>
  <c r="P22" i="7"/>
  <c r="P413" i="7"/>
  <c r="P446" i="7"/>
  <c r="P491" i="7"/>
  <c r="P164" i="7"/>
  <c r="P325" i="7"/>
  <c r="P399" i="7"/>
  <c r="P576" i="7"/>
  <c r="P235" i="7"/>
  <c r="P693" i="7"/>
  <c r="P485" i="7"/>
  <c r="P90" i="7"/>
  <c r="P184" i="7"/>
  <c r="P421" i="7"/>
  <c r="P16" i="7"/>
  <c r="P447" i="7"/>
  <c r="P620" i="7"/>
  <c r="P23" i="7"/>
  <c r="P303" i="7"/>
  <c r="P699" i="7"/>
  <c r="P424" i="7"/>
  <c r="P677" i="7"/>
  <c r="P567" i="7"/>
  <c r="P562" i="7"/>
  <c r="P649" i="7"/>
  <c r="P200" i="7"/>
  <c r="P246" i="7"/>
  <c r="P717" i="7"/>
  <c r="P488" i="7"/>
  <c r="P222" i="7"/>
  <c r="P727" i="7"/>
  <c r="P243" i="7"/>
  <c r="P525" i="7"/>
  <c r="P501" i="7"/>
  <c r="P465" i="7"/>
  <c r="P76" i="7"/>
  <c r="P578" i="7"/>
  <c r="P372" i="7"/>
  <c r="P629" i="7"/>
  <c r="P664" i="7"/>
  <c r="P299" i="7"/>
  <c r="P650" i="7"/>
  <c r="P594" i="7"/>
  <c r="P173" i="7"/>
  <c r="P301" i="7"/>
  <c r="P272" i="7"/>
  <c r="P480" i="7"/>
  <c r="P403" i="7"/>
  <c r="P19" i="7"/>
  <c r="P530" i="7"/>
  <c r="P270" i="7"/>
  <c r="P519" i="7"/>
  <c r="P752" i="7"/>
  <c r="P565" i="7"/>
  <c r="P302" i="7"/>
  <c r="P151" i="7"/>
  <c r="P232" i="7"/>
  <c r="P65" i="7"/>
  <c r="P118" i="7"/>
  <c r="P523" i="7"/>
  <c r="P257" i="7"/>
  <c r="P437" i="7"/>
  <c r="P574" i="7"/>
  <c r="P156" i="7"/>
  <c r="P459" i="7"/>
  <c r="P755" i="7"/>
  <c r="P616" i="7"/>
  <c r="P357" i="7"/>
  <c r="P281" i="7"/>
  <c r="P496" i="7"/>
  <c r="P241" i="7"/>
  <c r="P36" i="7"/>
  <c r="P309" i="7"/>
  <c r="P558" i="7"/>
  <c r="P42" i="7"/>
  <c r="P468" i="7"/>
  <c r="P502" i="7"/>
  <c r="P237" i="7"/>
  <c r="P77" i="7"/>
  <c r="P197" i="7"/>
  <c r="P256" i="7"/>
  <c r="P686" i="7"/>
  <c r="P655" i="7"/>
  <c r="P508" i="7"/>
  <c r="P473" i="7"/>
  <c r="P670" i="7"/>
  <c r="P93" i="7"/>
  <c r="P559" i="7"/>
  <c r="P685" i="7"/>
  <c r="P94" i="7"/>
  <c r="P747" i="7"/>
  <c r="P425" i="7"/>
  <c r="P510" i="7"/>
  <c r="P486" i="7"/>
  <c r="P700" i="7"/>
  <c r="P687" i="7"/>
  <c r="P571" i="7"/>
  <c r="P226" i="7"/>
  <c r="P53" i="7"/>
  <c r="P511" i="7"/>
  <c r="P311" i="7"/>
  <c r="P46" i="7"/>
  <c r="P535" i="7"/>
  <c r="P285" i="7"/>
  <c r="P439" i="7"/>
  <c r="P209" i="7"/>
  <c r="P431" i="7"/>
  <c r="P521" i="7"/>
  <c r="P145" i="7"/>
  <c r="P701" i="7"/>
  <c r="P710" i="7"/>
  <c r="P653" i="7"/>
  <c r="P155" i="7"/>
  <c r="P39" i="7"/>
  <c r="P258" i="7"/>
  <c r="P236" i="7"/>
  <c r="P351" i="7"/>
  <c r="P327" i="7"/>
  <c r="P104" i="7"/>
  <c r="P604" i="7"/>
  <c r="P247" i="7"/>
  <c r="P84" i="7"/>
  <c r="P627" i="7"/>
  <c r="P408" i="7"/>
  <c r="P591" i="7"/>
  <c r="P134" i="7"/>
  <c r="P637" i="7"/>
  <c r="P108" i="7"/>
  <c r="P159" i="7"/>
  <c r="P280" i="7"/>
  <c r="P639" i="7"/>
  <c r="P204" i="7"/>
  <c r="P335" i="7"/>
  <c r="P320" i="7"/>
  <c r="P586" i="7"/>
  <c r="P130" i="7"/>
  <c r="P444" i="7"/>
  <c r="P526" i="7"/>
  <c r="P115" i="7"/>
  <c r="P665" i="7"/>
  <c r="P172" i="7"/>
  <c r="P192" i="7"/>
  <c r="P613" i="7"/>
  <c r="P514" i="7"/>
  <c r="P266" i="7"/>
  <c r="P332" i="7"/>
  <c r="P150" i="7"/>
  <c r="P365" i="7"/>
  <c r="P697" i="7"/>
  <c r="P381" i="7"/>
  <c r="P412" i="7"/>
  <c r="P683" i="7"/>
  <c r="P349" i="7"/>
  <c r="P47" i="7"/>
  <c r="P557" i="7"/>
  <c r="P640" i="7"/>
  <c r="P738" i="7"/>
  <c r="P678" i="7"/>
  <c r="P471" i="7"/>
  <c r="P97" i="7"/>
  <c r="P477" i="7"/>
  <c r="P484" i="7"/>
  <c r="P111" i="7"/>
  <c r="P458" i="7"/>
  <c r="P588" i="7"/>
  <c r="P593" i="7"/>
  <c r="P242" i="7"/>
  <c r="P5" i="7"/>
  <c r="P435" i="7"/>
  <c r="P483" i="7"/>
  <c r="P356" i="7"/>
  <c r="P71" i="7"/>
  <c r="P608" i="7"/>
  <c r="P262" i="7"/>
  <c r="P407" i="7"/>
  <c r="P391" i="7"/>
  <c r="P57" i="7"/>
  <c r="P610" i="7"/>
  <c r="P570" i="7"/>
  <c r="P500" i="7"/>
  <c r="P165" i="7"/>
  <c r="P8" i="7"/>
  <c r="P409" i="7"/>
  <c r="P654" i="7"/>
  <c r="P61" i="7"/>
  <c r="P231" i="7"/>
  <c r="P527" i="7"/>
  <c r="P11" i="7"/>
  <c r="P318" i="7"/>
  <c r="P482" i="7"/>
  <c r="P551" i="7"/>
  <c r="P69" i="7"/>
  <c r="P360" i="7"/>
  <c r="P590" i="7"/>
  <c r="P656" i="7"/>
  <c r="P505" i="7"/>
  <c r="P370" i="7"/>
  <c r="P676" i="7"/>
  <c r="P607" i="7"/>
  <c r="P267" i="7"/>
  <c r="P703" i="7"/>
  <c r="P553" i="7"/>
  <c r="P51" i="7"/>
  <c r="P227" i="7"/>
  <c r="P516" i="7"/>
  <c r="P420" i="7"/>
  <c r="P249" i="7"/>
  <c r="P343" i="7"/>
  <c r="P31" i="7"/>
  <c r="P680" i="7"/>
  <c r="P161" i="7"/>
  <c r="P149" i="7"/>
  <c r="P584" i="7"/>
  <c r="P618" i="7"/>
  <c r="P387" i="7"/>
  <c r="P27" i="7"/>
  <c r="P348" i="7"/>
  <c r="P306" i="7"/>
  <c r="P148" i="7"/>
  <c r="P690" i="7"/>
  <c r="P342" i="7"/>
  <c r="P740" i="7"/>
  <c r="P479" i="7"/>
  <c r="P568" i="7"/>
  <c r="P442" i="7"/>
  <c r="P467" i="7"/>
  <c r="P418" i="7"/>
  <c r="P628" i="7"/>
  <c r="P737" i="7"/>
  <c r="P43" i="7"/>
  <c r="P177" i="7"/>
  <c r="P288" i="7"/>
  <c r="P384" i="7"/>
  <c r="P614" i="7"/>
  <c r="P663" i="7"/>
  <c r="P194" i="7"/>
  <c r="P517" i="7"/>
  <c r="P10" i="7"/>
  <c r="P68" i="7"/>
  <c r="P128" i="7"/>
  <c r="P321" i="7"/>
  <c r="P405" i="7"/>
  <c r="P472" i="7"/>
  <c r="P648" i="7"/>
  <c r="P140" i="7"/>
  <c r="P190" i="7"/>
  <c r="P411" i="7"/>
  <c r="P224" i="7"/>
  <c r="P386" i="7"/>
  <c r="P329" i="7"/>
  <c r="P59" i="7"/>
  <c r="P212" i="7"/>
  <c r="P277" i="7"/>
  <c r="P478" i="7"/>
  <c r="P426" i="7"/>
  <c r="P580" i="7"/>
  <c r="P275" i="7"/>
  <c r="P35" i="7"/>
  <c r="P168" i="7"/>
  <c r="P264" i="7"/>
  <c r="P481" i="7"/>
  <c r="P492" i="7"/>
  <c r="P659" i="7"/>
  <c r="P102" i="7"/>
  <c r="P274" i="7"/>
  <c r="P451" i="7"/>
  <c r="P682" i="7"/>
  <c r="P323" i="7"/>
  <c r="P29" i="7"/>
  <c r="P595" i="7"/>
  <c r="P187" i="7"/>
  <c r="P218" i="7"/>
  <c r="P293" i="7"/>
  <c r="P240" i="7"/>
  <c r="P644" i="7"/>
  <c r="P651" i="7"/>
  <c r="P21" i="7"/>
  <c r="P233" i="7"/>
  <c r="P371" i="7"/>
  <c r="P462" i="7"/>
  <c r="P278" i="7"/>
  <c r="P539" i="7"/>
  <c r="P314" i="7"/>
  <c r="P423" i="7"/>
  <c r="P712" i="7"/>
  <c r="P81" i="7"/>
  <c r="P305" i="7"/>
  <c r="P346" i="7"/>
  <c r="P250" i="7"/>
  <c r="P419" i="7"/>
  <c r="P560" i="7"/>
  <c r="P107" i="7"/>
  <c r="P716" i="7"/>
  <c r="P103" i="7"/>
  <c r="P74" i="7"/>
  <c r="P176" i="7"/>
  <c r="P612" i="7"/>
  <c r="P457" i="7"/>
  <c r="P75" i="7"/>
  <c r="P142" i="7"/>
  <c r="P189" i="7"/>
  <c r="P503" i="7"/>
  <c r="P398" i="7"/>
  <c r="P432" i="7"/>
  <c r="P601" i="7"/>
  <c r="P251" i="7"/>
  <c r="P4" i="7"/>
  <c r="P114" i="7"/>
  <c r="P422" i="7"/>
  <c r="P388" i="7"/>
  <c r="P573" i="7"/>
  <c r="P706" i="7"/>
  <c r="P60" i="7"/>
  <c r="P282" i="7"/>
  <c r="P705" i="7"/>
  <c r="P617" i="7"/>
  <c r="P746" i="7"/>
  <c r="P658" i="7"/>
  <c r="K41" i="11"/>
  <c r="F41" i="11"/>
  <c r="D40" i="11"/>
  <c r="E42" i="11"/>
  <c r="C41" i="11"/>
  <c r="D41" i="11"/>
  <c r="I42" i="11"/>
  <c r="F40" i="11"/>
  <c r="G42" i="11"/>
  <c r="E58" i="11"/>
  <c r="E75" i="11"/>
  <c r="K59" i="11"/>
  <c r="K75" i="11"/>
  <c r="C59" i="11"/>
  <c r="C75" i="11"/>
  <c r="H59" i="11"/>
  <c r="H75" i="11"/>
  <c r="D59" i="11"/>
  <c r="D75" i="11"/>
  <c r="G45" i="11"/>
  <c r="G75" i="11"/>
  <c r="I53" i="11"/>
  <c r="I75" i="11"/>
  <c r="F45" i="11"/>
  <c r="F75" i="11"/>
  <c r="I74" i="11"/>
  <c r="C45" i="11"/>
  <c r="H74" i="11"/>
  <c r="F74" i="11"/>
  <c r="G74" i="11"/>
  <c r="K74" i="11"/>
  <c r="H46" i="11"/>
  <c r="C46" i="11"/>
  <c r="I44" i="11"/>
  <c r="C43" i="11"/>
  <c r="C44" i="11"/>
  <c r="G44" i="11"/>
  <c r="G59" i="11"/>
  <c r="I45" i="11"/>
  <c r="I43" i="11"/>
  <c r="I59" i="11"/>
  <c r="E59" i="11"/>
  <c r="F59" i="11"/>
  <c r="I39" i="11"/>
  <c r="G46" i="11"/>
  <c r="D55" i="11"/>
  <c r="D58" i="11"/>
  <c r="F44" i="11"/>
  <c r="G43" i="11"/>
  <c r="I48" i="11"/>
  <c r="C55" i="11"/>
  <c r="C58" i="11"/>
  <c r="I46" i="11"/>
  <c r="I49" i="11"/>
  <c r="H47" i="11"/>
  <c r="H58" i="11"/>
  <c r="G50" i="11"/>
  <c r="G58" i="11"/>
  <c r="K55" i="11"/>
  <c r="K58" i="11"/>
  <c r="F55" i="11"/>
  <c r="F58" i="11"/>
  <c r="I47" i="11"/>
  <c r="I58" i="11"/>
  <c r="G47" i="11"/>
  <c r="I51" i="11"/>
  <c r="I54" i="11"/>
  <c r="C49" i="11"/>
  <c r="I52" i="11"/>
  <c r="I55" i="11"/>
  <c r="I56" i="11"/>
  <c r="I57" i="11"/>
  <c r="D57" i="11"/>
  <c r="G57" i="11"/>
  <c r="K57" i="11"/>
  <c r="C57" i="11"/>
  <c r="H57" i="11"/>
  <c r="E55" i="11"/>
  <c r="E57" i="11"/>
  <c r="F57" i="11"/>
  <c r="G56" i="11"/>
  <c r="F56" i="11"/>
  <c r="H56" i="11"/>
  <c r="E56" i="11"/>
  <c r="D56" i="11"/>
  <c r="K56" i="11"/>
  <c r="C56" i="11"/>
  <c r="F46" i="11"/>
  <c r="G48" i="11"/>
  <c r="H50" i="11"/>
  <c r="H55" i="11"/>
  <c r="G52" i="11"/>
  <c r="G55" i="11"/>
  <c r="G49" i="11"/>
  <c r="G51" i="11"/>
  <c r="G53" i="11"/>
  <c r="H45" i="11"/>
  <c r="H43" i="11"/>
  <c r="H48" i="11"/>
  <c r="E44" i="11"/>
  <c r="E54" i="11"/>
  <c r="K52" i="11"/>
  <c r="K54" i="11"/>
  <c r="F48" i="11"/>
  <c r="F54" i="11"/>
  <c r="C47" i="11"/>
  <c r="C54" i="11"/>
  <c r="D52" i="11"/>
  <c r="D54" i="11"/>
  <c r="H40" i="11"/>
  <c r="H54" i="11"/>
  <c r="G39" i="11"/>
  <c r="G54" i="11"/>
  <c r="C48" i="11"/>
  <c r="H39" i="11"/>
  <c r="H51" i="11"/>
  <c r="H53" i="11"/>
  <c r="K43" i="11"/>
  <c r="H49" i="11"/>
  <c r="H52" i="11"/>
  <c r="F53" i="11"/>
  <c r="E53" i="11"/>
  <c r="F43" i="11"/>
  <c r="D53" i="11"/>
  <c r="K53" i="11"/>
  <c r="C53" i="11"/>
  <c r="C51" i="11"/>
  <c r="C39" i="11"/>
  <c r="C50" i="11"/>
  <c r="C52" i="11"/>
  <c r="F52" i="11"/>
  <c r="E52" i="11"/>
  <c r="D45" i="11"/>
  <c r="D51" i="11"/>
  <c r="E47" i="11"/>
  <c r="E51" i="11"/>
  <c r="F49" i="11"/>
  <c r="F51" i="11"/>
  <c r="K48" i="11"/>
  <c r="K51" i="11"/>
  <c r="K44" i="11"/>
  <c r="K45" i="11"/>
  <c r="F50" i="11"/>
  <c r="F47" i="11"/>
  <c r="F39" i="11"/>
  <c r="D50" i="11"/>
  <c r="E50" i="11"/>
  <c r="K50" i="11"/>
  <c r="D49" i="11"/>
  <c r="E49" i="11"/>
  <c r="K49" i="11"/>
  <c r="K46" i="11"/>
  <c r="D48" i="11"/>
  <c r="E48" i="11"/>
  <c r="K39" i="11"/>
  <c r="K47" i="11"/>
  <c r="D43" i="11"/>
  <c r="D44" i="11"/>
  <c r="D46" i="11"/>
  <c r="D39" i="11"/>
  <c r="D47" i="11"/>
  <c r="E46" i="11"/>
  <c r="E43" i="11"/>
  <c r="E45" i="11"/>
  <c r="E39" i="11"/>
  <c r="K49" i="26"/>
  <c r="K32" i="26"/>
  <c r="K76" i="26"/>
  <c r="K23" i="26"/>
  <c r="L81" i="26"/>
  <c r="K75" i="26"/>
  <c r="K74" i="26"/>
  <c r="K69" i="26"/>
  <c r="K55" i="26"/>
  <c r="K47" i="26"/>
  <c r="K39" i="26"/>
  <c r="K31" i="26"/>
  <c r="K15" i="26"/>
  <c r="K7" i="26"/>
  <c r="K54" i="26"/>
  <c r="K46" i="26"/>
  <c r="K38" i="26"/>
  <c r="K30" i="26"/>
  <c r="K22" i="26"/>
  <c r="K6" i="26"/>
  <c r="K60" i="26"/>
  <c r="K53" i="26"/>
  <c r="K45" i="26"/>
  <c r="K37" i="26"/>
  <c r="K29" i="26"/>
  <c r="K21" i="26"/>
  <c r="K13" i="26"/>
  <c r="K5" i="26"/>
  <c r="K68" i="26"/>
  <c r="K52" i="26"/>
  <c r="K44" i="26"/>
  <c r="K36" i="26"/>
  <c r="K28" i="26"/>
  <c r="K12" i="26"/>
  <c r="K4" i="26"/>
  <c r="K51" i="26"/>
  <c r="K43" i="26"/>
  <c r="K35" i="26"/>
  <c r="K27" i="26"/>
  <c r="K19" i="26"/>
  <c r="K11" i="26"/>
  <c r="K50" i="26"/>
  <c r="K42" i="26"/>
  <c r="K34" i="26"/>
  <c r="K26" i="26"/>
  <c r="K18" i="26"/>
  <c r="K10" i="26"/>
  <c r="K2" i="26"/>
  <c r="K57" i="26"/>
  <c r="K41" i="26"/>
  <c r="K33" i="26"/>
  <c r="K25" i="26"/>
  <c r="K17" i="26"/>
  <c r="K9" i="26"/>
  <c r="K56" i="26"/>
  <c r="K48" i="26"/>
  <c r="K40" i="26"/>
  <c r="K24" i="26"/>
  <c r="K16" i="26"/>
  <c r="K8" i="26"/>
  <c r="K70" i="26"/>
  <c r="K65" i="26"/>
  <c r="K73" i="26"/>
  <c r="K58" i="26"/>
  <c r="K72" i="26"/>
  <c r="K62" i="26"/>
  <c r="K78" i="26"/>
  <c r="K71" i="26"/>
  <c r="K67" i="26"/>
  <c r="K64" i="26"/>
  <c r="K77" i="26"/>
  <c r="K66" i="26"/>
  <c r="K3" i="26"/>
  <c r="K63" i="26"/>
  <c r="K14" i="26"/>
  <c r="M73" i="26"/>
  <c r="M72" i="26"/>
  <c r="M78" i="26"/>
  <c r="M70" i="26"/>
  <c r="M77" i="26"/>
  <c r="M69" i="26"/>
  <c r="M75" i="26"/>
  <c r="M53" i="26"/>
  <c r="M45" i="26"/>
  <c r="M37" i="26"/>
  <c r="M29" i="26"/>
  <c r="M21" i="26"/>
  <c r="M13" i="26"/>
  <c r="M5" i="26"/>
  <c r="M52" i="26"/>
  <c r="M44" i="26"/>
  <c r="M36" i="26"/>
  <c r="M28" i="26"/>
  <c r="M20" i="26"/>
  <c r="M12" i="26"/>
  <c r="M4" i="26"/>
  <c r="M51" i="26"/>
  <c r="M43" i="26"/>
  <c r="M35" i="26"/>
  <c r="M27" i="26"/>
  <c r="M19" i="26"/>
  <c r="M11" i="26"/>
  <c r="M50" i="26"/>
  <c r="M42" i="26"/>
  <c r="M34" i="26"/>
  <c r="M26" i="26"/>
  <c r="M18" i="26"/>
  <c r="M10" i="26"/>
  <c r="M2" i="26"/>
  <c r="M74" i="26"/>
  <c r="M57" i="26"/>
  <c r="M49" i="26"/>
  <c r="M41" i="26"/>
  <c r="M33" i="26"/>
  <c r="M25" i="26"/>
  <c r="M17" i="26"/>
  <c r="M9" i="26"/>
  <c r="M66" i="26"/>
  <c r="M63" i="26"/>
  <c r="M58" i="26"/>
  <c r="M56" i="26"/>
  <c r="M48" i="26"/>
  <c r="M40" i="26"/>
  <c r="M32" i="26"/>
  <c r="M24" i="26"/>
  <c r="M16" i="26"/>
  <c r="M8" i="26"/>
  <c r="M59" i="26"/>
  <c r="M55" i="26"/>
  <c r="M47" i="26"/>
  <c r="M39" i="26"/>
  <c r="M31" i="26"/>
  <c r="M23" i="26"/>
  <c r="M15" i="26"/>
  <c r="M7" i="26"/>
  <c r="M54" i="26"/>
  <c r="M46" i="26"/>
  <c r="M38" i="26"/>
  <c r="M30" i="26"/>
  <c r="M22" i="26"/>
  <c r="M14" i="26"/>
  <c r="M6" i="26"/>
  <c r="M61" i="26"/>
  <c r="M67" i="26"/>
  <c r="M62" i="26"/>
  <c r="M65" i="26"/>
  <c r="M71" i="26"/>
  <c r="M60" i="26"/>
  <c r="M68" i="26"/>
  <c r="M64" i="26"/>
  <c r="M76" i="26"/>
  <c r="K59" i="26"/>
  <c r="K20" i="26"/>
  <c r="L80" i="26"/>
  <c r="L61" i="26" s="1"/>
  <c r="M3" i="26"/>
  <c r="I756" i="7" l="1"/>
  <c r="T756" i="7" s="1"/>
  <c r="F5" i="14"/>
  <c r="I134" i="7"/>
  <c r="I204" i="7"/>
  <c r="I620" i="7"/>
  <c r="T620" i="7" s="1"/>
  <c r="I750" i="7"/>
  <c r="T750" i="7" s="1"/>
  <c r="I603" i="7"/>
  <c r="T603" i="7" s="1"/>
  <c r="I388" i="7"/>
  <c r="T388" i="7" s="1"/>
  <c r="I337" i="28" s="1"/>
  <c r="I481" i="7"/>
  <c r="T481" i="7" s="1"/>
  <c r="I511" i="7"/>
  <c r="I292" i="7"/>
  <c r="I235" i="7"/>
  <c r="I519" i="7"/>
  <c r="I601" i="7"/>
  <c r="I253" i="7"/>
  <c r="T253" i="7" s="1"/>
  <c r="I203" i="28" s="1"/>
  <c r="I623" i="7"/>
  <c r="T623" i="7" s="1"/>
  <c r="I445" i="28" s="1"/>
  <c r="I161" i="7"/>
  <c r="T161" i="7" s="1"/>
  <c r="I502" i="7"/>
  <c r="I231" i="7"/>
  <c r="I173" i="7"/>
  <c r="I294" i="7"/>
  <c r="I704" i="7"/>
  <c r="T704" i="7" s="1"/>
  <c r="I479" i="28" s="1"/>
  <c r="I545" i="7"/>
  <c r="T545" i="7" s="1"/>
  <c r="I344" i="7"/>
  <c r="T344" i="7" s="1"/>
  <c r="I196" i="28" s="1"/>
  <c r="I611" i="7"/>
  <c r="T611" i="7" s="1"/>
  <c r="I211" i="7"/>
  <c r="T211" i="7" s="1"/>
  <c r="I246" i="28" s="1"/>
  <c r="I387" i="7"/>
  <c r="I167" i="7"/>
  <c r="I667" i="7"/>
  <c r="I304" i="7"/>
  <c r="T304" i="7" s="1"/>
  <c r="I341" i="7"/>
  <c r="T341" i="7" s="1"/>
  <c r="I136" i="28" s="1"/>
  <c r="I696" i="7"/>
  <c r="T696" i="7" s="1"/>
  <c r="I189" i="23" s="1"/>
  <c r="I273" i="7"/>
  <c r="T273" i="7" s="1"/>
  <c r="I268" i="28" s="1"/>
  <c r="I679" i="7"/>
  <c r="T679" i="7" s="1"/>
  <c r="I580" i="7"/>
  <c r="I17" i="7"/>
  <c r="I124" i="7"/>
  <c r="I691" i="7"/>
  <c r="T691" i="7" s="1"/>
  <c r="I458" i="28" s="1"/>
  <c r="I492" i="7"/>
  <c r="T492" i="7" s="1"/>
  <c r="I399" i="7"/>
  <c r="T399" i="7" s="1"/>
  <c r="I323" i="7"/>
  <c r="T323" i="7" s="1"/>
  <c r="I358" i="28" s="1"/>
  <c r="I198" i="7"/>
  <c r="T198" i="7" s="1"/>
  <c r="I224" i="28" s="1"/>
  <c r="I689" i="7"/>
  <c r="I594" i="7"/>
  <c r="I534" i="7"/>
  <c r="I112" i="7"/>
  <c r="T112" i="7" s="1"/>
  <c r="I164" i="28" s="1"/>
  <c r="I19" i="7"/>
  <c r="T19" i="7" s="1"/>
  <c r="I15" i="28" s="1"/>
  <c r="I466" i="7"/>
  <c r="T466" i="7" s="1"/>
  <c r="I693" i="7"/>
  <c r="T693" i="7" s="1"/>
  <c r="I472" i="28" s="1"/>
  <c r="I551" i="7"/>
  <c r="T551" i="7" s="1"/>
  <c r="I321" i="7"/>
  <c r="I706" i="7"/>
  <c r="I186" i="7"/>
  <c r="I240" i="7"/>
  <c r="T240" i="7" s="1"/>
  <c r="I218" i="28" s="1"/>
  <c r="I733" i="7"/>
  <c r="T733" i="7" s="1"/>
  <c r="I455" i="28" s="1"/>
  <c r="I303" i="7"/>
  <c r="T303" i="7" s="1"/>
  <c r="I125" i="28" s="1"/>
  <c r="I474" i="7"/>
  <c r="T474" i="7" s="1"/>
  <c r="I408" i="7"/>
  <c r="T408" i="7" s="1"/>
  <c r="I398" i="7"/>
  <c r="T398" i="7" s="1"/>
  <c r="I102" i="7"/>
  <c r="I79" i="7"/>
  <c r="I148" i="7"/>
  <c r="T148" i="7" s="1"/>
  <c r="I84" i="28" s="1"/>
  <c r="I245" i="7"/>
  <c r="T245" i="7" s="1"/>
  <c r="I323" i="28" s="1"/>
  <c r="I389" i="7"/>
  <c r="T389" i="7" s="1"/>
  <c r="I374" i="28" s="1"/>
  <c r="I646" i="7"/>
  <c r="T646" i="7" s="1"/>
  <c r="I513" i="7"/>
  <c r="T513" i="7" s="1"/>
  <c r="I280" i="28" s="1"/>
  <c r="I731" i="7"/>
  <c r="T731" i="7" s="1"/>
  <c r="I193" i="7"/>
  <c r="I634" i="7"/>
  <c r="I179" i="7"/>
  <c r="T179" i="7" s="1"/>
  <c r="I194" i="28" s="1"/>
  <c r="I426" i="7"/>
  <c r="T426" i="7" s="1"/>
  <c r="I141" i="7"/>
  <c r="T141" i="7" s="1"/>
  <c r="I110" i="28" s="1"/>
  <c r="I484" i="7"/>
  <c r="T484" i="7" s="1"/>
  <c r="I380" i="7"/>
  <c r="I86" i="7"/>
  <c r="T86" i="7" s="1"/>
  <c r="I81" i="7"/>
  <c r="I702" i="7"/>
  <c r="I174" i="7"/>
  <c r="T174" i="7" s="1"/>
  <c r="I39" i="7"/>
  <c r="T39" i="7" s="1"/>
  <c r="I75" i="28" s="1"/>
  <c r="I496" i="7"/>
  <c r="T496" i="7" s="1"/>
  <c r="I197" i="28" s="1"/>
  <c r="I109" i="7"/>
  <c r="T109" i="7" s="1"/>
  <c r="I498" i="7"/>
  <c r="T498" i="7" s="1"/>
  <c r="I250" i="28" s="1"/>
  <c r="I80" i="7"/>
  <c r="T80" i="7" s="1"/>
  <c r="I36" i="28" s="1"/>
  <c r="I319" i="7"/>
  <c r="I175" i="7"/>
  <c r="I491" i="7"/>
  <c r="T491" i="7" s="1"/>
  <c r="I42" i="7"/>
  <c r="T42" i="7" s="1"/>
  <c r="I40" i="28" s="1"/>
  <c r="I210" i="7"/>
  <c r="T210" i="7" s="1"/>
  <c r="I206" i="28" s="1"/>
  <c r="I517" i="7"/>
  <c r="T517" i="7" s="1"/>
  <c r="I725" i="7"/>
  <c r="T725" i="7" s="1"/>
  <c r="I657" i="7"/>
  <c r="T657" i="7" s="1"/>
  <c r="I365" i="7"/>
  <c r="I729" i="7"/>
  <c r="I352" i="7"/>
  <c r="T352" i="7" s="1"/>
  <c r="I222" i="28" s="1"/>
  <c r="I41" i="7"/>
  <c r="T41" i="7" s="1"/>
  <c r="I29" i="28" s="1"/>
  <c r="I110" i="7"/>
  <c r="T110" i="7" s="1"/>
  <c r="I100" i="28" s="1"/>
  <c r="I360" i="7"/>
  <c r="T360" i="7" s="1"/>
  <c r="I351" i="28" s="1"/>
  <c r="I38" i="7"/>
  <c r="T38" i="7" s="1"/>
  <c r="I38" i="28" s="1"/>
  <c r="I164" i="7"/>
  <c r="I648" i="7"/>
  <c r="I476" i="7"/>
  <c r="T476" i="7" s="1"/>
  <c r="I326" i="28" s="1"/>
  <c r="I670" i="7"/>
  <c r="T670" i="7" s="1"/>
  <c r="I205" i="7"/>
  <c r="T205" i="7" s="1"/>
  <c r="I30" i="28" s="1"/>
  <c r="I366" i="7"/>
  <c r="T366" i="7" s="1"/>
  <c r="I546" i="7"/>
  <c r="T546" i="7" s="1"/>
  <c r="I355" i="28" s="1"/>
  <c r="I373" i="7"/>
  <c r="T373" i="7" s="1"/>
  <c r="I457" i="7"/>
  <c r="I264" i="7"/>
  <c r="I462" i="7"/>
  <c r="T462" i="7" s="1"/>
  <c r="I375" i="28" s="1"/>
  <c r="I509" i="7"/>
  <c r="T509" i="7" s="1"/>
  <c r="I616" i="7"/>
  <c r="T616" i="7" s="1"/>
  <c r="I281" i="28" s="1"/>
  <c r="I392" i="7"/>
  <c r="T392" i="7" s="1"/>
  <c r="I394" i="28" s="1"/>
  <c r="I35" i="7"/>
  <c r="T35" i="7" s="1"/>
  <c r="I32" i="28" s="1"/>
  <c r="I348" i="7"/>
  <c r="T348" i="7" s="1"/>
  <c r="I230" i="28" s="1"/>
  <c r="I755" i="7"/>
  <c r="I738" i="7"/>
  <c r="I13" i="7"/>
  <c r="I251" i="7"/>
  <c r="T251" i="7" s="1"/>
  <c r="I207" i="28" s="1"/>
  <c r="I500" i="7"/>
  <c r="T500" i="7" s="1"/>
  <c r="I73" i="7"/>
  <c r="T73" i="7" s="1"/>
  <c r="I87" i="28" s="1"/>
  <c r="I69" i="7"/>
  <c r="T69" i="7" s="1"/>
  <c r="I39" i="28" s="1"/>
  <c r="I151" i="7"/>
  <c r="T151" i="7" s="1"/>
  <c r="I109" i="28" s="1"/>
  <c r="I67" i="7"/>
  <c r="I412" i="7"/>
  <c r="I754" i="7"/>
  <c r="I313" i="7"/>
  <c r="T313" i="7" s="1"/>
  <c r="I257" i="28" s="1"/>
  <c r="I416" i="7"/>
  <c r="T416" i="7" s="1"/>
  <c r="I349" i="28" s="1"/>
  <c r="I178" i="7"/>
  <c r="T178" i="7" s="1"/>
  <c r="I139" i="28" s="1"/>
  <c r="I68" i="7"/>
  <c r="T68" i="7" s="1"/>
  <c r="I56" i="28" s="1"/>
  <c r="I261" i="7"/>
  <c r="T261" i="7" s="1"/>
  <c r="I231" i="28" s="1"/>
  <c r="I234" i="7"/>
  <c r="T234" i="7" s="1"/>
  <c r="I249" i="28" s="1"/>
  <c r="I753" i="7"/>
  <c r="I168" i="7"/>
  <c r="T168" i="7" s="1"/>
  <c r="I215" i="28" s="1"/>
  <c r="I610" i="7"/>
  <c r="T610" i="7" s="1"/>
  <c r="I647" i="7"/>
  <c r="T647" i="7" s="1"/>
  <c r="I583" i="7"/>
  <c r="T583" i="7" s="1"/>
  <c r="I239" i="28" s="1"/>
  <c r="I213" i="7"/>
  <c r="T213" i="7" s="1"/>
  <c r="I568" i="7"/>
  <c r="T568" i="7" s="1"/>
  <c r="I314" i="7"/>
  <c r="T314" i="7" s="1"/>
  <c r="I313" i="28" s="1"/>
  <c r="I285" i="7"/>
  <c r="I299" i="7"/>
  <c r="I120" i="7"/>
  <c r="T120" i="7" s="1"/>
  <c r="I122" i="7"/>
  <c r="T122" i="7" s="1"/>
  <c r="I116" i="28" s="1"/>
  <c r="I23" i="7"/>
  <c r="T23" i="7" s="1"/>
  <c r="I37" i="28" s="1"/>
  <c r="I564" i="7"/>
  <c r="T564" i="7" s="1"/>
  <c r="I469" i="7"/>
  <c r="T469" i="7" s="1"/>
  <c r="I246" i="7"/>
  <c r="T246" i="7" s="1"/>
  <c r="I293" i="28" s="1"/>
  <c r="I307" i="7"/>
  <c r="I607" i="7"/>
  <c r="T607" i="7" s="1"/>
  <c r="I423" i="28" s="1"/>
  <c r="I53" i="7"/>
  <c r="T53" i="7" s="1"/>
  <c r="I150" i="7"/>
  <c r="T150" i="7" s="1"/>
  <c r="I400" i="7"/>
  <c r="T400" i="7" s="1"/>
  <c r="I147" i="28" s="1"/>
  <c r="I140" i="7"/>
  <c r="T140" i="7" s="1"/>
  <c r="I187" i="28" s="1"/>
  <c r="I336" i="7"/>
  <c r="I458" i="7"/>
  <c r="T458" i="7" s="1"/>
  <c r="I89" i="7"/>
  <c r="I328" i="7"/>
  <c r="I222" i="7"/>
  <c r="T222" i="7" s="1"/>
  <c r="I162" i="28" s="1"/>
  <c r="I107" i="7"/>
  <c r="T107" i="7" s="1"/>
  <c r="I190" i="28" s="1"/>
  <c r="I371" i="7"/>
  <c r="T371" i="7" s="1"/>
  <c r="I226" i="28" s="1"/>
  <c r="I485" i="7"/>
  <c r="T485" i="7" s="1"/>
  <c r="I382" i="7"/>
  <c r="T382" i="7" s="1"/>
  <c r="I658" i="7"/>
  <c r="I256" i="7"/>
  <c r="I542" i="7"/>
  <c r="I364" i="7"/>
  <c r="T364" i="7" s="1"/>
  <c r="I266" i="23" s="1"/>
  <c r="I237" i="7"/>
  <c r="T237" i="7" s="1"/>
  <c r="I200" i="28" s="1"/>
  <c r="I450" i="7"/>
  <c r="T450" i="7" s="1"/>
  <c r="I24" i="7"/>
  <c r="T24" i="7" s="1"/>
  <c r="I287" i="7"/>
  <c r="T287" i="7" s="1"/>
  <c r="I193" i="28" s="1"/>
  <c r="I579" i="7"/>
  <c r="T579" i="7" s="1"/>
  <c r="I90" i="7"/>
  <c r="T90" i="7" s="1"/>
  <c r="I90" i="28" s="1"/>
  <c r="I306" i="7"/>
  <c r="I428" i="7"/>
  <c r="T428" i="7" s="1"/>
  <c r="I152" i="7"/>
  <c r="T152" i="7" s="1"/>
  <c r="I128" i="28" s="1"/>
  <c r="I248" i="7"/>
  <c r="T248" i="7" s="1"/>
  <c r="I140" i="28" s="1"/>
  <c r="I286" i="7"/>
  <c r="T286" i="7" s="1"/>
  <c r="I593" i="7"/>
  <c r="T593" i="7" s="1"/>
  <c r="I427" i="28" s="1"/>
  <c r="I572" i="7"/>
  <c r="T572" i="7" s="1"/>
  <c r="I372" i="28" s="1"/>
  <c r="I197" i="7"/>
  <c r="T197" i="7" s="1"/>
  <c r="I405" i="7"/>
  <c r="T405" i="7" s="1"/>
  <c r="I403" i="28" s="1"/>
  <c r="I751" i="7"/>
  <c r="T751" i="7" s="1"/>
  <c r="I710" i="7"/>
  <c r="T710" i="7" s="1"/>
  <c r="I664" i="7"/>
  <c r="T664" i="7" s="1"/>
  <c r="I453" i="28" s="1"/>
  <c r="I522" i="7"/>
  <c r="T522" i="7" s="1"/>
  <c r="I369" i="28" s="1"/>
  <c r="I631" i="7"/>
  <c r="T631" i="7" s="1"/>
  <c r="I330" i="7"/>
  <c r="T330" i="7" s="1"/>
  <c r="I636" i="7"/>
  <c r="I52" i="7"/>
  <c r="T52" i="7" s="1"/>
  <c r="I726" i="7"/>
  <c r="T726" i="7" s="1"/>
  <c r="I97" i="7"/>
  <c r="T97" i="7" s="1"/>
  <c r="I50" i="28" s="1"/>
  <c r="I21" i="7"/>
  <c r="T21" i="7" s="1"/>
  <c r="I27" i="28" s="1"/>
  <c r="I263" i="7"/>
  <c r="T263" i="7" s="1"/>
  <c r="I316" i="28" s="1"/>
  <c r="I345" i="7"/>
  <c r="T345" i="7" s="1"/>
  <c r="I48" i="7"/>
  <c r="I10" i="7"/>
  <c r="I448" i="7"/>
  <c r="T448" i="7" s="1"/>
  <c r="I503" i="7"/>
  <c r="T503" i="7" s="1"/>
  <c r="I314" i="28" s="1"/>
  <c r="I614" i="7"/>
  <c r="T614" i="7" s="1"/>
  <c r="I358" i="7"/>
  <c r="T358" i="7" s="1"/>
  <c r="I284" i="28" s="1"/>
  <c r="I99" i="7"/>
  <c r="T99" i="7" s="1"/>
  <c r="I71" i="28" s="1"/>
  <c r="I747" i="7"/>
  <c r="T747" i="7" s="1"/>
  <c r="I471" i="28" s="1"/>
  <c r="I640" i="7"/>
  <c r="T640" i="7" s="1"/>
  <c r="I433" i="28" s="1"/>
  <c r="I530" i="7"/>
  <c r="I541" i="7"/>
  <c r="T541" i="7" s="1"/>
  <c r="I409" i="7"/>
  <c r="T409" i="7" s="1"/>
  <c r="I369" i="7"/>
  <c r="T369" i="7" s="1"/>
  <c r="I730" i="7"/>
  <c r="T730" i="7" s="1"/>
  <c r="I57" i="7"/>
  <c r="T57" i="7" s="1"/>
  <c r="I62" i="28" s="1"/>
  <c r="I8" i="7"/>
  <c r="T8" i="7" s="1"/>
  <c r="I8" i="28" s="1"/>
  <c r="I208" i="7"/>
  <c r="I508" i="7"/>
  <c r="I439" i="7"/>
  <c r="T439" i="7" s="1"/>
  <c r="I214" i="7"/>
  <c r="T214" i="7" s="1"/>
  <c r="I650" i="7"/>
  <c r="T650" i="7" s="1"/>
  <c r="I159" i="7"/>
  <c r="T159" i="7" s="1"/>
  <c r="I154" i="28" s="1"/>
  <c r="I709" i="7"/>
  <c r="T709" i="7" s="1"/>
  <c r="I397" i="28" s="1"/>
  <c r="I609" i="7"/>
  <c r="T609" i="7" s="1"/>
  <c r="I417" i="28" s="1"/>
  <c r="I744" i="7"/>
  <c r="I223" i="7"/>
  <c r="I441" i="7"/>
  <c r="T441" i="7" s="1"/>
  <c r="I241" i="28" s="1"/>
  <c r="I524" i="7"/>
  <c r="T524" i="7" s="1"/>
  <c r="I347" i="28" s="1"/>
  <c r="I293" i="7"/>
  <c r="T293" i="7" s="1"/>
  <c r="I301" i="28" s="1"/>
  <c r="I449" i="7"/>
  <c r="T449" i="7" s="1"/>
  <c r="I37" i="7"/>
  <c r="T37" i="7" s="1"/>
  <c r="I4" i="28" s="1"/>
  <c r="I105" i="7"/>
  <c r="I430" i="7"/>
  <c r="T430" i="7" s="1"/>
  <c r="I356" i="28" s="1"/>
  <c r="I555" i="7"/>
  <c r="T555" i="7" s="1"/>
  <c r="I380" i="28" s="1"/>
  <c r="I443" i="7"/>
  <c r="T443" i="7" s="1"/>
  <c r="I399" i="28" s="1"/>
  <c r="I315" i="7"/>
  <c r="T315" i="7" s="1"/>
  <c r="I271" i="28" s="1"/>
  <c r="I612" i="7"/>
  <c r="T612" i="7" s="1"/>
  <c r="I654" i="7"/>
  <c r="T654" i="7" s="1"/>
  <c r="I96" i="7"/>
  <c r="T96" i="7" s="1"/>
  <c r="I642" i="7"/>
  <c r="T642" i="7" s="1"/>
  <c r="I130" i="28" s="1"/>
  <c r="I183" i="7"/>
  <c r="T183" i="7" s="1"/>
  <c r="I138" i="28" s="1"/>
  <c r="I587" i="7"/>
  <c r="T587" i="7" s="1"/>
  <c r="I540" i="7"/>
  <c r="T540" i="7" s="1"/>
  <c r="I263" i="28" s="1"/>
  <c r="I442" i="7"/>
  <c r="T442" i="7" s="1"/>
  <c r="I577" i="7"/>
  <c r="T577" i="7" s="1"/>
  <c r="I442" i="28" s="1"/>
  <c r="I296" i="7"/>
  <c r="T296" i="7" s="1"/>
  <c r="I317" i="28" s="1"/>
  <c r="I526" i="7"/>
  <c r="T526" i="7" s="1"/>
  <c r="I335" i="28" s="1"/>
  <c r="F4" i="14"/>
  <c r="L4" i="14"/>
  <c r="I123" i="7"/>
  <c r="T123" i="7" s="1"/>
  <c r="I129" i="28" s="1"/>
  <c r="I506" i="7"/>
  <c r="T506" i="7" s="1"/>
  <c r="I415" i="28" s="1"/>
  <c r="I325" i="7"/>
  <c r="T325" i="7" s="1"/>
  <c r="I398" i="28" s="1"/>
  <c r="I708" i="7"/>
  <c r="T708" i="7" s="1"/>
  <c r="I354" i="28" s="1"/>
  <c r="I586" i="7"/>
  <c r="T586" i="7" s="1"/>
  <c r="I425" i="7"/>
  <c r="T425" i="7" s="1"/>
  <c r="I283" i="28" s="1"/>
  <c r="I493" i="7"/>
  <c r="T493" i="7" s="1"/>
  <c r="I411" i="7"/>
  <c r="T411" i="7" s="1"/>
  <c r="I219" i="28" s="1"/>
  <c r="I678" i="7"/>
  <c r="T678" i="7" s="1"/>
  <c r="I275" i="7"/>
  <c r="T275" i="7" s="1"/>
  <c r="I277" i="28" s="1"/>
  <c r="I538" i="7"/>
  <c r="T538" i="7" s="1"/>
  <c r="I695" i="7"/>
  <c r="T695" i="7" s="1"/>
  <c r="I471" i="7"/>
  <c r="T471" i="7" s="1"/>
  <c r="I233" i="28" s="1"/>
  <c r="I712" i="7"/>
  <c r="T712" i="7" s="1"/>
  <c r="I720" i="7"/>
  <c r="T720" i="7" s="1"/>
  <c r="I488" i="28" s="1"/>
  <c r="I318" i="7"/>
  <c r="T318" i="7" s="1"/>
  <c r="I124" i="28" s="1"/>
  <c r="I533" i="7"/>
  <c r="T533" i="7" s="1"/>
  <c r="I245" i="28" s="1"/>
  <c r="I668" i="7"/>
  <c r="T668" i="7" s="1"/>
  <c r="I483" i="28" s="1"/>
  <c r="I752" i="7"/>
  <c r="T752" i="7" s="1"/>
  <c r="I703" i="7"/>
  <c r="T703" i="7" s="1"/>
  <c r="I464" i="28" s="1"/>
  <c r="I66" i="7"/>
  <c r="T66" i="7" s="1"/>
  <c r="I78" i="28" s="1"/>
  <c r="I271" i="7"/>
  <c r="T271" i="7" s="1"/>
  <c r="I214" i="28" s="1"/>
  <c r="I281" i="7"/>
  <c r="T281" i="7" s="1"/>
  <c r="I228" i="28" s="1"/>
  <c r="I169" i="7"/>
  <c r="T169" i="7" s="1"/>
  <c r="I63" i="28" s="1"/>
  <c r="I277" i="7"/>
  <c r="T277" i="7" s="1"/>
  <c r="I324" i="28" s="1"/>
  <c r="I98" i="7"/>
  <c r="T98" i="7" s="1"/>
  <c r="I121" i="28" s="1"/>
  <c r="I135" i="7"/>
  <c r="T135" i="7" s="1"/>
  <c r="I170" i="28" s="1"/>
  <c r="I54" i="7"/>
  <c r="T54" i="7" s="1"/>
  <c r="I31" i="28" s="1"/>
  <c r="I447" i="7"/>
  <c r="T447" i="7" s="1"/>
  <c r="I177" i="7"/>
  <c r="T177" i="7" s="1"/>
  <c r="I102" i="28" s="1"/>
  <c r="I680" i="7"/>
  <c r="T680" i="7" s="1"/>
  <c r="I389" i="28" s="1"/>
  <c r="I456" i="7"/>
  <c r="T456" i="7" s="1"/>
  <c r="I297" i="28" s="1"/>
  <c r="I111" i="7"/>
  <c r="T111" i="7" s="1"/>
  <c r="I123" i="28" s="1"/>
  <c r="I347" i="7"/>
  <c r="T347" i="7" s="1"/>
  <c r="I721" i="7"/>
  <c r="T721" i="7" s="1"/>
  <c r="I452" i="7"/>
  <c r="T452" i="7" s="1"/>
  <c r="I334" i="7"/>
  <c r="T334" i="7" s="1"/>
  <c r="I325" i="28" s="1"/>
  <c r="I350" i="7"/>
  <c r="T350" i="7" s="1"/>
  <c r="I286" i="28" s="1"/>
  <c r="I104" i="7"/>
  <c r="T104" i="7" s="1"/>
  <c r="I142" i="28" s="1"/>
  <c r="I171" i="7"/>
  <c r="T171" i="7" s="1"/>
  <c r="I311" i="7"/>
  <c r="T311" i="7" s="1"/>
  <c r="I267" i="28" s="1"/>
  <c r="I329" i="7"/>
  <c r="T329" i="7" s="1"/>
  <c r="I229" i="28" s="1"/>
  <c r="I504" i="7"/>
  <c r="T504" i="7" s="1"/>
  <c r="I367" i="28" s="1"/>
  <c r="I385" i="7"/>
  <c r="T385" i="7" s="1"/>
  <c r="I212" i="28" s="1"/>
  <c r="I489" i="7"/>
  <c r="T489" i="7" s="1"/>
  <c r="I400" i="28" s="1"/>
  <c r="I617" i="7"/>
  <c r="T617" i="7" s="1"/>
  <c r="I499" i="7"/>
  <c r="T499" i="7" s="1"/>
  <c r="I229" i="7"/>
  <c r="T229" i="7" s="1"/>
  <c r="I168" i="28" s="1"/>
  <c r="I154" i="7"/>
  <c r="T154" i="7" s="1"/>
  <c r="I113" i="28" s="1"/>
  <c r="I338" i="7"/>
  <c r="T338" i="7" s="1"/>
  <c r="I192" i="7"/>
  <c r="T192" i="7" s="1"/>
  <c r="I160" i="28" s="1"/>
  <c r="I312" i="7"/>
  <c r="T312" i="7" s="1"/>
  <c r="I255" i="28" s="1"/>
  <c r="I600" i="7"/>
  <c r="T600" i="7" s="1"/>
  <c r="I684" i="7"/>
  <c r="T684" i="7" s="1"/>
  <c r="I429" i="7"/>
  <c r="T429" i="7" s="1"/>
  <c r="I344" i="28" s="1"/>
  <c r="I566" i="7"/>
  <c r="T566" i="7" s="1"/>
  <c r="I573" i="7"/>
  <c r="T573" i="7" s="1"/>
  <c r="I392" i="28" s="1"/>
  <c r="I660" i="7"/>
  <c r="T660" i="7" s="1"/>
  <c r="I451" i="28" s="1"/>
  <c r="I557" i="7"/>
  <c r="T557" i="7" s="1"/>
  <c r="I457" i="28" s="1"/>
  <c r="I697" i="7"/>
  <c r="T697" i="7" s="1"/>
  <c r="I581" i="7"/>
  <c r="T581" i="7" s="1"/>
  <c r="I639" i="7"/>
  <c r="T639" i="7" s="1"/>
  <c r="I448" i="28" s="1"/>
  <c r="I266" i="7"/>
  <c r="T266" i="7" s="1"/>
  <c r="I310" i="28" s="1"/>
  <c r="I308" i="7"/>
  <c r="T308" i="7" s="1"/>
  <c r="I143" i="7"/>
  <c r="T143" i="7" s="1"/>
  <c r="I565" i="7"/>
  <c r="T565" i="7" s="1"/>
  <c r="I262" i="28" s="1"/>
  <c r="I83" i="7"/>
  <c r="T83" i="7" s="1"/>
  <c r="I93" i="28" s="1"/>
  <c r="I628" i="7"/>
  <c r="T628" i="7" s="1"/>
  <c r="I359" i="7"/>
  <c r="T359" i="7" s="1"/>
  <c r="I379" i="28" s="1"/>
  <c r="I656" i="7"/>
  <c r="T656" i="7" s="1"/>
  <c r="I690" i="7"/>
  <c r="T690" i="7" s="1"/>
  <c r="I452" i="28" s="1"/>
  <c r="I227" i="7"/>
  <c r="T227" i="7" s="1"/>
  <c r="I201" i="28" s="1"/>
  <c r="I553" i="7"/>
  <c r="T553" i="7" s="1"/>
  <c r="I409" i="28" s="1"/>
  <c r="I699" i="7"/>
  <c r="T699" i="7" s="1"/>
  <c r="I312" i="28" s="1"/>
  <c r="I218" i="7"/>
  <c r="T218" i="7" s="1"/>
  <c r="I423" i="7"/>
  <c r="T423" i="7" s="1"/>
  <c r="I202" i="7"/>
  <c r="T202" i="7" s="1"/>
  <c r="I181" i="28" s="1"/>
  <c r="I427" i="7"/>
  <c r="T427" i="7" s="1"/>
  <c r="I501" i="7"/>
  <c r="T501" i="7" s="1"/>
  <c r="I194" i="7"/>
  <c r="T194" i="7" s="1"/>
  <c r="I117" i="28" s="1"/>
  <c r="I32" i="7"/>
  <c r="T32" i="7" s="1"/>
  <c r="I33" i="28" s="1"/>
  <c r="I432" i="7"/>
  <c r="T432" i="7" s="1"/>
  <c r="I353" i="28" s="1"/>
  <c r="I121" i="7"/>
  <c r="T121" i="7" s="1"/>
  <c r="I91" i="28" s="1"/>
  <c r="I9" i="7"/>
  <c r="T9" i="7" s="1"/>
  <c r="I119" i="7"/>
  <c r="T119" i="7" s="1"/>
  <c r="I80" i="28" s="1"/>
  <c r="I127" i="7"/>
  <c r="T127" i="7" s="1"/>
  <c r="I122" i="28" s="1"/>
  <c r="I335" i="7"/>
  <c r="T335" i="7" s="1"/>
  <c r="I343" i="28" s="1"/>
  <c r="I50" i="7"/>
  <c r="T50" i="7" s="1"/>
  <c r="I74" i="28" s="1"/>
  <c r="I172" i="7"/>
  <c r="T172" i="7" s="1"/>
  <c r="I112" i="28" s="1"/>
  <c r="I561" i="7"/>
  <c r="T561" i="7" s="1"/>
  <c r="I637" i="7"/>
  <c r="T637" i="7" s="1"/>
  <c r="I454" i="28" s="1"/>
  <c r="I727" i="7"/>
  <c r="T727" i="7" s="1"/>
  <c r="I665" i="7"/>
  <c r="T665" i="7" s="1"/>
  <c r="I465" i="28" s="1"/>
  <c r="I217" i="7"/>
  <c r="T217" i="7" s="1"/>
  <c r="I567" i="7"/>
  <c r="T567" i="7" s="1"/>
  <c r="I267" i="23" s="1"/>
  <c r="I165" i="7"/>
  <c r="T165" i="7" s="1"/>
  <c r="I134" i="28" s="1"/>
  <c r="I258" i="7"/>
  <c r="T258" i="7" s="1"/>
  <c r="I148" i="28" s="1"/>
  <c r="I20" i="7"/>
  <c r="T20" i="7" s="1"/>
  <c r="I28" i="28" s="1"/>
  <c r="I685" i="7"/>
  <c r="T685" i="7" s="1"/>
  <c r="I377" i="28" s="1"/>
  <c r="I153" i="7"/>
  <c r="T153" i="7" s="1"/>
  <c r="I137" i="28" s="1"/>
  <c r="I635" i="7"/>
  <c r="T635" i="7" s="1"/>
  <c r="I95" i="7"/>
  <c r="T95" i="7" s="1"/>
  <c r="I377" i="7"/>
  <c r="T377" i="7" s="1"/>
  <c r="I359" i="28" s="1"/>
  <c r="I176" i="7"/>
  <c r="T176" i="7" s="1"/>
  <c r="I130" i="7"/>
  <c r="T130" i="7" s="1"/>
  <c r="I92" i="28" s="1"/>
  <c r="I288" i="7"/>
  <c r="T288" i="7" s="1"/>
  <c r="I243" i="28" s="1"/>
  <c r="I445" i="7"/>
  <c r="T445" i="7" s="1"/>
  <c r="I393" i="28" s="1"/>
  <c r="I682" i="7"/>
  <c r="T682" i="7" s="1"/>
  <c r="I33" i="7"/>
  <c r="T33" i="7" s="1"/>
  <c r="I17" i="28" s="1"/>
  <c r="I676" i="7"/>
  <c r="T676" i="7" s="1"/>
  <c r="I346" i="28" s="1"/>
  <c r="I117" i="7"/>
  <c r="T117" i="7" s="1"/>
  <c r="I167" i="28" s="1"/>
  <c r="I65" i="7"/>
  <c r="T65" i="7" s="1"/>
  <c r="I89" i="28" s="1"/>
  <c r="I391" i="7"/>
  <c r="T391" i="7" s="1"/>
  <c r="I336" i="28" s="1"/>
  <c r="I520" i="7"/>
  <c r="T520" i="7" s="1"/>
  <c r="I304" i="28" s="1"/>
  <c r="I75" i="7"/>
  <c r="T75" i="7" s="1"/>
  <c r="I103" i="28" s="1"/>
  <c r="I184" i="7"/>
  <c r="T184" i="7" s="1"/>
  <c r="I223" i="28" s="1"/>
  <c r="I537" i="7"/>
  <c r="T537" i="7" s="1"/>
  <c r="I225" i="7"/>
  <c r="T225" i="7" s="1"/>
  <c r="I2" i="7"/>
  <c r="T2" i="7" s="1"/>
  <c r="I2" i="28" s="1"/>
  <c r="I100" i="7"/>
  <c r="T100" i="7" s="1"/>
  <c r="I99" i="28" s="1"/>
  <c r="I181" i="7"/>
  <c r="T181" i="7" s="1"/>
  <c r="I213" i="28" s="1"/>
  <c r="I252" i="7"/>
  <c r="T252" i="7" s="1"/>
  <c r="I235" i="28" s="1"/>
  <c r="I549" i="7"/>
  <c r="T549" i="7" s="1"/>
  <c r="I604" i="7"/>
  <c r="T604" i="7" s="1"/>
  <c r="I571" i="7"/>
  <c r="T571" i="7" s="1"/>
  <c r="I381" i="28" s="1"/>
  <c r="I379" i="7"/>
  <c r="T379" i="7" s="1"/>
  <c r="I385" i="28" s="1"/>
  <c r="I515" i="7"/>
  <c r="T515" i="7" s="1"/>
  <c r="I339" i="28" s="1"/>
  <c r="I158" i="7"/>
  <c r="T158" i="7" s="1"/>
  <c r="I73" i="28" s="1"/>
  <c r="I415" i="7"/>
  <c r="T415" i="7" s="1"/>
  <c r="I303" i="28" s="1"/>
  <c r="I570" i="7"/>
  <c r="T570" i="7" s="1"/>
  <c r="I723" i="7"/>
  <c r="T723" i="7" s="1"/>
  <c r="I306" i="28" s="1"/>
  <c r="I84" i="7"/>
  <c r="T84" i="7" s="1"/>
  <c r="I76" i="28" s="1"/>
  <c r="I479" i="7"/>
  <c r="T479" i="7" s="1"/>
  <c r="I338" i="28" s="1"/>
  <c r="I14" i="7"/>
  <c r="T14" i="7" s="1"/>
  <c r="I16" i="28" s="1"/>
  <c r="I216" i="7"/>
  <c r="T216" i="7" s="1"/>
  <c r="I111" i="28" s="1"/>
  <c r="I337" i="7"/>
  <c r="T337" i="7" s="1"/>
  <c r="I378" i="28" s="1"/>
  <c r="I209" i="7"/>
  <c r="T209" i="7" s="1"/>
  <c r="I174" i="28" s="1"/>
  <c r="I180" i="7"/>
  <c r="T180" i="7" s="1"/>
  <c r="I184" i="28" s="1"/>
  <c r="I510" i="7"/>
  <c r="T510" i="7" s="1"/>
  <c r="I225" i="28" s="1"/>
  <c r="I353" i="7"/>
  <c r="T353" i="7" s="1"/>
  <c r="I330" i="28" s="1"/>
  <c r="I437" i="7"/>
  <c r="T437" i="7" s="1"/>
  <c r="I51" i="7"/>
  <c r="T51" i="7" s="1"/>
  <c r="I64" i="28" s="1"/>
  <c r="I113" i="7"/>
  <c r="T113" i="7" s="1"/>
  <c r="I175" i="28" s="1"/>
  <c r="I433" i="7"/>
  <c r="T433" i="7" s="1"/>
  <c r="I405" i="28" s="1"/>
  <c r="I591" i="7"/>
  <c r="T591" i="7" s="1"/>
  <c r="I410" i="28" s="1"/>
  <c r="I77" i="7"/>
  <c r="T77" i="7" s="1"/>
  <c r="I126" i="28" s="1"/>
  <c r="I56" i="7"/>
  <c r="T56" i="7" s="1"/>
  <c r="I42" i="28" s="1"/>
  <c r="I446" i="7"/>
  <c r="T446" i="7" s="1"/>
  <c r="I421" i="28" s="1"/>
  <c r="I403" i="7"/>
  <c r="T403" i="7" s="1"/>
  <c r="I368" i="28" s="1"/>
  <c r="I349" i="7"/>
  <c r="T349" i="7" s="1"/>
  <c r="I234" i="28" s="1"/>
  <c r="I136" i="7"/>
  <c r="T136" i="7" s="1"/>
  <c r="I119" i="28" s="1"/>
  <c r="I552" i="7"/>
  <c r="T552" i="7" s="1"/>
  <c r="I391" i="28" s="1"/>
  <c r="I395" i="7"/>
  <c r="T395" i="7" s="1"/>
  <c r="I490" i="7"/>
  <c r="T490" i="7" s="1"/>
  <c r="I407" i="28" s="1"/>
  <c r="I401" i="7"/>
  <c r="T401" i="7" s="1"/>
  <c r="I331" i="28" s="1"/>
  <c r="I22" i="7"/>
  <c r="T22" i="7" s="1"/>
  <c r="I527" i="7"/>
  <c r="T527" i="7" s="1"/>
  <c r="I395" i="28" s="1"/>
  <c r="I203" i="7"/>
  <c r="T203" i="7" s="1"/>
  <c r="I191" i="28" s="1"/>
  <c r="I590" i="7"/>
  <c r="T590" i="7" s="1"/>
  <c r="I390" i="28" s="1"/>
  <c r="I250" i="7"/>
  <c r="T250" i="7" s="1"/>
  <c r="I188" i="7"/>
  <c r="T188" i="7" s="1"/>
  <c r="I95" i="28" s="1"/>
  <c r="I653" i="7"/>
  <c r="T653" i="7" s="1"/>
  <c r="I521" i="7"/>
  <c r="T521" i="7" s="1"/>
  <c r="I386" i="28" s="1"/>
  <c r="I94" i="7"/>
  <c r="T94" i="7" s="1"/>
  <c r="I96" i="28" s="1"/>
  <c r="I434" i="7"/>
  <c r="T434" i="7" s="1"/>
  <c r="I382" i="28" s="1"/>
  <c r="I166" i="7"/>
  <c r="T166" i="7" s="1"/>
  <c r="I192" i="28" s="1"/>
  <c r="I289" i="7"/>
  <c r="T289" i="7" s="1"/>
  <c r="I163" i="28" s="1"/>
  <c r="I547" i="7"/>
  <c r="T547" i="7" s="1"/>
  <c r="I302" i="28" s="1"/>
  <c r="I40" i="7"/>
  <c r="T40" i="7" s="1"/>
  <c r="I589" i="7"/>
  <c r="T589" i="7" s="1"/>
  <c r="I206" i="7"/>
  <c r="T206" i="7" s="1"/>
  <c r="I488" i="7"/>
  <c r="T488" i="7" s="1"/>
  <c r="I437" i="28" s="1"/>
  <c r="I674" i="7"/>
  <c r="T674" i="7" s="1"/>
  <c r="I58" i="7"/>
  <c r="T58" i="7" s="1"/>
  <c r="I66" i="28" s="1"/>
  <c r="I643" i="7"/>
  <c r="T643" i="7" s="1"/>
  <c r="I413" i="7"/>
  <c r="T413" i="7" s="1"/>
  <c r="I169" i="23" s="1"/>
  <c r="I645" i="7"/>
  <c r="T645" i="7" s="1"/>
  <c r="I182" i="7"/>
  <c r="T182" i="7" s="1"/>
  <c r="I169" i="28" s="1"/>
  <c r="I494" i="7"/>
  <c r="T494" i="7" s="1"/>
  <c r="I327" i="7"/>
  <c r="T327" i="7" s="1"/>
  <c r="I135" i="28" s="1"/>
  <c r="I91" i="7"/>
  <c r="T91" i="7" s="1"/>
  <c r="I94" i="28" s="1"/>
  <c r="I103" i="7"/>
  <c r="T103" i="7" s="1"/>
  <c r="I69" i="28" s="1"/>
  <c r="I483" i="7"/>
  <c r="T483" i="7" s="1"/>
  <c r="I282" i="7"/>
  <c r="T282" i="7" s="1"/>
  <c r="I25" i="7"/>
  <c r="T25" i="7" s="1"/>
  <c r="I47" i="28" s="1"/>
  <c r="I418" i="7"/>
  <c r="T418" i="7" s="1"/>
  <c r="I320" i="28" s="1"/>
  <c r="I302" i="7"/>
  <c r="T302" i="7" s="1"/>
  <c r="I156" i="28" s="1"/>
  <c r="I149" i="7"/>
  <c r="T149" i="7" s="1"/>
  <c r="I602" i="7"/>
  <c r="T602" i="7" s="1"/>
  <c r="I282" i="28" s="1"/>
  <c r="I16" i="7"/>
  <c r="T16" i="7" s="1"/>
  <c r="I20" i="28" s="1"/>
  <c r="I187" i="7"/>
  <c r="T187" i="7" s="1"/>
  <c r="I270" i="7"/>
  <c r="T270" i="7" s="1"/>
  <c r="I180" i="28" s="1"/>
  <c r="I622" i="7"/>
  <c r="T622" i="7" s="1"/>
  <c r="I429" i="28" s="1"/>
  <c r="I468" i="7"/>
  <c r="T468" i="7" s="1"/>
  <c r="I191" i="7"/>
  <c r="T191" i="7" s="1"/>
  <c r="I38" i="23" s="1"/>
  <c r="I133" i="7"/>
  <c r="T133" i="7" s="1"/>
  <c r="I129" i="7"/>
  <c r="T129" i="7" s="1"/>
  <c r="I133" i="28" s="1"/>
  <c r="I351" i="7"/>
  <c r="T351" i="7" s="1"/>
  <c r="I334" i="28" s="1"/>
  <c r="I554" i="7"/>
  <c r="T554" i="7" s="1"/>
  <c r="I418" i="28" s="1"/>
  <c r="I404" i="7"/>
  <c r="T404" i="7" s="1"/>
  <c r="I350" i="28" s="1"/>
  <c r="I569" i="7"/>
  <c r="T569" i="7" s="1"/>
  <c r="I736" i="7"/>
  <c r="T736" i="7" s="1"/>
  <c r="I477" i="28" s="1"/>
  <c r="I681" i="7"/>
  <c r="T681" i="7" s="1"/>
  <c r="I625" i="7"/>
  <c r="T625" i="7" s="1"/>
  <c r="I426" i="28" s="1"/>
  <c r="I464" i="7"/>
  <c r="T464" i="7" s="1"/>
  <c r="I114" i="28" s="1"/>
  <c r="I106" i="7"/>
  <c r="T106" i="7" s="1"/>
  <c r="I120" i="28" s="1"/>
  <c r="I402" i="7"/>
  <c r="T402" i="7" s="1"/>
  <c r="I396" i="28" s="1"/>
  <c r="I280" i="7"/>
  <c r="T280" i="7" s="1"/>
  <c r="I422" i="7"/>
  <c r="T422" i="7" s="1"/>
  <c r="I290" i="7"/>
  <c r="T290" i="7" s="1"/>
  <c r="I270" i="28" s="1"/>
  <c r="I394" i="7"/>
  <c r="T394" i="7" s="1"/>
  <c r="I228" i="7"/>
  <c r="T228" i="7" s="1"/>
  <c r="I248" i="28" s="1"/>
  <c r="I331" i="7"/>
  <c r="T331" i="7" s="1"/>
  <c r="I258" i="28" s="1"/>
  <c r="I71" i="7"/>
  <c r="T71" i="7" s="1"/>
  <c r="I562" i="7"/>
  <c r="T562" i="7" s="1"/>
  <c r="I156" i="7"/>
  <c r="T156" i="7" s="1"/>
  <c r="I185" i="28" s="1"/>
  <c r="I291" i="7"/>
  <c r="T291" i="7" s="1"/>
  <c r="I299" i="28" s="1"/>
  <c r="I599" i="7"/>
  <c r="T599" i="7" s="1"/>
  <c r="I87" i="7"/>
  <c r="T87" i="7" s="1"/>
  <c r="I64" i="7"/>
  <c r="T64" i="7" s="1"/>
  <c r="I49" i="28" s="1"/>
  <c r="I316" i="7"/>
  <c r="T316" i="7" s="1"/>
  <c r="I65" i="28" s="1"/>
  <c r="I47" i="7"/>
  <c r="T47" i="7" s="1"/>
  <c r="I70" i="28" s="1"/>
  <c r="I15" i="7"/>
  <c r="T15" i="7" s="1"/>
  <c r="I10" i="28" s="1"/>
  <c r="I598" i="7"/>
  <c r="T598" i="7" s="1"/>
  <c r="I605" i="7"/>
  <c r="T605" i="7" s="1"/>
  <c r="I413" i="28" s="1"/>
  <c r="I63" i="7"/>
  <c r="T63" i="7" s="1"/>
  <c r="I60" i="28" s="1"/>
  <c r="I137" i="7"/>
  <c r="T137" i="7" s="1"/>
  <c r="I149" i="28" s="1"/>
  <c r="I6" i="7"/>
  <c r="T6" i="7" s="1"/>
  <c r="I14" i="28" s="1"/>
  <c r="I633" i="7"/>
  <c r="T633" i="7" s="1"/>
  <c r="I414" i="7"/>
  <c r="T414" i="7" s="1"/>
  <c r="I290" i="28" s="1"/>
  <c r="I390" i="7"/>
  <c r="T390" i="7" s="1"/>
  <c r="I348" i="28" s="1"/>
  <c r="I45" i="7"/>
  <c r="T45" i="7" s="1"/>
  <c r="I51" i="28" s="1"/>
  <c r="I548" i="7"/>
  <c r="T548" i="7" s="1"/>
  <c r="I170" i="7"/>
  <c r="T170" i="7" s="1"/>
  <c r="I608" i="7"/>
  <c r="T608" i="7" s="1"/>
  <c r="I462" i="28" s="1"/>
  <c r="I195" i="7"/>
  <c r="T195" i="7" s="1"/>
  <c r="I165" i="28" s="1"/>
  <c r="I142" i="7"/>
  <c r="T142" i="7" s="1"/>
  <c r="I209" i="28" s="1"/>
  <c r="I185" i="7"/>
  <c r="T185" i="7" s="1"/>
  <c r="I189" i="28" s="1"/>
  <c r="I298" i="7"/>
  <c r="T298" i="7" s="1"/>
  <c r="I327" i="28" s="1"/>
  <c r="I362" i="7"/>
  <c r="T362" i="7" s="1"/>
  <c r="I363" i="28" s="1"/>
  <c r="I212" i="7"/>
  <c r="T212" i="7" s="1"/>
  <c r="I535" i="7"/>
  <c r="T535" i="7" s="1"/>
  <c r="I698" i="7"/>
  <c r="T698" i="7" s="1"/>
  <c r="I108" i="7"/>
  <c r="T108" i="7" s="1"/>
  <c r="I238" i="7"/>
  <c r="T238" i="7" s="1"/>
  <c r="I143" i="28" s="1"/>
  <c r="I528" i="7"/>
  <c r="T528" i="7" s="1"/>
  <c r="I439" i="28" s="1"/>
  <c r="I595" i="7"/>
  <c r="T595" i="7" s="1"/>
  <c r="I449" i="28" s="1"/>
  <c r="I101" i="7"/>
  <c r="T101" i="7" s="1"/>
  <c r="I324" i="7"/>
  <c r="T324" i="7" s="1"/>
  <c r="I345" i="28" s="1"/>
  <c r="I475" i="7"/>
  <c r="T475" i="7" s="1"/>
  <c r="I319" i="28" s="1"/>
  <c r="I317" i="7"/>
  <c r="T317" i="7" s="1"/>
  <c r="I224" i="7"/>
  <c r="T224" i="7" s="1"/>
  <c r="I176" i="28" s="1"/>
  <c r="I734" i="7"/>
  <c r="T734" i="7" s="1"/>
  <c r="I481" i="28" s="1"/>
  <c r="I459" i="7"/>
  <c r="T459" i="7" s="1"/>
  <c r="I341" i="28" s="1"/>
  <c r="I4" i="7"/>
  <c r="T4" i="7" s="1"/>
  <c r="I3" i="28" s="1"/>
  <c r="I613" i="7"/>
  <c r="T613" i="7" s="1"/>
  <c r="I655" i="7"/>
  <c r="T655" i="7" s="1"/>
  <c r="I236" i="7"/>
  <c r="T236" i="7" s="1"/>
  <c r="I145" i="28" s="1"/>
  <c r="I652" i="7"/>
  <c r="T652" i="7" s="1"/>
  <c r="I147" i="7"/>
  <c r="T147" i="7" s="1"/>
  <c r="I357" i="7"/>
  <c r="T357" i="7" s="1"/>
  <c r="I371" i="28" s="1"/>
  <c r="I131" i="7"/>
  <c r="T131" i="7" s="1"/>
  <c r="I166" i="28" s="1"/>
  <c r="I241" i="7"/>
  <c r="T241" i="7" s="1"/>
  <c r="I264" i="28" s="1"/>
  <c r="I260" i="7"/>
  <c r="T260" i="7" s="1"/>
  <c r="I161" i="28" s="1"/>
  <c r="I126" i="7"/>
  <c r="T126" i="7" s="1"/>
  <c r="I173" i="28" s="1"/>
  <c r="I322" i="7"/>
  <c r="T322" i="7" s="1"/>
  <c r="I342" i="28" s="1"/>
  <c r="I7" i="7"/>
  <c r="T7" i="7" s="1"/>
  <c r="I7" i="28" s="1"/>
  <c r="I559" i="7"/>
  <c r="T559" i="7" s="1"/>
  <c r="I138" i="7"/>
  <c r="T138" i="7" s="1"/>
  <c r="I153" i="28" s="1"/>
  <c r="I118" i="7"/>
  <c r="T118" i="7" s="1"/>
  <c r="I186" i="28" s="1"/>
  <c r="I363" i="7"/>
  <c r="T363" i="7" s="1"/>
  <c r="I384" i="28" s="1"/>
  <c r="I226" i="7"/>
  <c r="T226" i="7" s="1"/>
  <c r="I210" i="28" s="1"/>
  <c r="I160" i="7"/>
  <c r="T160" i="7" s="1"/>
  <c r="I26" i="7"/>
  <c r="T26" i="7" s="1"/>
  <c r="I45" i="28" s="1"/>
  <c r="I163" i="7"/>
  <c r="T163" i="7" s="1"/>
  <c r="I152" i="28" s="1"/>
  <c r="I618" i="7"/>
  <c r="T618" i="7" s="1"/>
  <c r="I714" i="7"/>
  <c r="T714" i="7" s="1"/>
  <c r="I460" i="28" s="1"/>
  <c r="I718" i="7"/>
  <c r="T718" i="7" s="1"/>
  <c r="I461" i="28" s="1"/>
  <c r="I435" i="7"/>
  <c r="T435" i="7" s="1"/>
  <c r="I383" i="28" s="1"/>
  <c r="I279" i="7"/>
  <c r="T279" i="7" s="1"/>
  <c r="I131" i="28" s="1"/>
  <c r="I232" i="7"/>
  <c r="T232" i="7" s="1"/>
  <c r="I272" i="28" s="1"/>
  <c r="I732" i="7"/>
  <c r="T732" i="7" s="1"/>
  <c r="I456" i="28" s="1"/>
  <c r="I326" i="7"/>
  <c r="T326" i="7" s="1"/>
  <c r="I675" i="7"/>
  <c r="T675" i="7" s="1"/>
  <c r="I360" i="28" s="1"/>
  <c r="I632" i="7"/>
  <c r="T632" i="7" s="1"/>
  <c r="I274" i="28" s="1"/>
  <c r="I74" i="7"/>
  <c r="T74" i="7" s="1"/>
  <c r="I59" i="28" s="1"/>
  <c r="I615" i="7"/>
  <c r="T615" i="7" s="1"/>
  <c r="I167" i="23" s="1"/>
  <c r="I700" i="7"/>
  <c r="T700" i="7" s="1"/>
  <c r="I332" i="7"/>
  <c r="T332" i="7" s="1"/>
  <c r="I291" i="28" s="1"/>
  <c r="I686" i="7"/>
  <c r="T686" i="7" s="1"/>
  <c r="I438" i="28" s="1"/>
  <c r="I255" i="7"/>
  <c r="T255" i="7" s="1"/>
  <c r="I237" i="28" s="1"/>
  <c r="I410" i="7"/>
  <c r="T410" i="7" s="1"/>
  <c r="I355" i="7"/>
  <c r="T355" i="7" s="1"/>
  <c r="I311" i="28" s="1"/>
  <c r="I297" i="7"/>
  <c r="T297" i="7" s="1"/>
  <c r="I251" i="28" s="1"/>
  <c r="I272" i="7"/>
  <c r="T272" i="7" s="1"/>
  <c r="I321" i="28" s="1"/>
  <c r="I29" i="7"/>
  <c r="T29" i="7" s="1"/>
  <c r="I384" i="7"/>
  <c r="T384" i="7" s="1"/>
  <c r="I550" i="7"/>
  <c r="T550" i="7" s="1"/>
  <c r="I532" i="7"/>
  <c r="T532" i="7" s="1"/>
  <c r="I265" i="7"/>
  <c r="T265" i="7" s="1"/>
  <c r="I309" i="28" s="1"/>
  <c r="I683" i="7"/>
  <c r="T683" i="7" s="1"/>
  <c r="I624" i="7"/>
  <c r="T624" i="7" s="1"/>
  <c r="I406" i="28" s="1"/>
  <c r="I482" i="7"/>
  <c r="T482" i="7" s="1"/>
  <c r="I340" i="7"/>
  <c r="T340" i="7" s="1"/>
  <c r="I132" i="28" s="1"/>
  <c r="I463" i="7"/>
  <c r="T463" i="7" s="1"/>
  <c r="I419" i="28" s="1"/>
  <c r="I717" i="7"/>
  <c r="T717" i="7" s="1"/>
  <c r="I484" i="28" s="1"/>
  <c r="I461" i="7"/>
  <c r="T461" i="7" s="1"/>
  <c r="I387" i="28" s="1"/>
  <c r="I31" i="7"/>
  <c r="T31" i="7" s="1"/>
  <c r="I41" i="28" s="1"/>
  <c r="I219" i="7"/>
  <c r="T219" i="7" s="1"/>
  <c r="I343" i="7"/>
  <c r="T343" i="7" s="1"/>
  <c r="I239" i="7"/>
  <c r="T239" i="7" s="1"/>
  <c r="I171" i="28" s="1"/>
  <c r="I597" i="7"/>
  <c r="T597" i="7" s="1"/>
  <c r="I707" i="7"/>
  <c r="T707" i="7" s="1"/>
  <c r="I300" i="28" s="1"/>
  <c r="I505" i="7"/>
  <c r="T505" i="7" s="1"/>
  <c r="I416" i="28" s="1"/>
  <c r="I431" i="7"/>
  <c r="T431" i="7" s="1"/>
  <c r="I352" i="28" s="1"/>
  <c r="I5" i="7"/>
  <c r="T5" i="7" s="1"/>
  <c r="I12" i="28" s="1"/>
  <c r="I11" i="7"/>
  <c r="T11" i="7" s="1"/>
  <c r="I18" i="28" s="1"/>
  <c r="I82" i="7"/>
  <c r="T82" i="7" s="1"/>
  <c r="I67" i="28" s="1"/>
  <c r="I438" i="7"/>
  <c r="T438" i="7" s="1"/>
  <c r="I159" i="28" s="1"/>
  <c r="I621" i="7"/>
  <c r="T621" i="7" s="1"/>
  <c r="I242" i="7"/>
  <c r="T242" i="7" s="1"/>
  <c r="I266" i="28" s="1"/>
  <c r="I424" i="7"/>
  <c r="T424" i="7" s="1"/>
  <c r="I123" i="23" s="1"/>
  <c r="I368" i="7"/>
  <c r="T368" i="7" s="1"/>
  <c r="I178" i="28" s="1"/>
  <c r="I354" i="7"/>
  <c r="T354" i="7" s="1"/>
  <c r="I362" i="28" s="1"/>
  <c r="I673" i="7"/>
  <c r="T673" i="7" s="1"/>
  <c r="I199" i="23" s="1"/>
  <c r="I78" i="7"/>
  <c r="T78" i="7" s="1"/>
  <c r="I26" i="28" s="1"/>
  <c r="I249" i="7"/>
  <c r="T249" i="7" s="1"/>
  <c r="I106" i="28" s="1"/>
  <c r="I440" i="7"/>
  <c r="T440" i="7" s="1"/>
  <c r="I85" i="7"/>
  <c r="T85" i="7" s="1"/>
  <c r="I83" i="28" s="1"/>
  <c r="I396" i="7"/>
  <c r="T396" i="7" s="1"/>
  <c r="I200" i="7"/>
  <c r="T200" i="7" s="1"/>
  <c r="I27" i="7"/>
  <c r="T27" i="7" s="1"/>
  <c r="I663" i="7"/>
  <c r="T663" i="7" s="1"/>
  <c r="I446" i="28" s="1"/>
  <c r="I728" i="7"/>
  <c r="T728" i="7" s="1"/>
  <c r="I145" i="7"/>
  <c r="T145" i="7" s="1"/>
  <c r="I118" i="28" s="1"/>
  <c r="I114" i="7"/>
  <c r="T114" i="7" s="1"/>
  <c r="I375" i="7"/>
  <c r="T375" i="7" s="1"/>
  <c r="I308" i="28" s="1"/>
  <c r="I247" i="7"/>
  <c r="T247" i="7" s="1"/>
  <c r="I713" i="7"/>
  <c r="T713" i="7" s="1"/>
  <c r="I638" i="7"/>
  <c r="T638" i="7" s="1"/>
  <c r="I459" i="28" s="1"/>
  <c r="I671" i="7"/>
  <c r="T671" i="7" s="1"/>
  <c r="I672" i="7"/>
  <c r="T672" i="7" s="1"/>
  <c r="I70" i="7"/>
  <c r="T70" i="7" s="1"/>
  <c r="I53" i="28" s="1"/>
  <c r="I309" i="7"/>
  <c r="T309" i="7" s="1"/>
  <c r="I244" i="7"/>
  <c r="T244" i="7" s="1"/>
  <c r="I242" i="28" s="1"/>
  <c r="I518" i="7"/>
  <c r="T518" i="7" s="1"/>
  <c r="I420" i="7"/>
  <c r="T420" i="7" s="1"/>
  <c r="I366" i="28" s="1"/>
  <c r="I406" i="7"/>
  <c r="T406" i="7" s="1"/>
  <c r="I376" i="28" s="1"/>
  <c r="I28" i="7"/>
  <c r="T28" i="7" s="1"/>
  <c r="I21" i="28" s="1"/>
  <c r="I641" i="7"/>
  <c r="T641" i="7" s="1"/>
  <c r="I701" i="7"/>
  <c r="T701" i="7" s="1"/>
  <c r="I420" i="28" s="1"/>
  <c r="I46" i="7"/>
  <c r="T46" i="7" s="1"/>
  <c r="I68" i="28" s="1"/>
  <c r="I525" i="7"/>
  <c r="T525" i="7" s="1"/>
  <c r="I425" i="28" s="1"/>
  <c r="I606" i="7"/>
  <c r="T606" i="7" s="1"/>
  <c r="I412" i="28" s="1"/>
  <c r="I719" i="7"/>
  <c r="T719" i="7" s="1"/>
  <c r="I466" i="28" s="1"/>
  <c r="I748" i="7"/>
  <c r="T748" i="7" s="1"/>
  <c r="I468" i="28" s="1"/>
  <c r="I284" i="7"/>
  <c r="T284" i="7" s="1"/>
  <c r="I383" i="7"/>
  <c r="T383" i="7" s="1"/>
  <c r="I60" i="7"/>
  <c r="T60" i="7" s="1"/>
  <c r="I19" i="28" s="1"/>
  <c r="I558" i="7"/>
  <c r="T558" i="7" s="1"/>
  <c r="I543" i="7"/>
  <c r="T543" i="7" s="1"/>
  <c r="I315" i="28" s="1"/>
  <c r="I473" i="7"/>
  <c r="T473" i="7" s="1"/>
  <c r="I256" i="28" s="1"/>
  <c r="I626" i="7"/>
  <c r="T626" i="7" s="1"/>
  <c r="I444" i="28" s="1"/>
  <c r="I397" i="7"/>
  <c r="T397" i="7" s="1"/>
  <c r="I146" i="28" s="1"/>
  <c r="I115" i="7"/>
  <c r="T115" i="7" s="1"/>
  <c r="I342" i="7"/>
  <c r="T342" i="7" s="1"/>
  <c r="I477" i="7"/>
  <c r="T477" i="7" s="1"/>
  <c r="I576" i="7"/>
  <c r="T576" i="7" s="1"/>
  <c r="I424" i="28" s="1"/>
  <c r="I467" i="7"/>
  <c r="T467" i="7" s="1"/>
  <c r="I529" i="7"/>
  <c r="T529" i="7" s="1"/>
  <c r="I414" i="28" s="1"/>
  <c r="I536" i="7"/>
  <c r="T536" i="7" s="1"/>
  <c r="I436" i="7"/>
  <c r="T436" i="7" s="1"/>
  <c r="I220" i="7"/>
  <c r="T220" i="7" s="1"/>
  <c r="I221" i="28" s="1"/>
  <c r="I472" i="7"/>
  <c r="T472" i="7" s="1"/>
  <c r="I240" i="28" s="1"/>
  <c r="I62" i="7"/>
  <c r="T62" i="7" s="1"/>
  <c r="I54" i="28" s="1"/>
  <c r="I300" i="7"/>
  <c r="T300" i="7" s="1"/>
  <c r="I332" i="28" s="1"/>
  <c r="I243" i="7"/>
  <c r="T243" i="7" s="1"/>
  <c r="I294" i="28" s="1"/>
  <c r="I749" i="7"/>
  <c r="T749" i="7" s="1"/>
  <c r="I482" i="28" s="1"/>
  <c r="I514" i="7"/>
  <c r="T514" i="7" s="1"/>
  <c r="I417" i="7"/>
  <c r="T417" i="7" s="1"/>
  <c r="I364" i="28" s="1"/>
  <c r="I381" i="7"/>
  <c r="T381" i="7" s="1"/>
  <c r="I320" i="7"/>
  <c r="T320" i="7" s="1"/>
  <c r="I307" i="28" s="1"/>
  <c r="I486" i="7"/>
  <c r="T486" i="7" s="1"/>
  <c r="I411" i="28" s="1"/>
  <c r="I688" i="7"/>
  <c r="T688" i="7" s="1"/>
  <c r="I469" i="28" s="1"/>
  <c r="I278" i="7"/>
  <c r="T278" i="7" s="1"/>
  <c r="I201" i="7"/>
  <c r="T201" i="7" s="1"/>
  <c r="I182" i="28" s="1"/>
  <c r="I666" i="7"/>
  <c r="T666" i="7" s="1"/>
  <c r="I476" i="28" s="1"/>
  <c r="I661" i="7"/>
  <c r="T661" i="7" s="1"/>
  <c r="I470" i="28" s="1"/>
  <c r="I132" i="7"/>
  <c r="T132" i="7" s="1"/>
  <c r="I217" i="28" s="1"/>
  <c r="I116" i="7"/>
  <c r="T116" i="7" s="1"/>
  <c r="I107" i="28" s="1"/>
  <c r="I516" i="7"/>
  <c r="T516" i="7" s="1"/>
  <c r="I254" i="7"/>
  <c r="T254" i="7" s="1"/>
  <c r="I208" i="28" s="1"/>
  <c r="I274" i="7"/>
  <c r="T274" i="7" s="1"/>
  <c r="I276" i="28" s="1"/>
  <c r="I694" i="7"/>
  <c r="T694" i="7" s="1"/>
  <c r="I55" i="7"/>
  <c r="T55" i="7" s="1"/>
  <c r="I24" i="28" s="1"/>
  <c r="I125" i="7"/>
  <c r="T125" i="7" s="1"/>
  <c r="I104" i="28" s="1"/>
  <c r="I588" i="7"/>
  <c r="T588" i="7" s="1"/>
  <c r="I328" i="28" s="1"/>
  <c r="I644" i="7"/>
  <c r="T644" i="7" s="1"/>
  <c r="I539" i="7"/>
  <c r="T539" i="7" s="1"/>
  <c r="I378" i="7"/>
  <c r="T378" i="7" s="1"/>
  <c r="I373" i="28" s="1"/>
  <c r="I361" i="7"/>
  <c r="T361" i="7" s="1"/>
  <c r="I401" i="28" s="1"/>
  <c r="I687" i="7"/>
  <c r="T687" i="7" s="1"/>
  <c r="I440" i="28" s="1"/>
  <c r="I455" i="7"/>
  <c r="T455" i="7" s="1"/>
  <c r="I269" i="28" s="1"/>
  <c r="I677" i="7"/>
  <c r="T677" i="7" s="1"/>
  <c r="AC675" i="5" s="1"/>
  <c r="I333" i="7"/>
  <c r="T333" i="7" s="1"/>
  <c r="I288" i="28" s="1"/>
  <c r="I716" i="7"/>
  <c r="T716" i="7" s="1"/>
  <c r="I474" i="28" s="1"/>
  <c r="I578" i="7"/>
  <c r="T578" i="7" s="1"/>
  <c r="I441" i="28" s="1"/>
  <c r="I575" i="7"/>
  <c r="T575" i="7" s="1"/>
  <c r="I450" i="28" s="1"/>
  <c r="I451" i="7"/>
  <c r="T451" i="7" s="1"/>
  <c r="I220" i="28" s="1"/>
  <c r="I497" i="7"/>
  <c r="T497" i="7" s="1"/>
  <c r="I480" i="7"/>
  <c r="T480" i="7" s="1"/>
  <c r="I357" i="28" s="1"/>
  <c r="I745" i="7"/>
  <c r="T745" i="7" s="1"/>
  <c r="I139" i="7"/>
  <c r="T139" i="7" s="1"/>
  <c r="I158" i="28" s="1"/>
  <c r="I512" i="7"/>
  <c r="T512" i="7" s="1"/>
  <c r="I128" i="7"/>
  <c r="T128" i="7" s="1"/>
  <c r="I18" i="23" s="1"/>
  <c r="I370" i="7"/>
  <c r="T370" i="7" s="1"/>
  <c r="I227" i="28" s="1"/>
  <c r="I295" i="7"/>
  <c r="T295" i="7" s="1"/>
  <c r="I247" i="28" s="1"/>
  <c r="I144" i="7"/>
  <c r="T144" i="7" s="1"/>
  <c r="I72" i="7"/>
  <c r="T72" i="7" s="1"/>
  <c r="I77" i="28" s="1"/>
  <c r="I34" i="7"/>
  <c r="T34" i="7" s="1"/>
  <c r="I22" i="28" s="1"/>
  <c r="I44" i="7"/>
  <c r="T44" i="7" s="1"/>
  <c r="I267" i="7"/>
  <c r="T267" i="7" s="1"/>
  <c r="I59" i="7"/>
  <c r="T59" i="7" s="1"/>
  <c r="I61" i="28" s="1"/>
  <c r="I76" i="7"/>
  <c r="T76" i="7" s="1"/>
  <c r="I82" i="28" s="1"/>
  <c r="I372" i="7"/>
  <c r="T372" i="7" s="1"/>
  <c r="I92" i="7"/>
  <c r="T92" i="7" s="1"/>
  <c r="I46" i="28" s="1"/>
  <c r="I487" i="7"/>
  <c r="T487" i="7" s="1"/>
  <c r="I428" i="28" s="1"/>
  <c r="I189" i="7"/>
  <c r="T189" i="7" s="1"/>
  <c r="I746" i="7"/>
  <c r="T746" i="7" s="1"/>
  <c r="I49" i="7"/>
  <c r="T49" i="7" s="1"/>
  <c r="I57" i="28" s="1"/>
  <c r="I692" i="7"/>
  <c r="T692" i="7" s="1"/>
  <c r="I467" i="28" s="1"/>
  <c r="I376" i="7"/>
  <c r="T376" i="7" s="1"/>
  <c r="I329" i="28" s="1"/>
  <c r="I574" i="7"/>
  <c r="T574" i="7" s="1"/>
  <c r="I422" i="28" s="1"/>
  <c r="I584" i="7"/>
  <c r="T584" i="7" s="1"/>
  <c r="I560" i="7"/>
  <c r="T560" i="7" s="1"/>
  <c r="I190" i="7"/>
  <c r="T190" i="7" s="1"/>
  <c r="I478" i="7"/>
  <c r="T478" i="7" s="1"/>
  <c r="I402" i="28" s="1"/>
  <c r="I715" i="7"/>
  <c r="T715" i="7" s="1"/>
  <c r="I404" i="28" s="1"/>
  <c r="I465" i="7"/>
  <c r="T465" i="7" s="1"/>
  <c r="I470" i="7"/>
  <c r="T470" i="7" s="1"/>
  <c r="I419" i="7"/>
  <c r="T419" i="7" s="1"/>
  <c r="I365" i="28" s="1"/>
  <c r="I495" i="7"/>
  <c r="T495" i="7" s="1"/>
  <c r="I88" i="7"/>
  <c r="T88" i="7" s="1"/>
  <c r="I81" i="28" s="1"/>
  <c r="I742" i="7"/>
  <c r="T742" i="7" s="1"/>
  <c r="I30" i="7"/>
  <c r="T30" i="7" s="1"/>
  <c r="I43" i="28" s="1"/>
  <c r="I596" i="7"/>
  <c r="T596" i="7" s="1"/>
  <c r="I215" i="7"/>
  <c r="T215" i="7" s="1"/>
  <c r="I86" i="28" s="1"/>
  <c r="I705" i="7"/>
  <c r="T705" i="7" s="1"/>
  <c r="I544" i="7"/>
  <c r="T544" i="7" s="1"/>
  <c r="I146" i="7"/>
  <c r="T146" i="7" s="1"/>
  <c r="I172" i="28" s="1"/>
  <c r="I659" i="7"/>
  <c r="T659" i="7" s="1"/>
  <c r="I443" i="28" s="1"/>
  <c r="I740" i="7"/>
  <c r="T740" i="7" s="1"/>
  <c r="I301" i="7"/>
  <c r="T301" i="7" s="1"/>
  <c r="I233" i="7"/>
  <c r="T233" i="7" s="1"/>
  <c r="I259" i="28" s="1"/>
  <c r="I743" i="7"/>
  <c r="T743" i="7" s="1"/>
  <c r="I269" i="7"/>
  <c r="T269" i="7" s="1"/>
  <c r="I43" i="7"/>
  <c r="T43" i="7" s="1"/>
  <c r="I58" i="28" s="1"/>
  <c r="I737" i="7"/>
  <c r="T737" i="7" s="1"/>
  <c r="I480" i="28" s="1"/>
  <c r="I386" i="7"/>
  <c r="T386" i="7" s="1"/>
  <c r="I649" i="7"/>
  <c r="T649" i="7" s="1"/>
  <c r="I93" i="7"/>
  <c r="T93" i="7" s="1"/>
  <c r="I88" i="28" s="1"/>
  <c r="I722" i="7"/>
  <c r="T722" i="7" s="1"/>
  <c r="I619" i="7"/>
  <c r="T619" i="7" s="1"/>
  <c r="I361" i="28" s="1"/>
  <c r="I18" i="7"/>
  <c r="T18" i="7" s="1"/>
  <c r="I23" i="28" s="1"/>
  <c r="I629" i="7"/>
  <c r="T629" i="7" s="1"/>
  <c r="I407" i="7"/>
  <c r="T407" i="7" s="1"/>
  <c r="I388" i="28" s="1"/>
  <c r="I585" i="7"/>
  <c r="T585" i="7" s="1"/>
  <c r="I279" i="28" s="1"/>
  <c r="I563" i="7"/>
  <c r="T563" i="7" s="1"/>
  <c r="I582" i="7"/>
  <c r="T582" i="7" s="1"/>
  <c r="I207" i="7"/>
  <c r="T207" i="7" s="1"/>
  <c r="I662" i="7"/>
  <c r="T662" i="7" s="1"/>
  <c r="I435" i="28" s="1"/>
  <c r="I305" i="7"/>
  <c r="T305" i="7" s="1"/>
  <c r="I253" i="28" s="1"/>
  <c r="I199" i="7"/>
  <c r="T199" i="7" s="1"/>
  <c r="I295" i="28" s="1"/>
  <c r="I507" i="7"/>
  <c r="T507" i="7" s="1"/>
  <c r="I432" i="28" s="1"/>
  <c r="I523" i="7"/>
  <c r="T523" i="7" s="1"/>
  <c r="I322" i="28" s="1"/>
  <c r="I454" i="7"/>
  <c r="T454" i="7" s="1"/>
  <c r="I356" i="7"/>
  <c r="T356" i="7" s="1"/>
  <c r="I318" i="28" s="1"/>
  <c r="I157" i="7"/>
  <c r="T157" i="7" s="1"/>
  <c r="I254" i="28" s="1"/>
  <c r="I36" i="7"/>
  <c r="T36" i="7" s="1"/>
  <c r="I52" i="28" s="1"/>
  <c r="I339" i="7"/>
  <c r="T339" i="7" s="1"/>
  <c r="I162" i="7"/>
  <c r="T162" i="7" s="1"/>
  <c r="I151" i="28" s="1"/>
  <c r="I262" i="7"/>
  <c r="T262" i="7" s="1"/>
  <c r="I199" i="28" s="1"/>
  <c r="I374" i="7"/>
  <c r="T374" i="7" s="1"/>
  <c r="I195" i="28" s="1"/>
  <c r="I12" i="7"/>
  <c r="T12" i="7" s="1"/>
  <c r="I13" i="28" s="1"/>
  <c r="I61" i="7"/>
  <c r="T61" i="7" s="1"/>
  <c r="I34" i="28" s="1"/>
  <c r="I221" i="7"/>
  <c r="T221" i="7" s="1"/>
  <c r="I115" i="28" s="1"/>
  <c r="I196" i="7"/>
  <c r="T196" i="7" s="1"/>
  <c r="I179" i="28" s="1"/>
  <c r="I230" i="7"/>
  <c r="T230" i="7" s="1"/>
  <c r="I198" i="28" s="1"/>
  <c r="I735" i="7"/>
  <c r="T735" i="7" s="1"/>
  <c r="I487" i="28" s="1"/>
  <c r="I630" i="7"/>
  <c r="T630" i="7" s="1"/>
  <c r="I238" i="28" s="1"/>
  <c r="I393" i="7"/>
  <c r="T393" i="7" s="1"/>
  <c r="I72" i="28" s="1"/>
  <c r="I556" i="7"/>
  <c r="T556" i="7" s="1"/>
  <c r="I436" i="28" s="1"/>
  <c r="I739" i="7"/>
  <c r="T739" i="7" s="1"/>
  <c r="I485" i="28" s="1"/>
  <c r="I310" i="7"/>
  <c r="T310" i="7" s="1"/>
  <c r="I244" i="28" s="1"/>
  <c r="I259" i="7"/>
  <c r="T259" i="7" s="1"/>
  <c r="I150" i="28" s="1"/>
  <c r="I268" i="7"/>
  <c r="T268" i="7" s="1"/>
  <c r="I453" i="7"/>
  <c r="T453" i="7" s="1"/>
  <c r="I283" i="7"/>
  <c r="T283" i="7" s="1"/>
  <c r="I211" i="28" s="1"/>
  <c r="I3" i="7"/>
  <c r="T3" i="7" s="1"/>
  <c r="I6" i="28" s="1"/>
  <c r="I627" i="7"/>
  <c r="T627" i="7" s="1"/>
  <c r="I711" i="7"/>
  <c r="T711" i="7" s="1"/>
  <c r="I155" i="7"/>
  <c r="T155" i="7" s="1"/>
  <c r="I183" i="28" s="1"/>
  <c r="I346" i="7"/>
  <c r="T346" i="7" s="1"/>
  <c r="I177" i="28" s="1"/>
  <c r="I460" i="7"/>
  <c r="T460" i="7" s="1"/>
  <c r="I296" i="28" s="1"/>
  <c r="I669" i="7"/>
  <c r="T669" i="7" s="1"/>
  <c r="I741" i="7"/>
  <c r="T741" i="7" s="1"/>
  <c r="I444" i="7"/>
  <c r="T444" i="7" s="1"/>
  <c r="I408" i="28" s="1"/>
  <c r="I651" i="7"/>
  <c r="T651" i="7" s="1"/>
  <c r="I592" i="7"/>
  <c r="T592" i="7" s="1"/>
  <c r="I463" i="28" s="1"/>
  <c r="I531" i="7"/>
  <c r="T531" i="7" s="1"/>
  <c r="I434" i="28" s="1"/>
  <c r="I367" i="7"/>
  <c r="T367" i="7" s="1"/>
  <c r="I724" i="7"/>
  <c r="T724" i="7" s="1"/>
  <c r="I340" i="28" s="1"/>
  <c r="I257" i="7"/>
  <c r="T257" i="7" s="1"/>
  <c r="I292" i="28" s="1"/>
  <c r="I421" i="7"/>
  <c r="T421" i="7" s="1"/>
  <c r="I276" i="7"/>
  <c r="T276" i="7" s="1"/>
  <c r="I305" i="28" s="1"/>
  <c r="N4" i="14"/>
  <c r="N5" i="14"/>
  <c r="T285" i="7"/>
  <c r="P5" i="14"/>
  <c r="P4" i="14"/>
  <c r="L5" i="14"/>
  <c r="E4" i="14"/>
  <c r="T738" i="7"/>
  <c r="I486" i="28" s="1"/>
  <c r="T17" i="7"/>
  <c r="I25" i="28" s="1"/>
  <c r="L42" i="11"/>
  <c r="L40" i="11"/>
  <c r="L41" i="11"/>
  <c r="L59" i="11"/>
  <c r="L58" i="11"/>
  <c r="L56" i="11"/>
  <c r="L57" i="11"/>
  <c r="L55" i="11"/>
  <c r="L54" i="11"/>
  <c r="L53" i="11"/>
  <c r="L45" i="11"/>
  <c r="L52" i="11"/>
  <c r="L44" i="11"/>
  <c r="L51" i="11"/>
  <c r="L50" i="11"/>
  <c r="L47" i="11"/>
  <c r="L49" i="11"/>
  <c r="L43" i="11"/>
  <c r="L48" i="11"/>
  <c r="L39" i="11"/>
  <c r="L46" i="11"/>
  <c r="O61" i="26"/>
  <c r="T175" i="7"/>
  <c r="I205" i="28" s="1"/>
  <c r="T601" i="7"/>
  <c r="I151" i="23" s="1"/>
  <c r="T307" i="7"/>
  <c r="T319" i="7"/>
  <c r="T10" i="7"/>
  <c r="I11" i="28" s="1"/>
  <c r="T648" i="7"/>
  <c r="T658" i="7"/>
  <c r="T542" i="7"/>
  <c r="T81" i="7"/>
  <c r="T193" i="7"/>
  <c r="I216" i="28" s="1"/>
  <c r="T336" i="7"/>
  <c r="I370" i="28" s="1"/>
  <c r="T67" i="7"/>
  <c r="I55" i="28" s="1"/>
  <c r="T753" i="7"/>
  <c r="I489" i="28" s="1"/>
  <c r="T292" i="7"/>
  <c r="I261" i="28" s="1"/>
  <c r="T13" i="7"/>
  <c r="I5" i="28" s="1"/>
  <c r="T102" i="7"/>
  <c r="I97" i="28" s="1"/>
  <c r="T328" i="7"/>
  <c r="T231" i="7"/>
  <c r="I260" i="28" s="1"/>
  <c r="T519" i="7"/>
  <c r="T256" i="7"/>
  <c r="I265" i="28" s="1"/>
  <c r="T208" i="7"/>
  <c r="T387" i="7"/>
  <c r="I298" i="28" s="1"/>
  <c r="T511" i="7"/>
  <c r="T89" i="7"/>
  <c r="I85" i="28" s="1"/>
  <c r="T124" i="7"/>
  <c r="I79" i="28" s="1"/>
  <c r="T412" i="7"/>
  <c r="I273" i="28" s="1"/>
  <c r="T457" i="7"/>
  <c r="T235" i="7"/>
  <c r="T186" i="7"/>
  <c r="T755" i="7"/>
  <c r="T580" i="7"/>
  <c r="T223" i="7"/>
  <c r="I157" i="28" s="1"/>
  <c r="T689" i="7"/>
  <c r="I473" i="28" s="1"/>
  <c r="T594" i="7"/>
  <c r="I447" i="28" s="1"/>
  <c r="T105" i="7"/>
  <c r="I141" i="28" s="1"/>
  <c r="T164" i="7"/>
  <c r="I155" i="28" s="1"/>
  <c r="T134" i="7"/>
  <c r="I48" i="28" s="1"/>
  <c r="T508" i="7"/>
  <c r="T264" i="7"/>
  <c r="I287" i="28" s="1"/>
  <c r="T744" i="7"/>
  <c r="T636" i="7"/>
  <c r="I431" i="28" s="1"/>
  <c r="T299" i="7"/>
  <c r="I289" i="28" s="1"/>
  <c r="T706" i="7"/>
  <c r="I252" i="28" s="1"/>
  <c r="T306" i="7"/>
  <c r="T729" i="7"/>
  <c r="T634" i="7"/>
  <c r="T365" i="7"/>
  <c r="T204" i="7"/>
  <c r="I275" i="28" s="1"/>
  <c r="T294" i="7"/>
  <c r="I278" i="28" s="1"/>
  <c r="T702" i="7"/>
  <c r="I478" i="28" s="1"/>
  <c r="T321" i="7"/>
  <c r="I333" i="28" s="1"/>
  <c r="T167" i="7"/>
  <c r="I188" i="28" s="1"/>
  <c r="T667" i="7"/>
  <c r="I475" i="28" s="1"/>
  <c r="T79" i="7"/>
  <c r="T48" i="7"/>
  <c r="T534" i="7"/>
  <c r="T754" i="7"/>
  <c r="T173" i="7"/>
  <c r="I127" i="28" s="1"/>
  <c r="T380" i="7"/>
  <c r="T530" i="7"/>
  <c r="I430" i="28" s="1"/>
  <c r="T502" i="7"/>
  <c r="I285" i="28" s="1"/>
  <c r="L20" i="26"/>
  <c r="O20" i="26" s="1"/>
  <c r="L54" i="26"/>
  <c r="O54" i="26" s="1"/>
  <c r="L46" i="26"/>
  <c r="O46" i="26" s="1"/>
  <c r="L38" i="26"/>
  <c r="O38" i="26" s="1"/>
  <c r="L30" i="26"/>
  <c r="O30" i="26" s="1"/>
  <c r="L22" i="26"/>
  <c r="O22" i="26" s="1"/>
  <c r="L6" i="26"/>
  <c r="O6" i="26" s="1"/>
  <c r="L60" i="26"/>
  <c r="O60" i="26" s="1"/>
  <c r="L53" i="26"/>
  <c r="O53" i="26" s="1"/>
  <c r="L45" i="26"/>
  <c r="O45" i="26" s="1"/>
  <c r="L37" i="26"/>
  <c r="O37" i="26" s="1"/>
  <c r="L29" i="26"/>
  <c r="O29" i="26" s="1"/>
  <c r="L21" i="26"/>
  <c r="O21" i="26" s="1"/>
  <c r="L13" i="26"/>
  <c r="O13" i="26" s="1"/>
  <c r="L5" i="26"/>
  <c r="O5" i="26" s="1"/>
  <c r="L52" i="26"/>
  <c r="O52" i="26" s="1"/>
  <c r="L44" i="26"/>
  <c r="O44" i="26" s="1"/>
  <c r="L36" i="26"/>
  <c r="O36" i="26" s="1"/>
  <c r="L28" i="26"/>
  <c r="O28" i="26" s="1"/>
  <c r="L12" i="26"/>
  <c r="O12" i="26" s="1"/>
  <c r="L4" i="26"/>
  <c r="O4" i="26" s="1"/>
  <c r="L75" i="26"/>
  <c r="O75" i="26" s="1"/>
  <c r="L51" i="26"/>
  <c r="O51" i="26" s="1"/>
  <c r="L43" i="26"/>
  <c r="O43" i="26" s="1"/>
  <c r="L35" i="26"/>
  <c r="O35" i="26" s="1"/>
  <c r="L27" i="26"/>
  <c r="O27" i="26" s="1"/>
  <c r="L19" i="26"/>
  <c r="O19" i="26" s="1"/>
  <c r="L11" i="26"/>
  <c r="O11" i="26" s="1"/>
  <c r="L50" i="26"/>
  <c r="O50" i="26" s="1"/>
  <c r="L42" i="26"/>
  <c r="O42" i="26" s="1"/>
  <c r="L34" i="26"/>
  <c r="O34" i="26" s="1"/>
  <c r="L26" i="26"/>
  <c r="O26" i="26" s="1"/>
  <c r="L18" i="26"/>
  <c r="O18" i="26" s="1"/>
  <c r="L10" i="26"/>
  <c r="O10" i="26" s="1"/>
  <c r="L57" i="26"/>
  <c r="O57" i="26" s="1"/>
  <c r="L41" i="26"/>
  <c r="O41" i="26" s="1"/>
  <c r="L33" i="26"/>
  <c r="O33" i="26" s="1"/>
  <c r="L25" i="26"/>
  <c r="O25" i="26" s="1"/>
  <c r="L17" i="26"/>
  <c r="O17" i="26" s="1"/>
  <c r="L9" i="26"/>
  <c r="O9" i="26" s="1"/>
  <c r="L56" i="26"/>
  <c r="O56" i="26" s="1"/>
  <c r="L48" i="26"/>
  <c r="O48" i="26" s="1"/>
  <c r="L40" i="26"/>
  <c r="O40" i="26" s="1"/>
  <c r="L24" i="26"/>
  <c r="O24" i="26" s="1"/>
  <c r="L16" i="26"/>
  <c r="O16" i="26" s="1"/>
  <c r="L8" i="26"/>
  <c r="O8" i="26" s="1"/>
  <c r="L55" i="26"/>
  <c r="O55" i="26" s="1"/>
  <c r="L47" i="26"/>
  <c r="O47" i="26" s="1"/>
  <c r="L39" i="26"/>
  <c r="O39" i="26" s="1"/>
  <c r="L31" i="26"/>
  <c r="O31" i="26" s="1"/>
  <c r="L15" i="26"/>
  <c r="O15" i="26" s="1"/>
  <c r="L7" i="26"/>
  <c r="O7" i="26" s="1"/>
  <c r="L68" i="26"/>
  <c r="O68" i="26" s="1"/>
  <c r="L62" i="26"/>
  <c r="O62" i="26" s="1"/>
  <c r="L2" i="26"/>
  <c r="O2" i="26" s="1"/>
  <c r="L65" i="26"/>
  <c r="O65" i="26" s="1"/>
  <c r="L74" i="26"/>
  <c r="O74" i="26" s="1"/>
  <c r="L72" i="26"/>
  <c r="O72" i="26" s="1"/>
  <c r="L73" i="26"/>
  <c r="O73" i="26" s="1"/>
  <c r="L69" i="26"/>
  <c r="O69" i="26" s="1"/>
  <c r="L67" i="26"/>
  <c r="O67" i="26" s="1"/>
  <c r="L70" i="26"/>
  <c r="O70" i="26" s="1"/>
  <c r="L66" i="26"/>
  <c r="O66" i="26" s="1"/>
  <c r="L58" i="26"/>
  <c r="O58" i="26" s="1"/>
  <c r="L77" i="26"/>
  <c r="O77" i="26" s="1"/>
  <c r="L71" i="26"/>
  <c r="O71" i="26" s="1"/>
  <c r="L64" i="26"/>
  <c r="O64" i="26" s="1"/>
  <c r="L78" i="26"/>
  <c r="O78" i="26" s="1"/>
  <c r="L14" i="26"/>
  <c r="O14" i="26" s="1"/>
  <c r="L3" i="26"/>
  <c r="O3" i="26" s="1"/>
  <c r="L32" i="26"/>
  <c r="O32" i="26" s="1"/>
  <c r="L63" i="26"/>
  <c r="O63" i="26" s="1"/>
  <c r="L23" i="26"/>
  <c r="O23" i="26" s="1"/>
  <c r="L59" i="26"/>
  <c r="O59" i="26" s="1"/>
  <c r="L76" i="26"/>
  <c r="O76" i="26" s="1"/>
  <c r="L49" i="26"/>
  <c r="O49" i="26" s="1"/>
  <c r="A279" i="23"/>
  <c r="E288" i="23"/>
  <c r="H288" i="23"/>
  <c r="G288" i="23"/>
  <c r="A281" i="23"/>
  <c r="F288" i="23"/>
  <c r="D288" i="23"/>
  <c r="F272" i="21"/>
  <c r="A263" i="21"/>
  <c r="G272" i="21"/>
  <c r="H272" i="21"/>
  <c r="E272" i="21"/>
  <c r="A265" i="21"/>
  <c r="F194" i="17"/>
  <c r="D194" i="17"/>
  <c r="A185" i="17"/>
  <c r="G194" i="17"/>
  <c r="A186" i="17"/>
  <c r="H195" i="17" s="1"/>
  <c r="E194" i="17"/>
  <c r="D179" i="22"/>
  <c r="F179" i="22"/>
  <c r="E179" i="22"/>
  <c r="G179" i="22"/>
  <c r="H179" i="22"/>
  <c r="A173" i="22"/>
  <c r="A172" i="22"/>
  <c r="I268" i="23" l="1"/>
  <c r="AC442" i="5"/>
  <c r="G4" i="14"/>
  <c r="AC291" i="5"/>
  <c r="I99" i="17"/>
  <c r="AC566" i="5"/>
  <c r="I229" i="23"/>
  <c r="I119" i="22"/>
  <c r="AC411" i="5"/>
  <c r="G5" i="14"/>
  <c r="AC191" i="5"/>
  <c r="I85" i="22"/>
  <c r="I62" i="17"/>
  <c r="AC615" i="5"/>
  <c r="I92" i="22"/>
  <c r="I232" i="28"/>
  <c r="I103" i="17"/>
  <c r="I20" i="23"/>
  <c r="I133" i="22"/>
  <c r="AC31" i="5"/>
  <c r="I44" i="28"/>
  <c r="I150" i="22"/>
  <c r="AC738" i="5"/>
  <c r="AC340" i="5"/>
  <c r="I142" i="22"/>
  <c r="I141" i="22"/>
  <c r="I46" i="17"/>
  <c r="I98" i="28"/>
  <c r="I180" i="17"/>
  <c r="I140" i="22"/>
  <c r="I123" i="22"/>
  <c r="AC671" i="5"/>
  <c r="I146" i="22"/>
  <c r="I11" i="17"/>
  <c r="I35" i="28"/>
  <c r="I153" i="22"/>
  <c r="I164" i="22"/>
  <c r="I152" i="22"/>
  <c r="I156" i="22"/>
  <c r="I57" i="21"/>
  <c r="I101" i="28"/>
  <c r="AC298" i="5"/>
  <c r="I204" i="28"/>
  <c r="I151" i="22"/>
  <c r="AC9" i="5"/>
  <c r="I9" i="28"/>
  <c r="I45" i="22"/>
  <c r="I105" i="28"/>
  <c r="I144" i="22"/>
  <c r="I148" i="22"/>
  <c r="I124" i="22"/>
  <c r="I137" i="22"/>
  <c r="I159" i="22"/>
  <c r="I147" i="22"/>
  <c r="I94" i="22"/>
  <c r="I236" i="28"/>
  <c r="I175" i="17"/>
  <c r="I177" i="17"/>
  <c r="I145" i="22"/>
  <c r="I50" i="17"/>
  <c r="I108" i="28"/>
  <c r="I136" i="22"/>
  <c r="I80" i="22"/>
  <c r="I202" i="28"/>
  <c r="I162" i="22"/>
  <c r="AC260" i="5"/>
  <c r="I144" i="28"/>
  <c r="AC264" i="5"/>
  <c r="I143" i="22"/>
  <c r="I106" i="21"/>
  <c r="I155" i="22"/>
  <c r="AC572" i="5"/>
  <c r="I138" i="22"/>
  <c r="I154" i="22"/>
  <c r="I157" i="22"/>
  <c r="I163" i="22"/>
  <c r="I149" i="22"/>
  <c r="I158" i="22"/>
  <c r="I160" i="22"/>
  <c r="AC549" i="5"/>
  <c r="AC158" i="5"/>
  <c r="I143" i="21"/>
  <c r="AC431" i="5"/>
  <c r="I86" i="23"/>
  <c r="I21" i="22"/>
  <c r="AC309" i="5"/>
  <c r="AC464" i="5"/>
  <c r="I95" i="22"/>
  <c r="I19" i="23"/>
  <c r="I4" i="23"/>
  <c r="I56" i="23"/>
  <c r="I150" i="23"/>
  <c r="I166" i="23"/>
  <c r="I171" i="23"/>
  <c r="I91" i="23"/>
  <c r="AC175" i="5"/>
  <c r="H110" i="27" s="1"/>
  <c r="AC22" i="5"/>
  <c r="AC317" i="5"/>
  <c r="AC634" i="5"/>
  <c r="AC711" i="5"/>
  <c r="AC450" i="5"/>
  <c r="AC45" i="5"/>
  <c r="I225" i="21"/>
  <c r="I150" i="21"/>
  <c r="I39" i="21"/>
  <c r="I28" i="22"/>
  <c r="I11" i="22"/>
  <c r="I170" i="23"/>
  <c r="I122" i="22"/>
  <c r="I62" i="22"/>
  <c r="I118" i="22"/>
  <c r="I25" i="22"/>
  <c r="I115" i="22"/>
  <c r="I49" i="22"/>
  <c r="I133" i="17"/>
  <c r="I161" i="22"/>
  <c r="I77" i="17"/>
  <c r="I14" i="22"/>
  <c r="I109" i="21"/>
  <c r="AC105" i="5"/>
  <c r="AC732" i="5"/>
  <c r="I32" i="22"/>
  <c r="I163" i="21"/>
  <c r="AC528" i="5"/>
  <c r="AC391" i="5"/>
  <c r="I124" i="17"/>
  <c r="AC667" i="5"/>
  <c r="AC280" i="5"/>
  <c r="AC103" i="5"/>
  <c r="AC384" i="5"/>
  <c r="AC493" i="5"/>
  <c r="AC678" i="5"/>
  <c r="AC207" i="5"/>
  <c r="AC293" i="5"/>
  <c r="AC741" i="5"/>
  <c r="AC510" i="5"/>
  <c r="AC687" i="5"/>
  <c r="I165" i="23"/>
  <c r="AC11" i="5"/>
  <c r="AC49" i="5"/>
  <c r="AC358" i="5"/>
  <c r="AC511" i="5"/>
  <c r="AC80" i="5"/>
  <c r="I40" i="22"/>
  <c r="I138" i="17"/>
  <c r="AC118" i="5"/>
  <c r="I14" i="17"/>
  <c r="AC582" i="5"/>
  <c r="AC427" i="5"/>
  <c r="AC636" i="5"/>
  <c r="I87" i="22"/>
  <c r="AC314" i="5"/>
  <c r="I111" i="22"/>
  <c r="I8" i="22"/>
  <c r="AC47" i="5"/>
  <c r="AC666" i="5"/>
  <c r="AC128" i="5"/>
  <c r="AC245" i="5"/>
  <c r="AC526" i="5"/>
  <c r="I57" i="22"/>
  <c r="AC177" i="5"/>
  <c r="AC283" i="5"/>
  <c r="I64" i="17"/>
  <c r="AC376" i="5"/>
  <c r="I153" i="21"/>
  <c r="AC673" i="5"/>
  <c r="AC72" i="5"/>
  <c r="AC677" i="5"/>
  <c r="AC504" i="5"/>
  <c r="AC121" i="5"/>
  <c r="AC707" i="5"/>
  <c r="AC230" i="5"/>
  <c r="I56" i="22"/>
  <c r="AC530" i="5"/>
  <c r="AC305" i="5"/>
  <c r="I164" i="23"/>
  <c r="I79" i="23"/>
  <c r="I136" i="21"/>
  <c r="I152" i="23"/>
  <c r="AC568" i="5"/>
  <c r="I134" i="22"/>
  <c r="AC239" i="5"/>
  <c r="AC168" i="5"/>
  <c r="I154" i="17"/>
  <c r="I48" i="17"/>
  <c r="I113" i="17"/>
  <c r="I188" i="23"/>
  <c r="I202" i="23"/>
  <c r="AC454" i="5"/>
  <c r="H449" i="27" s="1"/>
  <c r="AC531" i="5"/>
  <c r="AC720" i="5"/>
  <c r="I163" i="23"/>
  <c r="AC124" i="5"/>
  <c r="AC440" i="5"/>
  <c r="AC94" i="5"/>
  <c r="AC725" i="5"/>
  <c r="AC311" i="5"/>
  <c r="I162" i="23"/>
  <c r="I47" i="22"/>
  <c r="I93" i="21"/>
  <c r="AC204" i="5"/>
  <c r="I157" i="21"/>
  <c r="I106" i="17"/>
  <c r="I79" i="22"/>
  <c r="AC178" i="5"/>
  <c r="AC170" i="5"/>
  <c r="AC367" i="5"/>
  <c r="AC680" i="5"/>
  <c r="AC662" i="5"/>
  <c r="AC165" i="5"/>
  <c r="I41" i="22"/>
  <c r="AC484" i="5"/>
  <c r="I10" i="22"/>
  <c r="AC502" i="5"/>
  <c r="AC389" i="5"/>
  <c r="AC377" i="5"/>
  <c r="AC546" i="5"/>
  <c r="AC657" i="5"/>
  <c r="AC654" i="5"/>
  <c r="AC217" i="5"/>
  <c r="AC446" i="5"/>
  <c r="AC147" i="5"/>
  <c r="AC633" i="5"/>
  <c r="AC602" i="5"/>
  <c r="AC320" i="5"/>
  <c r="AC380" i="5"/>
  <c r="AC371" i="5"/>
  <c r="AC508" i="5"/>
  <c r="AC541" i="5"/>
  <c r="AC669" i="5"/>
  <c r="I78" i="23"/>
  <c r="AC23" i="5"/>
  <c r="AC58" i="5"/>
  <c r="AC235" i="5"/>
  <c r="AC661" i="5"/>
  <c r="AC55" i="5"/>
  <c r="AC93" i="5"/>
  <c r="AC681" i="5"/>
  <c r="AC574" i="5"/>
  <c r="AC653" i="5"/>
  <c r="AC2" i="5"/>
  <c r="AC460" i="5"/>
  <c r="AC650" i="5"/>
  <c r="AC284" i="5"/>
  <c r="AC639" i="5"/>
  <c r="AC689" i="5"/>
  <c r="AC744" i="5"/>
  <c r="AC174" i="5"/>
  <c r="AC79" i="5"/>
  <c r="AC645" i="5"/>
  <c r="AC62" i="5"/>
  <c r="AC734" i="5"/>
  <c r="AC43" i="5"/>
  <c r="H47" i="27" s="1"/>
  <c r="AC718" i="5"/>
  <c r="AC396" i="5"/>
  <c r="AC459" i="5"/>
  <c r="AC586" i="5"/>
  <c r="AC727" i="5"/>
  <c r="AC603" i="5"/>
  <c r="AC550" i="5"/>
  <c r="AC737" i="5"/>
  <c r="AC469" i="5"/>
  <c r="AC140" i="5"/>
  <c r="AC596" i="5"/>
  <c r="I86" i="22"/>
  <c r="AC539" i="5"/>
  <c r="AC343" i="5"/>
  <c r="AC752" i="5"/>
  <c r="AC627" i="5"/>
  <c r="AC272" i="5"/>
  <c r="AC110" i="5"/>
  <c r="H346" i="27" s="1"/>
  <c r="AC733" i="5"/>
  <c r="AC85" i="5"/>
  <c r="AC754" i="5"/>
  <c r="AC176" i="5"/>
  <c r="AC679" i="5"/>
  <c r="AC597" i="5"/>
  <c r="AC306" i="5"/>
  <c r="AC201" i="5"/>
  <c r="AC646" i="5"/>
  <c r="AC164" i="5"/>
  <c r="AC134" i="5"/>
  <c r="AC76" i="5"/>
  <c r="AC406" i="5"/>
  <c r="AC347" i="5"/>
  <c r="AC479" i="5"/>
  <c r="AC304" i="5"/>
  <c r="AC270" i="5"/>
  <c r="AC363" i="5"/>
  <c r="AC54" i="5"/>
  <c r="AC114" i="5"/>
  <c r="AC231" i="5"/>
  <c r="H395" i="27" s="1"/>
  <c r="AC355" i="5"/>
  <c r="AC441" i="5"/>
  <c r="H392" i="27" s="1"/>
  <c r="AC86" i="5"/>
  <c r="AC333" i="5"/>
  <c r="AC532" i="5"/>
  <c r="AC33" i="5"/>
  <c r="AC559" i="5"/>
  <c r="AC120" i="5"/>
  <c r="AC200" i="5"/>
  <c r="AC154" i="5"/>
  <c r="AC60" i="5"/>
  <c r="AC698" i="5"/>
  <c r="AC605" i="5"/>
  <c r="AC485" i="5"/>
  <c r="AC500" i="5"/>
  <c r="AC247" i="5"/>
  <c r="AC32" i="5"/>
  <c r="AC578" i="5"/>
  <c r="AC8" i="5"/>
  <c r="AC15" i="5"/>
  <c r="AC514" i="5"/>
  <c r="AC370" i="5"/>
  <c r="H620" i="27" s="1"/>
  <c r="AC672" i="5"/>
  <c r="AC416" i="5"/>
  <c r="AC506" i="5"/>
  <c r="AC359" i="5"/>
  <c r="AC203" i="5"/>
  <c r="AC728" i="5"/>
  <c r="AC53" i="5"/>
  <c r="AC228" i="5"/>
  <c r="AC753" i="5"/>
  <c r="AC142" i="5"/>
  <c r="AC581" i="5"/>
  <c r="AC381" i="5"/>
  <c r="AC149" i="5"/>
  <c r="AC591" i="5"/>
  <c r="AC303" i="5"/>
  <c r="AC209" i="5"/>
  <c r="AC162" i="5"/>
  <c r="AC352" i="5"/>
  <c r="AC685" i="5"/>
  <c r="AC519" i="5"/>
  <c r="AC622" i="5"/>
  <c r="AC212" i="5"/>
  <c r="AC465" i="5"/>
  <c r="AC219" i="5"/>
  <c r="AC489" i="5"/>
  <c r="AC642" i="5"/>
  <c r="AC480" i="5"/>
  <c r="AC107" i="5"/>
  <c r="AC244" i="5"/>
  <c r="AC429" i="5"/>
  <c r="AC417" i="5"/>
  <c r="AC327" i="5"/>
  <c r="AC398" i="5"/>
  <c r="AC565" i="5"/>
  <c r="AC736" i="5"/>
  <c r="AC413" i="5"/>
  <c r="AC186" i="5"/>
  <c r="AC229" i="5"/>
  <c r="AC37" i="5"/>
  <c r="AC152" i="5"/>
  <c r="AC631" i="5"/>
  <c r="AC463" i="5"/>
  <c r="AC747" i="5"/>
  <c r="AC285" i="5"/>
  <c r="AC302" i="5"/>
  <c r="AC688" i="5"/>
  <c r="AC208" i="5"/>
  <c r="AC405" i="5"/>
  <c r="AC533" i="5"/>
  <c r="AC336" i="5"/>
  <c r="AC620" i="5"/>
  <c r="AC544" i="5"/>
  <c r="AC52" i="5"/>
  <c r="AC607" i="5"/>
  <c r="AC161" i="5"/>
  <c r="AC61" i="5"/>
  <c r="AC182" i="5"/>
  <c r="AC393" i="5"/>
  <c r="AC252" i="5"/>
  <c r="AC214" i="5"/>
  <c r="AC723" i="5"/>
  <c r="AC125" i="5"/>
  <c r="AC579" i="5"/>
  <c r="AC487" i="5"/>
  <c r="AC256" i="5"/>
  <c r="AC73" i="5"/>
  <c r="AC394" i="5"/>
  <c r="AC523" i="5"/>
  <c r="AC299" i="5"/>
  <c r="I157" i="17"/>
  <c r="AC5" i="5"/>
  <c r="AC7" i="5"/>
  <c r="AC670" i="5"/>
  <c r="AC513" i="5"/>
  <c r="AC714" i="5"/>
  <c r="AC515" i="5"/>
  <c r="AC395" i="5"/>
  <c r="AC122" i="5"/>
  <c r="AC104" i="5"/>
  <c r="AC10" i="5"/>
  <c r="AC83" i="5"/>
  <c r="AC3" i="5"/>
  <c r="AC623" i="5"/>
  <c r="AC215" i="5"/>
  <c r="AC408" i="5"/>
  <c r="AC629" i="5"/>
  <c r="AC520" i="5"/>
  <c r="AC119" i="5"/>
  <c r="AC180" i="5"/>
  <c r="AC729" i="5"/>
  <c r="AC96" i="5"/>
  <c r="AC477" i="5"/>
  <c r="AC95" i="5"/>
  <c r="AC296" i="5"/>
  <c r="AC65" i="5"/>
  <c r="AC141" i="5"/>
  <c r="AC277" i="5"/>
  <c r="AC374" i="5"/>
  <c r="AC557" i="5"/>
  <c r="AC116" i="5"/>
  <c r="AC456" i="5"/>
  <c r="AC328" i="5"/>
  <c r="AC437" i="5"/>
  <c r="AC451" i="5"/>
  <c r="AC481" i="5"/>
  <c r="AC322" i="5"/>
  <c r="AC577" i="5"/>
  <c r="AC648" i="5"/>
  <c r="AC473" i="5"/>
  <c r="AC613" i="5"/>
  <c r="AC524" i="5"/>
  <c r="AC56" i="5"/>
  <c r="H74" i="27" s="1"/>
  <c r="AC6" i="5"/>
  <c r="AC594" i="5"/>
  <c r="AC318" i="5"/>
  <c r="AC251" i="5"/>
  <c r="AC551" i="5"/>
  <c r="AC278" i="5"/>
  <c r="AC195" i="5"/>
  <c r="AC494" i="5"/>
  <c r="AC555" i="5"/>
  <c r="AC585" i="5"/>
  <c r="AC338" i="5"/>
  <c r="AC4" i="5"/>
  <c r="AC27" i="5"/>
  <c r="AC112" i="5"/>
  <c r="AC635" i="5"/>
  <c r="H410" i="27" s="1"/>
  <c r="AC19" i="5"/>
  <c r="AC312" i="5"/>
  <c r="AC569" i="5"/>
  <c r="AC535" i="5"/>
  <c r="AC225" i="5"/>
  <c r="AC449" i="5"/>
  <c r="AC421" i="5"/>
  <c r="AC576" i="5"/>
  <c r="AC21" i="5"/>
  <c r="AC589" i="5"/>
  <c r="AC202" i="5"/>
  <c r="AC126" i="5"/>
  <c r="AC521" i="5"/>
  <c r="AC16" i="5"/>
  <c r="AC188" i="5"/>
  <c r="AC189" i="5"/>
  <c r="H423" i="27" s="1"/>
  <c r="AC415" i="5"/>
  <c r="AC540" i="5"/>
  <c r="AC166" i="5"/>
  <c r="AC242" i="5"/>
  <c r="AC407" i="5"/>
  <c r="AC400" i="5"/>
  <c r="AC503" i="5"/>
  <c r="AC457" i="5"/>
  <c r="AC360" i="5"/>
  <c r="AC403" i="5"/>
  <c r="AC243" i="5"/>
  <c r="AC447" i="5"/>
  <c r="AC587" i="5"/>
  <c r="AC665" i="5"/>
  <c r="AC637" i="5"/>
  <c r="AC323" i="5"/>
  <c r="AC282" i="5"/>
  <c r="AC115" i="5"/>
  <c r="AC461" i="5"/>
  <c r="AC599" i="5"/>
  <c r="AC211" i="5"/>
  <c r="AC194" i="5"/>
  <c r="AC452" i="5"/>
  <c r="AC192" i="5"/>
  <c r="AC133" i="5"/>
  <c r="AC344" i="5"/>
  <c r="AC220" i="5"/>
  <c r="I58" i="23"/>
  <c r="I135" i="23"/>
  <c r="I35" i="23"/>
  <c r="I221" i="21"/>
  <c r="I144" i="17"/>
  <c r="I27" i="23"/>
  <c r="I126" i="17"/>
  <c r="AC237" i="5"/>
  <c r="I118" i="17"/>
  <c r="AC159" i="5"/>
  <c r="I45" i="17"/>
  <c r="AC339" i="5"/>
  <c r="I116" i="17"/>
  <c r="AC300" i="5"/>
  <c r="I86" i="17"/>
  <c r="AC436" i="5"/>
  <c r="I140" i="17"/>
  <c r="I152" i="17"/>
  <c r="I79" i="17"/>
  <c r="I176" i="17"/>
  <c r="I54" i="17"/>
  <c r="I136" i="17"/>
  <c r="AC131" i="5"/>
  <c r="AC157" i="5"/>
  <c r="AC507" i="5"/>
  <c r="AC77" i="5"/>
  <c r="I89" i="22"/>
  <c r="AC17" i="5"/>
  <c r="AC129" i="5"/>
  <c r="AC113" i="5"/>
  <c r="H67" i="27" s="1"/>
  <c r="I38" i="22"/>
  <c r="AC617" i="5"/>
  <c r="I186" i="21"/>
  <c r="AC160" i="5"/>
  <c r="I71" i="21"/>
  <c r="I92" i="21"/>
  <c r="I204" i="21"/>
  <c r="I25" i="21"/>
  <c r="I17" i="21"/>
  <c r="I162" i="21"/>
  <c r="I108" i="21"/>
  <c r="I189" i="21"/>
  <c r="I227" i="21"/>
  <c r="I78" i="21"/>
  <c r="I247" i="21"/>
  <c r="I231" i="23"/>
  <c r="I158" i="21"/>
  <c r="I160" i="21"/>
  <c r="I139" i="22"/>
  <c r="I63" i="17"/>
  <c r="I66" i="21"/>
  <c r="I158" i="17"/>
  <c r="I101" i="22"/>
  <c r="I93" i="23"/>
  <c r="I17" i="17"/>
  <c r="I223" i="23"/>
  <c r="I201" i="21"/>
  <c r="I68" i="21"/>
  <c r="I143" i="23"/>
  <c r="I9" i="23"/>
  <c r="I163" i="17"/>
  <c r="I239" i="23"/>
  <c r="I265" i="23"/>
  <c r="I117" i="23"/>
  <c r="I28" i="23"/>
  <c r="I177" i="23"/>
  <c r="I128" i="22"/>
  <c r="I227" i="23"/>
  <c r="I53" i="22"/>
  <c r="I244" i="21"/>
  <c r="I63" i="21"/>
  <c r="I197" i="23"/>
  <c r="I116" i="22"/>
  <c r="I78" i="22"/>
  <c r="I91" i="21"/>
  <c r="I232" i="21"/>
  <c r="I65" i="23"/>
  <c r="I224" i="23"/>
  <c r="I119" i="17"/>
  <c r="I219" i="21"/>
  <c r="I36" i="23"/>
  <c r="I73" i="21"/>
  <c r="I53" i="23"/>
  <c r="I107" i="23"/>
  <c r="I4" i="22"/>
  <c r="I5" i="23"/>
  <c r="I92" i="17"/>
  <c r="I195" i="23"/>
  <c r="I202" i="21"/>
  <c r="I45" i="21"/>
  <c r="I72" i="21"/>
  <c r="I90" i="21"/>
  <c r="I209" i="23"/>
  <c r="I136" i="23"/>
  <c r="I242" i="21"/>
  <c r="I24" i="17"/>
  <c r="I40" i="17"/>
  <c r="I252" i="21"/>
  <c r="I85" i="23"/>
  <c r="I96" i="22"/>
  <c r="I156" i="23"/>
  <c r="I181" i="23"/>
  <c r="I3" i="21"/>
  <c r="I234" i="23"/>
  <c r="I167" i="21"/>
  <c r="I132" i="22"/>
  <c r="I26" i="23"/>
  <c r="I12" i="23"/>
  <c r="I175" i="23"/>
  <c r="I169" i="17"/>
  <c r="I63" i="22"/>
  <c r="I115" i="17"/>
  <c r="I206" i="23"/>
  <c r="I205" i="23"/>
  <c r="I82" i="21"/>
  <c r="I21" i="17"/>
  <c r="I255" i="23"/>
  <c r="I211" i="21"/>
  <c r="I60" i="23"/>
  <c r="I127" i="21"/>
  <c r="I220" i="23"/>
  <c r="I186" i="23"/>
  <c r="I117" i="21"/>
  <c r="I228" i="21"/>
  <c r="I58" i="22"/>
  <c r="I46" i="22"/>
  <c r="I95" i="21"/>
  <c r="I91" i="17"/>
  <c r="I28" i="17"/>
  <c r="I88" i="23"/>
  <c r="I210" i="23"/>
  <c r="I39" i="23"/>
  <c r="I193" i="23"/>
  <c r="I71" i="23"/>
  <c r="I88" i="22"/>
  <c r="I34" i="21"/>
  <c r="I126" i="23"/>
  <c r="I70" i="17"/>
  <c r="I194" i="21"/>
  <c r="I73" i="17"/>
  <c r="I51" i="23"/>
  <c r="I100" i="23"/>
  <c r="I99" i="23"/>
  <c r="I53" i="21"/>
  <c r="I110" i="22"/>
  <c r="I139" i="23"/>
  <c r="I37" i="17"/>
  <c r="I102" i="17"/>
  <c r="I39" i="22"/>
  <c r="I262" i="23"/>
  <c r="I223" i="21"/>
  <c r="I85" i="21"/>
  <c r="I176" i="23"/>
  <c r="I103" i="22"/>
  <c r="I26" i="17"/>
  <c r="I71" i="17"/>
  <c r="I258" i="23"/>
  <c r="I3" i="17"/>
  <c r="I128" i="17"/>
  <c r="I12" i="21"/>
  <c r="I130" i="17"/>
  <c r="I161" i="17"/>
  <c r="I137" i="17"/>
  <c r="I89" i="23"/>
  <c r="I79" i="21"/>
  <c r="I111" i="17"/>
  <c r="I259" i="23"/>
  <c r="I170" i="21"/>
  <c r="I239" i="21"/>
  <c r="I130" i="21"/>
  <c r="I81" i="23"/>
  <c r="I206" i="21"/>
  <c r="I249" i="23"/>
  <c r="I75" i="23"/>
  <c r="I74" i="22"/>
  <c r="I64" i="23"/>
  <c r="I33" i="17"/>
  <c r="I144" i="23"/>
  <c r="I43" i="17"/>
  <c r="I129" i="17"/>
  <c r="I155" i="23"/>
  <c r="I21" i="23"/>
  <c r="I173" i="23"/>
  <c r="I75" i="22"/>
  <c r="I3" i="22"/>
  <c r="I102" i="22"/>
  <c r="I50" i="23"/>
  <c r="I112" i="21"/>
  <c r="I30" i="21"/>
  <c r="I22" i="17"/>
  <c r="I24" i="21"/>
  <c r="I80" i="21"/>
  <c r="I154" i="21"/>
  <c r="I60" i="17"/>
  <c r="I83" i="22"/>
  <c r="I103" i="23"/>
  <c r="I65" i="17"/>
  <c r="I82" i="23"/>
  <c r="I134" i="17"/>
  <c r="I20" i="21"/>
  <c r="I32" i="23"/>
  <c r="I126" i="21"/>
  <c r="I107" i="17"/>
  <c r="I105" i="21"/>
  <c r="I183" i="23"/>
  <c r="I94" i="17"/>
  <c r="I174" i="17"/>
  <c r="I48" i="22"/>
  <c r="I51" i="17"/>
  <c r="I113" i="21"/>
  <c r="I137" i="21"/>
  <c r="I99" i="21"/>
  <c r="I29" i="17"/>
  <c r="I96" i="23"/>
  <c r="I161" i="21"/>
  <c r="I35" i="21"/>
  <c r="I245" i="23"/>
  <c r="I5" i="17"/>
  <c r="I153" i="23"/>
  <c r="I248" i="21"/>
  <c r="I77" i="22"/>
  <c r="I18" i="22"/>
  <c r="I80" i="17"/>
  <c r="I177" i="21"/>
  <c r="I165" i="17"/>
  <c r="I205" i="21"/>
  <c r="I61" i="21"/>
  <c r="I245" i="21"/>
  <c r="I67" i="21"/>
  <c r="I7" i="21"/>
  <c r="I150" i="17"/>
  <c r="I43" i="22"/>
  <c r="I168" i="23"/>
  <c r="I132" i="23"/>
  <c r="I122" i="23"/>
  <c r="I6" i="22"/>
  <c r="I188" i="21"/>
  <c r="I104" i="21"/>
  <c r="I97" i="22"/>
  <c r="I36" i="22"/>
  <c r="I68" i="22"/>
  <c r="I149" i="21"/>
  <c r="I192" i="21"/>
  <c r="I117" i="22"/>
  <c r="I97" i="21"/>
  <c r="I229" i="21"/>
  <c r="I214" i="21"/>
  <c r="I185" i="21"/>
  <c r="I77" i="21"/>
  <c r="AC275" i="5"/>
  <c r="I114" i="23"/>
  <c r="AC401" i="5"/>
  <c r="I173" i="17"/>
  <c r="AC319" i="5"/>
  <c r="I25" i="17"/>
  <c r="AC330" i="5"/>
  <c r="I120" i="21"/>
  <c r="AC263" i="5"/>
  <c r="I58" i="17"/>
  <c r="AC482" i="5"/>
  <c r="I235" i="21"/>
  <c r="AC719" i="5"/>
  <c r="I62" i="23"/>
  <c r="AC373" i="5"/>
  <c r="I173" i="21"/>
  <c r="AC213" i="5"/>
  <c r="I208" i="23"/>
  <c r="AC750" i="5"/>
  <c r="I187" i="21"/>
  <c r="I52" i="17"/>
  <c r="I67" i="22"/>
  <c r="I102" i="21"/>
  <c r="I87" i="21"/>
  <c r="I11" i="23"/>
  <c r="I153" i="17"/>
  <c r="I122" i="17"/>
  <c r="I110" i="23"/>
  <c r="I59" i="21"/>
  <c r="I66" i="17"/>
  <c r="I89" i="21"/>
  <c r="I116" i="21"/>
  <c r="I140" i="21"/>
  <c r="I59" i="23"/>
  <c r="I10" i="21"/>
  <c r="I149" i="17"/>
  <c r="AC259" i="5"/>
  <c r="I91" i="22"/>
  <c r="AC570" i="5"/>
  <c r="I185" i="23"/>
  <c r="AC529" i="5"/>
  <c r="I51" i="21"/>
  <c r="AC50" i="5"/>
  <c r="I242" i="23"/>
  <c r="AC695" i="5"/>
  <c r="I57" i="23"/>
  <c r="AC273" i="5"/>
  <c r="I98" i="23"/>
  <c r="AC424" i="5"/>
  <c r="I180" i="23"/>
  <c r="AC560" i="5"/>
  <c r="I24" i="23"/>
  <c r="AC163" i="5"/>
  <c r="I215" i="23"/>
  <c r="AC534" i="5"/>
  <c r="I57" i="17"/>
  <c r="AC467" i="5"/>
  <c r="I27" i="21"/>
  <c r="AC542" i="5"/>
  <c r="I104" i="23"/>
  <c r="AC435" i="5"/>
  <c r="I56" i="17"/>
  <c r="AC108" i="5"/>
  <c r="I74" i="17"/>
  <c r="AC12" i="5"/>
  <c r="I123" i="17"/>
  <c r="AC265" i="5"/>
  <c r="I203" i="23"/>
  <c r="AC453" i="5"/>
  <c r="I66" i="23"/>
  <c r="AC466" i="5"/>
  <c r="I243" i="23"/>
  <c r="H610" i="27"/>
  <c r="I37" i="23"/>
  <c r="AC505" i="5"/>
  <c r="H439" i="27" s="1"/>
  <c r="I30" i="23"/>
  <c r="AC167" i="5"/>
  <c r="I59" i="17"/>
  <c r="AC99" i="5"/>
  <c r="I42" i="23"/>
  <c r="AC240" i="5"/>
  <c r="I228" i="23"/>
  <c r="AC611" i="5"/>
  <c r="I152" i="21"/>
  <c r="AC443" i="5"/>
  <c r="AC29" i="5"/>
  <c r="I38" i="17"/>
  <c r="AC598" i="5"/>
  <c r="I27" i="22"/>
  <c r="AC41" i="5"/>
  <c r="I157" i="23"/>
  <c r="AC332" i="5"/>
  <c r="I156" i="17"/>
  <c r="AC151" i="5"/>
  <c r="I168" i="21"/>
  <c r="AC491" i="5"/>
  <c r="I72" i="22"/>
  <c r="AC426" i="5"/>
  <c r="I241" i="21"/>
  <c r="AC82" i="5"/>
  <c r="I181" i="21"/>
  <c r="AC496" i="5"/>
  <c r="I113" i="23"/>
  <c r="AC749" i="5"/>
  <c r="I49" i="23"/>
  <c r="AC223" i="5"/>
  <c r="I2" i="23"/>
  <c r="AC35" i="5"/>
  <c r="I70" i="22"/>
  <c r="I109" i="17"/>
  <c r="AC432" i="5"/>
  <c r="I44" i="22"/>
  <c r="AC84" i="5"/>
  <c r="I120" i="23"/>
  <c r="AC433" i="5"/>
  <c r="I167" i="17"/>
  <c r="AC44" i="5"/>
  <c r="I145" i="23"/>
  <c r="AC553" i="5"/>
  <c r="I215" i="21"/>
  <c r="AC205" i="5"/>
  <c r="I83" i="23"/>
  <c r="AC313" i="5"/>
  <c r="I207" i="23"/>
  <c r="AC621" i="5"/>
  <c r="H426" i="27" s="1"/>
  <c r="I47" i="17"/>
  <c r="AC518" i="5"/>
  <c r="I135" i="22"/>
  <c r="AC87" i="5"/>
  <c r="H160" i="27" s="1"/>
  <c r="I147" i="23"/>
  <c r="AC366" i="5"/>
  <c r="I208" i="21"/>
  <c r="I69" i="17"/>
  <c r="AC640" i="5"/>
  <c r="I16" i="21"/>
  <c r="AC156" i="5"/>
  <c r="I124" i="23"/>
  <c r="AC458" i="5"/>
  <c r="I142" i="21"/>
  <c r="AC414" i="5"/>
  <c r="I29" i="21"/>
  <c r="AC362" i="5"/>
  <c r="I31" i="17"/>
  <c r="AC92" i="5"/>
  <c r="I43" i="21"/>
  <c r="AC410" i="5"/>
  <c r="I198" i="21"/>
  <c r="AC257" i="5"/>
  <c r="AC756" i="5"/>
  <c r="I11" i="21"/>
  <c r="AC135" i="5"/>
  <c r="I68" i="23"/>
  <c r="AC385" i="5"/>
  <c r="I244" i="23"/>
  <c r="AC704" i="5"/>
  <c r="I100" i="17"/>
  <c r="AC97" i="5"/>
  <c r="I83" i="21"/>
  <c r="AC184" i="5"/>
  <c r="I29" i="22"/>
  <c r="AC63" i="5"/>
  <c r="I183" i="21"/>
  <c r="AC91" i="5"/>
  <c r="I125" i="17"/>
  <c r="AC335" i="5"/>
  <c r="I233" i="23"/>
  <c r="AC696" i="5"/>
  <c r="I246" i="21"/>
  <c r="AC266" i="5"/>
  <c r="I44" i="21"/>
  <c r="AC434" i="5"/>
  <c r="I109" i="23"/>
  <c r="AC593" i="5"/>
  <c r="I196" i="23"/>
  <c r="AC628" i="5"/>
  <c r="I263" i="23"/>
  <c r="I7" i="23"/>
  <c r="AC68" i="5"/>
  <c r="I178" i="23"/>
  <c r="AC697" i="5"/>
  <c r="I84" i="23"/>
  <c r="AC448" i="5"/>
  <c r="I59" i="22"/>
  <c r="AC261" i="5"/>
  <c r="I15" i="23"/>
  <c r="AC127" i="5"/>
  <c r="I101" i="21"/>
  <c r="AC117" i="5"/>
  <c r="I250" i="21"/>
  <c r="AC67" i="5"/>
  <c r="I246" i="23"/>
  <c r="AC740" i="5"/>
  <c r="I8" i="21"/>
  <c r="AC745" i="5"/>
  <c r="I143" i="17"/>
  <c r="I61" i="22"/>
  <c r="AC392" i="5"/>
  <c r="I96" i="17"/>
  <c r="AC88" i="5"/>
  <c r="I240" i="23"/>
  <c r="I144" i="21"/>
  <c r="AC241" i="5"/>
  <c r="I26" i="21"/>
  <c r="AC20" i="5"/>
  <c r="I88" i="17"/>
  <c r="AC483" i="5"/>
  <c r="I132" i="17"/>
  <c r="I38" i="21"/>
  <c r="AC187" i="5"/>
  <c r="I171" i="21"/>
  <c r="AC512" i="5"/>
  <c r="I155" i="17"/>
  <c r="AC624" i="5"/>
  <c r="I155" i="21"/>
  <c r="I131" i="23"/>
  <c r="I174" i="23"/>
  <c r="I90" i="22"/>
  <c r="AC422" i="5"/>
  <c r="I76" i="17"/>
  <c r="AC742" i="5"/>
  <c r="I158" i="23"/>
  <c r="AC755" i="5"/>
  <c r="I74" i="23"/>
  <c r="AC573" i="5"/>
  <c r="I148" i="21"/>
  <c r="AC179" i="5"/>
  <c r="H479" i="27" s="1"/>
  <c r="I49" i="21"/>
  <c r="AC626" i="5"/>
  <c r="I201" i="23"/>
  <c r="I159" i="17"/>
  <c r="AC136" i="5"/>
  <c r="I187" i="23"/>
  <c r="AC564" i="5"/>
  <c r="I113" i="22"/>
  <c r="AC193" i="5"/>
  <c r="AC307" i="5"/>
  <c r="I42" i="21"/>
  <c r="I40" i="23"/>
  <c r="I55" i="22"/>
  <c r="I15" i="22"/>
  <c r="I135" i="17"/>
  <c r="I84" i="21"/>
  <c r="I76" i="23"/>
  <c r="I138" i="21"/>
  <c r="I122" i="21"/>
  <c r="I67" i="23"/>
  <c r="I224" i="21"/>
  <c r="I25" i="23"/>
  <c r="I17" i="22"/>
  <c r="AC218" i="5"/>
  <c r="I260" i="23"/>
  <c r="AC731" i="5"/>
  <c r="I66" i="22"/>
  <c r="AC428" i="5"/>
  <c r="I14" i="23"/>
  <c r="AC310" i="5"/>
  <c r="I217" i="23"/>
  <c r="AC684" i="5"/>
  <c r="I22" i="22"/>
  <c r="AC501" i="5"/>
  <c r="I46" i="21"/>
  <c r="AC321" i="5"/>
  <c r="H126" i="27" s="1"/>
  <c r="I30" i="17"/>
  <c r="I75" i="17"/>
  <c r="AC111" i="5"/>
  <c r="I133" i="23"/>
  <c r="AC608" i="5"/>
  <c r="I82" i="22"/>
  <c r="AC341" i="5"/>
  <c r="I250" i="23"/>
  <c r="I50" i="21"/>
  <c r="AC269" i="5"/>
  <c r="I24" i="22"/>
  <c r="AC345" i="5"/>
  <c r="I48" i="23"/>
  <c r="AC227" i="5"/>
  <c r="I8" i="17"/>
  <c r="AC28" i="5"/>
  <c r="I154" i="23"/>
  <c r="AC644" i="5"/>
  <c r="I105" i="17"/>
  <c r="AC286" i="5"/>
  <c r="I58" i="21"/>
  <c r="AC66" i="5"/>
  <c r="I148" i="17"/>
  <c r="I98" i="21"/>
  <c r="AC190" i="5"/>
  <c r="I108" i="22"/>
  <c r="AC181" i="5"/>
  <c r="I212" i="21"/>
  <c r="AC619" i="5"/>
  <c r="I121" i="23"/>
  <c r="AC439" i="5"/>
  <c r="I32" i="17"/>
  <c r="AC46" i="5"/>
  <c r="I114" i="22"/>
  <c r="AC409" i="5"/>
  <c r="I62" i="21"/>
  <c r="AC600" i="5"/>
  <c r="I182" i="21"/>
  <c r="AC682" i="5"/>
  <c r="I204" i="23"/>
  <c r="AC651" i="5"/>
  <c r="I123" i="21"/>
  <c r="AC475" i="5"/>
  <c r="I254" i="21"/>
  <c r="AC138" i="5"/>
  <c r="H424" i="27" s="1"/>
  <c r="I55" i="17"/>
  <c r="AC462" i="5"/>
  <c r="I165" i="21"/>
  <c r="AC478" i="5"/>
  <c r="I111" i="21"/>
  <c r="AC226" i="5"/>
  <c r="I216" i="21"/>
  <c r="AC101" i="5"/>
  <c r="I108" i="17"/>
  <c r="AC222" i="5"/>
  <c r="I146" i="21"/>
  <c r="AC470" i="5"/>
  <c r="I23" i="21"/>
  <c r="AC248" i="5"/>
  <c r="I137" i="23"/>
  <c r="AC509" i="5"/>
  <c r="I253" i="21"/>
  <c r="AC536" i="5"/>
  <c r="I65" i="21"/>
  <c r="AC294" i="5"/>
  <c r="I171" i="17"/>
  <c r="AC488" i="5"/>
  <c r="I110" i="17"/>
  <c r="AC148" i="5"/>
  <c r="I243" i="21"/>
  <c r="I47" i="21"/>
  <c r="AC139" i="5"/>
  <c r="I120" i="22"/>
  <c r="AC334" i="5"/>
  <c r="I212" i="23"/>
  <c r="I44" i="23"/>
  <c r="AC268" i="5"/>
  <c r="I121" i="21"/>
  <c r="AC183" i="5"/>
  <c r="I114" i="17"/>
  <c r="AC249" i="5"/>
  <c r="I53" i="17"/>
  <c r="AC290" i="5"/>
  <c r="I253" i="23"/>
  <c r="I146" i="23"/>
  <c r="AC601" i="5"/>
  <c r="I23" i="23"/>
  <c r="AC171" i="5"/>
  <c r="I76" i="21"/>
  <c r="AC691" i="5"/>
  <c r="I7" i="22"/>
  <c r="AC656" i="5"/>
  <c r="I34" i="23"/>
  <c r="AC132" i="5"/>
  <c r="I230" i="23"/>
  <c r="I160" i="23"/>
  <c r="AC612" i="5"/>
  <c r="I52" i="22"/>
  <c r="I106" i="22"/>
  <c r="AC145" i="5"/>
  <c r="I76" i="22"/>
  <c r="AC357" i="5"/>
  <c r="I95" i="23"/>
  <c r="AC387" i="5"/>
  <c r="I151" i="17"/>
  <c r="AC492" i="5"/>
  <c r="I120" i="17"/>
  <c r="AC287" i="5"/>
  <c r="I77" i="23"/>
  <c r="AC390" i="5"/>
  <c r="I230" i="21"/>
  <c r="AC59" i="5"/>
  <c r="I74" i="21"/>
  <c r="AC39" i="5"/>
  <c r="H3" i="27" s="1"/>
  <c r="I115" i="21"/>
  <c r="AC90" i="5"/>
  <c r="H42" i="27" s="1"/>
  <c r="I40" i="21"/>
  <c r="AC438" i="5"/>
  <c r="I133" i="21"/>
  <c r="AC702" i="5"/>
  <c r="AC722" i="5"/>
  <c r="AC724" i="5"/>
  <c r="I99" i="22"/>
  <c r="AC224" i="5"/>
  <c r="I34" i="17"/>
  <c r="AC18" i="5"/>
  <c r="I10" i="17"/>
  <c r="AC361" i="5"/>
  <c r="I54" i="21"/>
  <c r="AC153" i="5"/>
  <c r="I141" i="17"/>
  <c r="AC246" i="5"/>
  <c r="I95" i="17"/>
  <c r="AC123" i="5"/>
  <c r="I172" i="21"/>
  <c r="I182" i="23"/>
  <c r="AC610" i="5"/>
  <c r="I86" i="21"/>
  <c r="AC36" i="5"/>
  <c r="I109" i="22"/>
  <c r="AC683" i="5"/>
  <c r="I52" i="23"/>
  <c r="AC383" i="5"/>
  <c r="I6" i="17"/>
  <c r="AC197" i="5"/>
  <c r="I41" i="23"/>
  <c r="AC289" i="5"/>
  <c r="I54" i="22"/>
  <c r="I141" i="23"/>
  <c r="I81" i="17"/>
  <c r="AC13" i="5"/>
  <c r="I84" i="22"/>
  <c r="AC48" i="5"/>
  <c r="I140" i="23"/>
  <c r="I5" i="22"/>
  <c r="AC709" i="5"/>
  <c r="AC726" i="5"/>
  <c r="I184" i="21"/>
  <c r="AC693" i="5"/>
  <c r="I106" i="23"/>
  <c r="AC364" i="5"/>
  <c r="I130" i="22"/>
  <c r="AC102" i="5"/>
  <c r="I70" i="23"/>
  <c r="AC253" i="5"/>
  <c r="I180" i="21"/>
  <c r="AC730" i="5"/>
  <c r="I47" i="23"/>
  <c r="AC495" i="5"/>
  <c r="I97" i="23"/>
  <c r="AC525" i="5"/>
  <c r="I112" i="17"/>
  <c r="AC38" i="5"/>
  <c r="I200" i="21"/>
  <c r="AC739" i="5"/>
  <c r="I17" i="23"/>
  <c r="I23" i="22"/>
  <c r="I231" i="21"/>
  <c r="I2" i="22"/>
  <c r="AC144" i="5"/>
  <c r="I193" i="21"/>
  <c r="AC692" i="5"/>
  <c r="I82" i="17"/>
  <c r="AC404" i="5"/>
  <c r="I190" i="23"/>
  <c r="AC690" i="5"/>
  <c r="AC735" i="5"/>
  <c r="I112" i="23"/>
  <c r="I131" i="22"/>
  <c r="I3" i="23"/>
  <c r="I166" i="21"/>
  <c r="I22" i="21"/>
  <c r="I248" i="23"/>
  <c r="I129" i="21"/>
  <c r="I64" i="21"/>
  <c r="I104" i="22"/>
  <c r="I36" i="21"/>
  <c r="I100" i="22"/>
  <c r="I21" i="21"/>
  <c r="I217" i="21"/>
  <c r="I89" i="17"/>
  <c r="I226" i="23"/>
  <c r="I13" i="17"/>
  <c r="I28" i="21"/>
  <c r="I45" i="23"/>
  <c r="I141" i="21"/>
  <c r="I61" i="23"/>
  <c r="I54" i="23"/>
  <c r="I178" i="17"/>
  <c r="I16" i="23"/>
  <c r="I18" i="21"/>
  <c r="I118" i="21"/>
  <c r="I105" i="22"/>
  <c r="AC173" i="5"/>
  <c r="I43" i="23"/>
  <c r="AC137" i="5"/>
  <c r="I29" i="23"/>
  <c r="AC590" i="5"/>
  <c r="I4" i="21"/>
  <c r="AC351" i="5"/>
  <c r="I174" i="21"/>
  <c r="AC430" i="5"/>
  <c r="I168" i="17"/>
  <c r="AC412" i="5"/>
  <c r="I108" i="23"/>
  <c r="AC445" i="5"/>
  <c r="I73" i="23"/>
  <c r="AC490" i="5"/>
  <c r="I170" i="17"/>
  <c r="AC98" i="5"/>
  <c r="I7" i="17"/>
  <c r="AC26" i="5"/>
  <c r="I26" i="22"/>
  <c r="AC276" i="5"/>
  <c r="I169" i="21"/>
  <c r="AC552" i="5"/>
  <c r="I13" i="23"/>
  <c r="AC143" i="5"/>
  <c r="I196" i="21"/>
  <c r="AC386" i="5"/>
  <c r="I232" i="23"/>
  <c r="AC674" i="5"/>
  <c r="I129" i="23"/>
  <c r="AC349" i="5"/>
  <c r="I178" i="21"/>
  <c r="AC14" i="5"/>
  <c r="I12" i="22"/>
  <c r="AC146" i="5"/>
  <c r="I184" i="23"/>
  <c r="I247" i="23"/>
  <c r="AC743" i="5"/>
  <c r="I65" i="22"/>
  <c r="AC216" i="5"/>
  <c r="I37" i="21"/>
  <c r="AC476" i="5"/>
  <c r="AC326" i="5"/>
  <c r="I8" i="23"/>
  <c r="AC100" i="5"/>
  <c r="I261" i="23"/>
  <c r="AC563" i="5"/>
  <c r="I192" i="23"/>
  <c r="I73" i="22"/>
  <c r="AC423" i="5"/>
  <c r="I33" i="21"/>
  <c r="AC42" i="5"/>
  <c r="I124" i="21"/>
  <c r="AC705" i="5"/>
  <c r="I251" i="21"/>
  <c r="AC584" i="5"/>
  <c r="I112" i="22"/>
  <c r="AC75" i="5"/>
  <c r="I125" i="23"/>
  <c r="AC660" i="5"/>
  <c r="I6" i="21"/>
  <c r="AC40" i="5"/>
  <c r="I85" i="17"/>
  <c r="AC643" i="5"/>
  <c r="I39" i="17"/>
  <c r="AC632" i="5"/>
  <c r="I119" i="23"/>
  <c r="AC337" i="5"/>
  <c r="I172" i="23"/>
  <c r="AC499" i="5"/>
  <c r="I105" i="23"/>
  <c r="AC668" i="5"/>
  <c r="I254" i="23"/>
  <c r="I116" i="23"/>
  <c r="AC609" i="5"/>
  <c r="I98" i="17"/>
  <c r="AC543" i="5"/>
  <c r="I41" i="21"/>
  <c r="AC71" i="5"/>
  <c r="H151" i="27" s="1"/>
  <c r="I197" i="21"/>
  <c r="AC588" i="5"/>
  <c r="I132" i="21"/>
  <c r="AC238" i="5"/>
  <c r="I60" i="21"/>
  <c r="AC706" i="5"/>
  <c r="I63" i="23"/>
  <c r="AC292" i="5"/>
  <c r="I90" i="23"/>
  <c r="AC419" i="5"/>
  <c r="I190" i="21"/>
  <c r="AC379" i="5"/>
  <c r="I30" i="22"/>
  <c r="AC561" i="5"/>
  <c r="I236" i="23"/>
  <c r="AC676" i="5"/>
  <c r="I139" i="17"/>
  <c r="AC254" i="5"/>
  <c r="I94" i="21"/>
  <c r="AC78" i="5"/>
  <c r="I241" i="23"/>
  <c r="AC647" i="5"/>
  <c r="I226" i="21"/>
  <c r="AC308" i="5"/>
  <c r="I16" i="17"/>
  <c r="I69" i="21"/>
  <c r="AC221" i="5"/>
  <c r="I115" i="23"/>
  <c r="AC486" i="5"/>
  <c r="I249" i="21"/>
  <c r="AC25" i="5"/>
  <c r="I257" i="23"/>
  <c r="AC713" i="5"/>
  <c r="I191" i="23"/>
  <c r="AC583" i="5"/>
  <c r="I46" i="23"/>
  <c r="AC199" i="5"/>
  <c r="I203" i="21"/>
  <c r="AC232" i="5"/>
  <c r="H313" i="27" s="1"/>
  <c r="AC655" i="5"/>
  <c r="I9" i="17"/>
  <c r="I93" i="17"/>
  <c r="AC522" i="5"/>
  <c r="I78" i="17"/>
  <c r="AC388" i="5"/>
  <c r="I129" i="22"/>
  <c r="AC255" i="5"/>
  <c r="I134" i="23"/>
  <c r="AC316" i="5"/>
  <c r="I101" i="17"/>
  <c r="AC558" i="5"/>
  <c r="I35" i="22"/>
  <c r="AC710" i="5"/>
  <c r="I194" i="23"/>
  <c r="AC575" i="5"/>
  <c r="I31" i="21"/>
  <c r="AC554" i="5"/>
  <c r="I127" i="17"/>
  <c r="AC109" i="5"/>
  <c r="I125" i="21"/>
  <c r="AC301" i="5"/>
  <c r="I42" i="22"/>
  <c r="AC474" i="5"/>
  <c r="I214" i="23"/>
  <c r="AC703" i="5"/>
  <c r="I236" i="21"/>
  <c r="AC236" i="5"/>
  <c r="I102" i="23"/>
  <c r="AC369" i="5"/>
  <c r="I14" i="21"/>
  <c r="AC250" i="5"/>
  <c r="I4" i="17"/>
  <c r="AC516" i="5"/>
  <c r="I49" i="17"/>
  <c r="AC659" i="5"/>
  <c r="I256" i="23"/>
  <c r="AC721" i="5"/>
  <c r="I32" i="21"/>
  <c r="AC81" i="5"/>
  <c r="I23" i="17"/>
  <c r="AC172" i="5"/>
  <c r="I64" i="22"/>
  <c r="I200" i="23"/>
  <c r="I264" i="23"/>
  <c r="I6" i="23"/>
  <c r="I88" i="21"/>
  <c r="AC580" i="5"/>
  <c r="I18" i="17"/>
  <c r="AC378" i="5"/>
  <c r="I218" i="23"/>
  <c r="I130" i="23"/>
  <c r="I128" i="21"/>
  <c r="I119" i="21"/>
  <c r="I213" i="23"/>
  <c r="I36" i="17"/>
  <c r="I161" i="23"/>
  <c r="I27" i="17"/>
  <c r="I221" i="23"/>
  <c r="I149" i="23"/>
  <c r="I225" i="23"/>
  <c r="I233" i="21"/>
  <c r="I72" i="23"/>
  <c r="I67" i="17"/>
  <c r="I213" i="21"/>
  <c r="I42" i="17"/>
  <c r="I103" i="21"/>
  <c r="I10" i="23"/>
  <c r="I110" i="21"/>
  <c r="I75" i="21"/>
  <c r="I114" i="21"/>
  <c r="I90" i="17"/>
  <c r="I195" i="21"/>
  <c r="I55" i="21"/>
  <c r="I142" i="23"/>
  <c r="I159" i="21"/>
  <c r="I237" i="23"/>
  <c r="I111" i="23"/>
  <c r="I162" i="17"/>
  <c r="I22" i="23"/>
  <c r="AC169" i="5"/>
  <c r="I209" i="21"/>
  <c r="AC234" i="5"/>
  <c r="I240" i="21"/>
  <c r="AC418" i="5"/>
  <c r="I13" i="21"/>
  <c r="AC262" i="5"/>
  <c r="I107" i="22"/>
  <c r="AC350" i="5"/>
  <c r="H243" i="27" s="1"/>
  <c r="I19" i="17"/>
  <c r="AC715" i="5"/>
  <c r="I172" i="17"/>
  <c r="AC34" i="5"/>
  <c r="I69" i="22"/>
  <c r="AC198" i="5"/>
  <c r="I2" i="21"/>
  <c r="I251" i="23"/>
  <c r="I19" i="21"/>
  <c r="AC746" i="5"/>
  <c r="I52" i="21"/>
  <c r="AC210" i="5"/>
  <c r="I235" i="23"/>
  <c r="AC751" i="5"/>
  <c r="I12" i="17"/>
  <c r="AC324" i="5"/>
  <c r="I60" i="22"/>
  <c r="AC641" i="5"/>
  <c r="I20" i="17"/>
  <c r="AC297" i="5"/>
  <c r="I237" i="21"/>
  <c r="AC399" i="5"/>
  <c r="I68" i="17"/>
  <c r="AC51" i="5"/>
  <c r="I33" i="23"/>
  <c r="AC592" i="5"/>
  <c r="I81" i="22"/>
  <c r="AC295" i="5"/>
  <c r="I37" i="22"/>
  <c r="AC606" i="5"/>
  <c r="I5" i="21"/>
  <c r="AC694" i="5"/>
  <c r="I97" i="17"/>
  <c r="AC497" i="5"/>
  <c r="I134" i="21"/>
  <c r="AC604" i="5"/>
  <c r="I94" i="23"/>
  <c r="AC545" i="5"/>
  <c r="I118" i="23"/>
  <c r="AC342" i="5"/>
  <c r="I135" i="21"/>
  <c r="AC354" i="5"/>
  <c r="I72" i="17"/>
  <c r="AC30" i="5"/>
  <c r="I138" i="23"/>
  <c r="I176" i="21"/>
  <c r="AC455" i="5"/>
  <c r="I127" i="22"/>
  <c r="AC356" i="5"/>
  <c r="I50" i="22"/>
  <c r="AC70" i="5"/>
  <c r="AC699" i="5"/>
  <c r="I55" i="23"/>
  <c r="AC630" i="5"/>
  <c r="I128" i="23"/>
  <c r="AC420" i="5"/>
  <c r="I145" i="21"/>
  <c r="AC402" i="5"/>
  <c r="I198" i="23"/>
  <c r="AC571" i="5"/>
  <c r="I234" i="21"/>
  <c r="AC24" i="5"/>
  <c r="I175" i="21"/>
  <c r="AC331" i="5"/>
  <c r="I159" i="23"/>
  <c r="AC375" i="5"/>
  <c r="I142" i="17"/>
  <c r="AC206" i="5"/>
  <c r="I71" i="22"/>
  <c r="AC618" i="5"/>
  <c r="I164" i="17"/>
  <c r="AC348" i="5"/>
  <c r="I93" i="22"/>
  <c r="AC274" i="5"/>
  <c r="I131" i="17"/>
  <c r="AC498" i="5"/>
  <c r="I126" i="22"/>
  <c r="AC658" i="5"/>
  <c r="I80" i="23"/>
  <c r="AC537" i="5"/>
  <c r="I19" i="22"/>
  <c r="AC425" i="5"/>
  <c r="I87" i="17"/>
  <c r="AC625" i="5"/>
  <c r="I98" i="22"/>
  <c r="AC329" i="5"/>
  <c r="I70" i="21"/>
  <c r="AC365" i="5"/>
  <c r="I87" i="23"/>
  <c r="AC288" i="5"/>
  <c r="I131" i="21"/>
  <c r="AC64" i="5"/>
  <c r="I147" i="17"/>
  <c r="AC701" i="5"/>
  <c r="I41" i="17"/>
  <c r="AC638" i="5"/>
  <c r="I179" i="23"/>
  <c r="AC548" i="5"/>
  <c r="I56" i="21"/>
  <c r="AC271" i="5"/>
  <c r="I35" i="17"/>
  <c r="AC686" i="5"/>
  <c r="I160" i="17"/>
  <c r="AC150" i="5"/>
  <c r="I148" i="23"/>
  <c r="AC382" i="5"/>
  <c r="AC279" i="5"/>
  <c r="I179" i="17"/>
  <c r="AC595" i="5"/>
  <c r="I2" i="17"/>
  <c r="AC547" i="5"/>
  <c r="I156" i="21"/>
  <c r="AC258" i="5"/>
  <c r="I84" i="17"/>
  <c r="AC652" i="5"/>
  <c r="I218" i="21"/>
  <c r="AC315" i="5"/>
  <c r="I147" i="21"/>
  <c r="AC74" i="5"/>
  <c r="I179" i="21"/>
  <c r="AC708" i="5"/>
  <c r="I166" i="17"/>
  <c r="AC664" i="5"/>
  <c r="I164" i="21"/>
  <c r="AC468" i="5"/>
  <c r="I31" i="23"/>
  <c r="AC155" i="5"/>
  <c r="I211" i="23"/>
  <c r="AC556" i="5"/>
  <c r="H629" i="27" s="1"/>
  <c r="AC716" i="5"/>
  <c r="I100" i="21"/>
  <c r="AC346" i="5"/>
  <c r="H729" i="27" s="1"/>
  <c r="I151" i="21"/>
  <c r="AC69" i="5"/>
  <c r="I13" i="22"/>
  <c r="AC614" i="5"/>
  <c r="I69" i="23"/>
  <c r="AC444" i="5"/>
  <c r="H764" i="27" s="1"/>
  <c r="I81" i="21"/>
  <c r="AC185" i="5"/>
  <c r="I127" i="23"/>
  <c r="AC527" i="5"/>
  <c r="I216" i="23"/>
  <c r="I83" i="17"/>
  <c r="AC353" i="5"/>
  <c r="I222" i="23"/>
  <c r="AC649" i="5"/>
  <c r="I9" i="21"/>
  <c r="AC717" i="5"/>
  <c r="I15" i="17"/>
  <c r="AC57" i="5"/>
  <c r="I48" i="21"/>
  <c r="AC472" i="5"/>
  <c r="I101" i="23"/>
  <c r="AC567" i="5"/>
  <c r="H524" i="27" s="1"/>
  <c r="AC471" i="5"/>
  <c r="I146" i="17"/>
  <c r="AC267" i="5"/>
  <c r="I104" i="17"/>
  <c r="AC616" i="5"/>
  <c r="I219" i="23"/>
  <c r="AC712" i="5"/>
  <c r="I33" i="22"/>
  <c r="AC368" i="5"/>
  <c r="I238" i="23"/>
  <c r="I31" i="22"/>
  <c r="I252" i="23"/>
  <c r="AC748" i="5"/>
  <c r="I15" i="21"/>
  <c r="I238" i="21"/>
  <c r="AC700" i="5"/>
  <c r="I199" i="21"/>
  <c r="AC233" i="5"/>
  <c r="I207" i="21"/>
  <c r="AC562" i="5"/>
  <c r="I20" i="22"/>
  <c r="AC106" i="5"/>
  <c r="I121" i="17"/>
  <c r="AC663" i="5"/>
  <c r="I44" i="17"/>
  <c r="AC281" i="5"/>
  <c r="I92" i="23"/>
  <c r="AC325" i="5"/>
  <c r="I220" i="21"/>
  <c r="AC538" i="5"/>
  <c r="I139" i="21"/>
  <c r="AC397" i="5"/>
  <c r="I107" i="21"/>
  <c r="AC372" i="5"/>
  <c r="I222" i="21"/>
  <c r="AC89" i="5"/>
  <c r="I191" i="21"/>
  <c r="AC130" i="5"/>
  <c r="I34" i="22"/>
  <c r="AC517" i="5"/>
  <c r="I61" i="17"/>
  <c r="AC196" i="5"/>
  <c r="I210" i="21"/>
  <c r="I96" i="21"/>
  <c r="I125" i="22"/>
  <c r="I117" i="17"/>
  <c r="I16" i="22"/>
  <c r="I145" i="17"/>
  <c r="I9" i="22"/>
  <c r="P73" i="26"/>
  <c r="P71" i="26"/>
  <c r="P58" i="26"/>
  <c r="P50" i="26"/>
  <c r="F428" i="27" s="1" a="1"/>
  <c r="F428" i="27" s="1"/>
  <c r="G428" i="27" s="1"/>
  <c r="P4" i="26"/>
  <c r="P66" i="26"/>
  <c r="P74" i="26"/>
  <c r="P3" i="26"/>
  <c r="P57" i="26"/>
  <c r="P14" i="26"/>
  <c r="P65" i="26"/>
  <c r="F325" i="27" s="1" a="1"/>
  <c r="F325" i="27" s="1"/>
  <c r="G325" i="27" s="1"/>
  <c r="P48" i="26"/>
  <c r="P54" i="26"/>
  <c r="P2" i="26"/>
  <c r="P61" i="26"/>
  <c r="P56" i="26"/>
  <c r="P53" i="26"/>
  <c r="P20" i="26"/>
  <c r="F192" i="27" s="1" a="1"/>
  <c r="F192" i="27" s="1"/>
  <c r="G192" i="27" s="1"/>
  <c r="P59" i="26"/>
  <c r="P64" i="26"/>
  <c r="P62" i="26"/>
  <c r="P47" i="26"/>
  <c r="P52" i="26"/>
  <c r="P60" i="26"/>
  <c r="P55" i="26"/>
  <c r="F121" i="27" s="1" a="1"/>
  <c r="F121" i="27" s="1"/>
  <c r="G121" i="27" s="1"/>
  <c r="P51" i="26"/>
  <c r="F449" i="27" s="1" a="1"/>
  <c r="F449" i="27" s="1"/>
  <c r="G449" i="27" s="1"/>
  <c r="P63" i="26"/>
  <c r="P77" i="26"/>
  <c r="P8" i="26"/>
  <c r="P25" i="26"/>
  <c r="P42" i="26"/>
  <c r="P75" i="26"/>
  <c r="P13" i="26"/>
  <c r="P22" i="26"/>
  <c r="P72" i="26"/>
  <c r="P68" i="26"/>
  <c r="P16" i="26"/>
  <c r="P33" i="26"/>
  <c r="P21" i="26"/>
  <c r="P30" i="26"/>
  <c r="P32" i="26"/>
  <c r="P7" i="26"/>
  <c r="P24" i="26"/>
  <c r="P41" i="26"/>
  <c r="P11" i="26"/>
  <c r="P12" i="26"/>
  <c r="P29" i="26"/>
  <c r="P38" i="26"/>
  <c r="P70" i="26"/>
  <c r="P15" i="26"/>
  <c r="P40" i="26"/>
  <c r="P19" i="26"/>
  <c r="P28" i="26"/>
  <c r="P37" i="26"/>
  <c r="P46" i="26"/>
  <c r="F152" i="27" s="1" a="1"/>
  <c r="F152" i="27" s="1"/>
  <c r="G152" i="27" s="1"/>
  <c r="P49" i="26"/>
  <c r="P31" i="26"/>
  <c r="P10" i="26"/>
  <c r="P27" i="26"/>
  <c r="P36" i="26"/>
  <c r="P76" i="26"/>
  <c r="P78" i="26"/>
  <c r="P67" i="26"/>
  <c r="P39" i="26"/>
  <c r="F62" i="27" s="1" a="1"/>
  <c r="F62" i="27" s="1"/>
  <c r="G62" i="27" s="1"/>
  <c r="P18" i="26"/>
  <c r="P35" i="26"/>
  <c r="P44" i="26"/>
  <c r="P69" i="26"/>
  <c r="P9" i="26"/>
  <c r="P26" i="26"/>
  <c r="F302" i="27" s="1" a="1"/>
  <c r="F302" i="27" s="1"/>
  <c r="G302" i="27" s="1"/>
  <c r="P43" i="26"/>
  <c r="P6" i="26"/>
  <c r="P45" i="26"/>
  <c r="P23" i="26"/>
  <c r="P17" i="26"/>
  <c r="P34" i="26"/>
  <c r="F69" i="27" s="1" a="1"/>
  <c r="F69" i="27" s="1"/>
  <c r="G69" i="27" s="1"/>
  <c r="P5" i="26"/>
  <c r="F277" i="27" s="1" a="1"/>
  <c r="F277" i="27" s="1"/>
  <c r="G277" i="27" s="1"/>
  <c r="I121" i="22"/>
  <c r="I776" i="7"/>
  <c r="I773" i="7"/>
  <c r="I51" i="22"/>
  <c r="I774" i="7"/>
  <c r="I775" i="7"/>
  <c r="G273" i="21"/>
  <c r="H273" i="21"/>
  <c r="E273" i="21"/>
  <c r="F273" i="21"/>
  <c r="D273" i="21"/>
  <c r="D173" i="22"/>
  <c r="D195" i="17"/>
  <c r="G195" i="17"/>
  <c r="F195" i="17"/>
  <c r="E195" i="17"/>
  <c r="H180" i="22"/>
  <c r="D180" i="22"/>
  <c r="E180" i="22"/>
  <c r="G180" i="22"/>
  <c r="F180" i="22"/>
  <c r="D186" i="17"/>
  <c r="F266" i="21"/>
  <c r="G289" i="23"/>
  <c r="E289" i="23"/>
  <c r="D289" i="23"/>
  <c r="H289" i="23"/>
  <c r="F289" i="23"/>
  <c r="F282" i="23"/>
  <c r="H173" i="22"/>
  <c r="H467" i="27" l="1"/>
  <c r="H272" i="27"/>
  <c r="H530" i="27"/>
  <c r="H367" i="27"/>
  <c r="J268" i="23"/>
  <c r="H295" i="27"/>
  <c r="H456" i="27"/>
  <c r="H122" i="27"/>
  <c r="H403" i="27"/>
  <c r="H564" i="27"/>
  <c r="H668" i="27"/>
  <c r="H375" i="27"/>
  <c r="H733" i="27"/>
  <c r="H50" i="27"/>
  <c r="H738" i="27"/>
  <c r="H465" i="27"/>
  <c r="H284" i="27"/>
  <c r="H371" i="27"/>
  <c r="H833" i="27"/>
  <c r="H393" i="27"/>
  <c r="H94" i="27"/>
  <c r="H335" i="27"/>
  <c r="H208" i="27"/>
  <c r="H496" i="27"/>
  <c r="H710" i="27"/>
  <c r="H359" i="27"/>
  <c r="H655" i="27"/>
  <c r="H696" i="27"/>
  <c r="H484" i="27"/>
  <c r="H92" i="27"/>
  <c r="H132" i="27"/>
  <c r="H744" i="27"/>
  <c r="H603" i="27"/>
  <c r="H627" i="27"/>
  <c r="H338" i="27"/>
  <c r="H270" i="27"/>
  <c r="H838" i="27"/>
  <c r="H514" i="27"/>
  <c r="H823" i="27"/>
  <c r="H85" i="27"/>
  <c r="H500" i="27"/>
  <c r="H290" i="27"/>
  <c r="H114" i="27"/>
  <c r="H342" i="27"/>
  <c r="H354" i="27"/>
  <c r="H816" i="27"/>
  <c r="H402" i="27"/>
  <c r="H182" i="27"/>
  <c r="H119" i="27"/>
  <c r="H246" i="27"/>
  <c r="H715" i="27"/>
  <c r="H458" i="27"/>
  <c r="H750" i="27"/>
  <c r="H539" i="27"/>
  <c r="H73" i="27"/>
  <c r="H219" i="27"/>
  <c r="H834" i="27"/>
  <c r="H694" i="27"/>
  <c r="H562" i="27"/>
  <c r="H460" i="27"/>
  <c r="H191" i="27"/>
  <c r="H78" i="27"/>
  <c r="H168" i="27"/>
  <c r="H108" i="27"/>
  <c r="H440" i="27"/>
  <c r="H565" i="27"/>
  <c r="H656" i="27"/>
  <c r="H224" i="27"/>
  <c r="H522" i="27"/>
  <c r="H463" i="27"/>
  <c r="H660" i="27"/>
  <c r="H446" i="27"/>
  <c r="H784" i="27"/>
  <c r="H453" i="27"/>
  <c r="H360" i="27"/>
  <c r="H136" i="27"/>
  <c r="H345" i="27"/>
  <c r="H154" i="27"/>
  <c r="H218" i="27"/>
  <c r="H27" i="27"/>
  <c r="H713" i="27"/>
  <c r="H791" i="27"/>
  <c r="H690" i="27"/>
  <c r="H693" i="27"/>
  <c r="H826" i="27"/>
  <c r="H821" i="27"/>
  <c r="H18" i="27"/>
  <c r="H511" i="27"/>
  <c r="H510" i="27"/>
  <c r="H584" i="27"/>
  <c r="H75" i="27"/>
  <c r="H689" i="27"/>
  <c r="H8" i="27"/>
  <c r="H175" i="27"/>
  <c r="H521" i="27"/>
  <c r="H639" i="27"/>
  <c r="H363" i="27"/>
  <c r="H767" i="27"/>
  <c r="H632" i="27"/>
  <c r="H648" i="27"/>
  <c r="H730" i="27"/>
  <c r="H762" i="27"/>
  <c r="H781" i="27"/>
  <c r="H652" i="27"/>
  <c r="H594" i="27"/>
  <c r="H23" i="27"/>
  <c r="H777" i="27"/>
  <c r="H452" i="27"/>
  <c r="H732" i="27"/>
  <c r="H615" i="27"/>
  <c r="H475" i="27"/>
  <c r="H444" i="27"/>
  <c r="H745" i="27"/>
  <c r="H692" i="27"/>
  <c r="H163" i="27"/>
  <c r="H687" i="27"/>
  <c r="H761" i="27"/>
  <c r="H757" i="27"/>
  <c r="H708" i="27"/>
  <c r="H638" i="27"/>
  <c r="H145" i="27"/>
  <c r="H464" i="27"/>
  <c r="H455" i="27"/>
  <c r="H202" i="27"/>
  <c r="H6" i="27"/>
  <c r="H787" i="27"/>
  <c r="H344" i="27"/>
  <c r="H107" i="27"/>
  <c r="H515" i="27"/>
  <c r="H591" i="27"/>
  <c r="H758" i="27"/>
  <c r="H558" i="27"/>
  <c r="H80" i="27"/>
  <c r="H695" i="27"/>
  <c r="H570" i="27"/>
  <c r="H831" i="27"/>
  <c r="H184" i="27"/>
  <c r="H827" i="27"/>
  <c r="H86" i="27"/>
  <c r="H501" i="27"/>
  <c r="H768" i="27"/>
  <c r="H187" i="27"/>
  <c r="H836" i="27"/>
  <c r="H9" i="27"/>
  <c r="H667" i="27"/>
  <c r="H701" i="27"/>
  <c r="H319" i="27"/>
  <c r="H5" i="27"/>
  <c r="H474" i="27"/>
  <c r="H350" i="27"/>
  <c r="H666" i="27"/>
  <c r="H720" i="27"/>
  <c r="H288" i="27"/>
  <c r="H725" i="27"/>
  <c r="H485" i="27"/>
  <c r="H785" i="27"/>
  <c r="H636" i="27"/>
  <c r="H726" i="27"/>
  <c r="H706" i="27"/>
  <c r="H557" i="27"/>
  <c r="H798" i="27"/>
  <c r="H678" i="27"/>
  <c r="H355" i="27"/>
  <c r="H527" i="27"/>
  <c r="H578" i="27"/>
  <c r="H462" i="27"/>
  <c r="H397" i="27"/>
  <c r="H560" i="27"/>
  <c r="H819" i="27"/>
  <c r="H533" i="27"/>
  <c r="H597" i="27"/>
  <c r="H536" i="27"/>
  <c r="H541" i="27"/>
  <c r="H561" i="27"/>
  <c r="H551" i="27"/>
  <c r="H803" i="27"/>
  <c r="H303" i="27"/>
  <c r="H535" i="27"/>
  <c r="H382" i="27"/>
  <c r="H414" i="27"/>
  <c r="H454" i="27"/>
  <c r="H174" i="27"/>
  <c r="J232" i="28"/>
  <c r="H207" i="27"/>
  <c r="H674" i="27"/>
  <c r="J2" i="28"/>
  <c r="H618" i="27"/>
  <c r="J270" i="28"/>
  <c r="J141" i="28"/>
  <c r="J120" i="28"/>
  <c r="J385" i="28"/>
  <c r="J4" i="28"/>
  <c r="J24" i="28"/>
  <c r="J92" i="28"/>
  <c r="J364" i="28"/>
  <c r="J5" i="28"/>
  <c r="J126" i="28"/>
  <c r="J174" i="28"/>
  <c r="J10" i="28"/>
  <c r="J469" i="28"/>
  <c r="J195" i="28"/>
  <c r="J323" i="28"/>
  <c r="J249" i="28"/>
  <c r="J164" i="28"/>
  <c r="J128" i="28"/>
  <c r="J325" i="28"/>
  <c r="J108" i="28"/>
  <c r="J484" i="28"/>
  <c r="J76" i="28"/>
  <c r="J478" i="28"/>
  <c r="J380" i="28"/>
  <c r="J440" i="28"/>
  <c r="J229" i="28"/>
  <c r="J378" i="28"/>
  <c r="J14" i="28"/>
  <c r="J151" i="28"/>
  <c r="J257" i="28"/>
  <c r="J375" i="28"/>
  <c r="J384" i="28"/>
  <c r="J365" i="28"/>
  <c r="J228" i="28"/>
  <c r="J368" i="28"/>
  <c r="J293" i="28"/>
  <c r="J349" i="28"/>
  <c r="J259" i="28"/>
  <c r="J220" i="28"/>
  <c r="J74" i="28"/>
  <c r="J263" i="28"/>
  <c r="J148" i="28"/>
  <c r="J471" i="28"/>
  <c r="J467" i="28"/>
  <c r="J340" i="28"/>
  <c r="J238" i="28"/>
  <c r="J287" i="28"/>
  <c r="J57" i="28"/>
  <c r="J487" i="28"/>
  <c r="J345" i="28"/>
  <c r="J285" i="28"/>
  <c r="J48" i="28"/>
  <c r="J82" i="28"/>
  <c r="J443" i="28"/>
  <c r="J381" i="28"/>
  <c r="J191" i="28"/>
  <c r="J34" i="28"/>
  <c r="J275" i="28"/>
  <c r="J9" i="28"/>
  <c r="J366" i="28"/>
  <c r="J339" i="28"/>
  <c r="J173" i="28"/>
  <c r="J268" i="28"/>
  <c r="J163" i="28"/>
  <c r="J185" i="28"/>
  <c r="J206" i="28"/>
  <c r="J84" i="28"/>
  <c r="J393" i="28"/>
  <c r="J186" i="28"/>
  <c r="J142" i="28"/>
  <c r="J167" i="28"/>
  <c r="J357" i="28"/>
  <c r="J41" i="28"/>
  <c r="J423" i="28"/>
  <c r="J219" i="28"/>
  <c r="J27" i="28"/>
  <c r="J412" i="28"/>
  <c r="J80" i="28"/>
  <c r="J486" i="28"/>
  <c r="J297" i="28"/>
  <c r="J221" i="28"/>
  <c r="J196" i="28"/>
  <c r="J43" i="28"/>
  <c r="J139" i="28"/>
  <c r="J354" i="28"/>
  <c r="J246" i="28"/>
  <c r="J482" i="28"/>
  <c r="J279" i="28"/>
  <c r="J87" i="28"/>
  <c r="J17" i="28"/>
  <c r="J453" i="28"/>
  <c r="J29" i="28"/>
  <c r="J89" i="28"/>
  <c r="J78" i="28"/>
  <c r="J302" i="28"/>
  <c r="J75" i="28"/>
  <c r="J289" i="28"/>
  <c r="J138" i="28"/>
  <c r="J262" i="28"/>
  <c r="J201" i="28"/>
  <c r="J135" i="28"/>
  <c r="J165" i="28"/>
  <c r="J367" i="28"/>
  <c r="J205" i="28"/>
  <c r="J198" i="28"/>
  <c r="J304" i="28"/>
  <c r="J251" i="28"/>
  <c r="J12" i="28"/>
  <c r="J207" i="28"/>
  <c r="J480" i="28"/>
  <c r="J56" i="28"/>
  <c r="J227" i="28"/>
  <c r="J240" i="28"/>
  <c r="J154" i="28"/>
  <c r="J296" i="28"/>
  <c r="J114" i="28"/>
  <c r="J94" i="28"/>
  <c r="J272" i="28"/>
  <c r="J216" i="28"/>
  <c r="J280" i="28"/>
  <c r="J319" i="28"/>
  <c r="J46" i="28"/>
  <c r="J51" i="28"/>
  <c r="J188" i="28"/>
  <c r="J171" i="28"/>
  <c r="J50" i="28"/>
  <c r="J3" i="28"/>
  <c r="J179" i="28"/>
  <c r="J392" i="28"/>
  <c r="J322" i="28"/>
  <c r="J132" i="28"/>
  <c r="J60" i="28"/>
  <c r="J85" i="28"/>
  <c r="J177" i="28"/>
  <c r="J58" i="28"/>
  <c r="J476" i="28"/>
  <c r="J445" i="28"/>
  <c r="J7" i="28"/>
  <c r="J226" i="28"/>
  <c r="J284" i="28"/>
  <c r="J49" i="28"/>
  <c r="J309" i="28"/>
  <c r="J20" i="28"/>
  <c r="J183" i="28"/>
  <c r="J446" i="28"/>
  <c r="J407" i="28"/>
  <c r="J347" i="28"/>
  <c r="J462" i="28"/>
  <c r="J248" i="28"/>
  <c r="J170" i="28"/>
  <c r="J332" i="28"/>
  <c r="J283" i="28"/>
  <c r="J69" i="28"/>
  <c r="J11" i="28"/>
  <c r="J344" i="28"/>
  <c r="J419" i="28"/>
  <c r="J343" i="28"/>
  <c r="J55" i="28"/>
  <c r="J461" i="28"/>
  <c r="J454" i="28"/>
  <c r="J66" i="28"/>
  <c r="J143" i="28"/>
  <c r="J294" i="28"/>
  <c r="J433" i="28"/>
  <c r="J208" i="28"/>
  <c r="J53" i="28"/>
  <c r="J314" i="28"/>
  <c r="J455" i="28"/>
  <c r="J104" i="28"/>
  <c r="J109" i="28"/>
  <c r="J424" i="28"/>
  <c r="J90" i="28"/>
  <c r="J127" i="28"/>
  <c r="J15" i="28"/>
  <c r="J116" i="28"/>
  <c r="J62" i="28"/>
  <c r="J8" i="28"/>
  <c r="J426" i="28"/>
  <c r="J448" i="28"/>
  <c r="J353" i="28"/>
  <c r="J68" i="28"/>
  <c r="J47" i="28"/>
  <c r="J394" i="28"/>
  <c r="J193" i="28"/>
  <c r="J376" i="28"/>
  <c r="J112" i="28"/>
  <c r="J115" i="28"/>
  <c r="J286" i="28"/>
  <c r="J348" i="28"/>
  <c r="J444" i="28"/>
  <c r="J184" i="28"/>
  <c r="J282" i="28"/>
  <c r="J273" i="28"/>
  <c r="J258" i="28"/>
  <c r="J318" i="28"/>
  <c r="J81" i="28"/>
  <c r="J156" i="28"/>
  <c r="J360" i="28"/>
  <c r="J342" i="28"/>
  <c r="J200" i="28"/>
  <c r="J254" i="28"/>
  <c r="J13" i="28"/>
  <c r="J276" i="28"/>
  <c r="J458" i="28"/>
  <c r="J137" i="28"/>
  <c r="J199" i="28"/>
  <c r="J250" i="28"/>
  <c r="J197" i="28"/>
  <c r="J299" i="28"/>
  <c r="J18" i="28"/>
  <c r="J300" i="28"/>
  <c r="J131" i="28"/>
  <c r="J358" i="28"/>
  <c r="J83" i="28"/>
  <c r="J159" i="28"/>
  <c r="J166" i="28"/>
  <c r="J330" i="28"/>
  <c r="J158" i="28"/>
  <c r="J133" i="28"/>
  <c r="J420" i="28"/>
  <c r="J406" i="28"/>
  <c r="J397" i="28"/>
  <c r="J436" i="28"/>
  <c r="J103" i="28"/>
  <c r="J86" i="28"/>
  <c r="J95" i="28"/>
  <c r="J321" i="28"/>
  <c r="J271" i="28"/>
  <c r="J261" i="28"/>
  <c r="J370" i="28"/>
  <c r="J346" i="28"/>
  <c r="J477" i="28"/>
  <c r="J30" i="28"/>
  <c r="J239" i="28"/>
  <c r="J341" i="28"/>
  <c r="J36" i="28"/>
  <c r="J442" i="28"/>
  <c r="J324" i="28"/>
  <c r="J447" i="28"/>
  <c r="J79" i="28"/>
  <c r="J100" i="28"/>
  <c r="J244" i="28"/>
  <c r="J313" i="28"/>
  <c r="J19" i="28"/>
  <c r="J136" i="28"/>
  <c r="J26" i="28"/>
  <c r="J39" i="28"/>
  <c r="J175" i="28"/>
  <c r="J37" i="28"/>
  <c r="J479" i="28"/>
  <c r="J45" i="28"/>
  <c r="J16" i="28"/>
  <c r="J351" i="28"/>
  <c r="J328" i="28"/>
  <c r="J307" i="28"/>
  <c r="J113" i="28"/>
  <c r="J305" i="28"/>
  <c r="J147" i="28"/>
  <c r="J211" i="28"/>
  <c r="J23" i="28"/>
  <c r="J465" i="28"/>
  <c r="J466" i="28"/>
  <c r="J145" i="28"/>
  <c r="J93" i="28"/>
  <c r="J483" i="28"/>
  <c r="J267" i="28"/>
  <c r="J106" i="28"/>
  <c r="J422" i="28"/>
  <c r="J118" i="28"/>
  <c r="J266" i="28"/>
  <c r="J176" i="28"/>
  <c r="J303" i="28"/>
  <c r="J99" i="28"/>
  <c r="J441" i="28"/>
  <c r="J387" i="28"/>
  <c r="J233" i="28"/>
  <c r="J327" i="28"/>
  <c r="J361" i="28"/>
  <c r="J315" i="28"/>
  <c r="J277" i="28"/>
  <c r="J65" i="28"/>
  <c r="J338" i="28"/>
  <c r="J162" i="28"/>
  <c r="J122" i="28"/>
  <c r="J160" i="28"/>
  <c r="J203" i="28"/>
  <c r="J457" i="28"/>
  <c r="J383" i="28"/>
  <c r="J178" i="28"/>
  <c r="J168" i="28"/>
  <c r="J192" i="28"/>
  <c r="J61" i="28"/>
  <c r="J456" i="28"/>
  <c r="J274" i="28"/>
  <c r="J230" i="28"/>
  <c r="J391" i="28"/>
  <c r="J372" i="28"/>
  <c r="J189" i="28"/>
  <c r="J390" i="28"/>
  <c r="J242" i="28"/>
  <c r="J88" i="28"/>
  <c r="J329" i="28"/>
  <c r="J21" i="28"/>
  <c r="J243" i="28"/>
  <c r="J389" i="28"/>
  <c r="J169" i="28"/>
  <c r="J110" i="28"/>
  <c r="J25" i="28"/>
  <c r="J326" i="28"/>
  <c r="J181" i="28"/>
  <c r="J352" i="28"/>
  <c r="J140" i="28"/>
  <c r="J64" i="28"/>
  <c r="J187" i="28"/>
  <c r="J473" i="28"/>
  <c r="J310" i="28"/>
  <c r="J435" i="28"/>
  <c r="J417" i="28"/>
  <c r="J130" i="28"/>
  <c r="J180" i="28"/>
  <c r="J33" i="28"/>
  <c r="J336" i="28"/>
  <c r="J295" i="28"/>
  <c r="J194" i="28"/>
  <c r="J269" i="28"/>
  <c r="J430" i="28"/>
  <c r="J256" i="28"/>
  <c r="J72" i="28"/>
  <c r="J281" i="28"/>
  <c r="J91" i="28"/>
  <c r="J63" i="28"/>
  <c r="J398" i="28"/>
  <c r="J96" i="28"/>
  <c r="J414" i="28"/>
  <c r="J464" i="28"/>
  <c r="J231" i="28"/>
  <c r="J40" i="28"/>
  <c r="J212" i="28"/>
  <c r="J237" i="28"/>
  <c r="J152" i="28"/>
  <c r="J223" i="28"/>
  <c r="J292" i="28"/>
  <c r="J356" i="28"/>
  <c r="J335" i="28"/>
  <c r="J253" i="28"/>
  <c r="J291" i="28"/>
  <c r="J73" i="28"/>
  <c r="J107" i="28"/>
  <c r="J415" i="28"/>
  <c r="J182" i="28"/>
  <c r="J395" i="28"/>
  <c r="J449" i="28"/>
  <c r="J290" i="28"/>
  <c r="J468" i="28"/>
  <c r="J409" i="28"/>
  <c r="J432" i="28"/>
  <c r="J460" i="28"/>
  <c r="J451" i="28"/>
  <c r="J59" i="28"/>
  <c r="J241" i="28"/>
  <c r="J247" i="28"/>
  <c r="J260" i="28"/>
  <c r="J438" i="28"/>
  <c r="J288" i="28"/>
  <c r="J149" i="28"/>
  <c r="J214" i="28"/>
  <c r="J224" i="28"/>
  <c r="J308" i="28"/>
  <c r="J70" i="28"/>
  <c r="J429" i="28"/>
  <c r="J404" i="28"/>
  <c r="J311" i="28"/>
  <c r="J101" i="28"/>
  <c r="J488" i="28"/>
  <c r="J379" i="28"/>
  <c r="J225" i="28"/>
  <c r="J210" i="28"/>
  <c r="J452" i="28"/>
  <c r="J434" i="28"/>
  <c r="J331" i="28"/>
  <c r="J125" i="28"/>
  <c r="J54" i="28"/>
  <c r="J157" i="28"/>
  <c r="J71" i="28"/>
  <c r="J401" i="28"/>
  <c r="J146" i="28"/>
  <c r="J67" i="28"/>
  <c r="J363" i="28"/>
  <c r="J235" i="28"/>
  <c r="J6" i="28"/>
  <c r="J416" i="28"/>
  <c r="J317" i="28"/>
  <c r="J22" i="28"/>
  <c r="J102" i="28"/>
  <c r="J489" i="28"/>
  <c r="J427" i="28"/>
  <c r="J44" i="28"/>
  <c r="J373" i="28"/>
  <c r="J153" i="28"/>
  <c r="J264" i="28"/>
  <c r="J123" i="28"/>
  <c r="J265" i="28"/>
  <c r="J218" i="28"/>
  <c r="J117" i="28"/>
  <c r="J111" i="28"/>
  <c r="J155" i="28"/>
  <c r="J190" i="28"/>
  <c r="J129" i="28"/>
  <c r="J217" i="28"/>
  <c r="J215" i="28"/>
  <c r="J121" i="28"/>
  <c r="J421" i="28"/>
  <c r="J97" i="28"/>
  <c r="J475" i="28"/>
  <c r="J312" i="28"/>
  <c r="J124" i="28"/>
  <c r="J306" i="28"/>
  <c r="J388" i="28"/>
  <c r="J134" i="28"/>
  <c r="J42" i="28"/>
  <c r="J161" i="28"/>
  <c r="J450" i="28"/>
  <c r="J255" i="28"/>
  <c r="J245" i="28"/>
  <c r="J405" i="28"/>
  <c r="J301" i="28"/>
  <c r="J413" i="28"/>
  <c r="J31" i="28"/>
  <c r="J369" i="28"/>
  <c r="J234" i="28"/>
  <c r="J333" i="28"/>
  <c r="J28" i="28"/>
  <c r="J222" i="28"/>
  <c r="J52" i="28"/>
  <c r="J470" i="28"/>
  <c r="J374" i="28"/>
  <c r="J437" i="28"/>
  <c r="J213" i="28"/>
  <c r="J485" i="28"/>
  <c r="J278" i="28"/>
  <c r="J316" i="28"/>
  <c r="J119" i="28"/>
  <c r="J382" i="28"/>
  <c r="J355" i="28"/>
  <c r="J209" i="28"/>
  <c r="J150" i="28"/>
  <c r="J32" i="28"/>
  <c r="J400" i="28"/>
  <c r="J252" i="28"/>
  <c r="J472" i="28"/>
  <c r="J377" i="28"/>
  <c r="J77" i="28"/>
  <c r="J320" i="28"/>
  <c r="J38" i="28"/>
  <c r="J350" i="28"/>
  <c r="J298" i="28"/>
  <c r="J172" i="28"/>
  <c r="J481" i="28"/>
  <c r="J236" i="28"/>
  <c r="J98" i="28"/>
  <c r="J396" i="28"/>
  <c r="J337" i="28"/>
  <c r="J35" i="28"/>
  <c r="J418" i="28"/>
  <c r="J402" i="28"/>
  <c r="J144" i="28"/>
  <c r="J463" i="28"/>
  <c r="J202" i="28"/>
  <c r="J362" i="28"/>
  <c r="J459" i="28"/>
  <c r="J411" i="28"/>
  <c r="J403" i="28"/>
  <c r="J105" i="28"/>
  <c r="J439" i="28"/>
  <c r="J431" i="28"/>
  <c r="J359" i="28"/>
  <c r="J474" i="28"/>
  <c r="J371" i="28"/>
  <c r="J425" i="28"/>
  <c r="J204" i="28"/>
  <c r="J428" i="28"/>
  <c r="J334" i="28"/>
  <c r="J386" i="28"/>
  <c r="J399" i="28"/>
  <c r="J408" i="28"/>
  <c r="J410" i="28"/>
  <c r="H134" i="27"/>
  <c r="H249" i="27"/>
  <c r="H608" i="27"/>
  <c r="H398" i="27"/>
  <c r="H526" i="27"/>
  <c r="H144" i="27"/>
  <c r="H299" i="27"/>
  <c r="H216" i="27"/>
  <c r="H772" i="27"/>
  <c r="H499" i="27"/>
  <c r="H773" i="27"/>
  <c r="H227" i="27"/>
  <c r="H606" i="27"/>
  <c r="H385" i="27"/>
  <c r="H490" i="27"/>
  <c r="H672" i="27"/>
  <c r="H53" i="27"/>
  <c r="H137" i="27"/>
  <c r="H553" i="27"/>
  <c r="J146" i="22"/>
  <c r="J148" i="22"/>
  <c r="J147" i="22"/>
  <c r="J158" i="22"/>
  <c r="J159" i="22"/>
  <c r="J124" i="22"/>
  <c r="J144" i="22"/>
  <c r="J161" i="22"/>
  <c r="J160" i="22"/>
  <c r="J80" i="22"/>
  <c r="F384" i="27" s="1" a="1"/>
  <c r="F384" i="27" s="1"/>
  <c r="G384" i="27" s="1"/>
  <c r="J151" i="22"/>
  <c r="J92" i="22"/>
  <c r="J136" i="22"/>
  <c r="J155" i="22"/>
  <c r="J140" i="22"/>
  <c r="J133" i="22"/>
  <c r="J145" i="22"/>
  <c r="F764" i="27" s="1" a="1"/>
  <c r="F764" i="27" s="1"/>
  <c r="G764" i="27" s="1"/>
  <c r="J143" i="22"/>
  <c r="J153" i="22"/>
  <c r="H480" i="27"/>
  <c r="H323" i="27"/>
  <c r="J162" i="22"/>
  <c r="J157" i="22"/>
  <c r="J123" i="22"/>
  <c r="J152" i="22"/>
  <c r="J142" i="22"/>
  <c r="J141" i="22"/>
  <c r="J163" i="22"/>
  <c r="J156" i="22"/>
  <c r="J149" i="22"/>
  <c r="J154" i="22"/>
  <c r="J164" i="22"/>
  <c r="J150" i="22"/>
  <c r="J138" i="22"/>
  <c r="J137" i="22"/>
  <c r="H400" i="27"/>
  <c r="H406" i="27"/>
  <c r="H644" i="27"/>
  <c r="H421" i="27"/>
  <c r="H614" i="27"/>
  <c r="H546" i="27"/>
  <c r="H172" i="27"/>
  <c r="H709" i="27"/>
  <c r="H304" i="27"/>
  <c r="H139" i="27"/>
  <c r="H64" i="27"/>
  <c r="H193" i="27"/>
  <c r="H2" i="27"/>
  <c r="H147" i="27"/>
  <c r="H405" i="27"/>
  <c r="H51" i="27"/>
  <c r="H661" i="27"/>
  <c r="H567" i="27"/>
  <c r="H240" i="27"/>
  <c r="H197" i="27"/>
  <c r="H242" i="27"/>
  <c r="H394" i="27"/>
  <c r="H641" i="27"/>
  <c r="H156" i="27"/>
  <c r="H233" i="27"/>
  <c r="H66" i="27"/>
  <c r="H206" i="27"/>
  <c r="H253" i="27"/>
  <c r="H196" i="27"/>
  <c r="H258" i="27"/>
  <c r="H334" i="27"/>
  <c r="H516" i="27"/>
  <c r="H550" i="27"/>
  <c r="H683" i="27"/>
  <c r="H503" i="27"/>
  <c r="H673" i="27"/>
  <c r="H559" i="27"/>
  <c r="H381" i="27"/>
  <c r="H482" i="27"/>
  <c r="H698" i="27"/>
  <c r="H167" i="27"/>
  <c r="H21" i="27"/>
  <c r="H573" i="27"/>
  <c r="H747" i="27"/>
  <c r="H675" i="27"/>
  <c r="H812" i="27"/>
  <c r="H96" i="27"/>
  <c r="H504" i="27"/>
  <c r="H353" i="27"/>
  <c r="J177" i="17"/>
  <c r="H492" i="27"/>
  <c r="H297" i="27"/>
  <c r="H799" i="27"/>
  <c r="H384" i="27"/>
  <c r="H45" i="27"/>
  <c r="H235" i="27"/>
  <c r="H358" i="27"/>
  <c r="H276" i="27"/>
  <c r="H97" i="27"/>
  <c r="H124" i="27"/>
  <c r="H250" i="27"/>
  <c r="H291" i="27"/>
  <c r="J180" i="17"/>
  <c r="J46" i="17"/>
  <c r="J50" i="17"/>
  <c r="H20" i="27"/>
  <c r="H576" i="27"/>
  <c r="H429" i="27"/>
  <c r="H24" i="27"/>
  <c r="H115" i="27"/>
  <c r="H293" i="27"/>
  <c r="H807" i="27"/>
  <c r="H679" i="27"/>
  <c r="H770" i="27"/>
  <c r="H357" i="27"/>
  <c r="H113" i="27"/>
  <c r="H525" i="27"/>
  <c r="H222" i="27"/>
  <c r="H176" i="27"/>
  <c r="H722" i="27"/>
  <c r="H724" i="27"/>
  <c r="H373" i="27"/>
  <c r="H586" i="27"/>
  <c r="H517" i="27"/>
  <c r="H755" i="27"/>
  <c r="H782" i="27"/>
  <c r="H41" i="27"/>
  <c r="H825" i="27"/>
  <c r="H205" i="27"/>
  <c r="H164" i="27"/>
  <c r="H255" i="27"/>
  <c r="H4" i="27"/>
  <c r="H577" i="27"/>
  <c r="H718" i="27"/>
  <c r="H169" i="27"/>
  <c r="H308" i="27"/>
  <c r="H415" i="27"/>
  <c r="H601" i="27"/>
  <c r="H609" i="27"/>
  <c r="H814" i="27"/>
  <c r="H327" i="27"/>
  <c r="H188" i="27"/>
  <c r="H10" i="27"/>
  <c r="H711" i="27"/>
  <c r="H84" i="27"/>
  <c r="H538" i="27"/>
  <c r="H624" i="27"/>
  <c r="H177" i="27"/>
  <c r="H314" i="27"/>
  <c r="H138" i="27"/>
  <c r="H236" i="27"/>
  <c r="H105" i="27"/>
  <c r="H194" i="27"/>
  <c r="H483" i="27"/>
  <c r="H49" i="27"/>
  <c r="H380" i="27"/>
  <c r="H612" i="27"/>
  <c r="H43" i="27"/>
  <c r="H431" i="27"/>
  <c r="H231" i="27"/>
  <c r="H125" i="27"/>
  <c r="H469" i="27"/>
  <c r="H223" i="27"/>
  <c r="H76" i="27"/>
  <c r="H141" i="27"/>
  <c r="H704" i="27"/>
  <c r="H600" i="27"/>
  <c r="H491" i="27"/>
  <c r="H300" i="27"/>
  <c r="H69" i="27"/>
  <c r="H330" i="27"/>
  <c r="H645" i="27"/>
  <c r="H120" i="27"/>
  <c r="H100" i="27"/>
  <c r="H604" i="27"/>
  <c r="H736" i="27"/>
  <c r="H211" i="27"/>
  <c r="H307" i="27"/>
  <c r="H269" i="27"/>
  <c r="H700" i="27"/>
  <c r="H664" i="27"/>
  <c r="H328" i="27"/>
  <c r="H676" i="27"/>
  <c r="H186" i="27"/>
  <c r="H366" i="27"/>
  <c r="H387" i="27"/>
  <c r="H34" i="27"/>
  <c r="H239" i="27"/>
  <c r="H432" i="27"/>
  <c r="H285" i="27"/>
  <c r="H616" i="27"/>
  <c r="H369" i="27"/>
  <c r="H602" i="27"/>
  <c r="H305" i="27"/>
  <c r="H248" i="27"/>
  <c r="H61" i="27"/>
  <c r="H759" i="27"/>
  <c r="H56" i="27"/>
  <c r="H142" i="27"/>
  <c r="H619" i="27"/>
  <c r="H420" i="27"/>
  <c r="H837" i="27"/>
  <c r="H143" i="27"/>
  <c r="H301" i="27"/>
  <c r="H104" i="27"/>
  <c r="H157" i="27"/>
  <c r="H230" i="27"/>
  <c r="H306" i="27"/>
  <c r="H389" i="27"/>
  <c r="H654" i="27"/>
  <c r="H238" i="27"/>
  <c r="H93" i="27"/>
  <c r="H712" i="27"/>
  <c r="H281" i="27"/>
  <c r="H470" i="27"/>
  <c r="H318" i="27"/>
  <c r="H418" i="27"/>
  <c r="H495" i="27"/>
  <c r="H634" i="27"/>
  <c r="H251" i="27"/>
  <c r="H340" i="27"/>
  <c r="H494" i="27"/>
  <c r="H677" i="27"/>
  <c r="H356" i="27"/>
  <c r="H203" i="27"/>
  <c r="H741" i="27"/>
  <c r="H278" i="27"/>
  <c r="H697" i="27"/>
  <c r="H111" i="27"/>
  <c r="H280" i="27"/>
  <c r="H217" i="27"/>
  <c r="H153" i="27"/>
  <c r="H82" i="27"/>
  <c r="H102" i="27"/>
  <c r="H630" i="27"/>
  <c r="H22" i="27"/>
  <c r="H294" i="27"/>
  <c r="H547" i="27"/>
  <c r="H542" i="27"/>
  <c r="H438" i="27"/>
  <c r="H682" i="27"/>
  <c r="H822" i="27"/>
  <c r="H642" i="27"/>
  <c r="H46" i="27"/>
  <c r="H7" i="27"/>
  <c r="H451" i="27"/>
  <c r="H131" i="27"/>
  <c r="H189" i="27"/>
  <c r="H487" i="27"/>
  <c r="H548" i="27"/>
  <c r="H742" i="27"/>
  <c r="H756" i="27"/>
  <c r="H229" i="27"/>
  <c r="H686" i="27"/>
  <c r="H201" i="27"/>
  <c r="H62" i="27"/>
  <c r="H35" i="27"/>
  <c r="H181" i="27"/>
  <c r="H79" i="27"/>
  <c r="H531" i="27"/>
  <c r="H279" i="27"/>
  <c r="H430" i="27"/>
  <c r="H486" i="27"/>
  <c r="H769" i="27"/>
  <c r="H171" i="27"/>
  <c r="H810" i="27"/>
  <c r="H804" i="27"/>
  <c r="H44" i="27"/>
  <c r="H117" i="27"/>
  <c r="H425" i="27"/>
  <c r="H808" i="27"/>
  <c r="H617" i="27"/>
  <c r="H653" i="27"/>
  <c r="H703" i="27"/>
  <c r="H225" i="27"/>
  <c r="H493" i="27"/>
  <c r="H200" i="27"/>
  <c r="H581" i="27"/>
  <c r="H63" i="27"/>
  <c r="H477" i="27"/>
  <c r="H289" i="27"/>
  <c r="H537" i="27"/>
  <c r="H343" i="27"/>
  <c r="H348" i="27"/>
  <c r="H699" i="27"/>
  <c r="H716" i="27"/>
  <c r="H68" i="27"/>
  <c r="H87" i="27"/>
  <c r="H621" i="27"/>
  <c r="H734" i="27"/>
  <c r="H802" i="27"/>
  <c r="H388" i="27"/>
  <c r="H321" i="27"/>
  <c r="H805" i="27"/>
  <c r="H529" i="27"/>
  <c r="H753" i="27"/>
  <c r="H663" i="27"/>
  <c r="H150" i="27"/>
  <c r="H148" i="27"/>
  <c r="H476" i="27"/>
  <c r="H213" i="27"/>
  <c r="H121" i="27"/>
  <c r="H588" i="27"/>
  <c r="H59" i="27"/>
  <c r="H204" i="27"/>
  <c r="H824" i="27"/>
  <c r="H643" i="27"/>
  <c r="H245" i="27"/>
  <c r="H461" i="27"/>
  <c r="H317" i="27"/>
  <c r="H443" i="27"/>
  <c r="H723" i="27"/>
  <c r="H401" i="27"/>
  <c r="H685" i="27"/>
  <c r="H386" i="27"/>
  <c r="H286" i="27"/>
  <c r="H81" i="27"/>
  <c r="H815" i="27"/>
  <c r="H628" i="27"/>
  <c r="H590" i="27"/>
  <c r="H83" i="27"/>
  <c r="H598" i="27"/>
  <c r="H362" i="27"/>
  <c r="H226" i="27"/>
  <c r="H502" i="27"/>
  <c r="H341" i="27"/>
  <c r="H274" i="27"/>
  <c r="H651" i="27"/>
  <c r="H506" i="27"/>
  <c r="H31" i="27"/>
  <c r="H765" i="27"/>
  <c r="H592" i="27"/>
  <c r="H72" i="27"/>
  <c r="H450" i="27"/>
  <c r="H505" i="27"/>
  <c r="H447" i="27"/>
  <c r="H631" i="27"/>
  <c r="H292" i="27"/>
  <c r="H376" i="27"/>
  <c r="H583" i="27"/>
  <c r="H801" i="27"/>
  <c r="H688" i="27"/>
  <c r="H170" i="27"/>
  <c r="H489" i="27"/>
  <c r="H611" i="27"/>
  <c r="H585" i="27"/>
  <c r="H298" i="27"/>
  <c r="H38" i="27"/>
  <c r="H29" i="27"/>
  <c r="H830" i="27"/>
  <c r="H523" i="27"/>
  <c r="H727" i="27"/>
  <c r="H448" i="27"/>
  <c r="H58" i="27"/>
  <c r="H287" i="27"/>
  <c r="H135" i="27"/>
  <c r="H457" i="27"/>
  <c r="H582" i="27"/>
  <c r="H665" i="27"/>
  <c r="H743" i="27"/>
  <c r="H789" i="27"/>
  <c r="H32" i="27"/>
  <c r="H809" i="27"/>
  <c r="H748" i="27"/>
  <c r="H623" i="27"/>
  <c r="H129" i="27"/>
  <c r="H735" i="27"/>
  <c r="H315" i="27"/>
  <c r="H116" i="27"/>
  <c r="H265" i="27"/>
  <c r="H326" i="27"/>
  <c r="H552" i="27"/>
  <c r="H256" i="27"/>
  <c r="H241" i="27"/>
  <c r="H473" i="27"/>
  <c r="H234" i="27"/>
  <c r="H563" i="27"/>
  <c r="H763" i="27"/>
  <c r="H332" i="27"/>
  <c r="H37" i="27"/>
  <c r="H626" i="27"/>
  <c r="H691" i="27"/>
  <c r="H179" i="27"/>
  <c r="H266" i="27"/>
  <c r="H472" i="27"/>
  <c r="H165" i="27"/>
  <c r="H118" i="27"/>
  <c r="H282" i="27"/>
  <c r="H681" i="27"/>
  <c r="H797" i="27"/>
  <c r="H752" i="27"/>
  <c r="H555" i="27"/>
  <c r="H793" i="27"/>
  <c r="H264" i="27"/>
  <c r="H778" i="27"/>
  <c r="H302" i="27"/>
  <c r="H237" i="27"/>
  <c r="H760" i="27"/>
  <c r="H554" i="27"/>
  <c r="H646" i="27"/>
  <c r="H633" i="27"/>
  <c r="H364" i="27"/>
  <c r="H637" i="27"/>
  <c r="H459" i="27"/>
  <c r="H173" i="27"/>
  <c r="H669" i="27"/>
  <c r="H705" i="27"/>
  <c r="H413" i="27"/>
  <c r="H441" i="27"/>
  <c r="H52" i="27"/>
  <c r="H65" i="27"/>
  <c r="H370" i="27"/>
  <c r="H109" i="27"/>
  <c r="H215" i="27"/>
  <c r="H817" i="27"/>
  <c r="H680" i="27"/>
  <c r="H662" i="27"/>
  <c r="H779" i="27"/>
  <c r="H198" i="27"/>
  <c r="H404" i="27"/>
  <c r="H519" i="27"/>
  <c r="H396" i="27"/>
  <c r="H528" i="27"/>
  <c r="H478" i="27"/>
  <c r="H166" i="27"/>
  <c r="H101" i="27"/>
  <c r="H351" i="27"/>
  <c r="H427" i="27"/>
  <c r="H232" i="27"/>
  <c r="H361" i="27"/>
  <c r="H221" i="27"/>
  <c r="H771" i="27"/>
  <c r="H702" i="27"/>
  <c r="H283" i="27"/>
  <c r="H309" i="27"/>
  <c r="H13" i="27"/>
  <c r="H183" i="27"/>
  <c r="H159" i="27"/>
  <c r="H377" i="27"/>
  <c r="H751" i="27"/>
  <c r="H466" i="27"/>
  <c r="H379" i="27"/>
  <c r="H659" i="27"/>
  <c r="H488" i="27"/>
  <c r="H322" i="27"/>
  <c r="H640" i="27"/>
  <c r="H383" i="27"/>
  <c r="H520" i="27"/>
  <c r="H339" i="27"/>
  <c r="H33" i="27"/>
  <c r="H657" i="27"/>
  <c r="H417" i="27"/>
  <c r="H717" i="27"/>
  <c r="H210" i="27"/>
  <c r="H794" i="27"/>
  <c r="H99" i="27"/>
  <c r="H566" i="27"/>
  <c r="H316" i="27"/>
  <c r="H54" i="27"/>
  <c r="H352" i="27"/>
  <c r="H244" i="27"/>
  <c r="H336" i="27"/>
  <c r="H731" i="27"/>
  <c r="H828" i="27"/>
  <c r="H311" i="27"/>
  <c r="H422" i="27"/>
  <c r="H596" i="27"/>
  <c r="H605" i="27"/>
  <c r="H507" i="27"/>
  <c r="H247" i="27"/>
  <c r="H545" i="27"/>
  <c r="H390" i="27"/>
  <c r="H468" i="27"/>
  <c r="H796" i="27"/>
  <c r="H574" i="27"/>
  <c r="H534" i="27"/>
  <c r="H783" i="27"/>
  <c r="H512" i="27"/>
  <c r="H268" i="27"/>
  <c r="H16" i="27"/>
  <c r="H26" i="27"/>
  <c r="H192" i="27"/>
  <c r="H811" i="27"/>
  <c r="H650" i="27"/>
  <c r="H795" i="27"/>
  <c r="H399" i="27"/>
  <c r="H719" i="27"/>
  <c r="H312" i="27"/>
  <c r="H271" i="27"/>
  <c r="H140" i="27"/>
  <c r="H792" i="27"/>
  <c r="H408" i="27"/>
  <c r="H416" i="27"/>
  <c r="H133" i="27"/>
  <c r="H155" i="27"/>
  <c r="H607" i="27"/>
  <c r="H442" i="27"/>
  <c r="H39" i="27"/>
  <c r="H599" i="27"/>
  <c r="H263" i="27"/>
  <c r="H481" i="27"/>
  <c r="H513" i="27"/>
  <c r="H684" i="27"/>
  <c r="H55" i="27"/>
  <c r="H228" i="27"/>
  <c r="H267" i="27"/>
  <c r="H320" i="27"/>
  <c r="H471" i="27"/>
  <c r="H70" i="27"/>
  <c r="H220" i="27"/>
  <c r="H498" i="27"/>
  <c r="H329" i="27"/>
  <c r="H737" i="27"/>
  <c r="H57" i="27"/>
  <c r="H419" i="27"/>
  <c r="H580" i="27"/>
  <c r="H77" i="27"/>
  <c r="H435" i="27"/>
  <c r="H209" i="27"/>
  <c r="H123" i="27"/>
  <c r="H262" i="27"/>
  <c r="H436" i="27"/>
  <c r="H813" i="27"/>
  <c r="H112" i="27"/>
  <c r="H347" i="27"/>
  <c r="H40" i="27"/>
  <c r="H14" i="27"/>
  <c r="H728" i="27"/>
  <c r="H707" i="27"/>
  <c r="H158" i="27"/>
  <c r="H568" i="27"/>
  <c r="H829" i="27"/>
  <c r="H275" i="27"/>
  <c r="H128" i="27"/>
  <c r="H571" i="27"/>
  <c r="H273" i="27"/>
  <c r="H788" i="27"/>
  <c r="H790" i="27"/>
  <c r="H575" i="27"/>
  <c r="H595" i="27"/>
  <c r="H543" i="27"/>
  <c r="H428" i="27"/>
  <c r="H162" i="27"/>
  <c r="H103" i="27"/>
  <c r="H433" i="27"/>
  <c r="H310" i="27"/>
  <c r="H127" i="27"/>
  <c r="H91" i="27"/>
  <c r="H497" i="27"/>
  <c r="H518" i="27"/>
  <c r="H739" i="27"/>
  <c r="H252" i="27"/>
  <c r="H775" i="27"/>
  <c r="H28" i="27"/>
  <c r="H587" i="27"/>
  <c r="H36" i="27"/>
  <c r="H374" i="27"/>
  <c r="H365" i="27"/>
  <c r="H95" i="27"/>
  <c r="H556" i="27"/>
  <c r="H780" i="27"/>
  <c r="H90" i="27"/>
  <c r="H721" i="27"/>
  <c r="H647" i="27"/>
  <c r="H178" i="27"/>
  <c r="H25" i="27"/>
  <c r="H613" i="27"/>
  <c r="H89" i="27"/>
  <c r="H625" i="27"/>
  <c r="H754" i="27"/>
  <c r="H806" i="27"/>
  <c r="H818" i="27"/>
  <c r="H532" i="27"/>
  <c r="H412" i="27"/>
  <c r="H544" i="27"/>
  <c r="H260" i="27"/>
  <c r="H593" i="27"/>
  <c r="H19" i="27"/>
  <c r="H635" i="27"/>
  <c r="H540" i="27"/>
  <c r="H71" i="27"/>
  <c r="H572" i="27"/>
  <c r="H714" i="27"/>
  <c r="H190" i="27"/>
  <c r="H161" i="27"/>
  <c r="H199" i="27"/>
  <c r="H17" i="27"/>
  <c r="H622" i="27"/>
  <c r="H254" i="27"/>
  <c r="H445" i="27"/>
  <c r="H30" i="27"/>
  <c r="H832" i="27"/>
  <c r="H368" i="27"/>
  <c r="H746" i="27"/>
  <c r="H257" i="27"/>
  <c r="H509" i="27"/>
  <c r="H259" i="27"/>
  <c r="H774" i="27"/>
  <c r="H349" i="27"/>
  <c r="H437" i="27"/>
  <c r="H820" i="27"/>
  <c r="H670" i="27"/>
  <c r="H378" i="27"/>
  <c r="H766" i="27"/>
  <c r="H411" i="27"/>
  <c r="H130" i="27"/>
  <c r="H786" i="27"/>
  <c r="H649" i="27"/>
  <c r="H146" i="27"/>
  <c r="H776" i="27"/>
  <c r="H180" i="27"/>
  <c r="H185" i="27"/>
  <c r="H12" i="27"/>
  <c r="H835" i="27"/>
  <c r="H212" i="27"/>
  <c r="H324" i="27"/>
  <c r="H740" i="27"/>
  <c r="H106" i="27"/>
  <c r="H11" i="27"/>
  <c r="H152" i="27"/>
  <c r="H261" i="27"/>
  <c r="H391" i="27"/>
  <c r="H60" i="27"/>
  <c r="H749" i="27"/>
  <c r="H658" i="27"/>
  <c r="H214" i="27"/>
  <c r="H149" i="27"/>
  <c r="H508" i="27"/>
  <c r="H800" i="27"/>
  <c r="H569" i="27"/>
  <c r="H98" i="27"/>
  <c r="H277" i="27"/>
  <c r="H372" i="27"/>
  <c r="H331" i="27"/>
  <c r="H434" i="27"/>
  <c r="H15" i="27"/>
  <c r="H195" i="27"/>
  <c r="H671" i="27"/>
  <c r="H589" i="27"/>
  <c r="H48" i="27"/>
  <c r="H337" i="27"/>
  <c r="H296" i="27"/>
  <c r="H549" i="27"/>
  <c r="H579" i="27"/>
  <c r="H409" i="27"/>
  <c r="H333" i="27"/>
  <c r="H407" i="27"/>
  <c r="H88" i="27"/>
  <c r="J77" i="17"/>
  <c r="J86" i="17"/>
  <c r="J64" i="17"/>
  <c r="J14" i="17"/>
  <c r="J113" i="17"/>
  <c r="J116" i="17"/>
  <c r="J140" i="17"/>
  <c r="J48" i="17"/>
  <c r="J45" i="17"/>
  <c r="J154" i="17"/>
  <c r="J118" i="17"/>
  <c r="J40" i="22"/>
  <c r="J32" i="22"/>
  <c r="J21" i="22"/>
  <c r="F88" i="27" s="1" a="1"/>
  <c r="F88" i="27" s="1"/>
  <c r="G88" i="27" s="1"/>
  <c r="J14" i="22"/>
  <c r="J122" i="22"/>
  <c r="J56" i="22"/>
  <c r="J62" i="22"/>
  <c r="F286" i="27" s="1" a="1"/>
  <c r="F286" i="27" s="1"/>
  <c r="G286" i="27" s="1"/>
  <c r="J41" i="22"/>
  <c r="J10" i="22"/>
  <c r="F47" i="27" s="1" a="1"/>
  <c r="F47" i="27" s="1"/>
  <c r="G47" i="27" s="1"/>
  <c r="J118" i="22"/>
  <c r="J11" i="22"/>
  <c r="J111" i="22"/>
  <c r="J87" i="22"/>
  <c r="J8" i="22"/>
  <c r="J106" i="21"/>
  <c r="J186" i="21"/>
  <c r="J157" i="21"/>
  <c r="J109" i="21"/>
  <c r="J71" i="21"/>
  <c r="J116" i="21"/>
  <c r="J101" i="23"/>
  <c r="F252" i="27" s="1" a="1"/>
  <c r="F252" i="27" s="1"/>
  <c r="G252" i="27" s="1"/>
  <c r="J155" i="23"/>
  <c r="J149" i="21"/>
  <c r="J23" i="21"/>
  <c r="F74" i="27" s="1" a="1"/>
  <c r="F74" i="27" s="1"/>
  <c r="G74" i="27" s="1"/>
  <c r="J21" i="23"/>
  <c r="J85" i="21"/>
  <c r="J209" i="23"/>
  <c r="J153" i="21"/>
  <c r="J128" i="23"/>
  <c r="F359" i="27" s="1" a="1"/>
  <c r="F359" i="27" s="1"/>
  <c r="G359" i="27" s="1"/>
  <c r="J51" i="21"/>
  <c r="J214" i="23"/>
  <c r="J68" i="23"/>
  <c r="J171" i="23"/>
  <c r="J182" i="23"/>
  <c r="F503" i="27" s="1" a="1"/>
  <c r="F503" i="27" s="1"/>
  <c r="G503" i="27" s="1"/>
  <c r="J210" i="21"/>
  <c r="J98" i="23"/>
  <c r="J195" i="23"/>
  <c r="J100" i="21"/>
  <c r="J185" i="23"/>
  <c r="J141" i="21"/>
  <c r="J27" i="23"/>
  <c r="J231" i="23"/>
  <c r="J119" i="21"/>
  <c r="J136" i="21"/>
  <c r="J2" i="23"/>
  <c r="J235" i="23"/>
  <c r="J140" i="21"/>
  <c r="J63" i="21"/>
  <c r="J237" i="23"/>
  <c r="J233" i="21"/>
  <c r="J88" i="21"/>
  <c r="J236" i="21"/>
  <c r="J46" i="23"/>
  <c r="F126" i="27" s="1" a="1"/>
  <c r="F126" i="27" s="1"/>
  <c r="G126" i="27" s="1"/>
  <c r="J226" i="21"/>
  <c r="J236" i="23"/>
  <c r="J172" i="23"/>
  <c r="J184" i="23"/>
  <c r="J129" i="23"/>
  <c r="J18" i="21"/>
  <c r="J64" i="21"/>
  <c r="J70" i="23"/>
  <c r="J61" i="17"/>
  <c r="J86" i="21"/>
  <c r="J74" i="21"/>
  <c r="J253" i="23"/>
  <c r="J44" i="23"/>
  <c r="J243" i="21"/>
  <c r="J55" i="17"/>
  <c r="J121" i="23"/>
  <c r="F350" i="27" s="1" a="1"/>
  <c r="F350" i="27" s="1"/>
  <c r="G350" i="27" s="1"/>
  <c r="J14" i="23"/>
  <c r="F32" i="27" s="1" a="1"/>
  <c r="F32" i="27" s="1"/>
  <c r="G32" i="27" s="1"/>
  <c r="J155" i="21"/>
  <c r="J8" i="21"/>
  <c r="J15" i="23"/>
  <c r="J99" i="23"/>
  <c r="J44" i="21"/>
  <c r="J142" i="21"/>
  <c r="J208" i="21"/>
  <c r="J207" i="23"/>
  <c r="J181" i="21"/>
  <c r="J42" i="23"/>
  <c r="J243" i="23"/>
  <c r="J208" i="23"/>
  <c r="J92" i="23"/>
  <c r="J48" i="21"/>
  <c r="F190" i="27" s="1" a="1"/>
  <c r="F190" i="27" s="1"/>
  <c r="G190" i="27" s="1"/>
  <c r="J69" i="23"/>
  <c r="J164" i="21"/>
  <c r="J218" i="21"/>
  <c r="J55" i="23"/>
  <c r="F153" i="27" s="1" a="1"/>
  <c r="F153" i="27" s="1"/>
  <c r="G153" i="27" s="1"/>
  <c r="J5" i="21"/>
  <c r="F9" i="27" s="1" a="1"/>
  <c r="F9" i="27" s="1"/>
  <c r="G9" i="27" s="1"/>
  <c r="J251" i="23"/>
  <c r="J240" i="21"/>
  <c r="J159" i="21"/>
  <c r="J110" i="21"/>
  <c r="J225" i="23"/>
  <c r="J49" i="23"/>
  <c r="J71" i="23"/>
  <c r="J119" i="23"/>
  <c r="J29" i="21"/>
  <c r="J66" i="21"/>
  <c r="F292" i="27" s="1" a="1"/>
  <c r="F292" i="27" s="1"/>
  <c r="G292" i="27" s="1"/>
  <c r="J56" i="21"/>
  <c r="J251" i="21"/>
  <c r="J240" i="23"/>
  <c r="J11" i="23"/>
  <c r="J145" i="21"/>
  <c r="J7" i="21"/>
  <c r="J74" i="23"/>
  <c r="F199" i="27" s="1" a="1"/>
  <c r="F199" i="27" s="1"/>
  <c r="G199" i="27" s="1"/>
  <c r="J35" i="21"/>
  <c r="J125" i="21"/>
  <c r="J102" i="17"/>
  <c r="J153" i="17"/>
  <c r="J123" i="23"/>
  <c r="J102" i="23"/>
  <c r="J65" i="23"/>
  <c r="J30" i="23"/>
  <c r="J176" i="23"/>
  <c r="J133" i="23"/>
  <c r="J145" i="23"/>
  <c r="J23" i="23"/>
  <c r="J194" i="23"/>
  <c r="J26" i="23"/>
  <c r="J193" i="23"/>
  <c r="J238" i="21"/>
  <c r="J131" i="21"/>
  <c r="J260" i="23"/>
  <c r="J222" i="23"/>
  <c r="J133" i="21"/>
  <c r="J45" i="21"/>
  <c r="J143" i="21"/>
  <c r="J151" i="21"/>
  <c r="J142" i="23"/>
  <c r="J175" i="21"/>
  <c r="J174" i="21"/>
  <c r="J132" i="17"/>
  <c r="J111" i="21"/>
  <c r="J41" i="21"/>
  <c r="J231" i="21"/>
  <c r="J195" i="21"/>
  <c r="J87" i="21"/>
  <c r="J147" i="21"/>
  <c r="J57" i="21"/>
  <c r="J101" i="21"/>
  <c r="J209" i="21"/>
  <c r="J124" i="21"/>
  <c r="J34" i="21"/>
  <c r="J89" i="21"/>
  <c r="J144" i="21"/>
  <c r="J14" i="21"/>
  <c r="J247" i="21"/>
  <c r="J67" i="21"/>
  <c r="J50" i="21"/>
  <c r="J224" i="21"/>
  <c r="J156" i="21"/>
  <c r="J171" i="21"/>
  <c r="J70" i="21"/>
  <c r="J211" i="21"/>
  <c r="J32" i="21"/>
  <c r="J2" i="21"/>
  <c r="F2" i="27" s="1" a="1"/>
  <c r="F2" i="27" s="1"/>
  <c r="G2" i="27" s="1"/>
  <c r="J242" i="21"/>
  <c r="J37" i="21"/>
  <c r="J96" i="21"/>
  <c r="J12" i="21"/>
  <c r="J130" i="21"/>
  <c r="F517" i="27" s="1" a="1"/>
  <c r="F517" i="27" s="1"/>
  <c r="G517" i="27" s="1"/>
  <c r="J187" i="21"/>
  <c r="J76" i="21"/>
  <c r="J154" i="21"/>
  <c r="J79" i="21"/>
  <c r="J134" i="21"/>
  <c r="J219" i="21"/>
  <c r="J146" i="21"/>
  <c r="J80" i="21"/>
  <c r="F324" i="27" s="1" a="1"/>
  <c r="F324" i="27" s="1"/>
  <c r="G324" i="27" s="1"/>
  <c r="J118" i="21"/>
  <c r="J107" i="21"/>
  <c r="J65" i="21"/>
  <c r="J117" i="21"/>
  <c r="J232" i="21"/>
  <c r="J13" i="21"/>
  <c r="J237" i="21"/>
  <c r="J128" i="21"/>
  <c r="J191" i="21"/>
  <c r="J42" i="21"/>
  <c r="J246" i="21"/>
  <c r="J33" i="21"/>
  <c r="J228" i="21"/>
  <c r="J202" i="21"/>
  <c r="J223" i="21"/>
  <c r="J49" i="21"/>
  <c r="J26" i="21"/>
  <c r="J170" i="21"/>
  <c r="J72" i="21"/>
  <c r="J103" i="21"/>
  <c r="J166" i="21"/>
  <c r="J73" i="21"/>
  <c r="J165" i="21"/>
  <c r="J113" i="21"/>
  <c r="F455" i="27" s="1" a="1"/>
  <c r="F455" i="27" s="1"/>
  <c r="G455" i="27" s="1"/>
  <c r="J22" i="21"/>
  <c r="F75" i="27" s="1" a="1"/>
  <c r="F75" i="27" s="1"/>
  <c r="G75" i="27" s="1"/>
  <c r="J127" i="21"/>
  <c r="J161" i="21"/>
  <c r="F629" i="27" s="1" a="1"/>
  <c r="F629" i="27" s="1"/>
  <c r="G629" i="27" s="1"/>
  <c r="J132" i="21"/>
  <c r="J172" i="21"/>
  <c r="J135" i="21"/>
  <c r="J82" i="21"/>
  <c r="J178" i="21"/>
  <c r="J69" i="21"/>
  <c r="J189" i="21"/>
  <c r="J105" i="21"/>
  <c r="J21" i="21"/>
  <c r="J30" i="21"/>
  <c r="J91" i="21"/>
  <c r="J138" i="21"/>
  <c r="J17" i="21"/>
  <c r="J120" i="21"/>
  <c r="F486" i="27" s="1" a="1"/>
  <c r="F486" i="27" s="1"/>
  <c r="G486" i="27" s="1"/>
  <c r="J102" i="21"/>
  <c r="F408" i="27" s="1" a="1"/>
  <c r="F408" i="27" s="1"/>
  <c r="G408" i="27" s="1"/>
  <c r="J99" i="21"/>
  <c r="J248" i="21"/>
  <c r="J221" i="21"/>
  <c r="J84" i="21"/>
  <c r="J94" i="21"/>
  <c r="J168" i="21"/>
  <c r="J15" i="21"/>
  <c r="J196" i="21"/>
  <c r="J20" i="21"/>
  <c r="J98" i="21"/>
  <c r="J162" i="21"/>
  <c r="J47" i="21"/>
  <c r="F176" i="27" s="1" a="1"/>
  <c r="F176" i="27" s="1"/>
  <c r="G176" i="27" s="1"/>
  <c r="J245" i="21"/>
  <c r="J54" i="21"/>
  <c r="J75" i="21"/>
  <c r="J185" i="21"/>
  <c r="J167" i="21"/>
  <c r="J158" i="21"/>
  <c r="J227" i="21"/>
  <c r="J212" i="21"/>
  <c r="J121" i="21"/>
  <c r="J115" i="21"/>
  <c r="J177" i="21"/>
  <c r="J225" i="21"/>
  <c r="J92" i="21"/>
  <c r="J190" i="21"/>
  <c r="J60" i="21"/>
  <c r="J59" i="21"/>
  <c r="J36" i="21"/>
  <c r="J200" i="21"/>
  <c r="J61" i="21"/>
  <c r="J93" i="21"/>
  <c r="J214" i="21"/>
  <c r="J90" i="21"/>
  <c r="J254" i="21"/>
  <c r="J148" i="21"/>
  <c r="F582" i="27" s="1" a="1"/>
  <c r="F582" i="27" s="1"/>
  <c r="G582" i="27" s="1"/>
  <c r="J16" i="23"/>
  <c r="J226" i="23"/>
  <c r="J249" i="21"/>
  <c r="J192" i="23"/>
  <c r="J169" i="21"/>
  <c r="J253" i="21"/>
  <c r="J250" i="23"/>
  <c r="J25" i="23"/>
  <c r="J166" i="23"/>
  <c r="J7" i="23"/>
  <c r="J173" i="23"/>
  <c r="J170" i="23"/>
  <c r="J127" i="23"/>
  <c r="F358" i="27" s="1" a="1"/>
  <c r="F358" i="27" s="1"/>
  <c r="G358" i="27" s="1"/>
  <c r="J122" i="23"/>
  <c r="J157" i="23"/>
  <c r="J216" i="23"/>
  <c r="J259" i="23"/>
  <c r="J223" i="23"/>
  <c r="J43" i="23"/>
  <c r="J110" i="23"/>
  <c r="J91" i="23"/>
  <c r="J149" i="23"/>
  <c r="F410" i="27" s="1" a="1"/>
  <c r="F410" i="27" s="1"/>
  <c r="G410" i="27" s="1"/>
  <c r="J201" i="23"/>
  <c r="J77" i="23"/>
  <c r="F210" i="27" s="1" a="1"/>
  <c r="F210" i="27" s="1"/>
  <c r="G210" i="27" s="1"/>
  <c r="J17" i="23"/>
  <c r="J64" i="23"/>
  <c r="J113" i="23"/>
  <c r="J183" i="23"/>
  <c r="J105" i="23"/>
  <c r="J263" i="23"/>
  <c r="J108" i="23"/>
  <c r="J167" i="23"/>
  <c r="J247" i="23"/>
  <c r="J37" i="23"/>
  <c r="J36" i="23"/>
  <c r="J59" i="23"/>
  <c r="J229" i="23"/>
  <c r="J35" i="23"/>
  <c r="J154" i="23"/>
  <c r="J158" i="23"/>
  <c r="J6" i="23"/>
  <c r="F21" i="27" s="1" a="1"/>
  <c r="F21" i="27" s="1"/>
  <c r="G21" i="27" s="1"/>
  <c r="J249" i="23"/>
  <c r="J254" i="23"/>
  <c r="J41" i="23"/>
  <c r="J88" i="23"/>
  <c r="J241" i="23"/>
  <c r="J61" i="23"/>
  <c r="F173" i="27" s="1" a="1"/>
  <c r="F173" i="27" s="1"/>
  <c r="G173" i="27" s="1"/>
  <c r="J10" i="23"/>
  <c r="J57" i="23"/>
  <c r="J175" i="23"/>
  <c r="J139" i="23"/>
  <c r="F385" i="27" s="1" a="1"/>
  <c r="F385" i="27" s="1"/>
  <c r="G385" i="27" s="1"/>
  <c r="J189" i="23"/>
  <c r="J262" i="23"/>
  <c r="J144" i="23"/>
  <c r="J150" i="23"/>
  <c r="J115" i="23"/>
  <c r="J255" i="23"/>
  <c r="J134" i="23"/>
  <c r="F379" i="27" s="1" a="1"/>
  <c r="F379" i="27" s="1"/>
  <c r="G379" i="27" s="1"/>
  <c r="J60" i="23"/>
  <c r="J3" i="23"/>
  <c r="J261" i="23"/>
  <c r="J100" i="23"/>
  <c r="J125" i="23"/>
  <c r="J258" i="23"/>
  <c r="J33" i="23"/>
  <c r="J227" i="23"/>
  <c r="J89" i="23"/>
  <c r="J107" i="23"/>
  <c r="J239" i="23"/>
  <c r="J138" i="23"/>
  <c r="F386" i="27" s="1" a="1"/>
  <c r="F386" i="27" s="1"/>
  <c r="G386" i="27" s="1"/>
  <c r="J120" i="23"/>
  <c r="J40" i="23"/>
  <c r="J156" i="23"/>
  <c r="J5" i="23"/>
  <c r="J257" i="23"/>
  <c r="J205" i="23"/>
  <c r="J126" i="23"/>
  <c r="J38" i="23"/>
  <c r="J76" i="23"/>
  <c r="J80" i="23"/>
  <c r="J32" i="23"/>
  <c r="J174" i="23"/>
  <c r="J199" i="23"/>
  <c r="J84" i="23"/>
  <c r="J72" i="23"/>
  <c r="F299" i="27" s="1" a="1"/>
  <c r="F299" i="27" s="1"/>
  <c r="G299" i="27" s="1"/>
  <c r="J136" i="23"/>
  <c r="F383" i="27" s="1" a="1"/>
  <c r="F383" i="27" s="1"/>
  <c r="G383" i="27" s="1"/>
  <c r="J19" i="23"/>
  <c r="J165" i="23"/>
  <c r="J191" i="23"/>
  <c r="J4" i="23"/>
  <c r="J200" i="23"/>
  <c r="J67" i="23"/>
  <c r="J66" i="23"/>
  <c r="J179" i="23"/>
  <c r="J132" i="23"/>
  <c r="J62" i="23"/>
  <c r="J264" i="23"/>
  <c r="J221" i="23"/>
  <c r="J169" i="23"/>
  <c r="J52" i="23"/>
  <c r="J197" i="23"/>
  <c r="J131" i="23"/>
  <c r="F336" i="27" s="1" a="1"/>
  <c r="F336" i="27" s="1"/>
  <c r="G336" i="27" s="1"/>
  <c r="J47" i="23"/>
  <c r="F131" i="27" s="1" a="1"/>
  <c r="F131" i="27" s="1"/>
  <c r="G131" i="27" s="1"/>
  <c r="J93" i="23"/>
  <c r="J159" i="23"/>
  <c r="J217" i="23"/>
  <c r="J177" i="23"/>
  <c r="J181" i="23"/>
  <c r="J190" i="23"/>
  <c r="J112" i="23"/>
  <c r="J163" i="23"/>
  <c r="J95" i="23"/>
  <c r="J82" i="23"/>
  <c r="J34" i="23"/>
  <c r="J45" i="23"/>
  <c r="J234" i="23"/>
  <c r="J198" i="21"/>
  <c r="J31" i="21"/>
  <c r="J220" i="23"/>
  <c r="J203" i="23"/>
  <c r="J139" i="21"/>
  <c r="J252" i="21"/>
  <c r="J218" i="23"/>
  <c r="J118" i="23"/>
  <c r="J52" i="21"/>
  <c r="J215" i="21"/>
  <c r="J27" i="21"/>
  <c r="J252" i="23"/>
  <c r="J122" i="21"/>
  <c r="J95" i="21"/>
  <c r="J96" i="23"/>
  <c r="F243" i="27" s="1" a="1"/>
  <c r="F243" i="27" s="1"/>
  <c r="G243" i="27" s="1"/>
  <c r="J29" i="23"/>
  <c r="J161" i="23"/>
  <c r="J50" i="23"/>
  <c r="F133" i="27" s="1" a="1"/>
  <c r="F133" i="27" s="1"/>
  <c r="G133" i="27" s="1"/>
  <c r="J206" i="23"/>
  <c r="J78" i="23"/>
  <c r="J212" i="23"/>
  <c r="J228" i="23"/>
  <c r="J85" i="23"/>
  <c r="J81" i="23"/>
  <c r="J188" i="23"/>
  <c r="J54" i="23"/>
  <c r="J160" i="23"/>
  <c r="J184" i="21"/>
  <c r="J129" i="21"/>
  <c r="J22" i="23"/>
  <c r="F65" i="27" s="1" a="1"/>
  <c r="F65" i="27" s="1"/>
  <c r="G65" i="27" s="1"/>
  <c r="J197" i="21"/>
  <c r="J25" i="21"/>
  <c r="J48" i="23"/>
  <c r="J39" i="23"/>
  <c r="J205" i="21"/>
  <c r="J9" i="21"/>
  <c r="J194" i="21"/>
  <c r="J137" i="21"/>
  <c r="J63" i="23"/>
  <c r="F179" i="27" s="1" a="1"/>
  <c r="F179" i="27" s="1"/>
  <c r="G179" i="27" s="1"/>
  <c r="J73" i="23"/>
  <c r="F202" i="27" s="1" a="1"/>
  <c r="F202" i="27" s="1"/>
  <c r="G202" i="27" s="1"/>
  <c r="J183" i="21"/>
  <c r="J167" i="17"/>
  <c r="J235" i="21"/>
  <c r="J186" i="23"/>
  <c r="J239" i="21"/>
  <c r="J124" i="23"/>
  <c r="J232" i="23"/>
  <c r="J180" i="21"/>
  <c r="J16" i="21"/>
  <c r="J10" i="21"/>
  <c r="J207" i="21"/>
  <c r="J176" i="21"/>
  <c r="J219" i="23"/>
  <c r="J11" i="21"/>
  <c r="J147" i="23"/>
  <c r="J143" i="23"/>
  <c r="J56" i="23"/>
  <c r="J111" i="23"/>
  <c r="J180" i="23"/>
  <c r="F478" i="27" s="1" a="1"/>
  <c r="F478" i="27" s="1"/>
  <c r="G478" i="27" s="1"/>
  <c r="J266" i="23"/>
  <c r="J135" i="23"/>
  <c r="J106" i="23"/>
  <c r="J137" i="23"/>
  <c r="F382" i="27" s="1" a="1"/>
  <c r="F382" i="27" s="1"/>
  <c r="G382" i="27" s="1"/>
  <c r="J53" i="23"/>
  <c r="J114" i="23"/>
  <c r="J152" i="23"/>
  <c r="F415" i="27" s="1" a="1"/>
  <c r="F415" i="27" s="1"/>
  <c r="G415" i="27" s="1"/>
  <c r="J206" i="21"/>
  <c r="J8" i="23"/>
  <c r="J114" i="21"/>
  <c r="J238" i="23"/>
  <c r="J28" i="21"/>
  <c r="J104" i="21"/>
  <c r="J83" i="21"/>
  <c r="F355" i="27" s="1" a="1"/>
  <c r="F355" i="27" s="1"/>
  <c r="G355" i="27" s="1"/>
  <c r="J81" i="21"/>
  <c r="J78" i="21"/>
  <c r="J250" i="21"/>
  <c r="J116" i="23"/>
  <c r="J13" i="17"/>
  <c r="J131" i="17"/>
  <c r="J84" i="17"/>
  <c r="J182" i="21"/>
  <c r="J244" i="23"/>
  <c r="J97" i="21"/>
  <c r="J46" i="21"/>
  <c r="J196" i="23"/>
  <c r="J104" i="23"/>
  <c r="J188" i="21"/>
  <c r="J19" i="22"/>
  <c r="J47" i="22"/>
  <c r="J234" i="21"/>
  <c r="J256" i="23"/>
  <c r="J94" i="23"/>
  <c r="J28" i="23"/>
  <c r="J153" i="23"/>
  <c r="F417" i="27" s="1" a="1"/>
  <c r="F417" i="27" s="1"/>
  <c r="G417" i="27" s="1"/>
  <c r="J40" i="21"/>
  <c r="J199" i="21"/>
  <c r="J20" i="23"/>
  <c r="J224" i="23"/>
  <c r="J148" i="23"/>
  <c r="F409" i="27" s="1" a="1"/>
  <c r="F409" i="27" s="1"/>
  <c r="G409" i="27" s="1"/>
  <c r="J178" i="23"/>
  <c r="F485" i="27" s="1" a="1"/>
  <c r="F485" i="27" s="1"/>
  <c r="G485" i="27" s="1"/>
  <c r="J18" i="23"/>
  <c r="J246" i="23"/>
  <c r="J141" i="23"/>
  <c r="J198" i="23"/>
  <c r="J109" i="23"/>
  <c r="J86" i="23"/>
  <c r="J210" i="23"/>
  <c r="J187" i="23"/>
  <c r="J31" i="23"/>
  <c r="J140" i="23"/>
  <c r="J112" i="21"/>
  <c r="J55" i="21"/>
  <c r="J38" i="21"/>
  <c r="J192" i="21"/>
  <c r="J18" i="17"/>
  <c r="J75" i="23"/>
  <c r="J68" i="21"/>
  <c r="J216" i="21"/>
  <c r="J123" i="21"/>
  <c r="J152" i="21"/>
  <c r="J203" i="21"/>
  <c r="F761" i="27" s="1" a="1"/>
  <c r="F761" i="27" s="1"/>
  <c r="G761" i="27" s="1"/>
  <c r="J58" i="23"/>
  <c r="J39" i="21"/>
  <c r="J193" i="21"/>
  <c r="J6" i="21"/>
  <c r="J4" i="21"/>
  <c r="J19" i="21"/>
  <c r="J97" i="23"/>
  <c r="F290" i="27" s="1" a="1"/>
  <c r="F290" i="27" s="1"/>
  <c r="G290" i="27" s="1"/>
  <c r="J245" i="23"/>
  <c r="J103" i="23"/>
  <c r="J83" i="23"/>
  <c r="J233" i="23"/>
  <c r="J211" i="23"/>
  <c r="J248" i="23"/>
  <c r="J151" i="23"/>
  <c r="F414" i="27" s="1" a="1"/>
  <c r="F414" i="27" s="1"/>
  <c r="G414" i="27" s="1"/>
  <c r="J215" i="23"/>
  <c r="J265" i="23"/>
  <c r="J117" i="23"/>
  <c r="J13" i="23"/>
  <c r="J90" i="23"/>
  <c r="J87" i="23"/>
  <c r="F222" i="27" s="1" a="1"/>
  <c r="F222" i="27" s="1"/>
  <c r="G222" i="27" s="1"/>
  <c r="J58" i="21"/>
  <c r="J43" i="21"/>
  <c r="J77" i="21"/>
  <c r="J173" i="21"/>
  <c r="J9" i="23"/>
  <c r="J150" i="21"/>
  <c r="J241" i="21"/>
  <c r="J213" i="21"/>
  <c r="F769" i="27" s="1" a="1"/>
  <c r="F769" i="27" s="1"/>
  <c r="G769" i="27" s="1"/>
  <c r="J220" i="21"/>
  <c r="J230" i="21"/>
  <c r="J160" i="21"/>
  <c r="J222" i="21"/>
  <c r="J213" i="23"/>
  <c r="J204" i="23"/>
  <c r="J230" i="23"/>
  <c r="F689" i="27" s="1" a="1"/>
  <c r="F689" i="27" s="1"/>
  <c r="G689" i="27" s="1"/>
  <c r="J3" i="21"/>
  <c r="J163" i="21"/>
  <c r="J26" i="22"/>
  <c r="F116" i="27" s="1" a="1"/>
  <c r="F116" i="27" s="1"/>
  <c r="G116" i="27" s="1"/>
  <c r="J16" i="17"/>
  <c r="J242" i="23"/>
  <c r="J130" i="23"/>
  <c r="F363" i="27" s="1" a="1"/>
  <c r="F363" i="27" s="1"/>
  <c r="G363" i="27" s="1"/>
  <c r="J164" i="23"/>
  <c r="J267" i="23"/>
  <c r="J51" i="23"/>
  <c r="J24" i="23"/>
  <c r="J12" i="23"/>
  <c r="J202" i="23"/>
  <c r="J79" i="23"/>
  <c r="J162" i="23"/>
  <c r="J146" i="23"/>
  <c r="J168" i="23"/>
  <c r="J24" i="21"/>
  <c r="J53" i="21"/>
  <c r="J108" i="21"/>
  <c r="J201" i="21"/>
  <c r="J217" i="21"/>
  <c r="J204" i="21"/>
  <c r="J126" i="21"/>
  <c r="F508" i="27" s="1" a="1"/>
  <c r="F508" i="27" s="1"/>
  <c r="G508" i="27" s="1"/>
  <c r="J62" i="21"/>
  <c r="J244" i="21"/>
  <c r="J179" i="21"/>
  <c r="J229" i="21"/>
  <c r="J107" i="22"/>
  <c r="J163" i="17"/>
  <c r="J108" i="17"/>
  <c r="J155" i="17"/>
  <c r="J66" i="17"/>
  <c r="J164" i="17"/>
  <c r="J146" i="17"/>
  <c r="J7" i="17"/>
  <c r="J99" i="17"/>
  <c r="J43" i="17"/>
  <c r="F165" i="27" s="1" a="1"/>
  <c r="F165" i="27" s="1"/>
  <c r="G165" i="27" s="1"/>
  <c r="J179" i="17"/>
  <c r="J88" i="17"/>
  <c r="J170" i="17"/>
  <c r="J175" i="17"/>
  <c r="J34" i="17"/>
  <c r="J127" i="17"/>
  <c r="J74" i="17"/>
  <c r="J115" i="17"/>
  <c r="J12" i="17"/>
  <c r="F35" i="27" s="1" a="1"/>
  <c r="F35" i="27" s="1"/>
  <c r="G35" i="27" s="1"/>
  <c r="J174" i="17"/>
  <c r="J6" i="17"/>
  <c r="J91" i="17"/>
  <c r="J93" i="17"/>
  <c r="J162" i="17"/>
  <c r="J45" i="22"/>
  <c r="J96" i="22"/>
  <c r="J6" i="22"/>
  <c r="J65" i="22"/>
  <c r="F288" i="27" s="1" a="1"/>
  <c r="F288" i="27" s="1"/>
  <c r="G288" i="27" s="1"/>
  <c r="J49" i="22"/>
  <c r="J37" i="22"/>
  <c r="J63" i="22"/>
  <c r="J64" i="22"/>
  <c r="J39" i="22"/>
  <c r="J17" i="22"/>
  <c r="J119" i="22"/>
  <c r="F612" i="27" s="1" a="1"/>
  <c r="F612" i="27" s="1"/>
  <c r="G612" i="27" s="1"/>
  <c r="J35" i="22"/>
  <c r="J108" i="22"/>
  <c r="J100" i="22"/>
  <c r="J52" i="22"/>
  <c r="J84" i="22"/>
  <c r="J50" i="22"/>
  <c r="J68" i="22"/>
  <c r="J99" i="22"/>
  <c r="J93" i="22"/>
  <c r="J101" i="22"/>
  <c r="J98" i="22"/>
  <c r="J24" i="22"/>
  <c r="J39" i="17"/>
  <c r="J139" i="17"/>
  <c r="J97" i="17"/>
  <c r="J159" i="17"/>
  <c r="J142" i="17"/>
  <c r="J8" i="17"/>
  <c r="J119" i="17"/>
  <c r="J130" i="17"/>
  <c r="J40" i="17"/>
  <c r="J80" i="17"/>
  <c r="J100" i="17"/>
  <c r="J169" i="17"/>
  <c r="J32" i="17"/>
  <c r="J9" i="17"/>
  <c r="J105" i="17"/>
  <c r="J143" i="17"/>
  <c r="J112" i="17"/>
  <c r="J59" i="17"/>
  <c r="J30" i="17"/>
  <c r="J171" i="17"/>
  <c r="F833" i="27" s="1" a="1"/>
  <c r="F833" i="27" s="1"/>
  <c r="G833" i="27" s="1"/>
  <c r="J173" i="17"/>
  <c r="J44" i="17"/>
  <c r="J27" i="17"/>
  <c r="J21" i="17"/>
  <c r="J85" i="17"/>
  <c r="J98" i="17"/>
  <c r="J69" i="17"/>
  <c r="J29" i="17"/>
  <c r="J111" i="17"/>
  <c r="J67" i="17"/>
  <c r="J126" i="17"/>
  <c r="J157" i="17"/>
  <c r="J5" i="17"/>
  <c r="J62" i="17"/>
  <c r="J147" i="17"/>
  <c r="J138" i="17"/>
  <c r="J51" i="17"/>
  <c r="J134" i="17"/>
  <c r="J178" i="17"/>
  <c r="J19" i="17"/>
  <c r="J106" i="17"/>
  <c r="J165" i="17"/>
  <c r="J152" i="17"/>
  <c r="J114" i="17"/>
  <c r="J52" i="17"/>
  <c r="J35" i="17"/>
  <c r="J128" i="17"/>
  <c r="J56" i="17"/>
  <c r="J17" i="17"/>
  <c r="J25" i="17"/>
  <c r="J26" i="17"/>
  <c r="J160" i="17"/>
  <c r="J41" i="17"/>
  <c r="J36" i="17"/>
  <c r="J42" i="17"/>
  <c r="J65" i="17"/>
  <c r="J156" i="17"/>
  <c r="J31" i="17"/>
  <c r="J123" i="17"/>
  <c r="J57" i="17"/>
  <c r="J2" i="17"/>
  <c r="J124" i="17"/>
  <c r="J120" i="17"/>
  <c r="F528" i="27" s="1" a="1"/>
  <c r="F528" i="27" s="1"/>
  <c r="G528" i="27" s="1"/>
  <c r="J95" i="17"/>
  <c r="J22" i="17"/>
  <c r="J49" i="17"/>
  <c r="F204" i="27" s="1" a="1"/>
  <c r="F204" i="27" s="1"/>
  <c r="G204" i="27" s="1"/>
  <c r="J37" i="17"/>
  <c r="J58" i="17"/>
  <c r="F245" i="27" s="1" a="1"/>
  <c r="F245" i="27" s="1"/>
  <c r="G245" i="27" s="1"/>
  <c r="J109" i="17"/>
  <c r="F512" i="27" s="1" a="1"/>
  <c r="F512" i="27" s="1"/>
  <c r="G512" i="27" s="1"/>
  <c r="J121" i="17"/>
  <c r="J166" i="17"/>
  <c r="J28" i="17"/>
  <c r="J68" i="17"/>
  <c r="J3" i="17"/>
  <c r="J135" i="17"/>
  <c r="J137" i="17"/>
  <c r="Q73" i="26"/>
  <c r="J87" i="17"/>
  <c r="J76" i="17"/>
  <c r="F332" i="27" s="1" a="1"/>
  <c r="F332" i="27" s="1"/>
  <c r="G332" i="27" s="1"/>
  <c r="J141" i="17"/>
  <c r="J63" i="17"/>
  <c r="J11" i="17"/>
  <c r="J136" i="17"/>
  <c r="J176" i="17"/>
  <c r="J161" i="17"/>
  <c r="J125" i="17"/>
  <c r="J144" i="17"/>
  <c r="J72" i="17"/>
  <c r="J83" i="17"/>
  <c r="J78" i="17"/>
  <c r="J15" i="17"/>
  <c r="J54" i="17"/>
  <c r="J81" i="17"/>
  <c r="F346" i="27" s="1" a="1"/>
  <c r="F346" i="27" s="1"/>
  <c r="G346" i="27" s="1"/>
  <c r="J96" i="17"/>
  <c r="J133" i="17"/>
  <c r="J148" i="17"/>
  <c r="J151" i="17"/>
  <c r="J168" i="17"/>
  <c r="J104" i="17"/>
  <c r="J129" i="17"/>
  <c r="J60" i="17"/>
  <c r="J47" i="17"/>
  <c r="J82" i="17"/>
  <c r="J20" i="17"/>
  <c r="J117" i="17"/>
  <c r="J79" i="17"/>
  <c r="J103" i="17"/>
  <c r="J90" i="17"/>
  <c r="J172" i="17"/>
  <c r="J158" i="17"/>
  <c r="J89" i="17"/>
  <c r="J70" i="17"/>
  <c r="J73" i="17"/>
  <c r="J92" i="17"/>
  <c r="F395" i="27" s="1" a="1"/>
  <c r="F395" i="27" s="1"/>
  <c r="G395" i="27" s="1"/>
  <c r="J110" i="17"/>
  <c r="J71" i="17"/>
  <c r="J24" i="17"/>
  <c r="J94" i="17"/>
  <c r="J23" i="17"/>
  <c r="J33" i="17"/>
  <c r="J38" i="17"/>
  <c r="J149" i="17"/>
  <c r="J101" i="17"/>
  <c r="J107" i="17"/>
  <c r="Q54" i="26"/>
  <c r="Q57" i="26"/>
  <c r="Q66" i="26"/>
  <c r="Q23" i="26"/>
  <c r="Q26" i="26"/>
  <c r="Q35" i="26"/>
  <c r="Q78" i="26"/>
  <c r="Q10" i="26"/>
  <c r="Q46" i="26"/>
  <c r="Q40" i="26"/>
  <c r="Q29" i="26"/>
  <c r="Q24" i="26"/>
  <c r="Q21" i="26"/>
  <c r="Q72" i="26"/>
  <c r="Q42" i="26"/>
  <c r="Q63" i="26"/>
  <c r="Q62" i="26"/>
  <c r="Q53" i="26"/>
  <c r="Q48" i="26"/>
  <c r="Q4" i="26"/>
  <c r="Q71" i="26"/>
  <c r="Q5" i="26"/>
  <c r="Q45" i="26"/>
  <c r="Q9" i="26"/>
  <c r="Q18" i="26"/>
  <c r="Q76" i="26"/>
  <c r="Q31" i="26"/>
  <c r="Q37" i="26"/>
  <c r="Q15" i="26"/>
  <c r="Q12" i="26"/>
  <c r="Q7" i="26"/>
  <c r="Q33" i="26"/>
  <c r="Q22" i="26"/>
  <c r="Q25" i="26"/>
  <c r="Q51" i="26"/>
  <c r="Q60" i="26"/>
  <c r="Q64" i="26"/>
  <c r="Q56" i="26"/>
  <c r="Q65" i="26"/>
  <c r="Q3" i="26"/>
  <c r="Q50" i="26"/>
  <c r="Q34" i="26"/>
  <c r="Q6" i="26"/>
  <c r="Q69" i="26"/>
  <c r="Q39" i="26"/>
  <c r="Q36" i="26"/>
  <c r="Q28" i="26"/>
  <c r="Q70" i="26"/>
  <c r="Q11" i="26"/>
  <c r="Q32" i="26"/>
  <c r="Q2" i="25" s="1"/>
  <c r="Q16" i="26"/>
  <c r="Q13" i="26"/>
  <c r="Q8" i="26"/>
  <c r="Q55" i="26"/>
  <c r="Q52" i="26"/>
  <c r="Q59" i="26"/>
  <c r="Q2" i="26"/>
  <c r="Q14" i="26"/>
  <c r="Q74" i="26"/>
  <c r="Q58" i="26"/>
  <c r="Q17" i="26"/>
  <c r="Q43" i="26"/>
  <c r="Q44" i="26"/>
  <c r="Q67" i="26"/>
  <c r="Q27" i="26"/>
  <c r="Q49" i="26"/>
  <c r="Q19" i="26"/>
  <c r="Q38" i="26"/>
  <c r="Q41" i="26"/>
  <c r="Q30" i="26"/>
  <c r="Q68" i="26"/>
  <c r="Q75" i="26"/>
  <c r="Q77" i="26"/>
  <c r="Q47" i="26"/>
  <c r="Q20" i="26"/>
  <c r="Q61" i="26"/>
  <c r="J75" i="17"/>
  <c r="J145" i="17"/>
  <c r="J4" i="17"/>
  <c r="J53" i="17"/>
  <c r="J122" i="17"/>
  <c r="J150" i="17"/>
  <c r="F700" i="27" s="1" a="1"/>
  <c r="F700" i="27" s="1"/>
  <c r="G700" i="27" s="1"/>
  <c r="J10" i="17"/>
  <c r="F30" i="27" s="1" a="1"/>
  <c r="F30" i="27" s="1"/>
  <c r="G30" i="27" s="1"/>
  <c r="J117" i="22"/>
  <c r="J72" i="22"/>
  <c r="J105" i="22"/>
  <c r="J120" i="22"/>
  <c r="J106" i="22"/>
  <c r="F515" i="27" s="1" a="1"/>
  <c r="F515" i="27" s="1"/>
  <c r="G515" i="27" s="1"/>
  <c r="J95" i="22"/>
  <c r="J79" i="22"/>
  <c r="J28" i="22"/>
  <c r="F113" i="27" s="1" a="1"/>
  <c r="F113" i="27" s="1"/>
  <c r="G113" i="27" s="1"/>
  <c r="J135" i="22"/>
  <c r="J27" i="22"/>
  <c r="J102" i="22"/>
  <c r="J61" i="22"/>
  <c r="J115" i="22"/>
  <c r="J128" i="22"/>
  <c r="J20" i="22"/>
  <c r="F89" i="27" s="1" a="1"/>
  <c r="F89" i="27" s="1"/>
  <c r="G89" i="27" s="1"/>
  <c r="J69" i="22"/>
  <c r="J85" i="22"/>
  <c r="J48" i="22"/>
  <c r="J126" i="22"/>
  <c r="J44" i="22"/>
  <c r="J112" i="22"/>
  <c r="J38" i="22"/>
  <c r="J91" i="22"/>
  <c r="F445" i="27" s="1" a="1"/>
  <c r="F445" i="27" s="1"/>
  <c r="G445" i="27" s="1"/>
  <c r="J46" i="22"/>
  <c r="F212" i="27" s="1" a="1"/>
  <c r="F212" i="27" s="1"/>
  <c r="G212" i="27" s="1"/>
  <c r="J3" i="22"/>
  <c r="J97" i="22"/>
  <c r="J58" i="22"/>
  <c r="F265" i="27" s="1" a="1"/>
  <c r="F265" i="27" s="1"/>
  <c r="G265" i="27" s="1"/>
  <c r="J86" i="22"/>
  <c r="J75" i="22"/>
  <c r="J57" i="22"/>
  <c r="J31" i="22"/>
  <c r="J130" i="22"/>
  <c r="J113" i="22"/>
  <c r="J89" i="22"/>
  <c r="J30" i="22"/>
  <c r="J129" i="22"/>
  <c r="J51" i="22"/>
  <c r="J29" i="22"/>
  <c r="J109" i="22"/>
  <c r="J70" i="22"/>
  <c r="J7" i="22"/>
  <c r="J16" i="22"/>
  <c r="J121" i="22"/>
  <c r="J139" i="22"/>
  <c r="J22" i="22"/>
  <c r="J127" i="22"/>
  <c r="J54" i="22"/>
  <c r="J36" i="22"/>
  <c r="J12" i="22"/>
  <c r="F52" i="27" s="1" a="1"/>
  <c r="F52" i="27" s="1"/>
  <c r="G52" i="27" s="1"/>
  <c r="J55" i="22"/>
  <c r="J81" i="22"/>
  <c r="F394" i="27" s="1" a="1"/>
  <c r="F394" i="27" s="1"/>
  <c r="G394" i="27" s="1"/>
  <c r="J2" i="22"/>
  <c r="J88" i="22"/>
  <c r="J103" i="22"/>
  <c r="J82" i="22"/>
  <c r="F378" i="27" s="1" a="1"/>
  <c r="F378" i="27" s="1"/>
  <c r="G378" i="27" s="1"/>
  <c r="J73" i="22"/>
  <c r="J125" i="22"/>
  <c r="J114" i="22"/>
  <c r="J9" i="22"/>
  <c r="J33" i="22"/>
  <c r="J5" i="22"/>
  <c r="J25" i="22"/>
  <c r="J53" i="22"/>
  <c r="J90" i="22"/>
  <c r="J15" i="22"/>
  <c r="J66" i="22"/>
  <c r="J60" i="22"/>
  <c r="J134" i="22"/>
  <c r="J74" i="22"/>
  <c r="F337" i="27" s="1" a="1"/>
  <c r="F337" i="27" s="1"/>
  <c r="G337" i="27" s="1"/>
  <c r="J59" i="22"/>
  <c r="F269" i="27" s="1" a="1"/>
  <c r="F269" i="27" s="1"/>
  <c r="G269" i="27" s="1"/>
  <c r="J116" i="22"/>
  <c r="J34" i="22"/>
  <c r="J13" i="22"/>
  <c r="J104" i="22"/>
  <c r="J23" i="22"/>
  <c r="J131" i="22"/>
  <c r="J42" i="22"/>
  <c r="F180" i="27" s="1" a="1"/>
  <c r="F180" i="27" s="1"/>
  <c r="G180" i="27" s="1"/>
  <c r="J76" i="22"/>
  <c r="J67" i="22"/>
  <c r="J110" i="22"/>
  <c r="J132" i="22"/>
  <c r="J78" i="22"/>
  <c r="J4" i="22"/>
  <c r="J77" i="22"/>
  <c r="J94" i="22"/>
  <c r="J18" i="22"/>
  <c r="J83" i="22"/>
  <c r="F447" i="27" s="1" a="1"/>
  <c r="F447" i="27" s="1"/>
  <c r="G447" i="27" s="1"/>
  <c r="J71" i="22"/>
  <c r="F308" i="27" s="1" a="1"/>
  <c r="F308" i="27" s="1"/>
  <c r="G308" i="27" s="1"/>
  <c r="J43" i="22"/>
  <c r="G284" i="23"/>
  <c r="D284" i="23"/>
  <c r="H284" i="23"/>
  <c r="F284" i="23"/>
  <c r="E284" i="23"/>
  <c r="F656" i="27" l="1" a="1"/>
  <c r="F656" i="27" s="1"/>
  <c r="G656" i="27" s="1"/>
  <c r="F825" i="27" a="1"/>
  <c r="F825" i="27" s="1"/>
  <c r="G825" i="27" s="1"/>
  <c r="F266" i="27" a="1"/>
  <c r="F266" i="27" s="1"/>
  <c r="G266" i="27" s="1"/>
  <c r="F701" i="27" a="1"/>
  <c r="F701" i="27" s="1"/>
  <c r="G701" i="27" s="1"/>
  <c r="F312" i="27" a="1"/>
  <c r="F312" i="27" s="1"/>
  <c r="G312" i="27" s="1"/>
  <c r="F132" i="27" a="1"/>
  <c r="F132" i="27" s="1"/>
  <c r="G132" i="27" s="1"/>
  <c r="F481" i="27" a="1"/>
  <c r="F481" i="27" s="1"/>
  <c r="G481" i="27" s="1"/>
  <c r="F744" i="27" a="1"/>
  <c r="F744" i="27" s="1"/>
  <c r="G744" i="27" s="1"/>
  <c r="F491" i="27" a="1"/>
  <c r="F491" i="27" s="1"/>
  <c r="G491" i="27" s="1"/>
  <c r="F694" i="27" a="1"/>
  <c r="F694" i="27" s="1"/>
  <c r="G694" i="27" s="1"/>
  <c r="F500" i="27" a="1"/>
  <c r="F500" i="27" s="1"/>
  <c r="G500" i="27" s="1"/>
  <c r="F476" i="27" a="1"/>
  <c r="F476" i="27" s="1"/>
  <c r="G476" i="27" s="1"/>
  <c r="F226" i="27" a="1"/>
  <c r="F226" i="27" s="1"/>
  <c r="G226" i="27" s="1"/>
  <c r="F450" i="27" a="1"/>
  <c r="F450" i="27" s="1"/>
  <c r="G450" i="27" s="1"/>
  <c r="F51" i="27" a="1"/>
  <c r="F51" i="27" s="1"/>
  <c r="G51" i="27" s="1"/>
  <c r="F391" i="27" a="1"/>
  <c r="F391" i="27" s="1"/>
  <c r="G391" i="27" s="1"/>
  <c r="F72" i="27" a="1"/>
  <c r="F72" i="27" s="1"/>
  <c r="G72" i="27" s="1"/>
  <c r="F633" i="27" a="1"/>
  <c r="F633" i="27" s="1"/>
  <c r="G633" i="27" s="1"/>
  <c r="F340" i="27" a="1"/>
  <c r="F340" i="27" s="1"/>
  <c r="G340" i="27" s="1"/>
  <c r="F800" i="27" a="1"/>
  <c r="F800" i="27" s="1"/>
  <c r="G800" i="27" s="1"/>
  <c r="F82" i="27" a="1"/>
  <c r="F82" i="27" s="1"/>
  <c r="G82" i="27" s="1"/>
  <c r="F99" i="27" a="1"/>
  <c r="F99" i="27" s="1"/>
  <c r="G99" i="27" s="1"/>
  <c r="K268" i="23"/>
  <c r="AA442" i="5" s="1"/>
  <c r="F29" i="27" a="1"/>
  <c r="F29" i="27" s="1"/>
  <c r="G29" i="27" s="1"/>
  <c r="F301" i="27" a="1"/>
  <c r="F301" i="27" s="1"/>
  <c r="G301" i="27" s="1"/>
  <c r="F18" i="27" a="1"/>
  <c r="F18" i="27" s="1"/>
  <c r="G18" i="27" s="1"/>
  <c r="F791" i="27" a="1"/>
  <c r="F791" i="27" s="1"/>
  <c r="G791" i="27" s="1"/>
  <c r="F589" i="27" a="1"/>
  <c r="F589" i="27" s="1"/>
  <c r="G589" i="27" s="1"/>
  <c r="F371" i="27" a="1"/>
  <c r="F371" i="27" s="1"/>
  <c r="G371" i="27" s="1"/>
  <c r="F682" i="27" a="1"/>
  <c r="F682" i="27" s="1"/>
  <c r="G682" i="27" s="1"/>
  <c r="F177" i="27" a="1"/>
  <c r="F177" i="27" s="1"/>
  <c r="G177" i="27" s="1"/>
  <c r="F690" i="27" a="1"/>
  <c r="F690" i="27" s="1"/>
  <c r="G690" i="27" s="1"/>
  <c r="F107" i="27" a="1"/>
  <c r="F107" i="27" s="1"/>
  <c r="G107" i="27" s="1"/>
  <c r="F756" i="27" a="1"/>
  <c r="F756" i="27" s="1"/>
  <c r="G756" i="27" s="1"/>
  <c r="F697" i="27" a="1"/>
  <c r="F697" i="27" s="1"/>
  <c r="G697" i="27" s="1"/>
  <c r="F527" i="27" a="1"/>
  <c r="F527" i="27" s="1"/>
  <c r="G527" i="27" s="1"/>
  <c r="F404" i="27" a="1"/>
  <c r="F404" i="27" s="1"/>
  <c r="G404" i="27" s="1"/>
  <c r="F777" i="27" a="1"/>
  <c r="F777" i="27" s="1"/>
  <c r="G777" i="27" s="1"/>
  <c r="F695" i="27" a="1"/>
  <c r="F695" i="27" s="1"/>
  <c r="G695" i="27" s="1"/>
  <c r="F706" i="27" a="1"/>
  <c r="F706" i="27" s="1"/>
  <c r="G706" i="27" s="1"/>
  <c r="F145" i="27" a="1"/>
  <c r="F145" i="27" s="1"/>
  <c r="G145" i="27" s="1"/>
  <c r="F311" i="27" a="1"/>
  <c r="F311" i="27" s="1"/>
  <c r="G311" i="27" s="1"/>
  <c r="F175" i="27" a="1"/>
  <c r="F175" i="27" s="1"/>
  <c r="G175" i="27" s="1"/>
  <c r="F536" i="27" a="1"/>
  <c r="F536" i="27" s="1"/>
  <c r="G536" i="27" s="1"/>
  <c r="F127" i="27" a="1"/>
  <c r="F127" i="27" s="1"/>
  <c r="G127" i="27" s="1"/>
  <c r="F775" i="27" a="1"/>
  <c r="F775" i="27" s="1"/>
  <c r="G775" i="27" s="1"/>
  <c r="F472" i="27" a="1"/>
  <c r="F472" i="27" s="1"/>
  <c r="G472" i="27" s="1"/>
  <c r="F475" i="27" a="1"/>
  <c r="F475" i="27" s="1"/>
  <c r="G475" i="27" s="1"/>
  <c r="F448" i="27" a="1"/>
  <c r="F448" i="27" s="1"/>
  <c r="G448" i="27" s="1"/>
  <c r="F77" i="27" a="1"/>
  <c r="F77" i="27" s="1"/>
  <c r="G77" i="27" s="1"/>
  <c r="F632" i="27" a="1"/>
  <c r="F632" i="27" s="1"/>
  <c r="G632" i="27" s="1"/>
  <c r="F661" i="27" a="1"/>
  <c r="F661" i="27" s="1"/>
  <c r="G661" i="27" s="1"/>
  <c r="F669" i="27" a="1"/>
  <c r="F669" i="27" s="1"/>
  <c r="G669" i="27" s="1"/>
  <c r="F289" i="27" a="1"/>
  <c r="F289" i="27" s="1"/>
  <c r="G289" i="27" s="1"/>
  <c r="F758" i="27" a="1"/>
  <c r="F758" i="27" s="1"/>
  <c r="G758" i="27" s="1"/>
  <c r="F742" i="27" a="1"/>
  <c r="F742" i="27" s="1"/>
  <c r="G742" i="27" s="1"/>
  <c r="F216" i="27" a="1"/>
  <c r="F216" i="27" s="1"/>
  <c r="G216" i="27" s="1"/>
  <c r="F592" i="27" a="1"/>
  <c r="F592" i="27" s="1"/>
  <c r="G592" i="27" s="1"/>
  <c r="F640" i="27" a="1"/>
  <c r="F640" i="27" s="1"/>
  <c r="G640" i="27" s="1"/>
  <c r="F19" i="27" a="1"/>
  <c r="F19" i="27" s="1"/>
  <c r="G19" i="27" s="1"/>
  <c r="F338" i="27" a="1"/>
  <c r="F338" i="27" s="1"/>
  <c r="G338" i="27" s="1"/>
  <c r="F492" i="27" a="1"/>
  <c r="F492" i="27" s="1"/>
  <c r="G492" i="27" s="1"/>
  <c r="F237" i="27" a="1"/>
  <c r="F237" i="27" s="1"/>
  <c r="G237" i="27" s="1"/>
  <c r="F546" i="27" a="1"/>
  <c r="F546" i="27" s="1"/>
  <c r="G546" i="27" s="1"/>
  <c r="F826" i="27" a="1"/>
  <c r="F826" i="27" s="1"/>
  <c r="G826" i="27" s="1"/>
  <c r="F187" i="27" a="1"/>
  <c r="F187" i="27" s="1"/>
  <c r="G187" i="27" s="1"/>
  <c r="F767" i="27" a="1"/>
  <c r="F767" i="27" s="1"/>
  <c r="G767" i="27" s="1"/>
  <c r="F296" i="27" a="1"/>
  <c r="F296" i="27" s="1"/>
  <c r="G296" i="27" s="1"/>
  <c r="F595" i="27" a="1"/>
  <c r="F595" i="27" s="1"/>
  <c r="G595" i="27" s="1"/>
  <c r="F321" i="27" a="1"/>
  <c r="F321" i="27" s="1"/>
  <c r="G321" i="27" s="1"/>
  <c r="F580" i="27" a="1"/>
  <c r="F580" i="27" s="1"/>
  <c r="G580" i="27" s="1"/>
  <c r="F702" i="27" a="1"/>
  <c r="F702" i="27" s="1"/>
  <c r="G702" i="27" s="1"/>
  <c r="F692" i="27" a="1"/>
  <c r="F692" i="27" s="1"/>
  <c r="G692" i="27" s="1"/>
  <c r="F477" i="27" a="1"/>
  <c r="F477" i="27" s="1"/>
  <c r="G477" i="27" s="1"/>
  <c r="F433" i="27" a="1"/>
  <c r="F433" i="27" s="1"/>
  <c r="G433" i="27" s="1"/>
  <c r="F240" i="27" a="1"/>
  <c r="F240" i="27" s="1"/>
  <c r="G240" i="27" s="1"/>
  <c r="F79" i="27" a="1"/>
  <c r="F79" i="27" s="1"/>
  <c r="G79" i="27" s="1"/>
  <c r="F462" i="27" a="1"/>
  <c r="F462" i="27" s="1"/>
  <c r="G462" i="27" s="1"/>
  <c r="F420" i="27" a="1"/>
  <c r="F420" i="27" s="1"/>
  <c r="G420" i="27" s="1"/>
  <c r="F474" i="27" a="1"/>
  <c r="F474" i="27" s="1"/>
  <c r="G474" i="27" s="1"/>
  <c r="F627" i="27" a="1"/>
  <c r="F627" i="27" s="1"/>
  <c r="G627" i="27" s="1"/>
  <c r="F521" i="27" a="1"/>
  <c r="F521" i="27" s="1"/>
  <c r="G521" i="27" s="1"/>
  <c r="F830" i="27" a="1"/>
  <c r="F830" i="27" s="1"/>
  <c r="G830" i="27" s="1"/>
  <c r="F787" i="27" a="1"/>
  <c r="F787" i="27" s="1"/>
  <c r="G787" i="27" s="1"/>
  <c r="F578" i="27" a="1"/>
  <c r="F578" i="27" s="1"/>
  <c r="G578" i="27" s="1"/>
  <c r="F713" i="27" a="1"/>
  <c r="F713" i="27" s="1"/>
  <c r="G713" i="27" s="1"/>
  <c r="F470" i="27" a="1"/>
  <c r="F470" i="27" s="1"/>
  <c r="G470" i="27" s="1"/>
  <c r="F259" i="27" a="1"/>
  <c r="F259" i="27" s="1"/>
  <c r="G259" i="27" s="1"/>
  <c r="F93" i="27" a="1"/>
  <c r="F93" i="27" s="1"/>
  <c r="G93" i="27" s="1"/>
  <c r="F518" i="27" a="1"/>
  <c r="F518" i="27" s="1"/>
  <c r="G518" i="27" s="1"/>
  <c r="F4" i="27" a="1"/>
  <c r="F4" i="27" s="1"/>
  <c r="G4" i="27" s="1"/>
  <c r="F73" i="27" a="1"/>
  <c r="F73" i="27" s="1"/>
  <c r="G73" i="27" s="1"/>
  <c r="F733" i="27" a="1"/>
  <c r="F733" i="27" s="1"/>
  <c r="G733" i="27" s="1"/>
  <c r="F531" i="27" a="1"/>
  <c r="F531" i="27" s="1"/>
  <c r="G531" i="27" s="1"/>
  <c r="F588" i="27" a="1"/>
  <c r="F588" i="27" s="1"/>
  <c r="G588" i="27" s="1"/>
  <c r="F551" i="27" a="1"/>
  <c r="F551" i="27" s="1"/>
  <c r="G551" i="27" s="1"/>
  <c r="F164" i="27" a="1"/>
  <c r="F164" i="27" s="1"/>
  <c r="G164" i="27" s="1"/>
  <c r="F431" i="27" a="1"/>
  <c r="F431" i="27" s="1"/>
  <c r="G431" i="27" s="1"/>
  <c r="F583" i="27" a="1"/>
  <c r="F583" i="27" s="1"/>
  <c r="G583" i="27" s="1"/>
  <c r="F603" i="27" a="1"/>
  <c r="F603" i="27" s="1"/>
  <c r="G603" i="27" s="1"/>
  <c r="F254" i="27" a="1"/>
  <c r="F254" i="27" s="1"/>
  <c r="G254" i="27" s="1"/>
  <c r="F747" i="27" a="1"/>
  <c r="F747" i="27" s="1"/>
  <c r="G747" i="27" s="1"/>
  <c r="F584" i="27" a="1"/>
  <c r="F584" i="27" s="1"/>
  <c r="G584" i="27" s="1"/>
  <c r="F730" i="27" a="1"/>
  <c r="F730" i="27" s="1"/>
  <c r="G730" i="27" s="1"/>
  <c r="F235" i="27" a="1"/>
  <c r="F235" i="27" s="1"/>
  <c r="G235" i="27" s="1"/>
  <c r="F516" i="27" a="1"/>
  <c r="F516" i="27" s="1"/>
  <c r="G516" i="27" s="1"/>
  <c r="F230" i="27" a="1"/>
  <c r="F230" i="27" s="1"/>
  <c r="G230" i="27" s="1"/>
  <c r="F487" i="27" a="1"/>
  <c r="F487" i="27" s="1"/>
  <c r="G487" i="27" s="1"/>
  <c r="F146" i="27" a="1"/>
  <c r="F146" i="27" s="1"/>
  <c r="G146" i="27" s="1"/>
  <c r="F25" i="27" a="1"/>
  <c r="F25" i="27" s="1"/>
  <c r="G25" i="27" s="1"/>
  <c r="F562" i="27" a="1"/>
  <c r="F562" i="27" s="1"/>
  <c r="G562" i="27" s="1"/>
  <c r="F757" i="27" a="1"/>
  <c r="F757" i="27" s="1"/>
  <c r="G757" i="27" s="1"/>
  <c r="F247" i="27" a="1"/>
  <c r="F247" i="27" s="1"/>
  <c r="G247" i="27" s="1"/>
  <c r="F838" i="27" a="1"/>
  <c r="F838" i="27" s="1"/>
  <c r="G838" i="27" s="1"/>
  <c r="F461" i="27" a="1"/>
  <c r="F461" i="27" s="1"/>
  <c r="G461" i="27" s="1"/>
  <c r="F17" i="27" a="1"/>
  <c r="F17" i="27" s="1"/>
  <c r="G17" i="27" s="1"/>
  <c r="F320" i="27" a="1"/>
  <c r="F320" i="27" s="1"/>
  <c r="G320" i="27" s="1"/>
  <c r="F558" i="27" a="1"/>
  <c r="F558" i="27" s="1"/>
  <c r="G558" i="27" s="1"/>
  <c r="F134" i="27" a="1"/>
  <c r="F134" i="27" s="1"/>
  <c r="G134" i="27" s="1"/>
  <c r="F653" i="27" a="1"/>
  <c r="F653" i="27" s="1"/>
  <c r="G653" i="27" s="1"/>
  <c r="F593" i="27" a="1"/>
  <c r="F593" i="27" s="1"/>
  <c r="G593" i="27" s="1"/>
  <c r="F817" i="27" a="1"/>
  <c r="F817" i="27" s="1"/>
  <c r="G817" i="27" s="1"/>
  <c r="F56" i="27" a="1"/>
  <c r="F56" i="27" s="1"/>
  <c r="G56" i="27" s="1"/>
  <c r="F83" i="27" a="1"/>
  <c r="F83" i="27" s="1"/>
  <c r="G83" i="27" s="1"/>
  <c r="F670" i="27" a="1"/>
  <c r="F670" i="27" s="1"/>
  <c r="G670" i="27" s="1"/>
  <c r="F236" i="27" a="1"/>
  <c r="F236" i="27" s="1"/>
  <c r="G236" i="27" s="1"/>
  <c r="F381" i="27" a="1"/>
  <c r="F381" i="27" s="1"/>
  <c r="G381" i="27" s="1"/>
  <c r="F792" i="27" a="1"/>
  <c r="F792" i="27" s="1"/>
  <c r="G792" i="27" s="1"/>
  <c r="F357" i="27" a="1"/>
  <c r="F357" i="27" s="1"/>
  <c r="G357" i="27" s="1"/>
  <c r="F96" i="27" a="1"/>
  <c r="F96" i="27" s="1"/>
  <c r="G96" i="27" s="1"/>
  <c r="F43" i="27" a="1"/>
  <c r="F43" i="27" s="1"/>
  <c r="G43" i="27" s="1"/>
  <c r="F565" i="27" a="1"/>
  <c r="F565" i="27" s="1"/>
  <c r="G565" i="27" s="1"/>
  <c r="F24" i="27" a="1"/>
  <c r="F24" i="27" s="1"/>
  <c r="G24" i="27" s="1"/>
  <c r="F231" i="27" a="1"/>
  <c r="F231" i="27" s="1"/>
  <c r="G231" i="27" s="1"/>
  <c r="F264" i="27" a="1"/>
  <c r="F264" i="27" s="1"/>
  <c r="G264" i="27" s="1"/>
  <c r="F505" i="27" a="1"/>
  <c r="F505" i="27" s="1"/>
  <c r="G505" i="27" s="1"/>
  <c r="F402" i="27" a="1"/>
  <c r="F402" i="27" s="1"/>
  <c r="G402" i="27" s="1"/>
  <c r="F537" i="27" a="1"/>
  <c r="F537" i="27" s="1"/>
  <c r="G537" i="27" s="1"/>
  <c r="F752" i="27" a="1"/>
  <c r="F752" i="27" s="1"/>
  <c r="G752" i="27" s="1"/>
  <c r="F493" i="27" a="1"/>
  <c r="F493" i="27" s="1"/>
  <c r="G493" i="27" s="1"/>
  <c r="F699" i="27" a="1"/>
  <c r="F699" i="27" s="1"/>
  <c r="G699" i="27" s="1"/>
  <c r="F614" i="27" a="1"/>
  <c r="F614" i="27" s="1"/>
  <c r="G614" i="27" s="1"/>
  <c r="F419" i="27" a="1"/>
  <c r="F419" i="27" s="1"/>
  <c r="G419" i="27" s="1"/>
  <c r="F162" i="27" a="1"/>
  <c r="F162" i="27" s="1"/>
  <c r="G162" i="27" s="1"/>
  <c r="F397" i="27" a="1"/>
  <c r="F397" i="27" s="1"/>
  <c r="G397" i="27" s="1"/>
  <c r="F399" i="27" a="1"/>
  <c r="F399" i="27" s="1"/>
  <c r="G399" i="27" s="1"/>
  <c r="F12" i="27" a="1"/>
  <c r="F12" i="27" s="1"/>
  <c r="G12" i="27" s="1"/>
  <c r="F655" i="27" a="1"/>
  <c r="F655" i="27" s="1"/>
  <c r="G655" i="27" s="1"/>
  <c r="F613" i="27" a="1"/>
  <c r="F613" i="27" s="1"/>
  <c r="G613" i="27" s="1"/>
  <c r="F615" i="27" a="1"/>
  <c r="F615" i="27" s="1"/>
  <c r="G615" i="27" s="1"/>
  <c r="F547" i="27" a="1"/>
  <c r="F547" i="27" s="1"/>
  <c r="G547" i="27" s="1"/>
  <c r="F638" i="27" a="1"/>
  <c r="F638" i="27" s="1"/>
  <c r="G638" i="27" s="1"/>
  <c r="F601" i="27" a="1"/>
  <c r="F601" i="27" s="1"/>
  <c r="G601" i="27" s="1"/>
  <c r="F8" i="27" a="1"/>
  <c r="F8" i="27" s="1"/>
  <c r="G8" i="27" s="1"/>
  <c r="F148" i="27" a="1"/>
  <c r="F148" i="27" s="1"/>
  <c r="G148" i="27" s="1"/>
  <c r="F727" i="27" a="1"/>
  <c r="F727" i="27" s="1"/>
  <c r="G727" i="27" s="1"/>
  <c r="F571" i="27" a="1"/>
  <c r="F571" i="27" s="1"/>
  <c r="G571" i="27" s="1"/>
  <c r="F191" i="27" a="1"/>
  <c r="F191" i="27" s="1"/>
  <c r="G191" i="27" s="1"/>
  <c r="F120" i="27" a="1"/>
  <c r="F120" i="27" s="1"/>
  <c r="G120" i="27" s="1"/>
  <c r="F41" i="27" a="1"/>
  <c r="F41" i="27" s="1"/>
  <c r="G41" i="27" s="1"/>
  <c r="F375" i="27" a="1"/>
  <c r="F375" i="27" s="1"/>
  <c r="G375" i="27" s="1"/>
  <c r="F749" i="27" a="1"/>
  <c r="F749" i="27" s="1"/>
  <c r="G749" i="27" s="1"/>
  <c r="F71" i="27" a="1"/>
  <c r="F71" i="27" s="1"/>
  <c r="G71" i="27" s="1"/>
  <c r="F171" i="27" a="1"/>
  <c r="F171" i="27" s="1"/>
  <c r="G171" i="27" s="1"/>
  <c r="F149" i="27" a="1"/>
  <c r="F149" i="27" s="1"/>
  <c r="G149" i="27" s="1"/>
  <c r="F785" i="27" a="1"/>
  <c r="F785" i="27" s="1"/>
  <c r="G785" i="27" s="1"/>
  <c r="F498" i="27" a="1"/>
  <c r="F498" i="27" s="1"/>
  <c r="G498" i="27" s="1"/>
  <c r="F118" i="27" a="1"/>
  <c r="F118" i="27" s="1"/>
  <c r="G118" i="27" s="1"/>
  <c r="F418" i="27" a="1"/>
  <c r="F418" i="27" s="1"/>
  <c r="G418" i="27" s="1"/>
  <c r="F738" i="27" a="1"/>
  <c r="F738" i="27" s="1"/>
  <c r="G738" i="27" s="1"/>
  <c r="F365" i="27" a="1"/>
  <c r="F365" i="27" s="1"/>
  <c r="G365" i="27" s="1"/>
  <c r="F406" i="27" a="1"/>
  <c r="F406" i="27" s="1"/>
  <c r="G406" i="27" s="1"/>
  <c r="F519" i="27" a="1"/>
  <c r="F519" i="27" s="1"/>
  <c r="G519" i="27" s="1"/>
  <c r="F293" i="27" a="1"/>
  <c r="F293" i="27" s="1"/>
  <c r="G293" i="27" s="1"/>
  <c r="F635" i="27" a="1"/>
  <c r="F635" i="27" s="1"/>
  <c r="G635" i="27" s="1"/>
  <c r="F628" i="27" a="1"/>
  <c r="F628" i="27" s="1"/>
  <c r="G628" i="27" s="1"/>
  <c r="F219" i="27" a="1"/>
  <c r="F219" i="27" s="1"/>
  <c r="G219" i="27" s="1"/>
  <c r="F364" i="27" a="1"/>
  <c r="F364" i="27" s="1"/>
  <c r="G364" i="27" s="1"/>
  <c r="F119" i="27" a="1"/>
  <c r="F119" i="27" s="1"/>
  <c r="G119" i="27" s="1"/>
  <c r="F688" i="27" a="1"/>
  <c r="F688" i="27" s="1"/>
  <c r="G688" i="27" s="1"/>
  <c r="F618" i="27" a="1"/>
  <c r="F618" i="27" s="1"/>
  <c r="G618" i="27" s="1"/>
  <c r="F567" i="27" a="1"/>
  <c r="F567" i="27" s="1"/>
  <c r="G567" i="27" s="1"/>
  <c r="F568" i="27" a="1"/>
  <c r="F568" i="27" s="1"/>
  <c r="G568" i="27" s="1"/>
  <c r="F532" i="27" a="1"/>
  <c r="F532" i="27" s="1"/>
  <c r="G532" i="27" s="1"/>
  <c r="F150" i="27" a="1"/>
  <c r="F150" i="27" s="1"/>
  <c r="G150" i="27" s="1"/>
  <c r="F353" i="27" a="1"/>
  <c r="F353" i="27" s="1"/>
  <c r="G353" i="27" s="1"/>
  <c r="F672" i="27" a="1"/>
  <c r="F672" i="27" s="1"/>
  <c r="G672" i="27" s="1"/>
  <c r="F805" i="27" a="1"/>
  <c r="F805" i="27" s="1"/>
  <c r="G805" i="27" s="1"/>
  <c r="F732" i="27" a="1"/>
  <c r="F732" i="27" s="1"/>
  <c r="G732" i="27" s="1"/>
  <c r="F53" i="27" a="1"/>
  <c r="F53" i="27" s="1"/>
  <c r="G53" i="27" s="1"/>
  <c r="F366" i="27" a="1"/>
  <c r="F366" i="27" s="1"/>
  <c r="G366" i="27" s="1"/>
  <c r="F393" i="27" a="1"/>
  <c r="F393" i="27" s="1"/>
  <c r="G393" i="27" s="1"/>
  <c r="F15" i="27" a="1"/>
  <c r="F15" i="27" s="1"/>
  <c r="G15" i="27" s="1"/>
  <c r="F704" i="27" a="1"/>
  <c r="F704" i="27" s="1"/>
  <c r="G704" i="27" s="1"/>
  <c r="F225" i="27" a="1"/>
  <c r="F225" i="27" s="1"/>
  <c r="G225" i="27" s="1"/>
  <c r="F591" i="27" a="1"/>
  <c r="F591" i="27" s="1"/>
  <c r="G591" i="27" s="1"/>
  <c r="F122" i="27" a="1"/>
  <c r="F122" i="27" s="1"/>
  <c r="G122" i="27" s="1"/>
  <c r="F229" i="27" a="1"/>
  <c r="F229" i="27" s="1"/>
  <c r="G229" i="27" s="1"/>
  <c r="F280" i="27" a="1"/>
  <c r="F280" i="27" s="1"/>
  <c r="G280" i="27" s="1"/>
  <c r="F284" i="27" a="1"/>
  <c r="F284" i="27" s="1"/>
  <c r="G284" i="27" s="1"/>
  <c r="F239" i="27" a="1"/>
  <c r="F239" i="27" s="1"/>
  <c r="G239" i="27" s="1"/>
  <c r="F37" i="27" a="1"/>
  <c r="F37" i="27" s="1"/>
  <c r="G37" i="27" s="1"/>
  <c r="F748" i="27" a="1"/>
  <c r="F748" i="27" s="1"/>
  <c r="G748" i="27" s="1"/>
  <c r="F741" i="27" a="1"/>
  <c r="F741" i="27" s="1"/>
  <c r="G741" i="27" s="1"/>
  <c r="F13" i="27" a="1"/>
  <c r="F13" i="27" s="1"/>
  <c r="G13" i="27" s="1"/>
  <c r="F642" i="27" a="1"/>
  <c r="F642" i="27" s="1"/>
  <c r="G642" i="27" s="1"/>
  <c r="F322" i="27" a="1"/>
  <c r="F322" i="27" s="1"/>
  <c r="G322" i="27" s="1"/>
  <c r="F511" i="27" a="1"/>
  <c r="F511" i="27" s="1"/>
  <c r="G511" i="27" s="1"/>
  <c r="F341" i="27" a="1"/>
  <c r="F341" i="27" s="1"/>
  <c r="G341" i="27" s="1"/>
  <c r="F242" i="27" a="1"/>
  <c r="F242" i="27" s="1"/>
  <c r="G242" i="27" s="1"/>
  <c r="F217" i="27" a="1"/>
  <c r="F217" i="27" s="1"/>
  <c r="G217" i="27" s="1"/>
  <c r="F283" i="27" a="1"/>
  <c r="F283" i="27" s="1"/>
  <c r="G283" i="27" s="1"/>
  <c r="F34" i="27" a="1"/>
  <c r="F34" i="27" s="1"/>
  <c r="G34" i="27" s="1"/>
  <c r="F471" i="27" a="1"/>
  <c r="F471" i="27" s="1"/>
  <c r="G471" i="27" s="1"/>
  <c r="F208" i="27" a="1"/>
  <c r="F208" i="27" s="1"/>
  <c r="G208" i="27" s="1"/>
  <c r="F759" i="27" a="1"/>
  <c r="F759" i="27" s="1"/>
  <c r="G759" i="27" s="1"/>
  <c r="F590" i="27" a="1"/>
  <c r="F590" i="27" s="1"/>
  <c r="G590" i="27" s="1"/>
  <c r="F330" i="27" a="1"/>
  <c r="F330" i="27" s="1"/>
  <c r="G330" i="27" s="1"/>
  <c r="F679" i="27" a="1"/>
  <c r="F679" i="27" s="1"/>
  <c r="G679" i="27" s="1"/>
  <c r="F837" i="27" a="1"/>
  <c r="F837" i="27" s="1"/>
  <c r="G837" i="27" s="1"/>
  <c r="F484" i="27" a="1"/>
  <c r="F484" i="27" s="1"/>
  <c r="G484" i="27" s="1"/>
  <c r="F48" i="27" a="1"/>
  <c r="F48" i="27" s="1"/>
  <c r="G48" i="27" s="1"/>
  <c r="F535" i="27" a="1"/>
  <c r="F535" i="27" s="1"/>
  <c r="G535" i="27" s="1"/>
  <c r="F710" i="27" a="1"/>
  <c r="F710" i="27" s="1"/>
  <c r="G710" i="27" s="1"/>
  <c r="F795" i="27" a="1"/>
  <c r="F795" i="27" s="1"/>
  <c r="G795" i="27" s="1"/>
  <c r="F117" i="27" a="1"/>
  <c r="F117" i="27" s="1"/>
  <c r="G117" i="27" s="1"/>
  <c r="F608" i="27" a="1"/>
  <c r="F608" i="27" s="1"/>
  <c r="G608" i="27" s="1"/>
  <c r="F572" i="27" a="1"/>
  <c r="F572" i="27" s="1"/>
  <c r="G572" i="27" s="1"/>
  <c r="F649" i="27" a="1"/>
  <c r="F649" i="27" s="1"/>
  <c r="G649" i="27" s="1"/>
  <c r="F80" i="27" a="1"/>
  <c r="F80" i="27" s="1"/>
  <c r="G80" i="27" s="1"/>
  <c r="F272" i="27" a="1"/>
  <c r="F272" i="27" s="1"/>
  <c r="G272" i="27" s="1"/>
  <c r="F680" i="27" a="1"/>
  <c r="F680" i="27" s="1"/>
  <c r="G680" i="27" s="1"/>
  <c r="F159" i="27" a="1"/>
  <c r="F159" i="27" s="1"/>
  <c r="G159" i="27" s="1"/>
  <c r="F634" i="27" a="1"/>
  <c r="F634" i="27" s="1"/>
  <c r="G634" i="27" s="1"/>
  <c r="F687" i="27" a="1"/>
  <c r="F687" i="27" s="1"/>
  <c r="G687" i="27" s="1"/>
  <c r="F658" i="27" a="1"/>
  <c r="F658" i="27" s="1"/>
  <c r="G658" i="27" s="1"/>
  <c r="F398" i="27" a="1"/>
  <c r="F398" i="27" s="1"/>
  <c r="G398" i="27" s="1"/>
  <c r="F57" i="27" a="1"/>
  <c r="F57" i="27" s="1"/>
  <c r="G57" i="27" s="1"/>
  <c r="F443" i="27" a="1"/>
  <c r="F443" i="27" s="1"/>
  <c r="G443" i="27" s="1"/>
  <c r="F317" i="27" a="1"/>
  <c r="F317" i="27" s="1"/>
  <c r="G317" i="27" s="1"/>
  <c r="F66" i="27" a="1"/>
  <c r="F66" i="27" s="1"/>
  <c r="G66" i="27" s="1"/>
  <c r="F305" i="27" a="1"/>
  <c r="F305" i="27" s="1"/>
  <c r="G305" i="27" s="1"/>
  <c r="F444" i="27" a="1"/>
  <c r="F444" i="27" s="1"/>
  <c r="G444" i="27" s="1"/>
  <c r="F534" i="27" a="1"/>
  <c r="F534" i="27" s="1"/>
  <c r="G534" i="27" s="1"/>
  <c r="F735" i="27" a="1"/>
  <c r="F735" i="27" s="1"/>
  <c r="G735" i="27" s="1"/>
  <c r="F596" i="27" a="1"/>
  <c r="F596" i="27" s="1"/>
  <c r="G596" i="27" s="1"/>
  <c r="F644" i="27" a="1"/>
  <c r="F644" i="27" s="1"/>
  <c r="G644" i="27" s="1"/>
  <c r="F411" i="27" a="1"/>
  <c r="F411" i="27" s="1"/>
  <c r="G411" i="27" s="1"/>
  <c r="F456" i="27" a="1"/>
  <c r="F456" i="27" s="1"/>
  <c r="G456" i="27" s="1"/>
  <c r="F416" i="27" a="1"/>
  <c r="F416" i="27" s="1"/>
  <c r="G416" i="27" s="1"/>
  <c r="F662" i="27" a="1"/>
  <c r="F662" i="27" s="1"/>
  <c r="G662" i="27" s="1"/>
  <c r="F707" i="27" a="1"/>
  <c r="F707" i="27" s="1"/>
  <c r="G707" i="27" s="1"/>
  <c r="F91" i="27" a="1"/>
  <c r="F91" i="27" s="1"/>
  <c r="G91" i="27" s="1"/>
  <c r="F327" i="27" a="1"/>
  <c r="F327" i="27" s="1"/>
  <c r="G327" i="27" s="1"/>
  <c r="F563" i="27" a="1"/>
  <c r="F563" i="27" s="1"/>
  <c r="G563" i="27" s="1"/>
  <c r="F646" i="27" a="1"/>
  <c r="F646" i="27" s="1"/>
  <c r="G646" i="27" s="1"/>
  <c r="F819" i="27" a="1"/>
  <c r="F819" i="27" s="1"/>
  <c r="G819" i="27" s="1"/>
  <c r="F630" i="27" a="1"/>
  <c r="F630" i="27" s="1"/>
  <c r="G630" i="27" s="1"/>
  <c r="F617" i="27" a="1"/>
  <c r="F617" i="27" s="1"/>
  <c r="G617" i="27" s="1"/>
  <c r="F490" i="27" a="1"/>
  <c r="F490" i="27" s="1"/>
  <c r="G490" i="27" s="1"/>
  <c r="F156" i="27" a="1"/>
  <c r="F156" i="27" s="1"/>
  <c r="G156" i="27" s="1"/>
  <c r="F691" i="27" a="1"/>
  <c r="F691" i="27" s="1"/>
  <c r="G691" i="27" s="1"/>
  <c r="F468" i="27" a="1"/>
  <c r="F468" i="27" s="1"/>
  <c r="G468" i="27" s="1"/>
  <c r="F63" i="27" a="1"/>
  <c r="F63" i="27" s="1"/>
  <c r="G63" i="27" s="1"/>
  <c r="F483" i="27" a="1"/>
  <c r="F483" i="27" s="1"/>
  <c r="G483" i="27" s="1"/>
  <c r="F253" i="27" a="1"/>
  <c r="F253" i="27" s="1"/>
  <c r="G253" i="27" s="1"/>
  <c r="F85" i="27" a="1"/>
  <c r="F85" i="27" s="1"/>
  <c r="G85" i="27" s="1"/>
  <c r="F276" i="27" a="1"/>
  <c r="F276" i="27" s="1"/>
  <c r="G276" i="27" s="1"/>
  <c r="F6" i="27" a="1"/>
  <c r="F6" i="27" s="1"/>
  <c r="G6" i="27" s="1"/>
  <c r="F594" i="27" a="1"/>
  <c r="F594" i="27" s="1"/>
  <c r="G594" i="27" s="1"/>
  <c r="F291" i="27" a="1"/>
  <c r="F291" i="27" s="1"/>
  <c r="G291" i="27" s="1"/>
  <c r="F648" i="27" a="1"/>
  <c r="F648" i="27" s="1"/>
  <c r="G648" i="27" s="1"/>
  <c r="F619" i="27" a="1"/>
  <c r="F619" i="27" s="1"/>
  <c r="G619" i="27" s="1"/>
  <c r="F295" i="27" a="1"/>
  <c r="F295" i="27" s="1"/>
  <c r="G295" i="27" s="1"/>
  <c r="F158" i="27" a="1"/>
  <c r="F158" i="27" s="1"/>
  <c r="G158" i="27" s="1"/>
  <c r="F495" i="27" a="1"/>
  <c r="F495" i="27" s="1"/>
  <c r="G495" i="27" s="1"/>
  <c r="F678" i="27" a="1"/>
  <c r="F678" i="27" s="1"/>
  <c r="G678" i="27" s="1"/>
  <c r="F751" i="27" a="1"/>
  <c r="F751" i="27" s="1"/>
  <c r="G751" i="27" s="1"/>
  <c r="F820" i="27" a="1"/>
  <c r="F820" i="27" s="1"/>
  <c r="G820" i="27" s="1"/>
  <c r="F390" i="27" a="1"/>
  <c r="F390" i="27" s="1"/>
  <c r="G390" i="27" s="1"/>
  <c r="F723" i="27" a="1"/>
  <c r="F723" i="27" s="1"/>
  <c r="G723" i="27" s="1"/>
  <c r="F233" i="27" a="1"/>
  <c r="F233" i="27" s="1"/>
  <c r="G233" i="27" s="1"/>
  <c r="F244" i="27" a="1"/>
  <c r="F244" i="27" s="1"/>
  <c r="G244" i="27" s="1"/>
  <c r="F174" i="27" a="1"/>
  <c r="F174" i="27" s="1"/>
  <c r="G174" i="27" s="1"/>
  <c r="F181" i="27" a="1"/>
  <c r="F181" i="27" s="1"/>
  <c r="G181" i="27" s="1"/>
  <c r="F540" i="27" a="1"/>
  <c r="F540" i="27" s="1"/>
  <c r="G540" i="27" s="1"/>
  <c r="F400" i="27" a="1"/>
  <c r="F400" i="27" s="1"/>
  <c r="G400" i="27" s="1"/>
  <c r="F7" i="27" a="1"/>
  <c r="F7" i="27" s="1"/>
  <c r="G7" i="27" s="1"/>
  <c r="F437" i="27" a="1"/>
  <c r="F437" i="27" s="1"/>
  <c r="G437" i="27" s="1"/>
  <c r="F241" i="27" a="1"/>
  <c r="F241" i="27" s="1"/>
  <c r="G241" i="27" s="1"/>
  <c r="F348" i="27" a="1"/>
  <c r="F348" i="27" s="1"/>
  <c r="G348" i="27" s="1"/>
  <c r="F552" i="27" a="1"/>
  <c r="F552" i="27" s="1"/>
  <c r="G552" i="27" s="1"/>
  <c r="F666" i="27" a="1"/>
  <c r="F666" i="27" s="1"/>
  <c r="G666" i="27" s="1"/>
  <c r="F11" i="27" a="1"/>
  <c r="F11" i="27" s="1"/>
  <c r="G11" i="27" s="1"/>
  <c r="F334" i="27" a="1"/>
  <c r="F334" i="27" s="1"/>
  <c r="G334" i="27" s="1"/>
  <c r="F514" i="27" a="1"/>
  <c r="F514" i="27" s="1"/>
  <c r="G514" i="27" s="1"/>
  <c r="F197" i="27" a="1"/>
  <c r="F197" i="27" s="1"/>
  <c r="G197" i="27" s="1"/>
  <c r="F23" i="27" a="1"/>
  <c r="F23" i="27" s="1"/>
  <c r="G23" i="27" s="1"/>
  <c r="F36" i="27" a="1"/>
  <c r="F36" i="27" s="1"/>
  <c r="G36" i="27" s="1"/>
  <c r="F345" i="27" a="1"/>
  <c r="F345" i="27" s="1"/>
  <c r="G345" i="27" s="1"/>
  <c r="F228" i="27" a="1"/>
  <c r="F228" i="27" s="1"/>
  <c r="G228" i="27" s="1"/>
  <c r="F234" i="27" a="1"/>
  <c r="F234" i="27" s="1"/>
  <c r="G234" i="27" s="1"/>
  <c r="F16" i="27" a="1"/>
  <c r="F16" i="27" s="1"/>
  <c r="G16" i="27" s="1"/>
  <c r="F813" i="27" a="1"/>
  <c r="F813" i="27" s="1"/>
  <c r="G813" i="27" s="1"/>
  <c r="F466" i="27" a="1"/>
  <c r="F466" i="27" s="1"/>
  <c r="G466" i="27" s="1"/>
  <c r="F140" i="27" a="1"/>
  <c r="F140" i="27" s="1"/>
  <c r="G140" i="27" s="1"/>
  <c r="F3" i="27" a="1"/>
  <c r="F3" i="27" s="1"/>
  <c r="G3" i="27" s="1"/>
  <c r="F600" i="27" a="1"/>
  <c r="F600" i="27" s="1"/>
  <c r="G600" i="27" s="1"/>
  <c r="F68" i="27" a="1"/>
  <c r="F68" i="27" s="1"/>
  <c r="G68" i="27" s="1"/>
  <c r="F39" i="27" a="1"/>
  <c r="F39" i="27" s="1"/>
  <c r="G39" i="27" s="1"/>
  <c r="F92" i="27" a="1"/>
  <c r="F92" i="27" s="1"/>
  <c r="G92" i="27" s="1"/>
  <c r="F549" i="27" a="1"/>
  <c r="F549" i="27" s="1"/>
  <c r="G549" i="27" s="1"/>
  <c r="F539" i="27" a="1"/>
  <c r="F539" i="27" s="1"/>
  <c r="G539" i="27" s="1"/>
  <c r="F458" i="27" a="1"/>
  <c r="F458" i="27" s="1"/>
  <c r="G458" i="27" s="1"/>
  <c r="F467" i="27" a="1"/>
  <c r="F467" i="27" s="1"/>
  <c r="G467" i="27" s="1"/>
  <c r="F625" i="27" a="1"/>
  <c r="F625" i="27" s="1"/>
  <c r="G625" i="27" s="1"/>
  <c r="F541" i="27" a="1"/>
  <c r="F541" i="27" s="1"/>
  <c r="G541" i="27" s="1"/>
  <c r="F525" i="27" a="1"/>
  <c r="F525" i="27" s="1"/>
  <c r="G525" i="27" s="1"/>
  <c r="F432" i="27" a="1"/>
  <c r="F432" i="27" s="1"/>
  <c r="G432" i="27" s="1"/>
  <c r="F530" i="27" a="1"/>
  <c r="F530" i="27" s="1"/>
  <c r="G530" i="27" s="1"/>
  <c r="F87" i="27" a="1"/>
  <c r="F87" i="27" s="1"/>
  <c r="G87" i="27" s="1"/>
  <c r="F84" i="27" a="1"/>
  <c r="F84" i="27" s="1"/>
  <c r="G84" i="27" s="1"/>
  <c r="F427" i="27" a="1"/>
  <c r="F427" i="27" s="1"/>
  <c r="G427" i="27" s="1"/>
  <c r="F138" i="27" a="1"/>
  <c r="F138" i="27" s="1"/>
  <c r="G138" i="27" s="1"/>
  <c r="F772" i="27" a="1"/>
  <c r="F772" i="27" s="1"/>
  <c r="G772" i="27" s="1"/>
  <c r="F178" i="27" a="1"/>
  <c r="F178" i="27" s="1"/>
  <c r="G178" i="27" s="1"/>
  <c r="F167" i="27" a="1"/>
  <c r="F167" i="27" s="1"/>
  <c r="G167" i="27" s="1"/>
  <c r="F743" i="27" a="1"/>
  <c r="F743" i="27" s="1"/>
  <c r="G743" i="27" s="1"/>
  <c r="F42" i="27" a="1"/>
  <c r="F42" i="27" s="1"/>
  <c r="G42" i="27" s="1"/>
  <c r="F482" i="27" a="1"/>
  <c r="F482" i="27" s="1"/>
  <c r="G482" i="27" s="1"/>
  <c r="F807" i="27" a="1"/>
  <c r="F807" i="27" s="1"/>
  <c r="G807" i="27" s="1"/>
  <c r="F566" i="27" a="1"/>
  <c r="F566" i="27" s="1"/>
  <c r="G566" i="27" s="1"/>
  <c r="F46" i="27" a="1"/>
  <c r="F46" i="27" s="1"/>
  <c r="G46" i="27" s="1"/>
  <c r="F49" i="27" a="1"/>
  <c r="F49" i="27" s="1"/>
  <c r="G49" i="27" s="1"/>
  <c r="F637" i="27" a="1"/>
  <c r="F637" i="27" s="1"/>
  <c r="G637" i="27" s="1"/>
  <c r="F507" i="27" a="1"/>
  <c r="F507" i="27" s="1"/>
  <c r="G507" i="27" s="1"/>
  <c r="F183" i="27" a="1"/>
  <c r="F183" i="27" s="1"/>
  <c r="G183" i="27" s="1"/>
  <c r="F188" i="27" a="1"/>
  <c r="F188" i="27" s="1"/>
  <c r="G188" i="27" s="1"/>
  <c r="F102" i="27" a="1"/>
  <c r="F102" i="27" s="1"/>
  <c r="G102" i="27" s="1"/>
  <c r="F106" i="27" a="1"/>
  <c r="F106" i="27" s="1"/>
  <c r="G106" i="27" s="1"/>
  <c r="F760" i="27" a="1"/>
  <c r="F760" i="27" s="1"/>
  <c r="G760" i="27" s="1"/>
  <c r="F581" i="27" a="1"/>
  <c r="F581" i="27" s="1"/>
  <c r="G581" i="27" s="1"/>
  <c r="F380" i="27" a="1"/>
  <c r="F380" i="27" s="1"/>
  <c r="G380" i="27" s="1"/>
  <c r="F124" i="27" a="1"/>
  <c r="F124" i="27" s="1"/>
  <c r="G124" i="27" s="1"/>
  <c r="F58" i="27" a="1"/>
  <c r="F58" i="27" s="1"/>
  <c r="G58" i="27" s="1"/>
  <c r="F529" i="27" a="1"/>
  <c r="F529" i="27" s="1"/>
  <c r="G529" i="27" s="1"/>
  <c r="F248" i="27" a="1"/>
  <c r="F248" i="27" s="1"/>
  <c r="G248" i="27" s="1"/>
  <c r="F479" i="27" a="1"/>
  <c r="F479" i="27" s="1"/>
  <c r="G479" i="27" s="1"/>
  <c r="F573" i="27" a="1"/>
  <c r="F573" i="27" s="1"/>
  <c r="G573" i="27" s="1"/>
  <c r="F64" i="27" a="1"/>
  <c r="F64" i="27" s="1"/>
  <c r="G64" i="27" s="1"/>
  <c r="F675" i="27" a="1"/>
  <c r="F675" i="27" s="1"/>
  <c r="G675" i="27" s="1"/>
  <c r="F696" i="27" a="1"/>
  <c r="F696" i="27" s="1"/>
  <c r="G696" i="27" s="1"/>
  <c r="F721" i="27" a="1"/>
  <c r="F721" i="27" s="1"/>
  <c r="G721" i="27" s="1"/>
  <c r="F464" i="27" a="1"/>
  <c r="F464" i="27" s="1"/>
  <c r="G464" i="27" s="1"/>
  <c r="F488" i="27" a="1"/>
  <c r="F488" i="27" s="1"/>
  <c r="G488" i="27" s="1"/>
  <c r="F22" i="27" a="1"/>
  <c r="F22" i="27" s="1"/>
  <c r="G22" i="27" s="1"/>
  <c r="F725" i="27" a="1"/>
  <c r="F725" i="27" s="1"/>
  <c r="G725" i="27" s="1"/>
  <c r="F737" i="27" a="1"/>
  <c r="F737" i="27" s="1"/>
  <c r="G737" i="27" s="1"/>
  <c r="F585" i="27" a="1"/>
  <c r="F585" i="27" s="1"/>
  <c r="G585" i="27" s="1"/>
  <c r="F569" i="27" a="1"/>
  <c r="F569" i="27" s="1"/>
  <c r="G569" i="27" s="1"/>
  <c r="F60" i="27" a="1"/>
  <c r="F60" i="27" s="1"/>
  <c r="G60" i="27" s="1"/>
  <c r="F67" i="27" a="1"/>
  <c r="F67" i="27" s="1"/>
  <c r="G67" i="27" s="1"/>
  <c r="F262" i="27" a="1"/>
  <c r="F262" i="27" s="1"/>
  <c r="G262" i="27" s="1"/>
  <c r="F273" i="27" a="1"/>
  <c r="F273" i="27" s="1"/>
  <c r="G273" i="27" s="1"/>
  <c r="F768" i="27" a="1"/>
  <c r="F768" i="27" s="1"/>
  <c r="G768" i="27" s="1"/>
  <c r="F361" i="27" a="1"/>
  <c r="F361" i="27" s="1"/>
  <c r="G361" i="27" s="1"/>
  <c r="F575" i="27" a="1"/>
  <c r="F575" i="27" s="1"/>
  <c r="G575" i="27" s="1"/>
  <c r="F818" i="27" a="1"/>
  <c r="F818" i="27" s="1"/>
  <c r="G818" i="27" s="1"/>
  <c r="F801" i="27" a="1"/>
  <c r="F801" i="27" s="1"/>
  <c r="G801" i="27" s="1"/>
  <c r="F784" i="27" a="1"/>
  <c r="F784" i="27" s="1"/>
  <c r="G784" i="27" s="1"/>
  <c r="F201" i="27" a="1"/>
  <c r="F201" i="27" s="1"/>
  <c r="G201" i="27" s="1"/>
  <c r="F206" i="27" a="1"/>
  <c r="F206" i="27" s="1"/>
  <c r="G206" i="27" s="1"/>
  <c r="F555" i="27" a="1"/>
  <c r="F555" i="27" s="1"/>
  <c r="G555" i="27" s="1"/>
  <c r="F370" i="27" a="1"/>
  <c r="F370" i="27" s="1"/>
  <c r="G370" i="27" s="1"/>
  <c r="F373" i="27" a="1"/>
  <c r="F373" i="27" s="1"/>
  <c r="G373" i="27" s="1"/>
  <c r="F729" i="27" a="1"/>
  <c r="F729" i="27" s="1"/>
  <c r="G729" i="27" s="1"/>
  <c r="F816" i="27" a="1"/>
  <c r="F816" i="27" s="1"/>
  <c r="G816" i="27" s="1"/>
  <c r="F821" i="27" a="1"/>
  <c r="F821" i="27" s="1"/>
  <c r="G821" i="27" s="1"/>
  <c r="F10" i="27" a="1"/>
  <c r="F10" i="27" s="1"/>
  <c r="G10" i="27" s="1"/>
  <c r="F469" i="27" a="1"/>
  <c r="F469" i="27" s="1"/>
  <c r="G469" i="27" s="1"/>
  <c r="F556" i="27" a="1"/>
  <c r="F556" i="27" s="1"/>
  <c r="G556" i="27" s="1"/>
  <c r="F597" i="27" a="1"/>
  <c r="F597" i="27" s="1"/>
  <c r="G597" i="27" s="1"/>
  <c r="F218" i="27" a="1"/>
  <c r="F218" i="27" s="1"/>
  <c r="G218" i="27" s="1"/>
  <c r="F130" i="27" a="1"/>
  <c r="F130" i="27" s="1"/>
  <c r="G130" i="27" s="1"/>
  <c r="F502" i="27" a="1"/>
  <c r="F502" i="27" s="1"/>
  <c r="G502" i="27" s="1"/>
  <c r="F798" i="27" a="1"/>
  <c r="F798" i="27" s="1"/>
  <c r="G798" i="27" s="1"/>
  <c r="F736" i="27" a="1"/>
  <c r="F736" i="27" s="1"/>
  <c r="G736" i="27" s="1"/>
  <c r="F435" i="27" a="1"/>
  <c r="F435" i="27" s="1"/>
  <c r="G435" i="27" s="1"/>
  <c r="F623" i="27" a="1"/>
  <c r="F623" i="27" s="1"/>
  <c r="G623" i="27" s="1"/>
  <c r="F639" i="27" a="1"/>
  <c r="F639" i="27" s="1"/>
  <c r="G639" i="27" s="1"/>
  <c r="F460" i="27" a="1"/>
  <c r="F460" i="27" s="1"/>
  <c r="G460" i="27" s="1"/>
  <c r="F372" i="27" a="1"/>
  <c r="F372" i="27" s="1"/>
  <c r="G372" i="27" s="1"/>
  <c r="F323" i="27" a="1"/>
  <c r="F323" i="27" s="1"/>
  <c r="G323" i="27" s="1"/>
  <c r="F329" i="27" a="1"/>
  <c r="F329" i="27" s="1"/>
  <c r="G329" i="27" s="1"/>
  <c r="F407" i="27" a="1"/>
  <c r="F407" i="27" s="1"/>
  <c r="G407" i="27" s="1"/>
  <c r="F426" i="27" a="1"/>
  <c r="F426" i="27" s="1"/>
  <c r="G426" i="27" s="1"/>
  <c r="F413" i="27" a="1"/>
  <c r="F413" i="27" s="1"/>
  <c r="G413" i="27" s="1"/>
  <c r="F388" i="27" a="1"/>
  <c r="F388" i="27" s="1"/>
  <c r="G388" i="27" s="1"/>
  <c r="F665" i="27" a="1"/>
  <c r="F665" i="27" s="1"/>
  <c r="G665" i="27" s="1"/>
  <c r="F577" i="27" a="1"/>
  <c r="F577" i="27" s="1"/>
  <c r="G577" i="27" s="1"/>
  <c r="F506" i="27" a="1"/>
  <c r="F506" i="27" s="1"/>
  <c r="G506" i="27" s="1"/>
  <c r="F343" i="27" a="1"/>
  <c r="F343" i="27" s="1"/>
  <c r="G343" i="27" s="1"/>
  <c r="F347" i="27" a="1"/>
  <c r="F347" i="27" s="1"/>
  <c r="G347" i="27" s="1"/>
  <c r="F196" i="27" a="1"/>
  <c r="F196" i="27" s="1"/>
  <c r="G196" i="27" s="1"/>
  <c r="F205" i="27" a="1"/>
  <c r="F205" i="27" s="1"/>
  <c r="G205" i="27" s="1"/>
  <c r="F157" i="27" a="1"/>
  <c r="F157" i="27" s="1"/>
  <c r="G157" i="27" s="1"/>
  <c r="F38" i="27" a="1"/>
  <c r="F38" i="27" s="1"/>
  <c r="G38" i="27" s="1"/>
  <c r="F326" i="27" a="1"/>
  <c r="F326" i="27" s="1"/>
  <c r="G326" i="27" s="1"/>
  <c r="F504" i="27" a="1"/>
  <c r="F504" i="27" s="1"/>
  <c r="G504" i="27" s="1"/>
  <c r="F671" i="27" a="1"/>
  <c r="F671" i="27" s="1"/>
  <c r="G671" i="27" s="1"/>
  <c r="F703" i="27" a="1"/>
  <c r="F703" i="27" s="1"/>
  <c r="G703" i="27" s="1"/>
  <c r="F367" i="27" a="1"/>
  <c r="F367" i="27" s="1"/>
  <c r="G367" i="27" s="1"/>
  <c r="F605" i="27" a="1"/>
  <c r="F605" i="27" s="1"/>
  <c r="G605" i="27" s="1"/>
  <c r="F142" i="27" a="1"/>
  <c r="F142" i="27" s="1"/>
  <c r="G142" i="27" s="1"/>
  <c r="F526" i="27" a="1"/>
  <c r="F526" i="27" s="1"/>
  <c r="G526" i="27" s="1"/>
  <c r="F611" i="27" a="1"/>
  <c r="F611" i="27" s="1"/>
  <c r="G611" i="27" s="1"/>
  <c r="F667" i="27" a="1"/>
  <c r="F667" i="27" s="1"/>
  <c r="G667" i="27" s="1"/>
  <c r="F824" i="27" a="1"/>
  <c r="F824" i="27" s="1"/>
  <c r="G824" i="27" s="1"/>
  <c r="F356" i="27" a="1"/>
  <c r="F356" i="27" s="1"/>
  <c r="G356" i="27" s="1"/>
  <c r="F275" i="27" a="1"/>
  <c r="F275" i="27" s="1"/>
  <c r="G275" i="27" s="1"/>
  <c r="F509" i="27" a="1"/>
  <c r="F509" i="27" s="1"/>
  <c r="G509" i="27" s="1"/>
  <c r="F524" i="27" a="1"/>
  <c r="F524" i="27" s="1"/>
  <c r="G524" i="27" s="1"/>
  <c r="F161" i="27" a="1"/>
  <c r="F161" i="27" s="1"/>
  <c r="G161" i="27" s="1"/>
  <c r="F274" i="27" a="1"/>
  <c r="F274" i="27" s="1"/>
  <c r="G274" i="27" s="1"/>
  <c r="F287" i="27" a="1"/>
  <c r="F287" i="27" s="1"/>
  <c r="G287" i="27" s="1"/>
  <c r="F125" i="27" a="1"/>
  <c r="F125" i="27" s="1"/>
  <c r="G125" i="27" s="1"/>
  <c r="F109" i="27" a="1"/>
  <c r="F109" i="27" s="1"/>
  <c r="G109" i="27" s="1"/>
  <c r="F81" i="27" a="1"/>
  <c r="F81" i="27" s="1"/>
  <c r="G81" i="27" s="1"/>
  <c r="F90" i="27" a="1"/>
  <c r="F90" i="27" s="1"/>
  <c r="G90" i="27" s="1"/>
  <c r="F256" i="27" a="1"/>
  <c r="F256" i="27" s="1"/>
  <c r="G256" i="27" s="1"/>
  <c r="F108" i="27" a="1"/>
  <c r="F108" i="27" s="1"/>
  <c r="G108" i="27" s="1"/>
  <c r="F115" i="27" a="1"/>
  <c r="F115" i="27" s="1"/>
  <c r="G115" i="27" s="1"/>
  <c r="F441" i="27" a="1"/>
  <c r="F441" i="27" s="1"/>
  <c r="G441" i="27" s="1"/>
  <c r="F185" i="27" a="1"/>
  <c r="F185" i="27" s="1"/>
  <c r="G185" i="27" s="1"/>
  <c r="F263" i="27" a="1"/>
  <c r="F263" i="27" s="1"/>
  <c r="G263" i="27" s="1"/>
  <c r="F250" i="27" a="1"/>
  <c r="F250" i="27" s="1"/>
  <c r="G250" i="27" s="1"/>
  <c r="F258" i="27" a="1"/>
  <c r="F258" i="27" s="1"/>
  <c r="G258" i="27" s="1"/>
  <c r="F720" i="27" a="1"/>
  <c r="F720" i="27" s="1"/>
  <c r="G720" i="27" s="1"/>
  <c r="F224" i="27" a="1"/>
  <c r="F224" i="27" s="1"/>
  <c r="G224" i="27" s="1"/>
  <c r="F711" i="27" a="1"/>
  <c r="F711" i="27" s="1"/>
  <c r="G711" i="27" s="1"/>
  <c r="F314" i="27" a="1"/>
  <c r="F314" i="27" s="1"/>
  <c r="G314" i="27" s="1"/>
  <c r="F33" i="27" a="1"/>
  <c r="F33" i="27" s="1"/>
  <c r="G33" i="27" s="1"/>
  <c r="F815" i="27" a="1"/>
  <c r="F815" i="27" s="1"/>
  <c r="G815" i="27" s="1"/>
  <c r="F309" i="27" a="1"/>
  <c r="F309" i="27" s="1"/>
  <c r="G309" i="27" s="1"/>
  <c r="F129" i="27" a="1"/>
  <c r="F129" i="27" s="1"/>
  <c r="G129" i="27" s="1"/>
  <c r="F362" i="27" a="1"/>
  <c r="F362" i="27" s="1"/>
  <c r="G362" i="27" s="1"/>
  <c r="F726" i="27" a="1"/>
  <c r="F726" i="27" s="1"/>
  <c r="G726" i="27" s="1"/>
  <c r="F98" i="27" a="1"/>
  <c r="F98" i="27" s="1"/>
  <c r="G98" i="27" s="1"/>
  <c r="F776" i="27" a="1"/>
  <c r="F776" i="27" s="1"/>
  <c r="G776" i="27" s="1"/>
  <c r="F335" i="27" a="1"/>
  <c r="F335" i="27" s="1"/>
  <c r="G335" i="27" s="1"/>
  <c r="F342" i="27" a="1"/>
  <c r="F342" i="27" s="1"/>
  <c r="G342" i="27" s="1"/>
  <c r="F374" i="27" a="1"/>
  <c r="F374" i="27" s="1"/>
  <c r="G374" i="27" s="1"/>
  <c r="F401" i="27" a="1"/>
  <c r="F401" i="27" s="1"/>
  <c r="G401" i="27" s="1"/>
  <c r="F412" i="27" a="1"/>
  <c r="F412" i="27" s="1"/>
  <c r="G412" i="27" s="1"/>
  <c r="F424" i="27" a="1"/>
  <c r="F424" i="27" s="1"/>
  <c r="G424" i="27" s="1"/>
  <c r="F331" i="27" a="1"/>
  <c r="F331" i="27" s="1"/>
  <c r="G331" i="27" s="1"/>
  <c r="F548" i="27" a="1"/>
  <c r="F548" i="27" s="1"/>
  <c r="G548" i="27" s="1"/>
  <c r="F55" i="27" a="1"/>
  <c r="F55" i="27" s="1"/>
  <c r="G55" i="27" s="1"/>
  <c r="F59" i="27" a="1"/>
  <c r="F59" i="27" s="1"/>
  <c r="G59" i="27" s="1"/>
  <c r="F740" i="27" a="1"/>
  <c r="F740" i="27" s="1"/>
  <c r="G740" i="27" s="1"/>
  <c r="F26" i="27" a="1"/>
  <c r="F26" i="27" s="1"/>
  <c r="G26" i="27" s="1"/>
  <c r="F780" i="27" a="1"/>
  <c r="F780" i="27" s="1"/>
  <c r="G780" i="27" s="1"/>
  <c r="F660" i="27" a="1"/>
  <c r="F660" i="27" s="1"/>
  <c r="G660" i="27" s="1"/>
  <c r="F376" i="27" a="1"/>
  <c r="F376" i="27" s="1"/>
  <c r="G376" i="27" s="1"/>
  <c r="F683" i="27" a="1"/>
  <c r="F683" i="27" s="1"/>
  <c r="G683" i="27" s="1"/>
  <c r="F103" i="27" a="1"/>
  <c r="F103" i="27" s="1"/>
  <c r="G103" i="27" s="1"/>
  <c r="F496" i="27" a="1"/>
  <c r="F496" i="27" s="1"/>
  <c r="G496" i="27" s="1"/>
  <c r="F76" i="27" a="1"/>
  <c r="F76" i="27" s="1"/>
  <c r="G76" i="27" s="1"/>
  <c r="F606" i="27" a="1"/>
  <c r="F606" i="27" s="1"/>
  <c r="G606" i="27" s="1"/>
  <c r="F610" i="27" a="1"/>
  <c r="F610" i="27" s="1"/>
  <c r="G610" i="27" s="1"/>
  <c r="F168" i="27" a="1"/>
  <c r="F168" i="27" s="1"/>
  <c r="G168" i="27" s="1"/>
  <c r="F123" i="27" a="1"/>
  <c r="F123" i="27" s="1"/>
  <c r="G123" i="27" s="1"/>
  <c r="F45" i="27" a="1"/>
  <c r="F45" i="27" s="1"/>
  <c r="G45" i="27" s="1"/>
  <c r="F794" i="27" a="1"/>
  <c r="F794" i="27" s="1"/>
  <c r="G794" i="27" s="1"/>
  <c r="F790" i="27" a="1"/>
  <c r="F790" i="27" s="1"/>
  <c r="G790" i="27" s="1"/>
  <c r="F745" i="27" a="1"/>
  <c r="F745" i="27" s="1"/>
  <c r="G745" i="27" s="1"/>
  <c r="F261" i="27" a="1"/>
  <c r="F261" i="27" s="1"/>
  <c r="G261" i="27" s="1"/>
  <c r="F271" i="27" a="1"/>
  <c r="F271" i="27" s="1"/>
  <c r="G271" i="27" s="1"/>
  <c r="F227" i="27" a="1"/>
  <c r="F227" i="27" s="1"/>
  <c r="G227" i="27" s="1"/>
  <c r="F154" i="27" a="1"/>
  <c r="F154" i="27" s="1"/>
  <c r="G154" i="27" s="1"/>
  <c r="F281" i="27" a="1"/>
  <c r="F281" i="27" s="1"/>
  <c r="G281" i="27" s="1"/>
  <c r="F454" i="27" a="1"/>
  <c r="F454" i="27" s="1"/>
  <c r="G454" i="27" s="1"/>
  <c r="F429" i="27" a="1"/>
  <c r="F429" i="27" s="1"/>
  <c r="G429" i="27" s="1"/>
  <c r="F440" i="27" a="1"/>
  <c r="F440" i="27" s="1"/>
  <c r="G440" i="27" s="1"/>
  <c r="F497" i="27" a="1"/>
  <c r="F497" i="27" s="1"/>
  <c r="G497" i="27" s="1"/>
  <c r="F339" i="27" a="1"/>
  <c r="F339" i="27" s="1"/>
  <c r="G339" i="27" s="1"/>
  <c r="F616" i="27" a="1"/>
  <c r="F616" i="27" s="1"/>
  <c r="G616" i="27" s="1"/>
  <c r="F425" i="27" a="1"/>
  <c r="F425" i="27" s="1"/>
  <c r="G425" i="27" s="1"/>
  <c r="F423" i="27" a="1"/>
  <c r="F423" i="27" s="1"/>
  <c r="G423" i="27" s="1"/>
  <c r="F141" i="27" a="1"/>
  <c r="F141" i="27" s="1"/>
  <c r="G141" i="27" s="1"/>
  <c r="F136" i="27" a="1"/>
  <c r="F136" i="27" s="1"/>
  <c r="G136" i="27" s="1"/>
  <c r="F673" i="27" a="1"/>
  <c r="F673" i="27" s="1"/>
  <c r="G673" i="27" s="1"/>
  <c r="F719" i="27" a="1"/>
  <c r="F719" i="27" s="1"/>
  <c r="G719" i="27" s="1"/>
  <c r="F251" i="27" a="1"/>
  <c r="F251" i="27" s="1"/>
  <c r="G251" i="27" s="1"/>
  <c r="F260" i="27" a="1"/>
  <c r="F260" i="27" s="1"/>
  <c r="G260" i="27" s="1"/>
  <c r="F160" i="27" a="1"/>
  <c r="F160" i="27" s="1"/>
  <c r="G160" i="27" s="1"/>
  <c r="F170" i="27" a="1"/>
  <c r="F170" i="27" s="1"/>
  <c r="G170" i="27" s="1"/>
  <c r="F207" i="27" a="1"/>
  <c r="F207" i="27" s="1"/>
  <c r="G207" i="27" s="1"/>
  <c r="F214" i="27" a="1"/>
  <c r="F214" i="27" s="1"/>
  <c r="G214" i="27" s="1"/>
  <c r="F452" i="27" a="1"/>
  <c r="F452" i="27" s="1"/>
  <c r="G452" i="27" s="1"/>
  <c r="F564" i="27" a="1"/>
  <c r="F564" i="27" s="1"/>
  <c r="G564" i="27" s="1"/>
  <c r="F586" i="27" a="1"/>
  <c r="F586" i="27" s="1"/>
  <c r="G586" i="27" s="1"/>
  <c r="F659" i="27" a="1"/>
  <c r="F659" i="27" s="1"/>
  <c r="G659" i="27" s="1"/>
  <c r="F553" i="27" a="1"/>
  <c r="F553" i="27" s="1"/>
  <c r="G553" i="27" s="1"/>
  <c r="F257" i="27" a="1"/>
  <c r="F257" i="27" s="1"/>
  <c r="G257" i="27" s="1"/>
  <c r="F50" i="27" a="1"/>
  <c r="F50" i="27" s="1"/>
  <c r="G50" i="27" s="1"/>
  <c r="F215" i="27" a="1"/>
  <c r="F215" i="27" s="1"/>
  <c r="G215" i="27" s="1"/>
  <c r="F307" i="27" a="1"/>
  <c r="F307" i="27" s="1"/>
  <c r="G307" i="27" s="1"/>
  <c r="F61" i="27" a="1"/>
  <c r="F61" i="27" s="1"/>
  <c r="G61" i="27" s="1"/>
  <c r="F734" i="27" a="1"/>
  <c r="F734" i="27" s="1"/>
  <c r="G734" i="27" s="1"/>
  <c r="F144" i="27" a="1"/>
  <c r="F144" i="27" s="1"/>
  <c r="G144" i="27" s="1"/>
  <c r="F510" i="27" a="1"/>
  <c r="F510" i="27" s="1"/>
  <c r="G510" i="27" s="1"/>
  <c r="F513" i="27" a="1"/>
  <c r="F513" i="27" s="1"/>
  <c r="G513" i="27" s="1"/>
  <c r="F451" i="27" a="1"/>
  <c r="F451" i="27" s="1"/>
  <c r="G451" i="27" s="1"/>
  <c r="F717" i="27" a="1"/>
  <c r="F717" i="27" s="1"/>
  <c r="G717" i="27" s="1"/>
  <c r="F554" i="27" a="1"/>
  <c r="F554" i="27" s="1"/>
  <c r="G554" i="27" s="1"/>
  <c r="F184" i="27" a="1"/>
  <c r="F184" i="27" s="1"/>
  <c r="G184" i="27" s="1"/>
  <c r="F189" i="27" a="1"/>
  <c r="F189" i="27" s="1"/>
  <c r="G189" i="27" s="1"/>
  <c r="F352" i="27" a="1"/>
  <c r="F352" i="27" s="1"/>
  <c r="G352" i="27" s="1"/>
  <c r="F708" i="27" a="1"/>
  <c r="F708" i="27" s="1"/>
  <c r="G708" i="27" s="1"/>
  <c r="F788" i="27" a="1"/>
  <c r="F788" i="27" s="1"/>
  <c r="G788" i="27" s="1"/>
  <c r="F232" i="27" a="1"/>
  <c r="F232" i="27" s="1"/>
  <c r="G232" i="27" s="1"/>
  <c r="F685" i="27" a="1"/>
  <c r="F685" i="27" s="1"/>
  <c r="G685" i="27" s="1"/>
  <c r="F278" i="27" a="1"/>
  <c r="F278" i="27" s="1"/>
  <c r="G278" i="27" s="1"/>
  <c r="F255" i="27" a="1"/>
  <c r="F255" i="27" s="1"/>
  <c r="G255" i="27" s="1"/>
  <c r="F389" i="27" a="1"/>
  <c r="F389" i="27" s="1"/>
  <c r="G389" i="27" s="1"/>
  <c r="F668" i="27" a="1"/>
  <c r="F668" i="27" s="1"/>
  <c r="G668" i="27" s="1"/>
  <c r="F465" i="27" a="1"/>
  <c r="F465" i="27" s="1"/>
  <c r="G465" i="27" s="1"/>
  <c r="F438" i="27" a="1"/>
  <c r="F438" i="27" s="1"/>
  <c r="G438" i="27" s="1"/>
  <c r="F631" i="27" a="1"/>
  <c r="F631" i="27" s="1"/>
  <c r="G631" i="27" s="1"/>
  <c r="F457" i="27" a="1"/>
  <c r="F457" i="27" s="1"/>
  <c r="G457" i="27" s="1"/>
  <c r="F645" i="27" a="1"/>
  <c r="F645" i="27" s="1"/>
  <c r="G645" i="27" s="1"/>
  <c r="F434" i="27" a="1"/>
  <c r="F434" i="27" s="1"/>
  <c r="G434" i="27" s="1"/>
  <c r="F463" i="27" a="1"/>
  <c r="F463" i="27" s="1"/>
  <c r="G463" i="27" s="1"/>
  <c r="F755" i="27" a="1"/>
  <c r="F755" i="27" s="1"/>
  <c r="G755" i="27" s="1"/>
  <c r="F643" i="27" a="1"/>
  <c r="F643" i="27" s="1"/>
  <c r="G643" i="27" s="1"/>
  <c r="F559" i="27" a="1"/>
  <c r="F559" i="27" s="1"/>
  <c r="G559" i="27" s="1"/>
  <c r="F557" i="27" a="1"/>
  <c r="F557" i="27" s="1"/>
  <c r="G557" i="27" s="1"/>
  <c r="F368" i="27" a="1"/>
  <c r="F368" i="27" s="1"/>
  <c r="G368" i="27" s="1"/>
  <c r="F712" i="27" a="1"/>
  <c r="F712" i="27" s="1"/>
  <c r="G712" i="27" s="1"/>
  <c r="F238" i="27" a="1"/>
  <c r="F238" i="27" s="1"/>
  <c r="G238" i="27" s="1"/>
  <c r="F193" i="27" a="1"/>
  <c r="F193" i="27" s="1"/>
  <c r="G193" i="27" s="1"/>
  <c r="F198" i="27" a="1"/>
  <c r="F198" i="27" s="1"/>
  <c r="G198" i="27" s="1"/>
  <c r="F709" i="27" a="1"/>
  <c r="F709" i="27" s="1"/>
  <c r="G709" i="27" s="1"/>
  <c r="F139" i="27" a="1"/>
  <c r="F139" i="27" s="1"/>
  <c r="G139" i="27" s="1"/>
  <c r="F545" i="27" a="1"/>
  <c r="F545" i="27" s="1"/>
  <c r="G545" i="27" s="1"/>
  <c r="F270" i="27" a="1"/>
  <c r="F270" i="27" s="1"/>
  <c r="G270" i="27" s="1"/>
  <c r="F728" i="27" a="1"/>
  <c r="F728" i="27" s="1"/>
  <c r="G728" i="27" s="1"/>
  <c r="F829" i="27" a="1"/>
  <c r="F829" i="27" s="1"/>
  <c r="G829" i="27" s="1"/>
  <c r="F622" i="27" a="1"/>
  <c r="F622" i="27" s="1"/>
  <c r="G622" i="27" s="1"/>
  <c r="F489" i="27" a="1"/>
  <c r="F489" i="27" s="1"/>
  <c r="G489" i="27" s="1"/>
  <c r="F480" i="27" a="1"/>
  <c r="F480" i="27" s="1"/>
  <c r="G480" i="27" s="1"/>
  <c r="F105" i="27" a="1"/>
  <c r="F105" i="27" s="1"/>
  <c r="G105" i="27" s="1"/>
  <c r="F110" i="27" a="1"/>
  <c r="F110" i="27" s="1"/>
  <c r="G110" i="27" s="1"/>
  <c r="F351" i="27" a="1"/>
  <c r="F351" i="27" s="1"/>
  <c r="G351" i="27" s="1"/>
  <c r="F392" i="27" a="1"/>
  <c r="F392" i="27" s="1"/>
  <c r="G392" i="27" s="1"/>
  <c r="F114" i="27" a="1"/>
  <c r="F114" i="27" s="1"/>
  <c r="G114" i="27" s="1"/>
  <c r="F602" i="27" a="1"/>
  <c r="F602" i="27" s="1"/>
  <c r="G602" i="27" s="1"/>
  <c r="F349" i="27" a="1"/>
  <c r="F349" i="27" s="1"/>
  <c r="G349" i="27" s="1"/>
  <c r="F303" i="27" a="1"/>
  <c r="F303" i="27" s="1"/>
  <c r="G303" i="27" s="1"/>
  <c r="F650" i="27" a="1"/>
  <c r="F650" i="27" s="1"/>
  <c r="G650" i="27" s="1"/>
  <c r="F403" i="27" a="1"/>
  <c r="F403" i="27" s="1"/>
  <c r="G403" i="27" s="1"/>
  <c r="F422" i="27" a="1"/>
  <c r="F422" i="27" s="1"/>
  <c r="G422" i="27" s="1"/>
  <c r="F294" i="27" a="1"/>
  <c r="F294" i="27" s="1"/>
  <c r="G294" i="27" s="1"/>
  <c r="F300" i="27" a="1"/>
  <c r="F300" i="27" s="1"/>
  <c r="G300" i="27" s="1"/>
  <c r="F570" i="27" a="1"/>
  <c r="F570" i="27" s="1"/>
  <c r="G570" i="27" s="1"/>
  <c r="F20" i="27" a="1"/>
  <c r="F20" i="27" s="1"/>
  <c r="G20" i="27" s="1"/>
  <c r="F27" i="27" a="1"/>
  <c r="F27" i="27" s="1"/>
  <c r="G27" i="27" s="1"/>
  <c r="F31" i="27" a="1"/>
  <c r="F31" i="27" s="1"/>
  <c r="G31" i="27" s="1"/>
  <c r="F576" i="27" a="1"/>
  <c r="F576" i="27" s="1"/>
  <c r="G576" i="27" s="1"/>
  <c r="F211" i="27" a="1"/>
  <c r="F211" i="27" s="1"/>
  <c r="G211" i="27" s="1"/>
  <c r="F523" i="27" a="1"/>
  <c r="F523" i="27" s="1"/>
  <c r="G523" i="27" s="1"/>
  <c r="F155" i="27" a="1"/>
  <c r="F155" i="27" s="1"/>
  <c r="G155" i="27" s="1"/>
  <c r="F354" i="27" a="1"/>
  <c r="F354" i="27" s="1"/>
  <c r="G354" i="27" s="1"/>
  <c r="F94" i="27" a="1"/>
  <c r="F94" i="27" s="1"/>
  <c r="G94" i="27" s="1"/>
  <c r="F209" i="27" a="1"/>
  <c r="F209" i="27" s="1"/>
  <c r="G209" i="27" s="1"/>
  <c r="F282" i="27" a="1"/>
  <c r="F282" i="27" s="1"/>
  <c r="G282" i="27" s="1"/>
  <c r="F674" i="27" a="1"/>
  <c r="F674" i="27" s="1"/>
  <c r="G674" i="27" s="1"/>
  <c r="F137" i="27" a="1"/>
  <c r="F137" i="27" s="1"/>
  <c r="G137" i="27" s="1"/>
  <c r="F147" i="27" a="1"/>
  <c r="F147" i="27" s="1"/>
  <c r="G147" i="27" s="1"/>
  <c r="F220" i="27" a="1"/>
  <c r="F220" i="27" s="1"/>
  <c r="G220" i="27" s="1"/>
  <c r="F279" i="27" a="1"/>
  <c r="F279" i="27" s="1"/>
  <c r="G279" i="27" s="1"/>
  <c r="F14" i="27" a="1"/>
  <c r="F14" i="27" s="1"/>
  <c r="G14" i="27" s="1"/>
  <c r="F543" i="27" a="1"/>
  <c r="F543" i="27" s="1"/>
  <c r="G543" i="27" s="1"/>
  <c r="F520" i="27" a="1"/>
  <c r="F520" i="27" s="1"/>
  <c r="G520" i="27" s="1"/>
  <c r="F97" i="27" a="1"/>
  <c r="F97" i="27" s="1"/>
  <c r="G97" i="27" s="1"/>
  <c r="F163" i="27" a="1"/>
  <c r="F163" i="27" s="1"/>
  <c r="G163" i="27" s="1"/>
  <c r="F306" i="27" a="1"/>
  <c r="F306" i="27" s="1"/>
  <c r="G306" i="27" s="1"/>
  <c r="F453" i="27" a="1"/>
  <c r="F453" i="27" s="1"/>
  <c r="G453" i="27" s="1"/>
  <c r="F542" i="27" a="1"/>
  <c r="F542" i="27" s="1"/>
  <c r="G542" i="27" s="1"/>
  <c r="F804" i="27" a="1"/>
  <c r="F804" i="27" s="1"/>
  <c r="G804" i="27" s="1"/>
  <c r="F750" i="27" a="1"/>
  <c r="F750" i="27" s="1"/>
  <c r="G750" i="27" s="1"/>
  <c r="F681" i="27" a="1"/>
  <c r="F681" i="27" s="1"/>
  <c r="G681" i="27" s="1"/>
  <c r="F446" i="27" a="1"/>
  <c r="F446" i="27" s="1"/>
  <c r="G446" i="27" s="1"/>
  <c r="F112" i="27" a="1"/>
  <c r="F112" i="27" s="1"/>
  <c r="G112" i="27" s="1"/>
  <c r="F246" i="27" a="1"/>
  <c r="F246" i="27" s="1"/>
  <c r="G246" i="27" s="1"/>
  <c r="F654" i="27" a="1"/>
  <c r="F654" i="27" s="1"/>
  <c r="G654" i="27" s="1"/>
  <c r="F797" i="27" a="1"/>
  <c r="F797" i="27" s="1"/>
  <c r="G797" i="27" s="1"/>
  <c r="F344" i="27" a="1"/>
  <c r="F344" i="27" s="1"/>
  <c r="G344" i="27" s="1"/>
  <c r="F377" i="27" a="1"/>
  <c r="F377" i="27" s="1"/>
  <c r="G377" i="27" s="1"/>
  <c r="F194" i="27" a="1"/>
  <c r="F194" i="27" s="1"/>
  <c r="G194" i="27" s="1"/>
  <c r="F268" i="27" a="1"/>
  <c r="F268" i="27" s="1"/>
  <c r="G268" i="27" s="1"/>
  <c r="F579" i="27" a="1"/>
  <c r="F579" i="27" s="1"/>
  <c r="G579" i="27" s="1"/>
  <c r="F501" i="27" a="1"/>
  <c r="F501" i="27" s="1"/>
  <c r="G501" i="27" s="1"/>
  <c r="F442" i="27" a="1"/>
  <c r="F442" i="27" s="1"/>
  <c r="G442" i="27" s="1"/>
  <c r="F439" i="27" a="1"/>
  <c r="F439" i="27" s="1"/>
  <c r="G439" i="27" s="1"/>
  <c r="F716" i="27" a="1"/>
  <c r="F716" i="27" s="1"/>
  <c r="G716" i="27" s="1"/>
  <c r="F473" i="27" a="1"/>
  <c r="F473" i="27" s="1"/>
  <c r="G473" i="27" s="1"/>
  <c r="F684" i="27" a="1"/>
  <c r="F684" i="27" s="1"/>
  <c r="G684" i="27" s="1"/>
  <c r="F806" i="27" a="1"/>
  <c r="F806" i="27" s="1"/>
  <c r="G806" i="27" s="1"/>
  <c r="F316" i="27" a="1"/>
  <c r="F316" i="27" s="1"/>
  <c r="G316" i="27" s="1"/>
  <c r="F151" i="27" a="1"/>
  <c r="F151" i="27" s="1"/>
  <c r="G151" i="27" s="1"/>
  <c r="F135" i="27" a="1"/>
  <c r="F135" i="27" s="1"/>
  <c r="G135" i="27" s="1"/>
  <c r="F143" i="27" a="1"/>
  <c r="F143" i="27" s="1"/>
  <c r="G143" i="27" s="1"/>
  <c r="F652" i="27" a="1"/>
  <c r="F652" i="27" s="1"/>
  <c r="G652" i="27" s="1"/>
  <c r="F369" i="27" a="1"/>
  <c r="F369" i="27" s="1"/>
  <c r="G369" i="27" s="1"/>
  <c r="F522" i="27" a="1"/>
  <c r="F522" i="27" s="1"/>
  <c r="G522" i="27" s="1"/>
  <c r="F544" i="27" a="1"/>
  <c r="F544" i="27" s="1"/>
  <c r="G544" i="27" s="1"/>
  <c r="F5" i="27" a="1"/>
  <c r="F5" i="27" s="1"/>
  <c r="G5" i="27" s="1"/>
  <c r="F318" i="27" a="1"/>
  <c r="F318" i="27" s="1"/>
  <c r="G318" i="27" s="1"/>
  <c r="F319" i="27" a="1"/>
  <c r="F319" i="27" s="1"/>
  <c r="G319" i="27" s="1"/>
  <c r="F315" i="27" a="1"/>
  <c r="F315" i="27" s="1"/>
  <c r="G315" i="27" s="1"/>
  <c r="F78" i="27" a="1"/>
  <c r="F78" i="27" s="1"/>
  <c r="G78" i="27" s="1"/>
  <c r="F304" i="27" a="1"/>
  <c r="F304" i="27" s="1"/>
  <c r="G304" i="27" s="1"/>
  <c r="F313" i="27" a="1"/>
  <c r="F313" i="27" s="1"/>
  <c r="G313" i="27" s="1"/>
  <c r="F550" i="27" a="1"/>
  <c r="F550" i="27" s="1"/>
  <c r="G550" i="27" s="1"/>
  <c r="F200" i="27" a="1"/>
  <c r="F200" i="27" s="1"/>
  <c r="G200" i="27" s="1"/>
  <c r="F203" i="27" a="1"/>
  <c r="F203" i="27" s="1"/>
  <c r="G203" i="27" s="1"/>
  <c r="F396" i="27" a="1"/>
  <c r="F396" i="27" s="1"/>
  <c r="G396" i="27" s="1"/>
  <c r="F169" i="27" a="1"/>
  <c r="F169" i="27" s="1"/>
  <c r="G169" i="27" s="1"/>
  <c r="F166" i="27" a="1"/>
  <c r="F166" i="27" s="1"/>
  <c r="G166" i="27" s="1"/>
  <c r="F624" i="27" a="1"/>
  <c r="F624" i="27" s="1"/>
  <c r="G624" i="27" s="1"/>
  <c r="F587" i="27" a="1"/>
  <c r="F587" i="27" s="1"/>
  <c r="G587" i="27" s="1"/>
  <c r="F657" i="27" a="1"/>
  <c r="F657" i="27" s="1"/>
  <c r="G657" i="27" s="1"/>
  <c r="F95" i="27" a="1"/>
  <c r="F95" i="27" s="1"/>
  <c r="G95" i="27" s="1"/>
  <c r="F100" i="27" a="1"/>
  <c r="F100" i="27" s="1"/>
  <c r="G100" i="27" s="1"/>
  <c r="F249" i="27" a="1"/>
  <c r="F249" i="27" s="1"/>
  <c r="G249" i="27" s="1"/>
  <c r="F328" i="27" a="1"/>
  <c r="F328" i="27" s="1"/>
  <c r="G328" i="27" s="1"/>
  <c r="F70" i="27" a="1"/>
  <c r="F70" i="27" s="1"/>
  <c r="G70" i="27" s="1"/>
  <c r="F387" i="27" a="1"/>
  <c r="F387" i="27" s="1"/>
  <c r="G387" i="27" s="1"/>
  <c r="F715" i="27" a="1"/>
  <c r="F715" i="27" s="1"/>
  <c r="G715" i="27" s="1"/>
  <c r="F621" i="27" a="1"/>
  <c r="F621" i="27" s="1"/>
  <c r="G621" i="27" s="1"/>
  <c r="F360" i="27" a="1"/>
  <c r="F360" i="27" s="1"/>
  <c r="G360" i="27" s="1"/>
  <c r="F405" i="27" a="1"/>
  <c r="F405" i="27" s="1"/>
  <c r="G405" i="27" s="1"/>
  <c r="F753" i="27" a="1"/>
  <c r="F753" i="27" s="1"/>
  <c r="G753" i="27" s="1"/>
  <c r="F223" i="27" a="1"/>
  <c r="F223" i="27" s="1"/>
  <c r="G223" i="27" s="1"/>
  <c r="F626" i="27" a="1"/>
  <c r="F626" i="27" s="1"/>
  <c r="G626" i="27" s="1"/>
  <c r="F128" i="27" a="1"/>
  <c r="F128" i="27" s="1"/>
  <c r="G128" i="27" s="1"/>
  <c r="F430" i="27" a="1"/>
  <c r="F430" i="27" s="1"/>
  <c r="G430" i="27" s="1"/>
  <c r="F499" i="27" a="1"/>
  <c r="F499" i="27" s="1"/>
  <c r="G499" i="27" s="1"/>
  <c r="F560" i="27" a="1"/>
  <c r="F560" i="27" s="1"/>
  <c r="G560" i="27" s="1"/>
  <c r="F763" i="27" a="1"/>
  <c r="F763" i="27" s="1"/>
  <c r="G763" i="27" s="1"/>
  <c r="F297" i="27" a="1"/>
  <c r="F297" i="27" s="1"/>
  <c r="G297" i="27" s="1"/>
  <c r="F172" i="27" a="1"/>
  <c r="F172" i="27" s="1"/>
  <c r="G172" i="27" s="1"/>
  <c r="F771" i="27" a="1"/>
  <c r="F771" i="27" s="1"/>
  <c r="G771" i="27" s="1"/>
  <c r="F101" i="27" a="1"/>
  <c r="F101" i="27" s="1"/>
  <c r="G101" i="27" s="1"/>
  <c r="F104" i="27" a="1"/>
  <c r="F104" i="27" s="1"/>
  <c r="G104" i="27" s="1"/>
  <c r="F298" i="27" a="1"/>
  <c r="F298" i="27" s="1"/>
  <c r="G298" i="27" s="1"/>
  <c r="F111" i="27" a="1"/>
  <c r="F111" i="27" s="1"/>
  <c r="G111" i="27" s="1"/>
  <c r="F538" i="27" a="1"/>
  <c r="F538" i="27" s="1"/>
  <c r="G538" i="27" s="1"/>
  <c r="F285" i="27" a="1"/>
  <c r="F285" i="27" s="1"/>
  <c r="G285" i="27" s="1"/>
  <c r="F267" i="27" a="1"/>
  <c r="F267" i="27" s="1"/>
  <c r="G267" i="27" s="1"/>
  <c r="F693" i="27" a="1"/>
  <c r="F693" i="27" s="1"/>
  <c r="G693" i="27" s="1"/>
  <c r="F310" i="27" a="1"/>
  <c r="F310" i="27" s="1"/>
  <c r="G310" i="27" s="1"/>
  <c r="F86" i="27" a="1"/>
  <c r="F86" i="27" s="1"/>
  <c r="G86" i="27" s="1"/>
  <c r="F724" i="27" a="1"/>
  <c r="F724" i="27" s="1"/>
  <c r="G724" i="27" s="1"/>
  <c r="F739" i="27" a="1"/>
  <c r="F739" i="27" s="1"/>
  <c r="G739" i="27" s="1"/>
  <c r="F40" i="27" a="1"/>
  <c r="F40" i="27" s="1"/>
  <c r="G40" i="27" s="1"/>
  <c r="F54" i="27" a="1"/>
  <c r="F54" i="27" s="1"/>
  <c r="G54" i="27" s="1"/>
  <c r="F533" i="27" a="1"/>
  <c r="F533" i="27" s="1"/>
  <c r="G533" i="27" s="1"/>
  <c r="F494" i="27" a="1"/>
  <c r="F494" i="27" s="1"/>
  <c r="G494" i="27" s="1"/>
  <c r="F213" i="27" a="1"/>
  <c r="F213" i="27" s="1"/>
  <c r="G213" i="27" s="1"/>
  <c r="F221" i="27" a="1"/>
  <c r="F221" i="27" s="1"/>
  <c r="G221" i="27" s="1"/>
  <c r="F647" i="27" a="1"/>
  <c r="F647" i="27" s="1"/>
  <c r="G647" i="27" s="1"/>
  <c r="F195" i="27" a="1"/>
  <c r="F195" i="27" s="1"/>
  <c r="G195" i="27" s="1"/>
  <c r="F698" i="27" a="1"/>
  <c r="F698" i="27" s="1"/>
  <c r="G698" i="27" s="1"/>
  <c r="F421" i="27" a="1"/>
  <c r="F421" i="27" s="1"/>
  <c r="G421" i="27" s="1"/>
  <c r="F44" i="27" a="1"/>
  <c r="F44" i="27" s="1"/>
  <c r="G44" i="27" s="1"/>
  <c r="F28" i="27" a="1"/>
  <c r="F28" i="27" s="1"/>
  <c r="G28" i="27" s="1"/>
  <c r="F333" i="27" a="1"/>
  <c r="F333" i="27" s="1"/>
  <c r="G333" i="27" s="1"/>
  <c r="F186" i="27" a="1"/>
  <c r="F186" i="27" s="1"/>
  <c r="G186" i="27" s="1"/>
  <c r="F182" i="27" a="1"/>
  <c r="F182" i="27" s="1"/>
  <c r="G182" i="27" s="1"/>
  <c r="F459" i="27" a="1"/>
  <c r="F459" i="27" s="1"/>
  <c r="G459" i="27" s="1"/>
  <c r="F802" i="27" a="1"/>
  <c r="F802" i="27" s="1"/>
  <c r="G802" i="27" s="1"/>
  <c r="F731" i="27" a="1"/>
  <c r="F731" i="27" s="1"/>
  <c r="G731" i="27" s="1"/>
  <c r="F770" i="27" a="1"/>
  <c r="F770" i="27" s="1"/>
  <c r="G770" i="27" s="1"/>
  <c r="K202" i="28"/>
  <c r="K397" i="28"/>
  <c r="K85" i="28"/>
  <c r="K220" i="28"/>
  <c r="K402" i="28"/>
  <c r="K18" i="28"/>
  <c r="K209" i="28"/>
  <c r="K192" i="28"/>
  <c r="K448" i="28"/>
  <c r="K39" i="28"/>
  <c r="K305" i="28"/>
  <c r="K470" i="28"/>
  <c r="K41" i="28"/>
  <c r="K114" i="28"/>
  <c r="K381" i="28"/>
  <c r="K102" i="28"/>
  <c r="K430" i="28"/>
  <c r="K125" i="28"/>
  <c r="K279" i="28"/>
  <c r="K476" i="28"/>
  <c r="K152" i="28"/>
  <c r="K421" i="28"/>
  <c r="K233" i="28"/>
  <c r="K238" i="28"/>
  <c r="K424" i="28"/>
  <c r="K374" i="28"/>
  <c r="K46" i="28"/>
  <c r="K438" i="28"/>
  <c r="K156" i="28"/>
  <c r="K91" i="28"/>
  <c r="K301" i="28"/>
  <c r="K337" i="28"/>
  <c r="K299" i="28"/>
  <c r="K292" i="28"/>
  <c r="K200" i="28"/>
  <c r="K273" i="28"/>
  <c r="K261" i="28"/>
  <c r="K419" i="28"/>
  <c r="K285" i="28"/>
  <c r="K128" i="28"/>
  <c r="K445" i="28"/>
  <c r="K56" i="28"/>
  <c r="K410" i="28"/>
  <c r="K423" i="28"/>
  <c r="K82" i="28"/>
  <c r="K277" i="28"/>
  <c r="K243" i="28"/>
  <c r="K123" i="28"/>
  <c r="K420" i="28"/>
  <c r="K361" i="28"/>
  <c r="K53" i="28"/>
  <c r="K264" i="28"/>
  <c r="K302" i="28"/>
  <c r="K201" i="28"/>
  <c r="K5" i="28"/>
  <c r="K394" i="28"/>
  <c r="K259" i="28"/>
  <c r="K67" i="28"/>
  <c r="K439" i="28"/>
  <c r="K119" i="28"/>
  <c r="K344" i="28"/>
  <c r="K130" i="28"/>
  <c r="K69" i="28"/>
  <c r="K25" i="28"/>
  <c r="K368" i="28"/>
  <c r="K199" i="28"/>
  <c r="K212" i="28"/>
  <c r="K295" i="28"/>
  <c r="K184" i="28"/>
  <c r="K52" i="28"/>
  <c r="K351" i="28"/>
  <c r="K447" i="28"/>
  <c r="K157" i="28"/>
  <c r="K54" i="28"/>
  <c r="K179" i="28"/>
  <c r="K166" i="28"/>
  <c r="K203" i="28"/>
  <c r="K139" i="28"/>
  <c r="K205" i="28"/>
  <c r="K158" i="28"/>
  <c r="K311" i="28"/>
  <c r="K65" i="28"/>
  <c r="K191" i="28"/>
  <c r="K286" i="28"/>
  <c r="K312" i="28"/>
  <c r="K408" i="28"/>
  <c r="K364" i="28"/>
  <c r="K309" i="28"/>
  <c r="K133" i="28"/>
  <c r="K17" i="28"/>
  <c r="K214" i="28"/>
  <c r="K185" i="28"/>
  <c r="K271" i="28"/>
  <c r="K443" i="28"/>
  <c r="K444" i="28"/>
  <c r="K7" i="28"/>
  <c r="K330" i="28"/>
  <c r="K377" i="28"/>
  <c r="K127" i="28"/>
  <c r="K229" i="28"/>
  <c r="K332" i="28"/>
  <c r="K182" i="28"/>
  <c r="K456" i="28"/>
  <c r="K386" i="28"/>
  <c r="K457" i="28"/>
  <c r="K162" i="28"/>
  <c r="K257" i="28"/>
  <c r="K401" i="28"/>
  <c r="K151" i="28"/>
  <c r="K116" i="28"/>
  <c r="K323" i="28"/>
  <c r="K489" i="28"/>
  <c r="K345" i="28"/>
  <c r="K207" i="28"/>
  <c r="K164" i="28"/>
  <c r="K267" i="28"/>
  <c r="K329" i="28"/>
  <c r="K469" i="28"/>
  <c r="K37" i="28"/>
  <c r="K450" i="28"/>
  <c r="K79" i="28"/>
  <c r="K263" i="28"/>
  <c r="K239" i="28"/>
  <c r="K86" i="28"/>
  <c r="K118" i="28"/>
  <c r="K3" i="28"/>
  <c r="K391" i="28"/>
  <c r="K168" i="28"/>
  <c r="K372" i="28"/>
  <c r="K29" i="28"/>
  <c r="K404" i="28"/>
  <c r="K406" i="28"/>
  <c r="K189" i="28"/>
  <c r="K175" i="28"/>
  <c r="K142" i="28"/>
  <c r="K88" i="28"/>
  <c r="K346" i="28"/>
  <c r="K49" i="28"/>
  <c r="K48" i="28"/>
  <c r="K437" i="28"/>
  <c r="K132" i="28"/>
  <c r="K393" i="28"/>
  <c r="K272" i="28"/>
  <c r="K193" i="28"/>
  <c r="K409" i="28"/>
  <c r="K92" i="28"/>
  <c r="K254" i="28"/>
  <c r="K74" i="28"/>
  <c r="K240" i="28"/>
  <c r="K392" i="28"/>
  <c r="K148" i="28"/>
  <c r="K140" i="28"/>
  <c r="K288" i="28"/>
  <c r="K274" i="28"/>
  <c r="K258" i="28"/>
  <c r="K234" i="28"/>
  <c r="K389" i="28"/>
  <c r="K93" i="28"/>
  <c r="K6" i="28"/>
  <c r="K146" i="28"/>
  <c r="K360" i="28"/>
  <c r="K282" i="28"/>
  <c r="K465" i="28"/>
  <c r="K283" i="28"/>
  <c r="K303" i="28"/>
  <c r="K47" i="28"/>
  <c r="K81" i="28"/>
  <c r="K466" i="28"/>
  <c r="K462" i="28"/>
  <c r="K76" i="28"/>
  <c r="K472" i="28"/>
  <c r="K250" i="28"/>
  <c r="K231" i="28"/>
  <c r="K453" i="28"/>
  <c r="K482" i="28"/>
  <c r="K45" i="28"/>
  <c r="K331" i="28"/>
  <c r="K160" i="28"/>
  <c r="K51" i="28"/>
  <c r="K355" i="28"/>
  <c r="K155" i="28"/>
  <c r="K480" i="28"/>
  <c r="K206" i="28"/>
  <c r="K310" i="28"/>
  <c r="K235" i="28"/>
  <c r="K278" i="28"/>
  <c r="K275" i="28"/>
  <c r="K475" i="28"/>
  <c r="K388" i="28"/>
  <c r="K190" i="28"/>
  <c r="K170" i="28"/>
  <c r="K464" i="28"/>
  <c r="K208" i="28"/>
  <c r="K187" i="28"/>
  <c r="K471" i="28"/>
  <c r="K370" i="28"/>
  <c r="K434" i="28"/>
  <c r="K467" i="28"/>
  <c r="K106" i="28"/>
  <c r="K449" i="28"/>
  <c r="K405" i="28"/>
  <c r="K324" i="28"/>
  <c r="K55" i="28"/>
  <c r="K380" i="28"/>
  <c r="K57" i="28"/>
  <c r="K251" i="28"/>
  <c r="K290" i="28"/>
  <c r="K111" i="28"/>
  <c r="K297" i="28"/>
  <c r="K429" i="28"/>
  <c r="K213" i="28"/>
  <c r="K198" i="28"/>
  <c r="K328" i="28"/>
  <c r="K460" i="28"/>
  <c r="K120" i="28"/>
  <c r="K64" i="28"/>
  <c r="K228" i="28"/>
  <c r="K375" i="28"/>
  <c r="K72" i="28"/>
  <c r="K468" i="28"/>
  <c r="K176" i="28"/>
  <c r="K94" i="28"/>
  <c r="K80" i="28"/>
  <c r="K320" i="28"/>
  <c r="K433" i="28"/>
  <c r="K477" i="28"/>
  <c r="K428" i="28"/>
  <c r="K366" i="28"/>
  <c r="K149" i="28"/>
  <c r="K223" i="28"/>
  <c r="K71" i="28"/>
  <c r="K197" i="28"/>
  <c r="K304" i="28"/>
  <c r="K247" i="28"/>
  <c r="K414" i="28"/>
  <c r="K342" i="28"/>
  <c r="K42" i="28"/>
  <c r="K367" i="28"/>
  <c r="K103" i="28"/>
  <c r="K216" i="28"/>
  <c r="K113" i="28"/>
  <c r="K440" i="28"/>
  <c r="K356" i="28"/>
  <c r="K112" i="28"/>
  <c r="K210" i="28"/>
  <c r="K431" i="28"/>
  <c r="K138" i="28"/>
  <c r="K427" i="28"/>
  <c r="K479" i="28"/>
  <c r="K347" i="28"/>
  <c r="K358" i="28"/>
  <c r="K87" i="28"/>
  <c r="K68" i="28"/>
  <c r="K287" i="28"/>
  <c r="K218" i="28"/>
  <c r="K246" i="28"/>
  <c r="K183" i="28"/>
  <c r="K61" i="28"/>
  <c r="K159" i="28"/>
  <c r="K327" i="28"/>
  <c r="K378" i="28"/>
  <c r="K245" i="28"/>
  <c r="K313" i="28"/>
  <c r="K27" i="28"/>
  <c r="K474" i="28"/>
  <c r="K59" i="28"/>
  <c r="K70" i="28"/>
  <c r="K339" i="28"/>
  <c r="K63" i="28"/>
  <c r="K21" i="28"/>
  <c r="K22" i="28"/>
  <c r="K400" i="28"/>
  <c r="K269" i="28"/>
  <c r="K289" i="28"/>
  <c r="K416" i="28"/>
  <c r="K425" i="28"/>
  <c r="K131" i="28"/>
  <c r="K23" i="28"/>
  <c r="K415" i="28"/>
  <c r="K483" i="28"/>
  <c r="K383" i="28"/>
  <c r="K241" i="28"/>
  <c r="K163" i="28"/>
  <c r="K407" i="28"/>
  <c r="K173" i="28"/>
  <c r="K436" i="28"/>
  <c r="K217" i="28"/>
  <c r="K153" i="28"/>
  <c r="K334" i="28"/>
  <c r="K16" i="28"/>
  <c r="K488" i="28"/>
  <c r="K417" i="28"/>
  <c r="K195" i="28"/>
  <c r="K376" i="28"/>
  <c r="K165" i="28"/>
  <c r="K382" i="28"/>
  <c r="K181" i="28"/>
  <c r="K284" i="28"/>
  <c r="K28" i="28"/>
  <c r="K230" i="28"/>
  <c r="K77" i="28"/>
  <c r="K178" i="28"/>
  <c r="K426" i="28"/>
  <c r="K137" i="28"/>
  <c r="K265" i="28"/>
  <c r="K224" i="28"/>
  <c r="K4" i="28"/>
  <c r="K90" i="28"/>
  <c r="K256" i="28"/>
  <c r="K145" i="28"/>
  <c r="K225" i="28"/>
  <c r="K31" i="28"/>
  <c r="K196" i="28"/>
  <c r="K174" i="28"/>
  <c r="K268" i="28"/>
  <c r="K373" i="28"/>
  <c r="K294" i="28"/>
  <c r="K30" i="28"/>
  <c r="K260" i="28"/>
  <c r="K249" i="28"/>
  <c r="K266" i="28"/>
  <c r="K317" i="28"/>
  <c r="K403" i="28"/>
  <c r="K298" i="28"/>
  <c r="K316" i="28"/>
  <c r="K161" i="28"/>
  <c r="K281" i="28"/>
  <c r="K126" i="28"/>
  <c r="K315" i="28"/>
  <c r="K244" i="28"/>
  <c r="K441" i="28"/>
  <c r="K171" i="28"/>
  <c r="K348" i="28"/>
  <c r="K99" i="28"/>
  <c r="K129" i="28"/>
  <c r="K110" i="28"/>
  <c r="K463" i="28"/>
  <c r="K107" i="28"/>
  <c r="K461" i="28"/>
  <c r="K396" i="28"/>
  <c r="K167" i="28"/>
  <c r="K124" i="28"/>
  <c r="K95" i="28"/>
  <c r="K481" i="28"/>
  <c r="K215" i="28"/>
  <c r="K362" i="28"/>
  <c r="K147" i="28"/>
  <c r="K387" i="28"/>
  <c r="K73" i="28"/>
  <c r="K60" i="28"/>
  <c r="K333" i="28"/>
  <c r="K97" i="28"/>
  <c r="K253" i="28"/>
  <c r="K40" i="28"/>
  <c r="K134" i="28"/>
  <c r="K350" i="28"/>
  <c r="K34" i="28"/>
  <c r="K343" i="28"/>
  <c r="K413" i="28"/>
  <c r="K13" i="28"/>
  <c r="K221" i="28"/>
  <c r="K371" i="28"/>
  <c r="K20" i="28"/>
  <c r="K385" i="28"/>
  <c r="K62" i="28"/>
  <c r="K36" i="28"/>
  <c r="K322" i="28"/>
  <c r="K459" i="28"/>
  <c r="K14" i="28"/>
  <c r="K395" i="28"/>
  <c r="K379" i="28"/>
  <c r="K84" i="28"/>
  <c r="K293" i="28"/>
  <c r="K211" i="28"/>
  <c r="K357" i="28"/>
  <c r="K352" i="28"/>
  <c r="K135" i="28"/>
  <c r="K255" i="28"/>
  <c r="K276" i="28"/>
  <c r="K473" i="28"/>
  <c r="K451" i="28"/>
  <c r="K487" i="28"/>
  <c r="K412" i="28"/>
  <c r="K319" i="28"/>
  <c r="K306" i="28"/>
  <c r="K354" i="28"/>
  <c r="K121" i="28"/>
  <c r="K349" i="28"/>
  <c r="K353" i="28"/>
  <c r="K363" i="28"/>
  <c r="K141" i="28"/>
  <c r="K83" i="28"/>
  <c r="K226" i="28"/>
  <c r="K369" i="28"/>
  <c r="K194" i="28"/>
  <c r="K335" i="28"/>
  <c r="K15" i="28"/>
  <c r="K8" i="28"/>
  <c r="K177" i="28"/>
  <c r="K486" i="28"/>
  <c r="K336" i="28"/>
  <c r="K300" i="28"/>
  <c r="K169" i="28"/>
  <c r="K399" i="28"/>
  <c r="K115" i="28"/>
  <c r="K411" i="28"/>
  <c r="K321" i="28"/>
  <c r="K10" i="28"/>
  <c r="K89" i="28"/>
  <c r="K308" i="28"/>
  <c r="K314" i="28"/>
  <c r="K485" i="28"/>
  <c r="K307" i="28"/>
  <c r="K186" i="28"/>
  <c r="K418" i="28"/>
  <c r="K359" i="28"/>
  <c r="K219" i="28"/>
  <c r="K291" i="28"/>
  <c r="K280" i="28"/>
  <c r="K43" i="28"/>
  <c r="K446" i="28"/>
  <c r="K143" i="28"/>
  <c r="K66" i="28"/>
  <c r="K122" i="28"/>
  <c r="K365" i="28"/>
  <c r="K326" i="28"/>
  <c r="K104" i="28"/>
  <c r="K12" i="28"/>
  <c r="K248" i="28"/>
  <c r="K338" i="28"/>
  <c r="K325" i="28"/>
  <c r="K478" i="28"/>
  <c r="K262" i="28"/>
  <c r="K432" i="28"/>
  <c r="K24" i="28"/>
  <c r="K237" i="28"/>
  <c r="K96" i="28"/>
  <c r="K78" i="28"/>
  <c r="K422" i="28"/>
  <c r="K100" i="28"/>
  <c r="K154" i="28"/>
  <c r="K172" i="28"/>
  <c r="K484" i="28"/>
  <c r="K270" i="28"/>
  <c r="K454" i="28"/>
  <c r="K188" i="28"/>
  <c r="K442" i="28"/>
  <c r="K458" i="28"/>
  <c r="K136" i="28"/>
  <c r="K242" i="28"/>
  <c r="K296" i="28"/>
  <c r="K398" i="28"/>
  <c r="K109" i="28"/>
  <c r="K227" i="28"/>
  <c r="K11" i="28"/>
  <c r="K222" i="28"/>
  <c r="K75" i="28"/>
  <c r="K32" i="28"/>
  <c r="K50" i="28"/>
  <c r="K150" i="28"/>
  <c r="K33" i="28"/>
  <c r="K340" i="28"/>
  <c r="K58" i="28"/>
  <c r="K38" i="28"/>
  <c r="K435" i="28"/>
  <c r="K19" i="28"/>
  <c r="K384" i="28"/>
  <c r="K180" i="28"/>
  <c r="K117" i="28"/>
  <c r="K252" i="28"/>
  <c r="K455" i="28"/>
  <c r="K318" i="28"/>
  <c r="K26" i="28"/>
  <c r="K341" i="28"/>
  <c r="K390" i="28"/>
  <c r="K452" i="28"/>
  <c r="K101" i="28"/>
  <c r="K98" i="28"/>
  <c r="K35" i="28"/>
  <c r="K9" i="28"/>
  <c r="K204" i="28"/>
  <c r="K232" i="28"/>
  <c r="K144" i="28"/>
  <c r="K105" i="28"/>
  <c r="K44" i="28"/>
  <c r="K236" i="28"/>
  <c r="K108" i="28"/>
  <c r="K2" i="28"/>
  <c r="F686" i="27" a="1"/>
  <c r="F686" i="27" s="1"/>
  <c r="G686" i="27" s="1"/>
  <c r="F705" i="27" a="1"/>
  <c r="F705" i="27" s="1"/>
  <c r="G705" i="27" s="1"/>
  <c r="F809" i="27" a="1"/>
  <c r="F809" i="27" s="1"/>
  <c r="G809" i="27" s="1"/>
  <c r="F793" i="27" a="1"/>
  <c r="F793" i="27" s="1"/>
  <c r="G793" i="27" s="1"/>
  <c r="F789" i="27" a="1"/>
  <c r="F789" i="27" s="1"/>
  <c r="G789" i="27" s="1"/>
  <c r="F814" i="27" a="1"/>
  <c r="F814" i="27" s="1"/>
  <c r="G814" i="27" s="1"/>
  <c r="F636" i="27" a="1"/>
  <c r="F636" i="27" s="1"/>
  <c r="G636" i="27" s="1"/>
  <c r="F641" i="27" a="1"/>
  <c r="F641" i="27" s="1"/>
  <c r="G641" i="27" s="1"/>
  <c r="F718" i="27" a="1"/>
  <c r="F718" i="27" s="1"/>
  <c r="G718" i="27" s="1"/>
  <c r="F714" i="27" a="1"/>
  <c r="F714" i="27" s="1"/>
  <c r="G714" i="27" s="1"/>
  <c r="F799" i="27" a="1"/>
  <c r="F799" i="27" s="1"/>
  <c r="G799" i="27" s="1"/>
  <c r="F796" i="27" a="1"/>
  <c r="F796" i="27" s="1"/>
  <c r="G796" i="27" s="1"/>
  <c r="F722" i="27" a="1"/>
  <c r="F722" i="27" s="1"/>
  <c r="G722" i="27" s="1"/>
  <c r="F782" i="27" a="1"/>
  <c r="F782" i="27" s="1"/>
  <c r="G782" i="27" s="1"/>
  <c r="F831" i="27" a="1"/>
  <c r="F831" i="27" s="1"/>
  <c r="G831" i="27" s="1"/>
  <c r="F811" i="27" a="1"/>
  <c r="F811" i="27" s="1"/>
  <c r="G811" i="27" s="1"/>
  <c r="F812" i="27" a="1"/>
  <c r="F812" i="27" s="1"/>
  <c r="G812" i="27" s="1"/>
  <c r="F778" i="27" a="1"/>
  <c r="F778" i="27" s="1"/>
  <c r="G778" i="27" s="1"/>
  <c r="F620" i="27" a="1"/>
  <c r="F620" i="27" s="1"/>
  <c r="G620" i="27" s="1"/>
  <c r="F598" i="27" a="1"/>
  <c r="F598" i="27" s="1"/>
  <c r="G598" i="27" s="1"/>
  <c r="F823" i="27" a="1"/>
  <c r="F823" i="27" s="1"/>
  <c r="G823" i="27" s="1"/>
  <c r="F828" i="27" a="1"/>
  <c r="F828" i="27" s="1"/>
  <c r="G828" i="27" s="1"/>
  <c r="F436" i="27" a="1"/>
  <c r="F436" i="27" s="1"/>
  <c r="G436" i="27" s="1"/>
  <c r="F561" i="27" a="1"/>
  <c r="F561" i="27" s="1"/>
  <c r="G561" i="27" s="1"/>
  <c r="F754" i="27" a="1"/>
  <c r="F754" i="27" s="1"/>
  <c r="G754" i="27" s="1"/>
  <c r="F803" i="27" a="1"/>
  <c r="F803" i="27" s="1"/>
  <c r="G803" i="27" s="1"/>
  <c r="F779" i="27" a="1"/>
  <c r="F779" i="27" s="1"/>
  <c r="G779" i="27" s="1"/>
  <c r="F773" i="27" a="1"/>
  <c r="F773" i="27" s="1"/>
  <c r="G773" i="27" s="1"/>
  <c r="F651" i="27" a="1"/>
  <c r="F651" i="27" s="1"/>
  <c r="G651" i="27" s="1"/>
  <c r="F607" i="27" a="1"/>
  <c r="F607" i="27" s="1"/>
  <c r="G607" i="27" s="1"/>
  <c r="F781" i="27" a="1"/>
  <c r="F781" i="27" s="1"/>
  <c r="G781" i="27" s="1"/>
  <c r="F746" i="27" a="1"/>
  <c r="F746" i="27" s="1"/>
  <c r="G746" i="27" s="1"/>
  <c r="F664" i="27" a="1"/>
  <c r="F664" i="27" s="1"/>
  <c r="G664" i="27" s="1"/>
  <c r="F663" i="27" a="1"/>
  <c r="F663" i="27" s="1"/>
  <c r="G663" i="27" s="1"/>
  <c r="F677" i="27" a="1"/>
  <c r="F677" i="27" s="1"/>
  <c r="G677" i="27" s="1"/>
  <c r="F676" i="27" a="1"/>
  <c r="F676" i="27" s="1"/>
  <c r="G676" i="27" s="1"/>
  <c r="F783" i="27" a="1"/>
  <c r="F783" i="27" s="1"/>
  <c r="G783" i="27" s="1"/>
  <c r="F786" i="27" a="1"/>
  <c r="F786" i="27" s="1"/>
  <c r="G786" i="27" s="1"/>
  <c r="F599" i="27" a="1"/>
  <c r="F599" i="27" s="1"/>
  <c r="G599" i="27" s="1"/>
  <c r="F574" i="27" a="1"/>
  <c r="F574" i="27" s="1"/>
  <c r="G574" i="27" s="1"/>
  <c r="F822" i="27" a="1"/>
  <c r="F822" i="27" s="1"/>
  <c r="G822" i="27" s="1"/>
  <c r="F827" i="27" a="1"/>
  <c r="F827" i="27" s="1"/>
  <c r="G827" i="27" s="1"/>
  <c r="F609" i="27" a="1"/>
  <c r="F609" i="27" s="1"/>
  <c r="G609" i="27" s="1"/>
  <c r="F604" i="27" a="1"/>
  <c r="F604" i="27" s="1"/>
  <c r="G604" i="27" s="1"/>
  <c r="F762" i="27" a="1"/>
  <c r="F762" i="27" s="1"/>
  <c r="G762" i="27" s="1"/>
  <c r="F774" i="27" a="1"/>
  <c r="F774" i="27" s="1"/>
  <c r="G774" i="27" s="1"/>
  <c r="F836" i="27" a="1"/>
  <c r="F836" i="27" s="1"/>
  <c r="G836" i="27" s="1"/>
  <c r="F835" i="27" a="1"/>
  <c r="F835" i="27" s="1"/>
  <c r="G835" i="27" s="1"/>
  <c r="F834" i="27" a="1"/>
  <c r="F834" i="27" s="1"/>
  <c r="G834" i="27" s="1"/>
  <c r="F832" i="27" a="1"/>
  <c r="F832" i="27" s="1"/>
  <c r="G832" i="27" s="1"/>
  <c r="F808" i="27" a="1"/>
  <c r="F808" i="27" s="1"/>
  <c r="G808" i="27" s="1"/>
  <c r="F810" i="27" a="1"/>
  <c r="F810" i="27" s="1"/>
  <c r="G810" i="27" s="1"/>
  <c r="F765" i="27" a="1"/>
  <c r="F765" i="27" s="1"/>
  <c r="G765" i="27" s="1"/>
  <c r="F766" i="27" a="1"/>
  <c r="F766" i="27" s="1"/>
  <c r="G766" i="27" s="1"/>
  <c r="K2" i="17"/>
  <c r="B495" i="28"/>
  <c r="B497" i="28"/>
  <c r="Q58" i="25"/>
  <c r="Q5" i="25"/>
  <c r="Q53" i="25"/>
  <c r="Q36" i="25"/>
  <c r="Q41" i="25"/>
  <c r="Q72" i="25"/>
  <c r="Q52" i="25"/>
  <c r="Q24" i="25"/>
  <c r="Q16" i="25"/>
  <c r="Q37" i="25"/>
  <c r="Q76" i="25"/>
  <c r="Q23" i="25"/>
  <c r="Q29" i="25"/>
  <c r="Q75" i="25"/>
  <c r="Q6" i="25"/>
  <c r="Q77" i="25"/>
  <c r="Q71" i="25"/>
  <c r="Q64" i="25"/>
  <c r="Q32" i="25"/>
  <c r="Q25" i="25"/>
  <c r="Q54" i="25"/>
  <c r="Q11" i="25"/>
  <c r="Q59" i="25"/>
  <c r="Q78" i="25"/>
  <c r="Q12" i="25"/>
  <c r="Q19" i="25"/>
  <c r="Q27" i="25"/>
  <c r="Q63" i="25"/>
  <c r="Q74" i="25"/>
  <c r="Q60" i="25"/>
  <c r="Q56" i="25"/>
  <c r="Q9" i="25"/>
  <c r="Q39" i="25"/>
  <c r="Q67" i="25"/>
  <c r="Q4" i="25"/>
  <c r="Q61" i="25"/>
  <c r="Q42" i="25"/>
  <c r="Q44" i="25"/>
  <c r="Q57" i="25"/>
  <c r="Q15" i="25"/>
  <c r="Q22" i="25"/>
  <c r="Q28" i="25"/>
  <c r="Q38" i="25"/>
  <c r="Q20" i="25"/>
  <c r="Q66" i="25"/>
  <c r="Q8" i="25"/>
  <c r="Q62" i="25"/>
  <c r="Q40" i="25"/>
  <c r="Q30" i="25"/>
  <c r="Q3" i="25"/>
  <c r="Q55" i="25"/>
  <c r="Q18" i="25"/>
  <c r="Q17" i="25"/>
  <c r="Q49" i="25"/>
  <c r="Q43" i="25"/>
  <c r="Q13" i="25"/>
  <c r="Q50" i="25"/>
  <c r="Q45" i="25"/>
  <c r="Q48" i="25"/>
  <c r="Q14" i="25"/>
  <c r="Q34" i="25"/>
  <c r="Q26" i="25"/>
  <c r="Q21" i="25"/>
  <c r="Q70" i="25"/>
  <c r="Q35" i="25"/>
  <c r="Q10" i="25"/>
  <c r="Q73" i="25"/>
  <c r="Q46" i="25"/>
  <c r="Q31" i="25"/>
  <c r="Q7" i="25"/>
  <c r="Q68" i="25"/>
  <c r="Q51" i="25"/>
  <c r="Q69" i="25"/>
  <c r="Q47" i="25"/>
  <c r="Q65" i="25"/>
  <c r="Q33" i="25"/>
  <c r="K177" i="17"/>
  <c r="K50" i="17"/>
  <c r="K46" i="17"/>
  <c r="AA168" i="5" s="1"/>
  <c r="K180" i="17"/>
  <c r="K154" i="17"/>
  <c r="AA459" i="5" s="1"/>
  <c r="K77" i="17"/>
  <c r="K48" i="17"/>
  <c r="K113" i="17"/>
  <c r="K14" i="17"/>
  <c r="K64" i="17"/>
  <c r="K118" i="17"/>
  <c r="K116" i="17"/>
  <c r="K45" i="17"/>
  <c r="K140" i="17"/>
  <c r="K86" i="17"/>
  <c r="AA180" i="5" s="1"/>
  <c r="K157" i="21"/>
  <c r="K106" i="21"/>
  <c r="K186" i="21"/>
  <c r="AA475" i="5" s="1"/>
  <c r="K109" i="21"/>
  <c r="K71" i="21"/>
  <c r="K96" i="23"/>
  <c r="AA350" i="5" s="1"/>
  <c r="K66" i="21"/>
  <c r="K123" i="21"/>
  <c r="K48" i="23"/>
  <c r="AA207" i="5" s="1"/>
  <c r="K56" i="23"/>
  <c r="AA271" i="5" s="1"/>
  <c r="K109" i="23"/>
  <c r="AA354" i="5" s="1"/>
  <c r="K180" i="23"/>
  <c r="AA568" i="5" s="1"/>
  <c r="K113" i="21"/>
  <c r="AA139" i="5" s="1"/>
  <c r="K188" i="21"/>
  <c r="AA416" i="5" s="1"/>
  <c r="K33" i="23"/>
  <c r="AA146" i="5" s="1"/>
  <c r="K148" i="21"/>
  <c r="AA283" i="5" s="1"/>
  <c r="K254" i="23"/>
  <c r="AA729" i="5" s="1"/>
  <c r="K59" i="23"/>
  <c r="AA254" i="5" s="1"/>
  <c r="K77" i="21"/>
  <c r="AA102" i="5" s="1"/>
  <c r="K31" i="23"/>
  <c r="AA121" i="5" s="1"/>
  <c r="K115" i="21"/>
  <c r="AA299" i="5" s="1"/>
  <c r="K224" i="23"/>
  <c r="AA748" i="5" s="1"/>
  <c r="K143" i="21"/>
  <c r="AA315" i="5" s="1"/>
  <c r="K79" i="23"/>
  <c r="AA506" i="5" s="1"/>
  <c r="K38" i="23"/>
  <c r="AA194" i="5" s="1"/>
  <c r="K174" i="21"/>
  <c r="K35" i="21"/>
  <c r="K154" i="21"/>
  <c r="K107" i="21"/>
  <c r="AA230" i="5" s="1"/>
  <c r="K23" i="21"/>
  <c r="AA56" i="5" s="1"/>
  <c r="K14" i="21"/>
  <c r="K200" i="23"/>
  <c r="AA494" i="5" s="1"/>
  <c r="K37" i="21"/>
  <c r="K220" i="21"/>
  <c r="K26" i="21"/>
  <c r="K155" i="23"/>
  <c r="AA703" i="5" s="1"/>
  <c r="K53" i="23"/>
  <c r="AA358" i="5" s="1"/>
  <c r="K178" i="23"/>
  <c r="AA665" i="5" s="1"/>
  <c r="K127" i="21"/>
  <c r="K249" i="21"/>
  <c r="K222" i="23"/>
  <c r="AA675" i="5" s="1"/>
  <c r="K64" i="21"/>
  <c r="K231" i="23"/>
  <c r="AA676" i="5" s="1"/>
  <c r="A266" i="21"/>
  <c r="K48" i="21"/>
  <c r="AA128" i="5" s="1"/>
  <c r="K161" i="23"/>
  <c r="AA512" i="5" s="1"/>
  <c r="K205" i="21"/>
  <c r="AA521" i="5" s="1"/>
  <c r="K187" i="21"/>
  <c r="AA347" i="5" s="1"/>
  <c r="K137" i="23"/>
  <c r="AA384" i="5" s="1"/>
  <c r="K66" i="23"/>
  <c r="AA624" i="5" s="1"/>
  <c r="K112" i="21"/>
  <c r="K257" i="23"/>
  <c r="AA711" i="5" s="1"/>
  <c r="K79" i="21"/>
  <c r="AA245" i="5" s="1"/>
  <c r="K209" i="23"/>
  <c r="AA540" i="5" s="1"/>
  <c r="K161" i="21"/>
  <c r="AA556" i="5" s="1"/>
  <c r="K156" i="21"/>
  <c r="K38" i="21"/>
  <c r="K240" i="23"/>
  <c r="AA653" i="5" s="1"/>
  <c r="K128" i="23"/>
  <c r="AA473" i="5" s="1"/>
  <c r="K114" i="23"/>
  <c r="AA414" i="5" s="1"/>
  <c r="K51" i="23"/>
  <c r="AA301" i="5" s="1"/>
  <c r="K118" i="23"/>
  <c r="AA380" i="5" s="1"/>
  <c r="K135" i="23"/>
  <c r="AA445" i="5" s="1"/>
  <c r="K130" i="21"/>
  <c r="AA250" i="5" s="1"/>
  <c r="K209" i="21"/>
  <c r="K15" i="21"/>
  <c r="K138" i="21"/>
  <c r="K80" i="21"/>
  <c r="AA172" i="5" s="1"/>
  <c r="K166" i="21"/>
  <c r="AA704" i="5" s="1"/>
  <c r="K49" i="21"/>
  <c r="K140" i="23"/>
  <c r="AA542" i="5" s="1"/>
  <c r="K192" i="21"/>
  <c r="AA457" i="5" s="1"/>
  <c r="K2" i="21"/>
  <c r="K170" i="21"/>
  <c r="K127" i="23"/>
  <c r="AA607" i="5" s="1"/>
  <c r="K242" i="21"/>
  <c r="AA672" i="5" s="1"/>
  <c r="K67" i="23"/>
  <c r="AA490" i="5" s="1"/>
  <c r="K47" i="23"/>
  <c r="AA153" i="5" s="1"/>
  <c r="K165" i="21"/>
  <c r="K47" i="21"/>
  <c r="AA65" i="5" s="1"/>
  <c r="K170" i="23"/>
  <c r="AA497" i="5" s="1"/>
  <c r="K213" i="21"/>
  <c r="K145" i="21"/>
  <c r="K117" i="21"/>
  <c r="K3" i="21"/>
  <c r="AA4" i="5" s="1"/>
  <c r="K126" i="23"/>
  <c r="AA552" i="5" s="1"/>
  <c r="K148" i="23"/>
  <c r="AA469" i="5" s="1"/>
  <c r="K180" i="21"/>
  <c r="K39" i="21"/>
  <c r="K254" i="21"/>
  <c r="K104" i="21"/>
  <c r="K208" i="21"/>
  <c r="AA622" i="5" s="1"/>
  <c r="K25" i="23"/>
  <c r="AA297" i="5" s="1"/>
  <c r="K8" i="23"/>
  <c r="AA119" i="5" s="1"/>
  <c r="K93" i="21"/>
  <c r="K179" i="21"/>
  <c r="K232" i="23"/>
  <c r="AA649" i="5" s="1"/>
  <c r="K14" i="23"/>
  <c r="AA200" i="5" s="1"/>
  <c r="K89" i="21"/>
  <c r="K90" i="21"/>
  <c r="AA295" i="5" s="1"/>
  <c r="K150" i="23"/>
  <c r="AA621" i="5" s="1"/>
  <c r="K219" i="23"/>
  <c r="AA560" i="5" s="1"/>
  <c r="K116" i="21"/>
  <c r="AA179" i="5" s="1"/>
  <c r="K19" i="21"/>
  <c r="AA24" i="5" s="1"/>
  <c r="K21" i="23"/>
  <c r="AA111" i="5" s="1"/>
  <c r="K184" i="23"/>
  <c r="AA468" i="5" s="1"/>
  <c r="K51" i="21"/>
  <c r="K242" i="23"/>
  <c r="AA658" i="5" s="1"/>
  <c r="K185" i="23"/>
  <c r="AA213" i="5" s="1"/>
  <c r="K156" i="23"/>
  <c r="AA691" i="5" s="1"/>
  <c r="K238" i="23"/>
  <c r="AA383" i="5" s="1"/>
  <c r="K169" i="23"/>
  <c r="AA417" i="5" s="1"/>
  <c r="K102" i="23"/>
  <c r="AA574" i="5" s="1"/>
  <c r="K154" i="23"/>
  <c r="AA664" i="5" s="1"/>
  <c r="K83" i="23"/>
  <c r="AA270" i="5" s="1"/>
  <c r="K228" i="21"/>
  <c r="AA617" i="5" s="1"/>
  <c r="K184" i="21"/>
  <c r="K5" i="21"/>
  <c r="AA8" i="5" s="1"/>
  <c r="K177" i="21"/>
  <c r="K43" i="21"/>
  <c r="AA51" i="5" s="1"/>
  <c r="K155" i="21"/>
  <c r="K211" i="21"/>
  <c r="K129" i="21"/>
  <c r="K16" i="21"/>
  <c r="AA59" i="5" s="1"/>
  <c r="K27" i="21"/>
  <c r="K185" i="21"/>
  <c r="K239" i="21"/>
  <c r="K125" i="21"/>
  <c r="K135" i="21"/>
  <c r="K119" i="21"/>
  <c r="K245" i="21"/>
  <c r="K33" i="21"/>
  <c r="AA52" i="5" s="1"/>
  <c r="K67" i="21"/>
  <c r="K85" i="21"/>
  <c r="AA304" i="5" s="1"/>
  <c r="K252" i="21"/>
  <c r="K215" i="21"/>
  <c r="K55" i="21"/>
  <c r="K175" i="21"/>
  <c r="K139" i="21"/>
  <c r="K44" i="21"/>
  <c r="K84" i="21"/>
  <c r="K59" i="21"/>
  <c r="K151" i="21"/>
  <c r="AA504" i="5" s="1"/>
  <c r="K224" i="21"/>
  <c r="K10" i="21"/>
  <c r="K225" i="21"/>
  <c r="AA535" i="5" s="1"/>
  <c r="K92" i="21"/>
  <c r="K172" i="21"/>
  <c r="AA287" i="5" s="1"/>
  <c r="K230" i="21"/>
  <c r="K81" i="21"/>
  <c r="K111" i="21"/>
  <c r="K133" i="21"/>
  <c r="K65" i="21"/>
  <c r="K176" i="21"/>
  <c r="K86" i="21"/>
  <c r="K52" i="21"/>
  <c r="K41" i="21"/>
  <c r="K21" i="21"/>
  <c r="K233" i="21"/>
  <c r="AA652" i="5" s="1"/>
  <c r="K68" i="21"/>
  <c r="K216" i="21"/>
  <c r="K20" i="21"/>
  <c r="K25" i="21"/>
  <c r="K142" i="21"/>
  <c r="K131" i="21"/>
  <c r="AA478" i="5" s="1"/>
  <c r="K63" i="21"/>
  <c r="AA147" i="5" s="1"/>
  <c r="K189" i="21"/>
  <c r="AA410" i="5" s="1"/>
  <c r="K36" i="21"/>
  <c r="K234" i="21"/>
  <c r="K226" i="21"/>
  <c r="K7" i="21"/>
  <c r="K132" i="21"/>
  <c r="AA241" i="5" s="1"/>
  <c r="K240" i="21"/>
  <c r="AA650" i="5" s="1"/>
  <c r="K149" i="21"/>
  <c r="K74" i="21"/>
  <c r="K195" i="21"/>
  <c r="AA327" i="5" s="1"/>
  <c r="K124" i="21"/>
  <c r="AA374" i="5" s="1"/>
  <c r="K158" i="21"/>
  <c r="K134" i="21"/>
  <c r="K196" i="21"/>
  <c r="AA549" i="5" s="1"/>
  <c r="K60" i="21"/>
  <c r="K53" i="21"/>
  <c r="K204" i="21"/>
  <c r="AA440" i="5" s="1"/>
  <c r="K212" i="21"/>
  <c r="K42" i="21"/>
  <c r="K219" i="21"/>
  <c r="K82" i="21"/>
  <c r="K193" i="21"/>
  <c r="AA394" i="5" s="1"/>
  <c r="K110" i="21"/>
  <c r="K126" i="21"/>
  <c r="K87" i="21"/>
  <c r="AA447" i="5" s="1"/>
  <c r="K12" i="21"/>
  <c r="K70" i="21"/>
  <c r="K88" i="21"/>
  <c r="K101" i="21"/>
  <c r="K83" i="21"/>
  <c r="AA167" i="5" s="1"/>
  <c r="K159" i="21"/>
  <c r="K206" i="21"/>
  <c r="K222" i="21"/>
  <c r="K210" i="21"/>
  <c r="K150" i="21"/>
  <c r="K199" i="21"/>
  <c r="K200" i="21"/>
  <c r="K17" i="21"/>
  <c r="AA33" i="5" s="1"/>
  <c r="K78" i="21"/>
  <c r="K146" i="21"/>
  <c r="AA638" i="5" s="1"/>
  <c r="K221" i="21"/>
  <c r="K217" i="23"/>
  <c r="AA586" i="5" s="1"/>
  <c r="K203" i="21"/>
  <c r="AA570" i="5" s="1"/>
  <c r="K100" i="21"/>
  <c r="K18" i="21"/>
  <c r="AA23" i="5" s="1"/>
  <c r="K173" i="21"/>
  <c r="AA348" i="5" s="1"/>
  <c r="K72" i="21"/>
  <c r="K99" i="21"/>
  <c r="AA276" i="5" s="1"/>
  <c r="K94" i="21"/>
  <c r="K243" i="21"/>
  <c r="K228" i="23"/>
  <c r="AA677" i="5" s="1"/>
  <c r="K181" i="23"/>
  <c r="AA544" i="5" s="1"/>
  <c r="K116" i="23"/>
  <c r="AA367" i="5" s="1"/>
  <c r="K218" i="21"/>
  <c r="K236" i="21"/>
  <c r="K171" i="23"/>
  <c r="AA566" i="5" s="1"/>
  <c r="K194" i="21"/>
  <c r="K136" i="21"/>
  <c r="AA292" i="5" s="1"/>
  <c r="K121" i="21"/>
  <c r="K190" i="21"/>
  <c r="K122" i="21"/>
  <c r="K88" i="23"/>
  <c r="AA376" i="5" s="1"/>
  <c r="K175" i="23"/>
  <c r="AA588" i="5" s="1"/>
  <c r="K76" i="21"/>
  <c r="K58" i="21"/>
  <c r="K105" i="21"/>
  <c r="AA379" i="5" s="1"/>
  <c r="K182" i="21"/>
  <c r="K73" i="21"/>
  <c r="K211" i="23"/>
  <c r="AA541" i="5" s="1"/>
  <c r="K105" i="23"/>
  <c r="AA589" i="5" s="1"/>
  <c r="K4" i="23"/>
  <c r="AA91" i="5" s="1"/>
  <c r="K140" i="21"/>
  <c r="AA289" i="5" s="1"/>
  <c r="K95" i="21"/>
  <c r="AA145" i="5" s="1"/>
  <c r="K138" i="23"/>
  <c r="AA668" i="5" s="1"/>
  <c r="K213" i="23"/>
  <c r="AA612" i="5" s="1"/>
  <c r="K201" i="21"/>
  <c r="AA401" i="5" s="1"/>
  <c r="K245" i="23"/>
  <c r="AA732" i="5" s="1"/>
  <c r="K143" i="23"/>
  <c r="AA409" i="5" s="1"/>
  <c r="K141" i="21"/>
  <c r="K233" i="23"/>
  <c r="AA734" i="5" s="1"/>
  <c r="K28" i="23"/>
  <c r="AA227" i="5" s="1"/>
  <c r="K147" i="21"/>
  <c r="K151" i="23"/>
  <c r="AA603" i="5" s="1"/>
  <c r="K80" i="23"/>
  <c r="AA324" i="5" s="1"/>
  <c r="K71" i="23"/>
  <c r="AA491" i="5" s="1"/>
  <c r="K69" i="23"/>
  <c r="AA551" i="5" s="1"/>
  <c r="K225" i="23"/>
  <c r="AA701" i="5" s="1"/>
  <c r="K34" i="21"/>
  <c r="K168" i="21"/>
  <c r="A264" i="21"/>
  <c r="K31" i="21"/>
  <c r="K46" i="21"/>
  <c r="K248" i="23"/>
  <c r="AA648" i="5" s="1"/>
  <c r="K259" i="23"/>
  <c r="AA708" i="5" s="1"/>
  <c r="K195" i="23"/>
  <c r="AA565" i="5" s="1"/>
  <c r="K29" i="21"/>
  <c r="K129" i="23"/>
  <c r="AA496" i="5" s="1"/>
  <c r="K57" i="23"/>
  <c r="AA404" i="5" s="1"/>
  <c r="K142" i="23"/>
  <c r="AA441" i="5" s="1"/>
  <c r="D392" i="27" s="1"/>
  <c r="K23" i="23"/>
  <c r="AA148" i="5" s="1"/>
  <c r="K49" i="23"/>
  <c r="AA463" i="5" s="1"/>
  <c r="K108" i="21"/>
  <c r="K137" i="21"/>
  <c r="AA309" i="5" s="1"/>
  <c r="K120" i="21"/>
  <c r="K250" i="21"/>
  <c r="AA728" i="5" s="1"/>
  <c r="K231" i="21"/>
  <c r="K69" i="21"/>
  <c r="AA669" i="5" s="1"/>
  <c r="K102" i="21"/>
  <c r="K214" i="21"/>
  <c r="AA450" i="5" s="1"/>
  <c r="K191" i="21"/>
  <c r="K252" i="23"/>
  <c r="AA695" i="5" s="1"/>
  <c r="K160" i="21"/>
  <c r="AA277" i="5" s="1"/>
  <c r="K54" i="21"/>
  <c r="K91" i="21"/>
  <c r="K98" i="21"/>
  <c r="AA192" i="5" s="1"/>
  <c r="K246" i="21"/>
  <c r="K202" i="21"/>
  <c r="AA687" i="5" s="1"/>
  <c r="K6" i="21"/>
  <c r="K40" i="23"/>
  <c r="AA641" i="5" s="1"/>
  <c r="K220" i="23"/>
  <c r="AA616" i="5" s="1"/>
  <c r="K128" i="21"/>
  <c r="AA357" i="5" s="1"/>
  <c r="K96" i="21"/>
  <c r="K100" i="23"/>
  <c r="AA595" i="5" s="1"/>
  <c r="K261" i="23"/>
  <c r="AA724" i="5" s="1"/>
  <c r="K40" i="21"/>
  <c r="AA107" i="5" s="1"/>
  <c r="K260" i="23"/>
  <c r="AA753" i="5" s="1"/>
  <c r="K144" i="23"/>
  <c r="AA502" i="5" s="1"/>
  <c r="K223" i="21"/>
  <c r="AA520" i="5" s="1"/>
  <c r="K130" i="23"/>
  <c r="AA454" i="5" s="1"/>
  <c r="K87" i="23"/>
  <c r="AA500" i="5" s="1"/>
  <c r="K153" i="21"/>
  <c r="K64" i="23"/>
  <c r="AA403" i="5" s="1"/>
  <c r="K16" i="23"/>
  <c r="AA79" i="5" s="1"/>
  <c r="K20" i="23"/>
  <c r="AA143" i="5" s="1"/>
  <c r="K118" i="21"/>
  <c r="K176" i="23"/>
  <c r="AA689" i="5" s="1"/>
  <c r="K235" i="23"/>
  <c r="AA700" i="5" s="1"/>
  <c r="K11" i="21"/>
  <c r="K112" i="23"/>
  <c r="AA489" i="5" s="1"/>
  <c r="K183" i="21"/>
  <c r="AA339" i="5" s="1"/>
  <c r="K32" i="21"/>
  <c r="K204" i="23"/>
  <c r="AA537" i="5" s="1"/>
  <c r="K152" i="23"/>
  <c r="AA366" i="5" s="1"/>
  <c r="K22" i="21"/>
  <c r="AA31" i="5" s="1"/>
  <c r="K28" i="21"/>
  <c r="K235" i="21"/>
  <c r="AA735" i="5" s="1"/>
  <c r="K210" i="23"/>
  <c r="AA536" i="5" s="1"/>
  <c r="K30" i="21"/>
  <c r="K244" i="21"/>
  <c r="K9" i="21"/>
  <c r="K24" i="23"/>
  <c r="AA392" i="5" s="1"/>
  <c r="K120" i="23"/>
  <c r="AA507" i="5" s="1"/>
  <c r="K250" i="23"/>
  <c r="AA746" i="5" s="1"/>
  <c r="K123" i="23"/>
  <c r="AA423" i="5" s="1"/>
  <c r="K238" i="21"/>
  <c r="K122" i="23"/>
  <c r="AA455" i="5" s="1"/>
  <c r="K97" i="23"/>
  <c r="AA356" i="5" s="1"/>
  <c r="K203" i="23"/>
  <c r="AA564" i="5" s="1"/>
  <c r="K169" i="21"/>
  <c r="K163" i="23"/>
  <c r="AA571" i="5" s="1"/>
  <c r="K172" i="23"/>
  <c r="AA688" i="5" s="1"/>
  <c r="K3" i="23"/>
  <c r="AA54" i="5" s="1"/>
  <c r="K12" i="23"/>
  <c r="AA47" i="5" s="1"/>
  <c r="K262" i="23"/>
  <c r="AA755" i="5" s="1"/>
  <c r="K191" i="23"/>
  <c r="AA517" i="5" s="1"/>
  <c r="K160" i="23"/>
  <c r="AA452" i="5" s="1"/>
  <c r="K113" i="23"/>
  <c r="AA307" i="5" s="1"/>
  <c r="K239" i="23"/>
  <c r="AA654" i="5" s="1"/>
  <c r="K106" i="23"/>
  <c r="AA285" i="5" s="1"/>
  <c r="K63" i="23"/>
  <c r="AA606" i="5" s="1"/>
  <c r="K199" i="23"/>
  <c r="AA686" i="5" s="1"/>
  <c r="K206" i="23"/>
  <c r="AA663" i="5" s="1"/>
  <c r="K208" i="23"/>
  <c r="AA598" i="5" s="1"/>
  <c r="K89" i="23"/>
  <c r="AA372" i="5" s="1"/>
  <c r="K249" i="23"/>
  <c r="AA709" i="5" s="1"/>
  <c r="K187" i="23"/>
  <c r="AA660" i="5" s="1"/>
  <c r="K77" i="23"/>
  <c r="AA479" i="5" s="1"/>
  <c r="K115" i="23"/>
  <c r="AA399" i="5" s="1"/>
  <c r="K147" i="23"/>
  <c r="AA369" i="5" s="1"/>
  <c r="K44" i="23"/>
  <c r="AA209" i="5" s="1"/>
  <c r="K76" i="23"/>
  <c r="AA530" i="5" s="1"/>
  <c r="K91" i="23"/>
  <c r="AA352" i="5" s="1"/>
  <c r="K214" i="23"/>
  <c r="AA538" i="5" s="1"/>
  <c r="K54" i="23"/>
  <c r="AA448" i="5" s="1"/>
  <c r="K125" i="23"/>
  <c r="K158" i="23"/>
  <c r="AA424" i="5" s="1"/>
  <c r="K34" i="23"/>
  <c r="AA175" i="5" s="1"/>
  <c r="K173" i="23"/>
  <c r="AA667" i="5" s="1"/>
  <c r="K188" i="23"/>
  <c r="AA451" i="5" s="1"/>
  <c r="K62" i="23"/>
  <c r="AA390" i="5" s="1"/>
  <c r="K253" i="23"/>
  <c r="AA643" i="5" s="1"/>
  <c r="K99" i="23"/>
  <c r="AA557" i="5" s="1"/>
  <c r="K61" i="23"/>
  <c r="AA275" i="5" s="1"/>
  <c r="K18" i="23"/>
  <c r="AA134" i="5" s="1"/>
  <c r="K258" i="23"/>
  <c r="AA725" i="5" s="1"/>
  <c r="K201" i="23"/>
  <c r="AA518" i="5" s="1"/>
  <c r="K110" i="23"/>
  <c r="AA330" i="5" s="1"/>
  <c r="K183" i="23"/>
  <c r="K218" i="23"/>
  <c r="AA539" i="5" s="1"/>
  <c r="K13" i="23"/>
  <c r="AA96" i="5" s="1"/>
  <c r="K7" i="23"/>
  <c r="AA41" i="5" s="1"/>
  <c r="K237" i="23"/>
  <c r="AA750" i="5" s="1"/>
  <c r="K15" i="23"/>
  <c r="AA218" i="5" s="1"/>
  <c r="K149" i="23"/>
  <c r="AA635" i="5" s="1"/>
  <c r="K37" i="23"/>
  <c r="AA117" i="5" s="1"/>
  <c r="K246" i="23"/>
  <c r="AA741" i="5" s="1"/>
  <c r="K189" i="23"/>
  <c r="AA702" i="5" s="1"/>
  <c r="K145" i="23"/>
  <c r="AA666" i="5" s="1"/>
  <c r="K27" i="23"/>
  <c r="AA101" i="5" s="1"/>
  <c r="K133" i="23"/>
  <c r="AA402" i="5" s="1"/>
  <c r="K58" i="23"/>
  <c r="AA305" i="5" s="1"/>
  <c r="K177" i="23"/>
  <c r="AA657" i="5" s="1"/>
  <c r="K202" i="23"/>
  <c r="AA740" i="5" s="1"/>
  <c r="K234" i="23"/>
  <c r="AA651" i="5" s="1"/>
  <c r="K251" i="23"/>
  <c r="AA671" i="5" s="1"/>
  <c r="K42" i="23"/>
  <c r="AA208" i="5" s="1"/>
  <c r="K190" i="23"/>
  <c r="AA438" i="5" s="1"/>
  <c r="K74" i="23"/>
  <c r="AA290" i="5" s="1"/>
  <c r="K119" i="23"/>
  <c r="AA458" i="5" s="1"/>
  <c r="A282" i="23"/>
  <c r="K194" i="23"/>
  <c r="AA655" i="5" s="1"/>
  <c r="K73" i="23"/>
  <c r="AA705" i="5" s="1"/>
  <c r="K75" i="23"/>
  <c r="AA212" i="5" s="1"/>
  <c r="K92" i="23"/>
  <c r="AA591" i="5" s="1"/>
  <c r="K256" i="23"/>
  <c r="AA731" i="5" s="1"/>
  <c r="K159" i="23"/>
  <c r="AA546" i="5" s="1"/>
  <c r="K35" i="23"/>
  <c r="AA151" i="5" s="1"/>
  <c r="K108" i="23"/>
  <c r="AA721" i="5" s="1"/>
  <c r="K11" i="23"/>
  <c r="AA98" i="5" s="1"/>
  <c r="K43" i="23"/>
  <c r="AA337" i="5" s="1"/>
  <c r="K85" i="23"/>
  <c r="AA313" i="5" s="1"/>
  <c r="K81" i="23"/>
  <c r="AA300" i="5" s="1"/>
  <c r="K131" i="23"/>
  <c r="AA443" i="5" s="1"/>
  <c r="K168" i="23"/>
  <c r="AA449" i="5" s="1"/>
  <c r="K10" i="23"/>
  <c r="AA81" i="5" s="1"/>
  <c r="K78" i="23"/>
  <c r="AA609" i="5" s="1"/>
  <c r="K68" i="23"/>
  <c r="AA433" i="5" s="1"/>
  <c r="K84" i="23"/>
  <c r="AA308" i="5" s="1"/>
  <c r="K139" i="23"/>
  <c r="AA639" i="5" s="1"/>
  <c r="K241" i="23"/>
  <c r="AA713" i="5" s="1"/>
  <c r="K98" i="23"/>
  <c r="AA627" i="5" s="1"/>
  <c r="K265" i="23"/>
  <c r="AA600" i="5" s="1"/>
  <c r="K197" i="23"/>
  <c r="AA582" i="5" s="1"/>
  <c r="K146" i="23"/>
  <c r="AA620" i="5" s="1"/>
  <c r="K9" i="23"/>
  <c r="AA57" i="5" s="1"/>
  <c r="K164" i="23"/>
  <c r="AA516" i="5" s="1"/>
  <c r="K6" i="23"/>
  <c r="AA21" i="5" s="1"/>
  <c r="K5" i="23"/>
  <c r="AA27" i="5" s="1"/>
  <c r="K60" i="23"/>
  <c r="AA509" i="5" s="1"/>
  <c r="K41" i="23"/>
  <c r="AA214" i="5" s="1"/>
  <c r="K230" i="23"/>
  <c r="AA747" i="5" s="1"/>
  <c r="K22" i="23"/>
  <c r="AA205" i="5" s="1"/>
  <c r="K186" i="23"/>
  <c r="AA510" i="5" s="1"/>
  <c r="K72" i="23"/>
  <c r="AA474" i="5" s="1"/>
  <c r="K221" i="23"/>
  <c r="AA628" i="5" s="1"/>
  <c r="K266" i="23"/>
  <c r="AA375" i="5" s="1"/>
  <c r="K216" i="23"/>
  <c r="AA631" i="5" s="1"/>
  <c r="K65" i="23"/>
  <c r="AA286" i="5" s="1"/>
  <c r="K50" i="23"/>
  <c r="AA238" i="5" s="1"/>
  <c r="K247" i="23"/>
  <c r="AA744" i="5" s="1"/>
  <c r="K264" i="23"/>
  <c r="AA625" i="5" s="1"/>
  <c r="K136" i="23"/>
  <c r="AA605" i="5" s="1"/>
  <c r="K70" i="23"/>
  <c r="AA316" i="5" s="1"/>
  <c r="K32" i="23"/>
  <c r="AA579" i="5" s="1"/>
  <c r="K95" i="23"/>
  <c r="AA477" i="5" s="1"/>
  <c r="K132" i="23"/>
  <c r="AA411" i="5" s="1"/>
  <c r="K212" i="23"/>
  <c r="AA466" i="5" s="1"/>
  <c r="K52" i="23"/>
  <c r="AA406" i="5" s="1"/>
  <c r="K157" i="23"/>
  <c r="AA523" i="5" s="1"/>
  <c r="K55" i="23"/>
  <c r="AA355" i="5" s="1"/>
  <c r="K117" i="23"/>
  <c r="AA492" i="5" s="1"/>
  <c r="K2" i="23"/>
  <c r="AA30" i="5" s="1"/>
  <c r="K124" i="23"/>
  <c r="AA576" i="5" s="1"/>
  <c r="A280" i="23"/>
  <c r="G285" i="23" s="1"/>
  <c r="K162" i="23"/>
  <c r="AA428" i="5" s="1"/>
  <c r="K255" i="23"/>
  <c r="AA742" i="5" s="1"/>
  <c r="K45" i="23"/>
  <c r="AA161" i="5" s="1"/>
  <c r="K93" i="23"/>
  <c r="AA488" i="5" s="1"/>
  <c r="K111" i="23"/>
  <c r="AA284" i="5" s="1"/>
  <c r="K19" i="23"/>
  <c r="AA198" i="5" s="1"/>
  <c r="K267" i="23"/>
  <c r="AA567" i="5" s="1"/>
  <c r="K30" i="23"/>
  <c r="AA171" i="5" s="1"/>
  <c r="K198" i="23"/>
  <c r="AA737" i="5" s="1"/>
  <c r="K165" i="23"/>
  <c r="AA453" i="5" s="1"/>
  <c r="K205" i="23"/>
  <c r="AA682" i="5" s="1"/>
  <c r="K141" i="23"/>
  <c r="AA328" i="5" s="1"/>
  <c r="K263" i="23"/>
  <c r="AA752" i="5" s="1"/>
  <c r="K90" i="23"/>
  <c r="AA524" i="5" s="1"/>
  <c r="K167" i="23"/>
  <c r="AA619" i="5" s="1"/>
  <c r="K226" i="23"/>
  <c r="AA683" i="5" s="1"/>
  <c r="K101" i="23"/>
  <c r="AA558" i="5" s="1"/>
  <c r="K193" i="23"/>
  <c r="AA585" i="5" s="1"/>
  <c r="K207" i="23"/>
  <c r="AA618" i="5" s="1"/>
  <c r="K178" i="21"/>
  <c r="AA476" i="5" s="1"/>
  <c r="K243" i="23"/>
  <c r="AA680" i="5" s="1"/>
  <c r="K24" i="21"/>
  <c r="K17" i="23"/>
  <c r="AA90" i="5" s="1"/>
  <c r="K86" i="23"/>
  <c r="AA608" i="5" s="1"/>
  <c r="K207" i="21"/>
  <c r="K229" i="21"/>
  <c r="AA661" i="5" s="1"/>
  <c r="K163" i="21"/>
  <c r="K227" i="21"/>
  <c r="AA563" i="5" s="1"/>
  <c r="K227" i="23"/>
  <c r="AA629" i="5" s="1"/>
  <c r="K162" i="21"/>
  <c r="AA269" i="5" s="1"/>
  <c r="K62" i="21"/>
  <c r="K164" i="21"/>
  <c r="K179" i="23"/>
  <c r="AA427" i="5" s="1"/>
  <c r="K144" i="21"/>
  <c r="AA310" i="5" s="1"/>
  <c r="K121" i="23"/>
  <c r="AA573" i="5" s="1"/>
  <c r="K94" i="23"/>
  <c r="AA435" i="5" s="1"/>
  <c r="K104" i="23"/>
  <c r="AA373" i="5" s="1"/>
  <c r="K57" i="21"/>
  <c r="K36" i="23"/>
  <c r="AA190" i="5" s="1"/>
  <c r="K45" i="21"/>
  <c r="K107" i="23"/>
  <c r="AA577" i="5" s="1"/>
  <c r="K247" i="21"/>
  <c r="K97" i="21"/>
  <c r="AA229" i="5" s="1"/>
  <c r="K61" i="21"/>
  <c r="K82" i="23"/>
  <c r="AA434" i="5" s="1"/>
  <c r="K181" i="21"/>
  <c r="AA522" i="5" s="1"/>
  <c r="K75" i="21"/>
  <c r="K166" i="23"/>
  <c r="AA381" i="5" s="1"/>
  <c r="K56" i="21"/>
  <c r="K251" i="21"/>
  <c r="AA743" i="5" s="1"/>
  <c r="K241" i="21"/>
  <c r="K217" i="21"/>
  <c r="AA561" i="5" s="1"/>
  <c r="K114" i="21"/>
  <c r="AA226" i="5" s="1"/>
  <c r="K192" i="23"/>
  <c r="AA615" i="5" s="1"/>
  <c r="K229" i="23"/>
  <c r="AA754" i="5" s="1"/>
  <c r="K253" i="21"/>
  <c r="AA726" i="5" s="1"/>
  <c r="K13" i="21"/>
  <c r="K152" i="21"/>
  <c r="AA279" i="5" s="1"/>
  <c r="K197" i="21"/>
  <c r="AA572" i="5" s="1"/>
  <c r="K237" i="21"/>
  <c r="AA681" i="5" s="1"/>
  <c r="K232" i="21"/>
  <c r="AA679" i="5" s="1"/>
  <c r="K196" i="23"/>
  <c r="AA519" i="5" s="1"/>
  <c r="K215" i="23"/>
  <c r="AA756" i="5" s="1"/>
  <c r="K174" i="23"/>
  <c r="AA456" i="5" s="1"/>
  <c r="K134" i="23"/>
  <c r="AA550" i="5" s="1"/>
  <c r="K167" i="21"/>
  <c r="K46" i="23"/>
  <c r="AA321" i="5" s="1"/>
  <c r="K103" i="23"/>
  <c r="AA593" i="5" s="1"/>
  <c r="K182" i="23"/>
  <c r="AA499" i="5" s="1"/>
  <c r="K244" i="23"/>
  <c r="AA646" i="5" s="1"/>
  <c r="K50" i="21"/>
  <c r="K236" i="23"/>
  <c r="AA678" i="5" s="1"/>
  <c r="K39" i="23"/>
  <c r="AA215" i="5" s="1"/>
  <c r="K153" i="23"/>
  <c r="AA470" i="5" s="1"/>
  <c r="K4" i="21"/>
  <c r="K26" i="23"/>
  <c r="AA113" i="5" s="1"/>
  <c r="D67" i="27" s="1"/>
  <c r="K8" i="21"/>
  <c r="K171" i="21"/>
  <c r="AA471" i="5" s="1"/>
  <c r="K29" i="23"/>
  <c r="AA252" i="5" s="1"/>
  <c r="K248" i="21"/>
  <c r="AA727" i="5" s="1"/>
  <c r="K223" i="23"/>
  <c r="AA733" i="5" s="1"/>
  <c r="K198" i="21"/>
  <c r="K103" i="21"/>
  <c r="AA138" i="5" s="1"/>
  <c r="P4" i="11"/>
  <c r="K27" i="17"/>
  <c r="K130" i="17"/>
  <c r="AA370" i="5" s="1"/>
  <c r="K60" i="17"/>
  <c r="K141" i="17"/>
  <c r="AA739" i="5" s="1"/>
  <c r="K19" i="17"/>
  <c r="K161" i="17"/>
  <c r="K29" i="17"/>
  <c r="K22" i="17"/>
  <c r="F185" i="17"/>
  <c r="K59" i="17"/>
  <c r="K78" i="17"/>
  <c r="K20" i="17"/>
  <c r="K92" i="17"/>
  <c r="K175" i="17"/>
  <c r="K62" i="17"/>
  <c r="K111" i="17"/>
  <c r="AA480" i="5" s="1"/>
  <c r="K30" i="17"/>
  <c r="K65" i="17"/>
  <c r="K174" i="17"/>
  <c r="AA673" i="5" s="1"/>
  <c r="K164" i="17"/>
  <c r="AA599" i="5" s="1"/>
  <c r="K119" i="17"/>
  <c r="K135" i="17"/>
  <c r="K145" i="17"/>
  <c r="AA719" i="5" s="1"/>
  <c r="A188" i="17"/>
  <c r="K44" i="17"/>
  <c r="AA133" i="5" s="1"/>
  <c r="K166" i="17"/>
  <c r="AA602" i="5" s="1"/>
  <c r="K67" i="17"/>
  <c r="AA243" i="5" s="1"/>
  <c r="K63" i="17"/>
  <c r="K81" i="17"/>
  <c r="AA110" i="5" s="1"/>
  <c r="K120" i="17"/>
  <c r="AA274" i="5" s="1"/>
  <c r="K9" i="17"/>
  <c r="K105" i="17"/>
  <c r="AA640" i="5" s="1"/>
  <c r="K151" i="17"/>
  <c r="AA329" i="5" s="1"/>
  <c r="K47" i="17"/>
  <c r="K173" i="17"/>
  <c r="AA670" i="5" s="1"/>
  <c r="K25" i="17"/>
  <c r="K153" i="17"/>
  <c r="AA368" i="5" s="1"/>
  <c r="K5" i="17"/>
  <c r="K8" i="17"/>
  <c r="K150" i="17"/>
  <c r="AA527" i="5" s="1"/>
  <c r="K73" i="17"/>
  <c r="K146" i="17"/>
  <c r="K117" i="17"/>
  <c r="AA272" i="5" s="1"/>
  <c r="K124" i="17"/>
  <c r="AA258" i="5" s="1"/>
  <c r="K3" i="17"/>
  <c r="K142" i="17"/>
  <c r="AA323" i="5" s="1"/>
  <c r="K172" i="17"/>
  <c r="K156" i="17"/>
  <c r="AA548" i="5" s="1"/>
  <c r="K6" i="17"/>
  <c r="K79" i="17"/>
  <c r="AA246" i="5" s="1"/>
  <c r="K26" i="17"/>
  <c r="K132" i="17"/>
  <c r="AA280" i="5" s="1"/>
  <c r="K41" i="17"/>
  <c r="AA219" i="5" s="1"/>
  <c r="K100" i="17"/>
  <c r="AA191" i="5" s="1"/>
  <c r="K89" i="17"/>
  <c r="K91" i="17"/>
  <c r="K147" i="17"/>
  <c r="AA413" i="5" s="1"/>
  <c r="K13" i="17"/>
  <c r="K57" i="17"/>
  <c r="K121" i="17"/>
  <c r="AA592" i="5" s="1"/>
  <c r="K7" i="17"/>
  <c r="AA20" i="5" s="1"/>
  <c r="K33" i="17"/>
  <c r="K171" i="17"/>
  <c r="K52" i="17"/>
  <c r="AA174" i="5" s="1"/>
  <c r="K162" i="17"/>
  <c r="K12" i="17"/>
  <c r="K56" i="17"/>
  <c r="K102" i="17"/>
  <c r="K75" i="17"/>
  <c r="K125" i="17"/>
  <c r="K35" i="17"/>
  <c r="K115" i="17"/>
  <c r="K74" i="17"/>
  <c r="K157" i="17"/>
  <c r="AA382" i="5" s="1"/>
  <c r="K51" i="17"/>
  <c r="K38" i="17"/>
  <c r="K114" i="17"/>
  <c r="AA547" i="5" s="1"/>
  <c r="K94" i="17"/>
  <c r="K28" i="17"/>
  <c r="K31" i="17"/>
  <c r="K36" i="17"/>
  <c r="K133" i="17"/>
  <c r="K32" i="17"/>
  <c r="AA45" i="5" s="1"/>
  <c r="K158" i="17"/>
  <c r="K155" i="17"/>
  <c r="K129" i="17"/>
  <c r="K10" i="17"/>
  <c r="K18" i="17"/>
  <c r="K69" i="17"/>
  <c r="K168" i="17"/>
  <c r="AA684" i="5" s="1"/>
  <c r="K127" i="17"/>
  <c r="K176" i="17"/>
  <c r="K112" i="17"/>
  <c r="K163" i="17"/>
  <c r="AA604" i="5" s="1"/>
  <c r="K137" i="17"/>
  <c r="AA267" i="5" s="1"/>
  <c r="K139" i="17"/>
  <c r="AA371" i="5" s="1"/>
  <c r="K159" i="17"/>
  <c r="AA317" i="5" s="1"/>
  <c r="K95" i="17"/>
  <c r="K96" i="17"/>
  <c r="AA391" i="5" s="1"/>
  <c r="K106" i="17"/>
  <c r="AA446" i="5" s="1"/>
  <c r="K15" i="17"/>
  <c r="K104" i="17"/>
  <c r="AA481" i="5" s="1"/>
  <c r="K160" i="17"/>
  <c r="AA341" i="5" s="1"/>
  <c r="K16" i="17"/>
  <c r="K82" i="17"/>
  <c r="AA362" i="5" s="1"/>
  <c r="K98" i="17"/>
  <c r="K24" i="17"/>
  <c r="AA99" i="5" s="1"/>
  <c r="K21" i="17"/>
  <c r="K178" i="17"/>
  <c r="AA722" i="5" s="1"/>
  <c r="K53" i="17"/>
  <c r="K109" i="17"/>
  <c r="AA149" i="5" s="1"/>
  <c r="K99" i="17"/>
  <c r="AA465" i="5" s="1"/>
  <c r="K49" i="17"/>
  <c r="K71" i="17"/>
  <c r="K126" i="17"/>
  <c r="K42" i="17"/>
  <c r="AA70" i="5" s="1"/>
  <c r="K39" i="17"/>
  <c r="K103" i="17"/>
  <c r="K66" i="17"/>
  <c r="K70" i="17"/>
  <c r="K123" i="17"/>
  <c r="AA400" i="5" s="1"/>
  <c r="K43" i="17"/>
  <c r="AA122" i="5" s="1"/>
  <c r="K170" i="17"/>
  <c r="K97" i="17"/>
  <c r="K138" i="17"/>
  <c r="AA596" i="5" s="1"/>
  <c r="K167" i="17"/>
  <c r="K136" i="17"/>
  <c r="AA235" i="5" s="1"/>
  <c r="K108" i="17"/>
  <c r="K87" i="17"/>
  <c r="AA130" i="5" s="1"/>
  <c r="K23" i="17"/>
  <c r="AA66" i="5" s="1"/>
  <c r="K128" i="17"/>
  <c r="K110" i="17"/>
  <c r="K11" i="17"/>
  <c r="K179" i="17"/>
  <c r="K144" i="17"/>
  <c r="AA385" i="5" s="1"/>
  <c r="K131" i="17"/>
  <c r="K68" i="17"/>
  <c r="K152" i="17"/>
  <c r="AA364" i="5" s="1"/>
  <c r="K107" i="17"/>
  <c r="AA720" i="5" s="1"/>
  <c r="K37" i="17"/>
  <c r="K76" i="17"/>
  <c r="K83" i="17"/>
  <c r="AA377" i="5" s="1"/>
  <c r="K17" i="17"/>
  <c r="K72" i="17"/>
  <c r="K54" i="17"/>
  <c r="AA124" i="5" s="1"/>
  <c r="K85" i="17"/>
  <c r="K58" i="17"/>
  <c r="K101" i="17"/>
  <c r="K134" i="17"/>
  <c r="K169" i="17"/>
  <c r="K34" i="17"/>
  <c r="K40" i="17"/>
  <c r="K143" i="17"/>
  <c r="K90" i="17"/>
  <c r="K93" i="17"/>
  <c r="K149" i="17"/>
  <c r="K55" i="17"/>
  <c r="K4" i="17"/>
  <c r="AA7" i="5" s="1"/>
  <c r="K84" i="17"/>
  <c r="K122" i="17"/>
  <c r="AA623" i="5" s="1"/>
  <c r="K165" i="17"/>
  <c r="AA569" i="5" s="1"/>
  <c r="K88" i="17"/>
  <c r="AA185" i="5" s="1"/>
  <c r="K80" i="17"/>
  <c r="K148" i="17"/>
  <c r="AA501" i="5" s="1"/>
  <c r="K61" i="17"/>
  <c r="AA120" i="5" s="1"/>
  <c r="A187" i="17"/>
  <c r="H174" i="22"/>
  <c r="A174" i="22"/>
  <c r="A175" i="22"/>
  <c r="AA685" i="5" l="1"/>
  <c r="AA745" i="5"/>
  <c r="AA346" i="5"/>
  <c r="AA288" i="5"/>
  <c r="AA674" i="5"/>
  <c r="AA204" i="5"/>
  <c r="AA420" i="5"/>
  <c r="AA144" i="5"/>
  <c r="AA707" i="5"/>
  <c r="AA131" i="5"/>
  <c r="AA58" i="5"/>
  <c r="AA590" i="5"/>
  <c r="AA503" i="5"/>
  <c r="AA645" i="5"/>
  <c r="AA647" i="5"/>
  <c r="D827" i="27" s="1"/>
  <c r="AA152" i="5"/>
  <c r="AA562" i="5"/>
  <c r="AA526" i="5"/>
  <c r="AA513" i="5"/>
  <c r="AA601" i="5"/>
  <c r="AA611" i="5"/>
  <c r="AA281" i="5"/>
  <c r="AA268" i="5"/>
  <c r="AA716" i="5"/>
  <c r="AA715" i="5"/>
  <c r="AA393" i="5"/>
  <c r="AA342" i="5"/>
  <c r="AA63" i="5"/>
  <c r="AA485" i="5"/>
  <c r="AA460" i="5"/>
  <c r="AA202" i="5"/>
  <c r="AA188" i="5"/>
  <c r="AA405" i="5"/>
  <c r="AA294" i="5"/>
  <c r="AA12" i="5"/>
  <c r="AA282" i="5"/>
  <c r="AA431" i="5"/>
  <c r="AA712" i="5"/>
  <c r="D819" i="27" s="1"/>
  <c r="AA472" i="5"/>
  <c r="AA426" i="5"/>
  <c r="D725" i="27" s="1"/>
  <c r="AA529" i="5"/>
  <c r="AA142" i="5"/>
  <c r="AA18" i="5"/>
  <c r="AA698" i="5"/>
  <c r="AA112" i="5"/>
  <c r="AA736" i="5"/>
  <c r="AA127" i="5"/>
  <c r="AA634" i="5"/>
  <c r="AA261" i="5"/>
  <c r="AA583" i="5"/>
  <c r="AA34" i="5"/>
  <c r="AA498" i="5"/>
  <c r="AA613" i="5"/>
  <c r="AA353" i="5"/>
  <c r="AA262" i="5"/>
  <c r="AA157" i="5"/>
  <c r="AA464" i="5"/>
  <c r="AA37" i="5"/>
  <c r="AA738" i="5"/>
  <c r="AA36" i="5"/>
  <c r="AA150" i="5"/>
  <c r="AA26" i="5"/>
  <c r="AA233" i="5"/>
  <c r="AA228" i="5"/>
  <c r="AA220" i="5"/>
  <c r="AA361" i="5"/>
  <c r="AA332" i="5"/>
  <c r="AA710" i="5"/>
  <c r="AA422" i="5"/>
  <c r="AA429" i="5"/>
  <c r="AA587" i="5"/>
  <c r="AA723" i="5"/>
  <c r="AA505" i="5"/>
  <c r="D439" i="27" s="1"/>
  <c r="AA80" i="5"/>
  <c r="AA2" i="5"/>
  <c r="AA578" i="5"/>
  <c r="AA247" i="5"/>
  <c r="AA206" i="5"/>
  <c r="AA656" i="5"/>
  <c r="AA699" i="5"/>
  <c r="AA320" i="5"/>
  <c r="AA697" i="5"/>
  <c r="AA201" i="5"/>
  <c r="AA378" i="5"/>
  <c r="AA717" i="5"/>
  <c r="AA419" i="5"/>
  <c r="AA690" i="5"/>
  <c r="AA511" i="5"/>
  <c r="D785" i="27" s="1"/>
  <c r="AA633" i="5"/>
  <c r="AA154" i="5"/>
  <c r="AA170" i="5"/>
  <c r="AA642" i="5"/>
  <c r="AA696" i="5"/>
  <c r="AA389" i="5"/>
  <c r="AA351" i="5"/>
  <c r="AA82" i="5"/>
  <c r="AA303" i="5"/>
  <c r="AA531" i="5"/>
  <c r="AA692" i="5"/>
  <c r="AA421" i="5"/>
  <c r="AA60" i="5"/>
  <c r="AA487" i="5"/>
  <c r="AA125" i="5"/>
  <c r="R49" i="25"/>
  <c r="AA71" i="5"/>
  <c r="D151" i="27" s="1"/>
  <c r="AA234" i="5"/>
  <c r="AA559" i="5"/>
  <c r="AA630" i="5"/>
  <c r="AA108" i="5"/>
  <c r="AA55" i="5"/>
  <c r="AA75" i="5"/>
  <c r="AA114" i="5"/>
  <c r="AA430" i="5"/>
  <c r="AA61" i="5"/>
  <c r="AA614" i="5"/>
  <c r="AA325" i="5"/>
  <c r="AA239" i="5"/>
  <c r="AA257" i="5"/>
  <c r="AA17" i="5"/>
  <c r="AA197" i="5"/>
  <c r="AA129" i="5"/>
  <c r="AA32" i="5"/>
  <c r="AA42" i="5"/>
  <c r="AA106" i="5"/>
  <c r="AA182" i="5"/>
  <c r="AA296" i="5"/>
  <c r="AA53" i="5"/>
  <c r="AA178" i="5"/>
  <c r="AA396" i="5"/>
  <c r="AA333" i="5"/>
  <c r="AA199" i="5"/>
  <c r="AA248" i="5"/>
  <c r="AA163" i="5"/>
  <c r="AA169" i="5"/>
  <c r="AA25" i="5"/>
  <c r="AA273" i="5"/>
  <c r="AA5" i="5"/>
  <c r="AA231" i="5"/>
  <c r="AA259" i="5"/>
  <c r="AA256" i="5"/>
  <c r="AA266" i="5"/>
  <c r="AA186" i="5"/>
  <c r="AA164" i="5"/>
  <c r="AA46" i="5"/>
  <c r="D424" i="27"/>
  <c r="AA6" i="5"/>
  <c r="AA437" i="5"/>
  <c r="AA225" i="5"/>
  <c r="AA730" i="5"/>
  <c r="D826" i="27" s="1"/>
  <c r="AA749" i="5"/>
  <c r="AA359" i="5"/>
  <c r="AA575" i="5"/>
  <c r="AA534" i="5"/>
  <c r="AA137" i="5"/>
  <c r="AA581" i="5"/>
  <c r="AA363" i="5"/>
  <c r="AA158" i="5"/>
  <c r="AA751" i="5"/>
  <c r="AA236" i="5"/>
  <c r="AA176" i="5"/>
  <c r="AA49" i="5"/>
  <c r="AA693" i="5"/>
  <c r="AA28" i="5"/>
  <c r="AA335" i="5"/>
  <c r="AA253" i="5"/>
  <c r="AA13" i="5"/>
  <c r="AA39" i="5"/>
  <c r="AA92" i="5"/>
  <c r="AA69" i="5"/>
  <c r="AA338" i="5"/>
  <c r="AA44" i="5"/>
  <c r="AA249" i="5"/>
  <c r="AA637" i="5"/>
  <c r="AA203" i="5"/>
  <c r="D460" i="27"/>
  <c r="R3" i="25"/>
  <c r="R27" i="25"/>
  <c r="R68" i="25"/>
  <c r="R34" i="25"/>
  <c r="R15" i="25"/>
  <c r="R48" i="25"/>
  <c r="R38" i="25"/>
  <c r="R54" i="25"/>
  <c r="R53" i="25"/>
  <c r="R35" i="25"/>
  <c r="R52" i="25"/>
  <c r="R51" i="25"/>
  <c r="R56" i="25"/>
  <c r="R58" i="25"/>
  <c r="R70" i="25"/>
  <c r="R19" i="25"/>
  <c r="R12" i="25"/>
  <c r="R62" i="25"/>
  <c r="R24" i="25"/>
  <c r="R13" i="25"/>
  <c r="R74" i="25"/>
  <c r="R42" i="25"/>
  <c r="R31" i="25"/>
  <c r="R67" i="25"/>
  <c r="R28" i="25"/>
  <c r="R57" i="25"/>
  <c r="R50" i="25"/>
  <c r="R17" i="25"/>
  <c r="R7" i="25"/>
  <c r="R61" i="25"/>
  <c r="R25" i="25"/>
  <c r="R66" i="25"/>
  <c r="R39" i="25"/>
  <c r="R75" i="25"/>
  <c r="R11" i="25"/>
  <c r="R10" i="25"/>
  <c r="R63" i="25"/>
  <c r="R30" i="25"/>
  <c r="R29" i="25"/>
  <c r="R78" i="25"/>
  <c r="R36" i="25"/>
  <c r="R16" i="25"/>
  <c r="R41" i="25"/>
  <c r="R46" i="25"/>
  <c r="R4" i="25"/>
  <c r="R9" i="25"/>
  <c r="R26" i="25"/>
  <c r="R5" i="25"/>
  <c r="R64" i="25"/>
  <c r="R23" i="25"/>
  <c r="R6" i="25"/>
  <c r="R69" i="25"/>
  <c r="R71" i="25"/>
  <c r="R76" i="25"/>
  <c r="D524" i="27"/>
  <c r="D110" i="27"/>
  <c r="R37" i="25"/>
  <c r="R45" i="25"/>
  <c r="R20" i="25"/>
  <c r="R32" i="25"/>
  <c r="R43" i="25"/>
  <c r="R47" i="25"/>
  <c r="R72" i="25"/>
  <c r="R2" i="25"/>
  <c r="R14" i="25"/>
  <c r="R8" i="25"/>
  <c r="R44" i="25"/>
  <c r="R60" i="25"/>
  <c r="R73" i="25"/>
  <c r="R40" i="25"/>
  <c r="R59" i="25"/>
  <c r="R33" i="25"/>
  <c r="R18" i="25"/>
  <c r="R77" i="25"/>
  <c r="D325" i="27"/>
  <c r="R21" i="25"/>
  <c r="R22" i="25"/>
  <c r="R55" i="25"/>
  <c r="R65" i="25"/>
  <c r="D564" i="27"/>
  <c r="K3" i="22"/>
  <c r="AA3" i="5" s="1"/>
  <c r="K141" i="22"/>
  <c r="AA397" i="5" s="1"/>
  <c r="K149" i="22"/>
  <c r="AA495" i="5" s="1"/>
  <c r="K156" i="22"/>
  <c r="AA515" i="5" s="1"/>
  <c r="K162" i="22"/>
  <c r="K142" i="22"/>
  <c r="AA439" i="5" s="1"/>
  <c r="K150" i="22"/>
  <c r="K157" i="22"/>
  <c r="AA659" i="5" s="1"/>
  <c r="K92" i="22"/>
  <c r="AA291" i="5" s="1"/>
  <c r="K143" i="22"/>
  <c r="AA467" i="5" s="1"/>
  <c r="K151" i="22"/>
  <c r="AA514" i="5" s="1"/>
  <c r="K161" i="22"/>
  <c r="AA597" i="5" s="1"/>
  <c r="K80" i="22"/>
  <c r="AA216" i="5" s="1"/>
  <c r="D391" i="27" s="1"/>
  <c r="K137" i="22"/>
  <c r="AA343" i="5" s="1"/>
  <c r="K144" i="22"/>
  <c r="AA395" i="5" s="1"/>
  <c r="K152" i="22"/>
  <c r="AA484" i="5" s="1"/>
  <c r="K158" i="22"/>
  <c r="AA662" i="5" s="1"/>
  <c r="K124" i="22"/>
  <c r="AA387" i="5" s="1"/>
  <c r="K138" i="22"/>
  <c r="AA386" i="5" s="1"/>
  <c r="K136" i="22"/>
  <c r="AA344" i="5" s="1"/>
  <c r="K148" i="22"/>
  <c r="K159" i="22"/>
  <c r="AA632" i="5" s="1"/>
  <c r="K123" i="22"/>
  <c r="AA345" i="5" s="1"/>
  <c r="K145" i="22"/>
  <c r="AA444" i="5" s="1"/>
  <c r="K153" i="22"/>
  <c r="AA636" i="5" s="1"/>
  <c r="K160" i="22"/>
  <c r="AA714" i="5" s="1"/>
  <c r="K133" i="22"/>
  <c r="AA365" i="5" s="1"/>
  <c r="K146" i="22"/>
  <c r="AA543" i="5" s="1"/>
  <c r="K154" i="22"/>
  <c r="AA493" i="5" s="1"/>
  <c r="K163" i="22"/>
  <c r="K140" i="22"/>
  <c r="AA525" i="5" s="1"/>
  <c r="K147" i="22"/>
  <c r="AA584" i="5" s="1"/>
  <c r="K155" i="22"/>
  <c r="AA483" i="5" s="1"/>
  <c r="K164" i="22"/>
  <c r="AA706" i="5" s="1"/>
  <c r="D715" i="27"/>
  <c r="D660" i="27"/>
  <c r="D798" i="27"/>
  <c r="D823" i="27"/>
  <c r="D367" i="27"/>
  <c r="D668" i="27"/>
  <c r="D446" i="27"/>
  <c r="D338" i="27"/>
  <c r="D835" i="27"/>
  <c r="D413" i="27"/>
  <c r="D346" i="27"/>
  <c r="D757" i="27"/>
  <c r="D224" i="27"/>
  <c r="D402" i="27"/>
  <c r="D272" i="27"/>
  <c r="D85" i="27"/>
  <c r="D182" i="27"/>
  <c r="D69" i="27"/>
  <c r="D84" i="27"/>
  <c r="D449" i="27"/>
  <c r="D218" i="27"/>
  <c r="D196" i="27"/>
  <c r="D733" i="27"/>
  <c r="D739" i="27"/>
  <c r="D610" i="27"/>
  <c r="D678" i="27"/>
  <c r="D813" i="27"/>
  <c r="D405" i="27"/>
  <c r="D426" i="27"/>
  <c r="D476" i="27"/>
  <c r="D258" i="27"/>
  <c r="D563" i="27"/>
  <c r="D655" i="27"/>
  <c r="D793" i="27"/>
  <c r="D360" i="27"/>
  <c r="D784" i="27"/>
  <c r="D42" i="27"/>
  <c r="D454" i="27"/>
  <c r="D830" i="27"/>
  <c r="K74" i="22"/>
  <c r="AA116" i="5" s="1"/>
  <c r="K2" i="22"/>
  <c r="AA14" i="5" s="1"/>
  <c r="D284" i="27"/>
  <c r="D342" i="27"/>
  <c r="D639" i="27"/>
  <c r="D834" i="27"/>
  <c r="D453" i="27"/>
  <c r="D743" i="27"/>
  <c r="K40" i="22"/>
  <c r="AA195" i="5" s="1"/>
  <c r="K87" i="22"/>
  <c r="AA224" i="5" s="1"/>
  <c r="K10" i="22"/>
  <c r="AA43" i="5" s="1"/>
  <c r="K41" i="22"/>
  <c r="AA104" i="5" s="1"/>
  <c r="K32" i="22"/>
  <c r="AA84" i="5" s="1"/>
  <c r="K62" i="22"/>
  <c r="D192" i="27" s="1"/>
  <c r="K8" i="22"/>
  <c r="AA16" i="5" s="1"/>
  <c r="K122" i="22"/>
  <c r="D562" i="27" s="1"/>
  <c r="K14" i="22"/>
  <c r="AA38" i="5" s="1"/>
  <c r="K11" i="22"/>
  <c r="K56" i="22"/>
  <c r="AA183" i="5" s="1"/>
  <c r="K111" i="22"/>
  <c r="AA237" i="5" s="1"/>
  <c r="K21" i="22"/>
  <c r="AA67" i="5" s="1"/>
  <c r="K118" i="22"/>
  <c r="AA554" i="5" s="1"/>
  <c r="K126" i="22"/>
  <c r="K72" i="22"/>
  <c r="AA126" i="5" s="1"/>
  <c r="D514" i="27"/>
  <c r="D560" i="27"/>
  <c r="D285" i="23"/>
  <c r="E285" i="23"/>
  <c r="K7" i="22"/>
  <c r="K84" i="22"/>
  <c r="AA160" i="5" s="1"/>
  <c r="K132" i="22"/>
  <c r="AA319" i="5" s="1"/>
  <c r="K102" i="22"/>
  <c r="AA311" i="5" s="1"/>
  <c r="K19" i="22"/>
  <c r="AA35" i="5" s="1"/>
  <c r="K97" i="22"/>
  <c r="AA314" i="5" s="1"/>
  <c r="D479" i="27"/>
  <c r="K67" i="22"/>
  <c r="AA232" i="5" s="1"/>
  <c r="D313" i="27" s="1"/>
  <c r="K85" i="22"/>
  <c r="AA189" i="5" s="1"/>
  <c r="D423" i="27" s="1"/>
  <c r="H285" i="23"/>
  <c r="F285" i="23"/>
  <c r="K107" i="22"/>
  <c r="AA532" i="5" s="1"/>
  <c r="K26" i="22"/>
  <c r="K5" i="22"/>
  <c r="AA15" i="5" s="1"/>
  <c r="K65" i="22"/>
  <c r="AA135" i="5" s="1"/>
  <c r="K100" i="22"/>
  <c r="K53" i="22"/>
  <c r="AA360" i="5" s="1"/>
  <c r="D263" i="27" s="1"/>
  <c r="K25" i="22"/>
  <c r="AA50" i="5" s="1"/>
  <c r="K86" i="22"/>
  <c r="AA240" i="5" s="1"/>
  <c r="K130" i="22"/>
  <c r="AA555" i="5" s="1"/>
  <c r="K139" i="22"/>
  <c r="AA340" i="5" s="1"/>
  <c r="K103" i="22"/>
  <c r="AA222" i="5" s="1"/>
  <c r="K77" i="22"/>
  <c r="AA181" i="5" s="1"/>
  <c r="K27" i="22"/>
  <c r="AA48" i="5" s="1"/>
  <c r="K17" i="22"/>
  <c r="AA95" i="5" s="1"/>
  <c r="K131" i="22"/>
  <c r="AA425" i="5" s="1"/>
  <c r="K135" i="22"/>
  <c r="AA626" i="5" s="1"/>
  <c r="K64" i="22"/>
  <c r="AA165" i="5" s="1"/>
  <c r="K48" i="22"/>
  <c r="AA105" i="5" s="1"/>
  <c r="K129" i="22"/>
  <c r="K68" i="22"/>
  <c r="AA109" i="5" s="1"/>
  <c r="K28" i="22"/>
  <c r="AA408" i="5" s="1"/>
  <c r="K81" i="22"/>
  <c r="AA173" i="5" s="1"/>
  <c r="K54" i="22"/>
  <c r="AA132" i="5" s="1"/>
  <c r="K35" i="22"/>
  <c r="AA93" i="5" s="1"/>
  <c r="K49" i="22"/>
  <c r="AA97" i="5" s="1"/>
  <c r="K116" i="22"/>
  <c r="AA322" i="5" s="1"/>
  <c r="K66" i="22"/>
  <c r="AA312" i="5" s="1"/>
  <c r="K34" i="22"/>
  <c r="AA86" i="5" s="1"/>
  <c r="K114" i="22"/>
  <c r="AA718" i="5" s="1"/>
  <c r="K52" i="22"/>
  <c r="AA298" i="5" s="1"/>
  <c r="K63" i="22"/>
  <c r="AA140" i="5" s="1"/>
  <c r="K83" i="22"/>
  <c r="AA255" i="5" s="1"/>
  <c r="K31" i="22"/>
  <c r="AA76" i="5" s="1"/>
  <c r="K127" i="22"/>
  <c r="AA334" i="5" s="1"/>
  <c r="K106" i="22"/>
  <c r="AA221" i="5" s="1"/>
  <c r="K20" i="22"/>
  <c r="AA72" i="5" s="1"/>
  <c r="K39" i="22"/>
  <c r="AA87" i="5" s="1"/>
  <c r="K75" i="22"/>
  <c r="AA100" i="5" s="1"/>
  <c r="K93" i="22"/>
  <c r="AA251" i="5" s="1"/>
  <c r="D458" i="27" s="1"/>
  <c r="K95" i="22"/>
  <c r="AA594" i="5" s="1"/>
  <c r="K96" i="22"/>
  <c r="AA293" i="5" s="1"/>
  <c r="K82" i="22"/>
  <c r="AA94" i="5" s="1"/>
  <c r="K71" i="22"/>
  <c r="AA141" i="5" s="1"/>
  <c r="K30" i="22"/>
  <c r="AA89" i="5" s="1"/>
  <c r="K50" i="22"/>
  <c r="AA74" i="5" s="1"/>
  <c r="K104" i="22"/>
  <c r="AA242" i="5" s="1"/>
  <c r="K46" i="22"/>
  <c r="AA217" i="5" s="1"/>
  <c r="K44" i="22"/>
  <c r="AA118" i="5" s="1"/>
  <c r="K89" i="22"/>
  <c r="AA533" i="5" s="1"/>
  <c r="K105" i="22"/>
  <c r="K91" i="22"/>
  <c r="AA263" i="5" s="1"/>
  <c r="K121" i="22"/>
  <c r="AA398" i="5" s="1"/>
  <c r="K4" i="22"/>
  <c r="AA9" i="5" s="1"/>
  <c r="K36" i="22"/>
  <c r="AA64" i="5" s="1"/>
  <c r="K120" i="22"/>
  <c r="AA331" i="5" s="1"/>
  <c r="K45" i="22"/>
  <c r="K23" i="22"/>
  <c r="AA40" i="5" s="1"/>
  <c r="K117" i="22"/>
  <c r="K99" i="22"/>
  <c r="AA223" i="5" s="1"/>
  <c r="K70" i="22"/>
  <c r="AA115" i="5" s="1"/>
  <c r="K115" i="22"/>
  <c r="AA415" i="5" s="1"/>
  <c r="K9" i="22"/>
  <c r="AA19" i="5" s="1"/>
  <c r="K78" i="22"/>
  <c r="AA349" i="5" s="1"/>
  <c r="K134" i="22"/>
  <c r="K55" i="22"/>
  <c r="AA187" i="5" s="1"/>
  <c r="K101" i="22"/>
  <c r="AA302" i="5" s="1"/>
  <c r="K15" i="22"/>
  <c r="AA73" i="5" s="1"/>
  <c r="K24" i="22"/>
  <c r="K76" i="22"/>
  <c r="AA162" i="5" s="1"/>
  <c r="K51" i="22"/>
  <c r="AA156" i="5" s="1"/>
  <c r="K109" i="22"/>
  <c r="AA436" i="5" s="1"/>
  <c r="K112" i="22"/>
  <c r="AA462" i="5" s="1"/>
  <c r="K58" i="22"/>
  <c r="AA407" i="5" s="1"/>
  <c r="K98" i="22"/>
  <c r="AA553" i="5" s="1"/>
  <c r="K57" i="22"/>
  <c r="AA103" i="5" s="1"/>
  <c r="K73" i="22"/>
  <c r="AA210" i="5" s="1"/>
  <c r="K13" i="22"/>
  <c r="AA83" i="5" s="1"/>
  <c r="K119" i="22"/>
  <c r="AA260" i="5" s="1"/>
  <c r="K125" i="22"/>
  <c r="AA528" i="5" s="1"/>
  <c r="K12" i="22"/>
  <c r="AA62" i="5" s="1"/>
  <c r="K59" i="22"/>
  <c r="AA265" i="5" s="1"/>
  <c r="K47" i="22"/>
  <c r="AA482" i="5" s="1"/>
  <c r="K108" i="22"/>
  <c r="AA610" i="5" s="1"/>
  <c r="K61" i="22"/>
  <c r="AA264" i="5" s="1"/>
  <c r="D295" i="27" s="1"/>
  <c r="K42" i="22"/>
  <c r="AA123" i="5" s="1"/>
  <c r="D191" i="27" s="1"/>
  <c r="K16" i="22"/>
  <c r="AA29" i="5" s="1"/>
  <c r="K69" i="22"/>
  <c r="AA196" i="5" s="1"/>
  <c r="K113" i="22"/>
  <c r="AA388" i="5" s="1"/>
  <c r="K22" i="22"/>
  <c r="AA68" i="5" s="1"/>
  <c r="D92" i="27" s="1"/>
  <c r="K110" i="22"/>
  <c r="AA412" i="5" s="1"/>
  <c r="K18" i="22"/>
  <c r="AA22" i="5" s="1"/>
  <c r="D78" i="27" s="1"/>
  <c r="K38" i="22"/>
  <c r="AA78" i="5" s="1"/>
  <c r="K37" i="22"/>
  <c r="AA88" i="5" s="1"/>
  <c r="D161" i="27" s="1"/>
  <c r="K79" i="22"/>
  <c r="AA244" i="5" s="1"/>
  <c r="K94" i="22"/>
  <c r="AA193" i="5" s="1"/>
  <c r="K88" i="22"/>
  <c r="AA184" i="5" s="1"/>
  <c r="K60" i="22"/>
  <c r="AA136" i="5" s="1"/>
  <c r="K43" i="22"/>
  <c r="AA177" i="5" s="1"/>
  <c r="K6" i="22"/>
  <c r="AA10" i="5" s="1"/>
  <c r="K33" i="22"/>
  <c r="AA159" i="5" s="1"/>
  <c r="K128" i="22"/>
  <c r="AA432" i="5" s="1"/>
  <c r="K90" i="22"/>
  <c r="AA336" i="5" s="1"/>
  <c r="K29" i="22"/>
  <c r="AA85" i="5" s="1"/>
  <c r="D565" i="27" l="1"/>
  <c r="D108" i="27"/>
  <c r="D500" i="27"/>
  <c r="D246" i="27"/>
  <c r="AA318" i="5"/>
  <c r="D335" i="27"/>
  <c r="AA508" i="5"/>
  <c r="D488" i="27" s="1"/>
  <c r="D597" i="27"/>
  <c r="AA11" i="5"/>
  <c r="AA644" i="5"/>
  <c r="AA580" i="5"/>
  <c r="D805" i="27" s="1"/>
  <c r="AA166" i="5"/>
  <c r="AA77" i="5"/>
  <c r="D100" i="27" s="1"/>
  <c r="AA486" i="5"/>
  <c r="D747" i="27" s="1"/>
  <c r="D55" i="27"/>
  <c r="AA418" i="5"/>
  <c r="D630" i="27" s="1"/>
  <c r="AA461" i="5"/>
  <c r="D681" i="27"/>
  <c r="AA306" i="5"/>
  <c r="D240" i="27"/>
  <c r="AA278" i="5"/>
  <c r="D511" i="27" s="1"/>
  <c r="D119" i="27"/>
  <c r="AA326" i="5"/>
  <c r="AA211" i="5"/>
  <c r="D50" i="27" s="1"/>
  <c r="AA694" i="5"/>
  <c r="D657" i="27" s="1"/>
  <c r="D344" i="27"/>
  <c r="AA155" i="5"/>
  <c r="AA545" i="5"/>
  <c r="D750" i="27" s="1"/>
  <c r="D754" i="27"/>
  <c r="D658" i="27"/>
  <c r="D632" i="27"/>
  <c r="D554" i="27"/>
  <c r="D718" i="27"/>
  <c r="D396" i="27"/>
  <c r="D689" i="27"/>
  <c r="D690" i="27"/>
  <c r="D708" i="27"/>
  <c r="D696" i="27"/>
  <c r="D336" i="27"/>
  <c r="D144" i="27"/>
  <c r="D777" i="27"/>
  <c r="D149" i="27"/>
  <c r="D831" i="27"/>
  <c r="D311" i="27"/>
  <c r="D395" i="27"/>
  <c r="D18" i="27"/>
  <c r="D694" i="27"/>
  <c r="D726" i="27"/>
  <c r="D535" i="27"/>
  <c r="D202" i="27"/>
  <c r="D642" i="27"/>
  <c r="D833" i="27"/>
  <c r="D414" i="27"/>
  <c r="D222" i="27"/>
  <c r="D407" i="27"/>
  <c r="D467" i="27"/>
  <c r="D670" i="27"/>
  <c r="D79" i="27"/>
  <c r="D324" i="27"/>
  <c r="D533" i="27"/>
  <c r="D732" i="27"/>
  <c r="D331" i="27"/>
  <c r="D516" i="27"/>
  <c r="D456" i="27"/>
  <c r="D762" i="27"/>
  <c r="D510" i="27"/>
  <c r="D163" i="27"/>
  <c r="D688" i="27"/>
  <c r="D209" i="27"/>
  <c r="D415" i="27"/>
  <c r="D410" i="27"/>
  <c r="D763" i="27"/>
  <c r="D309" i="27"/>
  <c r="D184" i="27"/>
  <c r="D412" i="27"/>
  <c r="D287" i="27"/>
  <c r="D126" i="27"/>
  <c r="D768" i="27"/>
  <c r="D591" i="27"/>
  <c r="D820" i="27"/>
  <c r="D270" i="27"/>
  <c r="D836" i="27"/>
  <c r="D363" i="27"/>
  <c r="D475" i="27"/>
  <c r="D442" i="27"/>
  <c r="D648" i="27"/>
  <c r="D370" i="27"/>
  <c r="D609" i="27"/>
  <c r="D337" i="27"/>
  <c r="D206" i="27"/>
  <c r="D617" i="27"/>
  <c r="D677" i="27"/>
  <c r="D133" i="27"/>
  <c r="D177" i="27"/>
  <c r="D298" i="27"/>
  <c r="D766" i="27"/>
  <c r="D368" i="27"/>
  <c r="D70" i="27"/>
  <c r="D622" i="27"/>
  <c r="D508" i="27"/>
  <c r="D81" i="27"/>
  <c r="D273" i="27"/>
  <c r="D233" i="27"/>
  <c r="D628" i="27"/>
  <c r="D697" i="27"/>
  <c r="D277" i="27"/>
  <c r="D837" i="27"/>
  <c r="D497" i="27"/>
  <c r="D380" i="27"/>
  <c r="D369" i="27"/>
  <c r="D659" i="27"/>
  <c r="D281" i="27"/>
  <c r="D679" i="27"/>
  <c r="D25" i="27"/>
  <c r="D227" i="27"/>
  <c r="D378" i="27"/>
  <c r="D440" i="27"/>
  <c r="D199" i="27"/>
  <c r="D180" i="27"/>
  <c r="D573" i="27"/>
  <c r="D348" i="27"/>
  <c r="D525" i="27"/>
  <c r="D445" i="27"/>
  <c r="D782" i="27"/>
  <c r="D669" i="27"/>
  <c r="D815" i="27"/>
  <c r="D312" i="27"/>
  <c r="D600" i="27"/>
  <c r="D825" i="27"/>
  <c r="D499" i="27"/>
  <c r="D712" i="27"/>
  <c r="D461" i="27"/>
  <c r="D359" i="27"/>
  <c r="D788" i="27"/>
  <c r="D158" i="27"/>
  <c r="D663" i="27"/>
  <c r="D167" i="27"/>
  <c r="D355" i="27"/>
  <c r="D592" i="27"/>
  <c r="D106" i="27"/>
  <c r="D490" i="27"/>
  <c r="D621" i="27"/>
  <c r="D115" i="27"/>
  <c r="D176" i="27"/>
  <c r="D807" i="27"/>
  <c r="D438" i="27"/>
  <c r="D181" i="27"/>
  <c r="D552" i="27"/>
  <c r="D427" i="27"/>
  <c r="D13" i="27"/>
  <c r="D822" i="27"/>
  <c r="D247" i="27"/>
  <c r="D538" i="27"/>
  <c r="D213" i="27"/>
  <c r="D103" i="27"/>
  <c r="D385" i="27"/>
  <c r="D303" i="27"/>
  <c r="D542" i="27"/>
  <c r="D818" i="27"/>
  <c r="D41" i="27"/>
  <c r="D220" i="27"/>
  <c r="D572" i="27"/>
  <c r="D702" i="27"/>
  <c r="D250" i="27"/>
  <c r="D307" i="27"/>
  <c r="D260" i="27"/>
  <c r="D638" i="27"/>
  <c r="D470" i="27"/>
  <c r="D62" i="27"/>
  <c r="D365" i="27"/>
  <c r="D112" i="27"/>
  <c r="D764" i="27"/>
  <c r="D87" i="27"/>
  <c r="D641" i="27"/>
  <c r="D356" i="27"/>
  <c r="D714" i="27"/>
  <c r="D809" i="27"/>
  <c r="D291" i="27"/>
  <c r="D612" i="27"/>
  <c r="D254" i="27"/>
  <c r="D315" i="27"/>
  <c r="D506" i="27"/>
  <c r="D362" i="27"/>
  <c r="D709" i="27"/>
  <c r="D587" i="27"/>
  <c r="D173" i="27"/>
  <c r="D455" i="27"/>
  <c r="D274" i="27"/>
  <c r="D419" i="27"/>
  <c r="D699" i="27"/>
  <c r="D401" i="27"/>
  <c r="D734" i="27"/>
  <c r="D795" i="27"/>
  <c r="D685" i="27"/>
  <c r="D526" i="27"/>
  <c r="D491" i="27"/>
  <c r="D121" i="27"/>
  <c r="D578" i="27"/>
  <c r="D635" i="27"/>
  <c r="D584" i="27"/>
  <c r="D236" i="27"/>
  <c r="D328" i="27"/>
  <c r="D65" i="27"/>
  <c r="D625" i="27"/>
  <c r="D495" i="27"/>
  <c r="D237" i="27"/>
  <c r="D504" i="27"/>
  <c r="D7" i="27"/>
  <c r="D352" i="27"/>
  <c r="D141" i="27"/>
  <c r="D477" i="27"/>
  <c r="D502" i="27"/>
  <c r="D489" i="27"/>
  <c r="D519" i="27"/>
  <c r="D661" i="27"/>
  <c r="D345" i="27"/>
  <c r="D45" i="27"/>
  <c r="D832" i="27"/>
  <c r="D731" i="27"/>
  <c r="D544" i="27"/>
  <c r="D512" i="27"/>
  <c r="D598" i="27"/>
  <c r="D376" i="27"/>
  <c r="D282" i="27"/>
  <c r="D756" i="27"/>
  <c r="D664" i="27"/>
  <c r="D515" i="27"/>
  <c r="D570" i="27"/>
  <c r="D306" i="27"/>
  <c r="D569" i="27"/>
  <c r="D711" i="27"/>
  <c r="D801" i="27"/>
  <c r="D408" i="27"/>
  <c r="D244" i="27"/>
  <c r="D162" i="27"/>
  <c r="D301" i="27"/>
  <c r="D787" i="27"/>
  <c r="D102" i="27"/>
  <c r="D722" i="27"/>
  <c r="D797" i="27"/>
  <c r="D90" i="27"/>
  <c r="D700" i="27"/>
  <c r="D49" i="27"/>
  <c r="D37" i="27"/>
  <c r="D540" i="27"/>
  <c r="D398" i="27"/>
  <c r="D6" i="27"/>
  <c r="D571" i="27"/>
  <c r="D749" i="27"/>
  <c r="D339" i="27"/>
  <c r="D68" i="27"/>
  <c r="D800" i="27"/>
  <c r="D802" i="27"/>
  <c r="D146" i="27"/>
  <c r="D198" i="27"/>
  <c r="D643" i="27"/>
  <c r="D251" i="27"/>
  <c r="D637" i="27"/>
  <c r="D487" i="27"/>
  <c r="D443" i="27"/>
  <c r="D300" i="27"/>
  <c r="D373" i="27"/>
  <c r="D480" i="27"/>
  <c r="D806" i="27"/>
  <c r="D503" i="27"/>
  <c r="D109" i="27"/>
  <c r="D122" i="27"/>
  <c r="D792" i="27"/>
  <c r="D91" i="27"/>
  <c r="D2" i="27"/>
  <c r="D417" i="27"/>
  <c r="D214" i="27"/>
  <c r="D738" i="27"/>
  <c r="D374" i="27"/>
  <c r="D429" i="27"/>
  <c r="D275" i="27"/>
  <c r="D314" i="27"/>
  <c r="D719" i="27"/>
  <c r="D576" i="27"/>
  <c r="D608" i="27"/>
  <c r="D379" i="27"/>
  <c r="D304" i="27"/>
  <c r="D620" i="27"/>
  <c r="D349" i="27"/>
  <c r="D742" i="27"/>
  <c r="Q4" i="14"/>
  <c r="D266" i="27"/>
  <c r="D137" i="27"/>
  <c r="D120" i="27"/>
  <c r="D422" i="27"/>
  <c r="D791" i="27"/>
  <c r="D760" i="27"/>
  <c r="D15" i="27"/>
  <c r="D187" i="27"/>
  <c r="D781" i="27"/>
  <c r="D152" i="27"/>
  <c r="D20" i="27"/>
  <c r="D577" i="27"/>
  <c r="D723" i="27"/>
  <c r="D654" i="27"/>
  <c r="D599" i="27"/>
  <c r="D746" i="27"/>
  <c r="D441" i="27"/>
  <c r="D31" i="27"/>
  <c r="D729" i="27"/>
  <c r="D695" i="27"/>
  <c r="D195" i="27"/>
  <c r="D343" i="27"/>
  <c r="D614" i="27"/>
  <c r="D253" i="27"/>
  <c r="D11" i="27"/>
  <c r="D485" i="27"/>
  <c r="D462" i="27"/>
  <c r="D124" i="27"/>
  <c r="D386" i="27"/>
  <c r="D188" i="27"/>
  <c r="D279" i="27"/>
  <c r="D194" i="27"/>
  <c r="D553" i="27"/>
  <c r="D97" i="27"/>
  <c r="D838" i="27"/>
  <c r="D623" i="27"/>
  <c r="D235" i="27"/>
  <c r="D776" i="27"/>
  <c r="D210" i="27"/>
  <c r="D629" i="27"/>
  <c r="D296" i="27"/>
  <c r="D231" i="27"/>
  <c r="D388" i="27"/>
  <c r="D527" i="27"/>
  <c r="D136" i="27"/>
  <c r="D155" i="27"/>
  <c r="D482" i="27"/>
  <c r="D451" i="27"/>
  <c r="D724" i="27"/>
  <c r="D285" i="27"/>
  <c r="D521" i="27"/>
  <c r="D759" i="27"/>
  <c r="D473" i="27"/>
  <c r="D216" i="27"/>
  <c r="D340" i="27"/>
  <c r="D543" i="27"/>
  <c r="D586" i="27"/>
  <c r="D434" i="27"/>
  <c r="D63" i="27"/>
  <c r="D430" i="27"/>
  <c r="D796" i="27"/>
  <c r="D656" i="27"/>
  <c r="D104" i="27"/>
  <c r="D671" i="27"/>
  <c r="D21" i="27"/>
  <c r="D596" i="27"/>
  <c r="D650" i="27"/>
  <c r="D673" i="27"/>
  <c r="D607" i="27"/>
  <c r="D174" i="27"/>
  <c r="D372" i="27"/>
  <c r="D43" i="27"/>
  <c r="D644" i="27"/>
  <c r="D169" i="27"/>
  <c r="D358" i="27"/>
  <c r="D484" i="27"/>
  <c r="D329" i="27"/>
  <c r="D276" i="27"/>
  <c r="D383" i="27"/>
  <c r="D33" i="27"/>
  <c r="D692" i="27"/>
  <c r="D22" i="27"/>
  <c r="D95" i="27"/>
  <c r="D459" i="27"/>
  <c r="D468" i="27"/>
  <c r="D720" i="27"/>
  <c r="D179" i="27"/>
  <c r="D530" i="27"/>
  <c r="D636" i="27"/>
  <c r="D393" i="27"/>
  <c r="D616" i="27"/>
  <c r="D123" i="27"/>
  <c r="D243" i="27"/>
  <c r="D611" i="27"/>
  <c r="D474" i="27"/>
  <c r="D435" i="27"/>
  <c r="D559" i="27"/>
  <c r="D317" i="27"/>
  <c r="D590" i="27"/>
  <c r="D98" i="27"/>
  <c r="D744" i="27"/>
  <c r="D821" i="27"/>
  <c r="D665" i="27"/>
  <c r="D118" i="27"/>
  <c r="D588" i="27"/>
  <c r="D73" i="27"/>
  <c r="D522" i="27"/>
  <c r="D575" i="27"/>
  <c r="D54" i="27"/>
  <c r="D327" i="27"/>
  <c r="D549" i="27"/>
  <c r="D166" i="27"/>
  <c r="D148" i="27"/>
  <c r="D528" i="27"/>
  <c r="D775" i="27"/>
  <c r="D160" i="27"/>
  <c r="D96" i="27"/>
  <c r="D634" i="27"/>
  <c r="D299" i="27"/>
  <c r="D39" i="27"/>
  <c r="D483" i="27"/>
  <c r="D72" i="27"/>
  <c r="D75" i="27"/>
  <c r="D156" i="27"/>
  <c r="D354" i="27"/>
  <c r="D771" i="27"/>
  <c r="D561" i="27"/>
  <c r="D99" i="27"/>
  <c r="D245" i="27"/>
  <c r="D135" i="27"/>
  <c r="D789" i="27"/>
  <c r="D496" i="27"/>
  <c r="D310" i="27"/>
  <c r="D27" i="27"/>
  <c r="D581" i="27"/>
  <c r="D212" i="27"/>
  <c r="D452" i="27"/>
  <c r="D432" i="27"/>
  <c r="D114" i="27"/>
  <c r="D159" i="27"/>
  <c r="D34" i="27"/>
  <c r="D140" i="27"/>
  <c r="Q5" i="14"/>
  <c r="AB442" i="5" l="1"/>
  <c r="D551" i="27"/>
  <c r="D710" i="27"/>
  <c r="D721" i="27"/>
  <c r="D286" i="27"/>
  <c r="D603" i="27"/>
  <c r="D829" i="27"/>
  <c r="D145" i="27"/>
  <c r="D824" i="27"/>
  <c r="D437" i="27"/>
  <c r="D444" i="27"/>
  <c r="D481" i="27"/>
  <c r="D201" i="27"/>
  <c r="D64" i="27"/>
  <c r="D425" i="27"/>
  <c r="D546" i="27"/>
  <c r="D116" i="27"/>
  <c r="D783" i="27"/>
  <c r="D319" i="27"/>
  <c r="D741" i="27"/>
  <c r="D217" i="27"/>
  <c r="D605" i="27"/>
  <c r="D381" i="27"/>
  <c r="D93" i="27"/>
  <c r="D583" i="27"/>
  <c r="D332" i="27"/>
  <c r="D773" i="27"/>
  <c r="D810" i="27"/>
  <c r="D585" i="27"/>
  <c r="D400" i="27"/>
  <c r="D717" i="27"/>
  <c r="D536" i="27"/>
  <c r="D541" i="27"/>
  <c r="D326" i="27"/>
  <c r="D44" i="27"/>
  <c r="D94" i="27"/>
  <c r="D269" i="27"/>
  <c r="D748" i="27"/>
  <c r="D687" i="27"/>
  <c r="D382" i="27"/>
  <c r="D293" i="27"/>
  <c r="D83" i="27"/>
  <c r="D219" i="27"/>
  <c r="D292" i="27"/>
  <c r="D168" i="27"/>
  <c r="D532" i="27"/>
  <c r="D465" i="27"/>
  <c r="D647" i="27"/>
  <c r="D366" i="27"/>
  <c r="D457" i="27"/>
  <c r="D375" i="27"/>
  <c r="D318" i="27"/>
  <c r="D403" i="27"/>
  <c r="D40" i="27"/>
  <c r="D431" i="27"/>
  <c r="D666" i="27"/>
  <c r="D190" i="27"/>
  <c r="D208" i="27"/>
  <c r="D189" i="27"/>
  <c r="D107" i="27"/>
  <c r="D125" i="27"/>
  <c r="D790" i="27"/>
  <c r="D164" i="27"/>
  <c r="D464" i="27"/>
  <c r="D52" i="27"/>
  <c r="D740" i="27"/>
  <c r="D134" i="27"/>
  <c r="D646" i="27"/>
  <c r="D66" i="27"/>
  <c r="D47" i="27"/>
  <c r="D5" i="27"/>
  <c r="D745" i="27"/>
  <c r="D132" i="27"/>
  <c r="D113" i="27"/>
  <c r="D74" i="27"/>
  <c r="D24" i="27"/>
  <c r="D264" i="27"/>
  <c r="D701" i="27"/>
  <c r="D627" i="27"/>
  <c r="D706" i="27"/>
  <c r="D707" i="27"/>
  <c r="D794" i="27"/>
  <c r="D705" i="27"/>
  <c r="D761" i="27"/>
  <c r="D215" i="27"/>
  <c r="D61" i="27"/>
  <c r="D418" i="27"/>
  <c r="D256" i="27"/>
  <c r="D308" i="27"/>
  <c r="D232" i="27"/>
  <c r="D371" i="27"/>
  <c r="D261" i="27"/>
  <c r="D183" i="27"/>
  <c r="D433" i="27"/>
  <c r="D770" i="27"/>
  <c r="D384" i="27"/>
  <c r="D752" i="27"/>
  <c r="D780" i="27"/>
  <c r="D333" i="27"/>
  <c r="D26" i="27"/>
  <c r="D737" i="27"/>
  <c r="D290" i="27"/>
  <c r="D330" i="27"/>
  <c r="D9" i="27"/>
  <c r="D35" i="27"/>
  <c r="D472" i="27"/>
  <c r="D463" i="27"/>
  <c r="D704" i="27"/>
  <c r="D682" i="27"/>
  <c r="D727" i="27"/>
  <c r="D172" i="27"/>
  <c r="D416" i="27"/>
  <c r="D534" i="27"/>
  <c r="D82" i="27"/>
  <c r="D736" i="27"/>
  <c r="D404" i="27"/>
  <c r="D262" i="27"/>
  <c r="D223" i="27"/>
  <c r="D271" i="27"/>
  <c r="D51" i="27"/>
  <c r="D17" i="27"/>
  <c r="D242" i="27"/>
  <c r="D101" i="27"/>
  <c r="D652" i="27"/>
  <c r="D492" i="27"/>
  <c r="D753" i="27"/>
  <c r="D626" i="27"/>
  <c r="D334" i="27"/>
  <c r="D76" i="27"/>
  <c r="D16" i="27"/>
  <c r="D200" i="27"/>
  <c r="D241" i="27"/>
  <c r="D89" i="27"/>
  <c r="D567" i="27"/>
  <c r="D175" i="27"/>
  <c r="D130" i="27"/>
  <c r="D323" i="27"/>
  <c r="D428" i="27"/>
  <c r="D698" i="27"/>
  <c r="D248" i="27"/>
  <c r="D645" i="27"/>
  <c r="D305" i="27"/>
  <c r="D80" i="27"/>
  <c r="D703" i="27"/>
  <c r="D10" i="27"/>
  <c r="D649" i="27"/>
  <c r="D153" i="27"/>
  <c r="D147" i="27"/>
  <c r="D14" i="27"/>
  <c r="D8" i="27"/>
  <c r="D606" i="27"/>
  <c r="D150" i="27"/>
  <c r="D59" i="27"/>
  <c r="D539" i="27"/>
  <c r="D229" i="27"/>
  <c r="D255" i="27"/>
  <c r="D186" i="27"/>
  <c r="D28" i="27"/>
  <c r="D505" i="27"/>
  <c r="D728" i="27"/>
  <c r="D347" i="27"/>
  <c r="D582" i="27"/>
  <c r="D278" i="27"/>
  <c r="D302" i="27"/>
  <c r="D513" i="27"/>
  <c r="D580" i="27"/>
  <c r="D165" i="27"/>
  <c r="D786" i="27"/>
  <c r="D58" i="27"/>
  <c r="D139" i="27"/>
  <c r="D601" i="27"/>
  <c r="D129" i="27"/>
  <c r="D680" i="27"/>
  <c r="D406" i="27"/>
  <c r="D691" i="27"/>
  <c r="D138" i="27"/>
  <c r="D814" i="27"/>
  <c r="D316" i="27"/>
  <c r="D268" i="27"/>
  <c r="D662" i="27"/>
  <c r="D507" i="27"/>
  <c r="D77" i="27"/>
  <c r="D3" i="27"/>
  <c r="D4" i="27"/>
  <c r="D478" i="27"/>
  <c r="D436" i="27"/>
  <c r="D38" i="27"/>
  <c r="D755" i="27"/>
  <c r="D32" i="27"/>
  <c r="D131" i="27"/>
  <c r="D23" i="27"/>
  <c r="D772" i="27"/>
  <c r="D265" i="27"/>
  <c r="D178" i="27"/>
  <c r="D556" i="27"/>
  <c r="D105" i="27"/>
  <c r="D808" i="27"/>
  <c r="D686" i="27"/>
  <c r="D633" i="27"/>
  <c r="D397" i="27"/>
  <c r="D631" i="27"/>
  <c r="D57" i="27"/>
  <c r="D193" i="27"/>
  <c r="D228" i="27"/>
  <c r="D675" i="27"/>
  <c r="D239" i="27"/>
  <c r="D364" i="27"/>
  <c r="D321" i="27"/>
  <c r="D230" i="27"/>
  <c r="D294" i="27"/>
  <c r="D799" i="27"/>
  <c r="D252" i="27"/>
  <c r="D672" i="27"/>
  <c r="D12" i="27"/>
  <c r="D595" i="27"/>
  <c r="D558" i="27"/>
  <c r="D211" i="27"/>
  <c r="D713" i="27"/>
  <c r="D545" i="27"/>
  <c r="D289" i="27"/>
  <c r="D111" i="27"/>
  <c r="D56" i="27"/>
  <c r="D142" i="27"/>
  <c r="D353" i="27"/>
  <c r="D30" i="27"/>
  <c r="D86" i="27"/>
  <c r="D257" i="27"/>
  <c r="D117" i="27"/>
  <c r="D779" i="27"/>
  <c r="D280" i="27"/>
  <c r="D693" i="27"/>
  <c r="D297" i="27"/>
  <c r="D238" i="27"/>
  <c r="D71" i="27"/>
  <c r="D589" i="27"/>
  <c r="D531" i="27"/>
  <c r="D557" i="27"/>
  <c r="D36" i="27"/>
  <c r="D758" i="27"/>
  <c r="D207" i="27"/>
  <c r="D811" i="27"/>
  <c r="D501" i="27"/>
  <c r="D566" i="27"/>
  <c r="D653" i="27"/>
  <c r="D498" i="27"/>
  <c r="D127" i="27"/>
  <c r="D574" i="27"/>
  <c r="D377" i="27"/>
  <c r="D249" i="27"/>
  <c r="D619" i="27"/>
  <c r="D828" i="27"/>
  <c r="D225" i="27"/>
  <c r="D128" i="27"/>
  <c r="D517" i="27"/>
  <c r="D778" i="27"/>
  <c r="D448" i="27"/>
  <c r="D555" i="27"/>
  <c r="D817" i="27"/>
  <c r="D46" i="27"/>
  <c r="D624" i="27"/>
  <c r="D568" i="27"/>
  <c r="D769" i="27"/>
  <c r="D197" i="27"/>
  <c r="D674" i="27"/>
  <c r="D394" i="27"/>
  <c r="D774" i="27"/>
  <c r="D204" i="27"/>
  <c r="D716" i="27"/>
  <c r="D523" i="27"/>
  <c r="D579" i="27"/>
  <c r="D803" i="27"/>
  <c r="D494" i="27"/>
  <c r="D19" i="27"/>
  <c r="D226" i="27"/>
  <c r="D29" i="27"/>
  <c r="D221" i="27"/>
  <c r="D450" i="27"/>
  <c r="D234" i="27"/>
  <c r="D667" i="27"/>
  <c r="D409" i="27"/>
  <c r="D389" i="27"/>
  <c r="D684" i="27"/>
  <c r="D411" i="27"/>
  <c r="D529" i="27"/>
  <c r="D267" i="27"/>
  <c r="D466" i="27"/>
  <c r="D618" i="27"/>
  <c r="D60" i="27"/>
  <c r="D816" i="27"/>
  <c r="D387" i="27"/>
  <c r="D320" i="27"/>
  <c r="D594" i="27"/>
  <c r="D593" i="27"/>
  <c r="D651" i="27"/>
  <c r="D399" i="27"/>
  <c r="D509" i="27"/>
  <c r="D767" i="27"/>
  <c r="D548" i="27"/>
  <c r="D157" i="27"/>
  <c r="D804" i="27"/>
  <c r="D420" i="27"/>
  <c r="D537" i="27"/>
  <c r="D730" i="27"/>
  <c r="D170" i="27"/>
  <c r="D520" i="27"/>
  <c r="D357" i="27"/>
  <c r="D676" i="27"/>
  <c r="D765" i="27"/>
  <c r="D283" i="27"/>
  <c r="D171" i="27"/>
  <c r="D735" i="27"/>
  <c r="D390" i="27"/>
  <c r="D486" i="27"/>
  <c r="D143" i="27"/>
  <c r="D602" i="27"/>
  <c r="D518" i="27"/>
  <c r="D421" i="27"/>
  <c r="D341" i="27"/>
  <c r="D613" i="27"/>
  <c r="D812" i="27"/>
  <c r="D88" i="27"/>
  <c r="D469" i="27"/>
  <c r="D351" i="27"/>
  <c r="D154" i="27"/>
  <c r="D205" i="27"/>
  <c r="D493" i="27"/>
  <c r="D288" i="27"/>
  <c r="D604" i="27"/>
  <c r="D615" i="27"/>
  <c r="D547" i="27"/>
  <c r="D640" i="27"/>
  <c r="D53" i="27"/>
  <c r="D350" i="27"/>
  <c r="D751" i="27"/>
  <c r="D203" i="27"/>
  <c r="D550" i="27"/>
  <c r="D361" i="27"/>
  <c r="D471" i="27"/>
  <c r="AB453" i="5"/>
  <c r="AB313" i="5"/>
  <c r="AB272" i="5"/>
  <c r="AB640" i="5"/>
  <c r="AB161" i="5"/>
  <c r="AB511" i="5"/>
  <c r="AB392" i="5"/>
  <c r="AB401" i="5"/>
  <c r="AB555" i="5"/>
  <c r="AB666" i="5"/>
  <c r="AB395" i="5"/>
  <c r="AB735" i="5"/>
  <c r="AB606" i="5"/>
  <c r="AB580" i="5"/>
  <c r="AB164" i="5"/>
  <c r="AB29" i="5"/>
  <c r="AB591" i="5"/>
  <c r="AB424" i="5"/>
  <c r="AB95" i="5"/>
  <c r="AB707" i="5"/>
  <c r="AB743" i="5"/>
  <c r="AB690" i="5"/>
  <c r="AB205" i="5"/>
  <c r="D48" i="27"/>
  <c r="AB52" i="5"/>
  <c r="D447" i="27"/>
  <c r="AB356" i="5"/>
  <c r="AB654" i="5"/>
  <c r="AB465" i="5"/>
  <c r="AB405" i="5"/>
  <c r="AB63" i="5"/>
  <c r="AB528" i="5"/>
  <c r="AB749" i="5"/>
  <c r="AB260" i="5"/>
  <c r="AB380" i="5"/>
  <c r="AB310" i="5"/>
  <c r="AB724" i="5"/>
  <c r="AB721" i="5"/>
  <c r="AB293" i="5"/>
  <c r="AB76" i="5"/>
  <c r="AB345" i="5"/>
  <c r="AB508" i="5"/>
  <c r="AB325" i="5"/>
  <c r="AB587" i="5"/>
  <c r="AB449" i="5"/>
  <c r="AB53" i="5"/>
  <c r="AB542" i="5"/>
  <c r="AB247" i="5"/>
  <c r="AB446" i="5"/>
  <c r="AB127" i="5"/>
  <c r="AB398" i="5"/>
  <c r="AB625" i="5"/>
  <c r="AB664" i="5"/>
  <c r="AB263" i="5"/>
  <c r="AB452" i="5"/>
  <c r="AB259" i="5"/>
  <c r="AB89" i="5"/>
  <c r="AB186" i="5"/>
  <c r="AB423" i="5"/>
  <c r="AB737" i="5"/>
  <c r="AB463" i="5"/>
  <c r="AB216" i="5"/>
  <c r="AB156" i="5"/>
  <c r="AB33" i="5"/>
  <c r="AB557" i="5"/>
  <c r="AB402" i="5"/>
  <c r="AB734" i="5"/>
  <c r="AB215" i="5"/>
  <c r="AB727" i="5"/>
  <c r="AB531" i="5"/>
  <c r="AB371" i="5"/>
  <c r="AB594" i="5"/>
  <c r="AB84" i="5"/>
  <c r="AB393" i="5"/>
  <c r="AB46" i="5"/>
  <c r="AB411" i="5"/>
  <c r="AB378" i="5"/>
  <c r="AB15" i="5"/>
  <c r="AB571" i="5"/>
  <c r="AB364" i="5"/>
  <c r="AB579" i="5"/>
  <c r="AB410" i="5"/>
  <c r="AB367" i="5"/>
  <c r="AB414" i="5"/>
  <c r="AB243" i="5"/>
  <c r="AB400" i="5"/>
  <c r="AB434" i="5"/>
  <c r="AB475" i="5"/>
  <c r="AB541" i="5"/>
  <c r="AB302" i="5"/>
  <c r="AB546" i="5"/>
  <c r="AB373" i="5"/>
  <c r="AB257" i="5"/>
  <c r="AB275" i="5"/>
  <c r="AB220" i="5"/>
  <c r="AB251" i="5"/>
  <c r="AB559" i="5"/>
  <c r="D185" i="27"/>
  <c r="AB204" i="5"/>
  <c r="AB652" i="5"/>
  <c r="AB628" i="5"/>
  <c r="AB360" i="5"/>
  <c r="AB501" i="5"/>
  <c r="AB526" i="5"/>
  <c r="AB102" i="5"/>
  <c r="AB417" i="5"/>
  <c r="AB308" i="5"/>
  <c r="AB155" i="5"/>
  <c r="AB265" i="5"/>
  <c r="AB288" i="5"/>
  <c r="AB214" i="5"/>
  <c r="AB507" i="5"/>
  <c r="AB58" i="5"/>
  <c r="AB418" i="5"/>
  <c r="AB20" i="5"/>
  <c r="AB634" i="5"/>
  <c r="AB369" i="5"/>
  <c r="AB78" i="5"/>
  <c r="AB598" i="5"/>
  <c r="AB307" i="5"/>
  <c r="AB723" i="5"/>
  <c r="AB537" i="5"/>
  <c r="AB385" i="5"/>
  <c r="AB135" i="5"/>
  <c r="AB270" i="5"/>
  <c r="AB125" i="5"/>
  <c r="AB82" i="5"/>
  <c r="AB291" i="5"/>
  <c r="AB500" i="5"/>
  <c r="AB433" i="5"/>
  <c r="AB68" i="5"/>
  <c r="AB447" i="5"/>
  <c r="AB495" i="5"/>
  <c r="AB635" i="5"/>
  <c r="AB674" i="5"/>
  <c r="AB261" i="5"/>
  <c r="AB558" i="5"/>
  <c r="AB389" i="5"/>
  <c r="AB692" i="5"/>
  <c r="AB543" i="5"/>
  <c r="AB104" i="5"/>
  <c r="AB699" i="5"/>
  <c r="AB244" i="5"/>
  <c r="AB175" i="5"/>
  <c r="AB327" i="5"/>
  <c r="AB336" i="5"/>
  <c r="AB315" i="5"/>
  <c r="AB512" i="5"/>
  <c r="AB567" i="5"/>
  <c r="AB504" i="5"/>
  <c r="AB530" i="5"/>
  <c r="AB671" i="5"/>
  <c r="AB149" i="5"/>
  <c r="AB703" i="5"/>
  <c r="AB17" i="5"/>
  <c r="AB662" i="5"/>
  <c r="AB676" i="5"/>
  <c r="AB684" i="5"/>
  <c r="AB563" i="5"/>
  <c r="AB711" i="5"/>
  <c r="AB633" i="5"/>
  <c r="AB486" i="5"/>
  <c r="AB554" i="5"/>
  <c r="AB637" i="5"/>
  <c r="AB387" i="5"/>
  <c r="AB141" i="5"/>
  <c r="AB519" i="5"/>
  <c r="AB421" i="5"/>
  <c r="D683" i="27"/>
  <c r="AB468" i="5"/>
  <c r="AB88" i="5"/>
  <c r="AB575" i="5"/>
  <c r="AB602" i="5"/>
  <c r="AB425" i="5"/>
  <c r="AB506" i="5"/>
  <c r="AB691" i="5"/>
  <c r="AB254" i="5"/>
  <c r="AB246" i="5"/>
  <c r="AB521" i="5"/>
  <c r="AB455" i="5"/>
  <c r="AB355" i="5"/>
  <c r="AB269" i="5"/>
  <c r="AB217" i="5"/>
  <c r="AB72" i="5"/>
  <c r="AB116" i="5"/>
  <c r="AB286" i="5"/>
  <c r="AB420" i="5"/>
  <c r="AB237" i="5"/>
  <c r="AB212" i="5"/>
  <c r="AB326" i="5"/>
  <c r="AB225" i="5"/>
  <c r="AB710" i="5"/>
  <c r="AB108" i="5"/>
  <c r="AB231" i="5"/>
  <c r="AB636" i="5"/>
  <c r="AB209" i="5"/>
  <c r="AB320" i="5"/>
  <c r="AB343" i="5"/>
  <c r="AB283" i="5"/>
  <c r="AB19" i="5"/>
  <c r="AB129" i="5"/>
  <c r="AB190" i="5"/>
  <c r="AB677" i="5"/>
  <c r="AB177" i="5"/>
  <c r="AB613" i="5"/>
  <c r="AB632" i="5"/>
  <c r="AB153" i="5"/>
  <c r="AB518" i="5"/>
  <c r="AB597" i="5"/>
  <c r="AB503" i="5"/>
  <c r="AB416" i="5"/>
  <c r="AB180" i="5"/>
  <c r="AB408" i="5"/>
  <c r="AB615" i="5"/>
  <c r="AB131" i="5"/>
  <c r="AB577" i="5"/>
  <c r="AB502" i="5"/>
  <c r="AB26" i="5"/>
  <c r="AB456" i="5"/>
  <c r="AB241" i="5"/>
  <c r="AB57" i="5"/>
  <c r="AB534" i="5"/>
  <c r="AB754" i="5"/>
  <c r="AB673" i="5"/>
  <c r="AB390" i="5"/>
  <c r="AB680" i="5"/>
  <c r="AB176" i="5"/>
  <c r="AB173" i="5"/>
  <c r="AB496" i="5"/>
  <c r="AB160" i="5"/>
  <c r="AB474" i="5"/>
  <c r="AB273" i="5"/>
  <c r="AB589" i="5"/>
  <c r="AB376" i="5"/>
  <c r="AB290" i="5"/>
  <c r="AB407" i="5"/>
  <c r="AB697" i="5"/>
  <c r="AB670" i="5"/>
  <c r="AB648" i="5"/>
  <c r="AB359" i="5"/>
  <c r="AB100" i="5"/>
  <c r="AB349" i="5"/>
  <c r="AB344" i="5"/>
  <c r="AB415" i="5"/>
  <c r="AB614" i="5"/>
  <c r="AB210" i="5"/>
  <c r="AB227" i="5"/>
  <c r="AB736" i="5"/>
  <c r="AB570" i="5"/>
  <c r="AB516" i="5"/>
  <c r="AB151" i="5"/>
  <c r="AB381" i="5"/>
  <c r="AB630" i="5"/>
  <c r="AB314" i="5"/>
  <c r="AB30" i="5"/>
  <c r="AB696" i="5"/>
  <c r="AB206" i="5"/>
  <c r="AB656" i="5"/>
  <c r="AB97" i="5"/>
  <c r="AB303" i="5"/>
  <c r="AB751" i="5"/>
  <c r="AB118" i="5"/>
  <c r="AB124" i="5"/>
  <c r="AB607" i="5"/>
  <c r="AB619" i="5"/>
  <c r="AB91" i="5"/>
  <c r="AB441" i="5"/>
  <c r="AB8" i="5"/>
  <c r="AB479" i="5"/>
  <c r="AB294" i="5"/>
  <c r="AB517" i="5"/>
  <c r="AB717" i="5"/>
  <c r="AB682" i="5"/>
  <c r="AB622" i="5"/>
  <c r="AB276" i="5"/>
  <c r="AB382" i="5"/>
  <c r="AB140" i="5"/>
  <c r="AB386" i="5"/>
  <c r="AB264" i="5"/>
  <c r="AB9" i="5"/>
  <c r="AB568" i="5"/>
  <c r="AB715" i="5"/>
  <c r="AB540" i="5"/>
  <c r="AB110" i="5"/>
  <c r="AB256" i="5"/>
  <c r="AB271" i="5"/>
  <c r="AB753" i="5"/>
  <c r="AB658" i="5"/>
  <c r="AB631" i="5"/>
  <c r="AB497" i="5"/>
  <c r="AB700" i="5"/>
  <c r="AB562" i="5"/>
  <c r="AB12" i="5"/>
  <c r="AB741" i="5"/>
  <c r="AB184" i="5"/>
  <c r="AB80" i="5"/>
  <c r="AB578" i="5"/>
  <c r="AB287" i="5"/>
  <c r="AB544" i="5"/>
  <c r="AB661" i="5"/>
  <c r="AB466" i="5"/>
  <c r="AB289" i="5"/>
  <c r="AB114" i="5"/>
  <c r="AB476" i="5"/>
  <c r="AB146" i="5"/>
  <c r="AB750" i="5"/>
  <c r="AB494" i="5"/>
  <c r="AB399" i="5"/>
  <c r="AB119" i="5"/>
  <c r="AB569" i="5"/>
  <c r="AB123" i="5"/>
  <c r="AB189" i="5"/>
  <c r="AB644" i="5"/>
  <c r="AB752" i="5"/>
  <c r="AB584" i="5"/>
  <c r="AB301" i="5"/>
  <c r="AB498" i="5"/>
  <c r="AB27" i="5"/>
  <c r="AB556" i="5"/>
  <c r="AB513" i="5"/>
  <c r="AB535" i="5"/>
  <c r="AB338" i="5"/>
  <c r="AB201" i="5"/>
  <c r="AB603" i="5"/>
  <c r="AB566" i="5"/>
  <c r="AB74" i="5"/>
  <c r="AB230" i="5"/>
  <c r="AB377" i="5"/>
  <c r="AB262" i="5"/>
  <c r="AB560" i="5"/>
  <c r="AB745" i="5"/>
  <c r="AB716" i="5"/>
  <c r="AB457" i="5"/>
  <c r="AB368" i="5"/>
  <c r="AB90" i="5"/>
  <c r="AB36" i="5"/>
  <c r="AB238" i="5"/>
  <c r="AB646" i="5"/>
  <c r="AB281" i="5"/>
  <c r="AB171" i="5"/>
  <c r="AB130" i="5"/>
  <c r="AB112" i="5"/>
  <c r="AB144" i="5"/>
  <c r="AB693" i="5"/>
  <c r="AB483" i="5"/>
  <c r="AB492" i="5"/>
  <c r="AB316" i="5"/>
  <c r="AB232" i="5"/>
  <c r="AB279" i="5"/>
  <c r="AB321" i="5"/>
  <c r="AB226" i="5"/>
  <c r="AB605" i="5"/>
  <c r="AB163" i="5"/>
  <c r="AB372" i="5"/>
  <c r="AB642" i="5"/>
  <c r="AB731" i="5"/>
  <c r="AB450" i="5"/>
  <c r="AB445" i="5"/>
  <c r="AB599" i="5"/>
  <c r="AB443" i="5"/>
  <c r="AB128" i="5"/>
  <c r="AB198" i="5"/>
  <c r="AB396" i="5"/>
  <c r="AB285" i="5"/>
  <c r="AB375" i="5"/>
  <c r="AB413" i="5"/>
  <c r="AB122" i="5"/>
  <c r="AB397" i="5"/>
  <c r="AB133" i="5"/>
  <c r="AB572" i="5"/>
  <c r="AB42" i="5"/>
  <c r="AB471" i="5"/>
  <c r="AB384" i="5"/>
  <c r="AB346" i="5"/>
  <c r="AB611" i="5"/>
  <c r="AB221" i="5"/>
  <c r="AB207" i="5"/>
  <c r="AB490" i="5"/>
  <c r="AB451" i="5"/>
  <c r="AB404" i="5"/>
  <c r="AB675" i="5"/>
  <c r="AB409" i="5"/>
  <c r="AB748" i="5"/>
  <c r="AB55" i="5"/>
  <c r="AB181" i="5"/>
  <c r="AB659" i="5"/>
  <c r="AB35" i="5"/>
  <c r="AB573" i="5"/>
  <c r="AB235" i="5"/>
  <c r="AB663" i="5"/>
  <c r="AB284" i="5"/>
  <c r="AB86" i="5"/>
  <c r="AB23" i="5"/>
  <c r="AB391" i="5"/>
  <c r="AB282" i="5"/>
  <c r="AB299" i="5"/>
  <c r="AB24" i="5"/>
  <c r="AB47" i="5"/>
  <c r="AB228" i="5"/>
  <c r="AB462" i="5"/>
  <c r="AB678" i="5"/>
  <c r="AB485" i="5"/>
  <c r="AB87" i="5"/>
  <c r="AB740" i="5"/>
  <c r="AB239" i="5"/>
  <c r="AB147" i="5"/>
  <c r="AB744" i="5"/>
  <c r="AB13" i="5"/>
  <c r="AB552" i="5"/>
  <c r="AB746" i="5"/>
  <c r="AB592" i="5"/>
  <c r="AB461" i="5"/>
  <c r="AB340" i="5"/>
  <c r="AB725" i="5"/>
  <c r="AB588" i="5"/>
  <c r="AB83" i="5"/>
  <c r="AB374" i="5"/>
  <c r="AB73" i="5"/>
  <c r="AB222" i="5"/>
  <c r="AB362" i="5"/>
  <c r="AB126" i="5"/>
  <c r="AB219" i="5"/>
  <c r="AB722" i="5"/>
  <c r="AB296" i="5"/>
  <c r="AB438" i="5"/>
  <c r="AB668" i="5"/>
  <c r="AB258" i="5"/>
  <c r="AB527" i="5"/>
  <c r="AB7" i="5"/>
  <c r="AB708" i="5"/>
  <c r="AB138" i="5"/>
  <c r="AB187" i="5"/>
  <c r="AB322" i="5"/>
  <c r="AB148" i="5"/>
  <c r="AB94" i="5"/>
  <c r="AB312" i="5"/>
  <c r="AB704" i="5"/>
  <c r="AB601" i="5"/>
  <c r="AB328" i="5"/>
  <c r="AB583" i="5"/>
  <c r="AB174" i="5"/>
  <c r="AB484" i="5"/>
  <c r="AB459" i="5"/>
  <c r="AB295" i="5"/>
  <c r="AB81" i="5"/>
  <c r="AB332" i="5"/>
  <c r="AB211" i="5"/>
  <c r="AB529" i="5"/>
  <c r="AB657" i="5"/>
  <c r="AB196" i="5"/>
  <c r="AB533" i="5"/>
  <c r="AB444" i="5"/>
  <c r="AB702" i="5"/>
  <c r="AB229" i="5"/>
  <c r="AB493" i="5"/>
  <c r="AB478" i="5"/>
  <c r="AB688" i="5"/>
  <c r="AB45" i="5"/>
  <c r="AB357" i="5"/>
  <c r="AB689" i="5"/>
  <c r="AB732" i="5"/>
  <c r="AB365" i="5"/>
  <c r="AB339" i="5"/>
  <c r="AB268" i="5"/>
  <c r="AB79" i="5"/>
  <c r="AB549" i="5"/>
  <c r="AB487" i="5"/>
  <c r="AB98" i="5"/>
  <c r="AB726" i="5"/>
  <c r="AB22" i="5"/>
  <c r="AB334" i="5"/>
  <c r="AB499" i="5"/>
  <c r="AB342" i="5"/>
  <c r="AB669" i="5"/>
  <c r="AB350" i="5"/>
  <c r="AB436" i="5"/>
  <c r="AB650" i="5"/>
  <c r="AB245" i="5"/>
  <c r="AB561" i="5"/>
  <c r="AB25" i="5"/>
  <c r="AB467" i="5"/>
  <c r="AB460" i="5"/>
  <c r="AB32" i="5"/>
  <c r="AB655" i="5"/>
  <c r="AB718" i="5"/>
  <c r="AB48" i="5"/>
  <c r="AB50" i="5"/>
  <c r="AB361" i="5"/>
  <c r="AB532" i="5"/>
  <c r="AB388" i="5"/>
  <c r="AB62" i="5"/>
  <c r="AB93" i="5"/>
  <c r="AB510" i="5"/>
  <c r="AB609" i="5"/>
  <c r="AB353" i="5"/>
  <c r="AB429" i="5"/>
  <c r="AB297" i="5"/>
  <c r="AB142" i="5"/>
  <c r="AB593" i="5"/>
  <c r="AB627" i="5"/>
  <c r="AB172" i="5"/>
  <c r="AB252" i="5"/>
  <c r="AB639" i="5"/>
  <c r="AB197" i="5"/>
  <c r="AB255" i="5"/>
  <c r="AB178" i="5"/>
  <c r="AB105" i="5"/>
  <c r="AB641" i="5"/>
  <c r="AB422" i="5"/>
  <c r="AB694" i="5"/>
  <c r="AB564" i="5"/>
  <c r="AB370" i="5"/>
  <c r="AB195" i="5"/>
  <c r="AB509" i="5"/>
  <c r="AB298" i="5"/>
  <c r="AB54" i="5"/>
  <c r="AB28" i="5"/>
  <c r="AB71" i="5"/>
  <c r="AB121" i="5"/>
  <c r="AB547" i="5"/>
  <c r="AB412" i="5"/>
  <c r="AB292" i="5"/>
  <c r="AB115" i="5"/>
  <c r="AB183" i="5"/>
  <c r="AB394" i="5"/>
  <c r="AB733" i="5"/>
  <c r="AB701" i="5"/>
  <c r="AB427" i="5"/>
  <c r="AB39" i="5"/>
  <c r="AB75" i="5"/>
  <c r="AB77" i="5"/>
  <c r="AB712" i="5"/>
  <c r="AB137" i="5"/>
  <c r="AB538" i="5"/>
  <c r="AB612" i="5"/>
  <c r="AB192" i="5"/>
  <c r="AB224" i="5"/>
  <c r="AB248" i="5"/>
  <c r="AB643" i="5"/>
  <c r="AB64" i="5"/>
  <c r="AB539" i="5"/>
  <c r="AB208" i="5"/>
  <c r="AB738" i="5"/>
  <c r="AB536" i="5"/>
  <c r="AB242" i="5"/>
  <c r="AB482" i="5"/>
  <c r="AB158" i="5"/>
  <c r="AB70" i="5"/>
  <c r="AB150" i="5"/>
  <c r="AB683" i="5"/>
  <c r="AB31" i="5"/>
  <c r="AB51" i="5"/>
  <c r="AB162" i="5"/>
  <c r="AB582" i="5"/>
  <c r="AB728" i="5"/>
  <c r="AB352" i="5"/>
  <c r="AB278" i="5"/>
  <c r="AB524" i="5"/>
  <c r="AB604" i="5"/>
  <c r="AB379" i="5"/>
  <c r="AB113" i="5"/>
  <c r="AB515" i="5"/>
  <c r="AB341" i="5"/>
  <c r="AB430" i="5"/>
  <c r="AB202" i="5"/>
  <c r="AB685" i="5"/>
  <c r="AB61" i="5"/>
  <c r="AB469" i="5"/>
  <c r="AB65" i="5"/>
  <c r="AB520" i="5"/>
  <c r="AB347" i="5"/>
  <c r="AB358" i="5"/>
  <c r="AB440" i="5"/>
  <c r="AB672" i="5"/>
  <c r="AB277" i="5"/>
  <c r="AB617" i="5"/>
  <c r="AB157" i="5"/>
  <c r="AB43" i="5"/>
  <c r="AB109" i="5"/>
  <c r="AB199" i="5"/>
  <c r="AB323" i="5"/>
  <c r="AB600" i="5"/>
  <c r="AB317" i="5"/>
  <c r="AB581" i="5"/>
  <c r="AB491" i="5"/>
  <c r="AB218" i="5"/>
  <c r="AB439" i="5"/>
  <c r="AB59" i="5"/>
  <c r="AB585" i="5"/>
  <c r="AB595" i="5"/>
  <c r="AB169" i="5"/>
  <c r="AB649" i="5"/>
  <c r="AB629" i="5"/>
  <c r="AB590" i="5"/>
  <c r="AB651" i="5"/>
  <c r="AB481" i="5"/>
  <c r="AB136" i="5"/>
  <c r="AB111" i="5"/>
  <c r="AB720" i="5"/>
  <c r="AB687" i="5"/>
  <c r="AB426" i="5"/>
  <c r="AB354" i="5"/>
  <c r="AB143" i="5"/>
  <c r="AB470" i="5"/>
  <c r="AB304" i="5"/>
  <c r="AB85" i="5"/>
  <c r="AB60" i="5"/>
  <c r="AB103" i="5"/>
  <c r="AB318" i="5"/>
  <c r="AB66" i="5"/>
  <c r="AB280" i="5"/>
  <c r="AB134" i="5"/>
  <c r="AB679" i="5"/>
  <c r="AB686" i="5"/>
  <c r="AB525" i="5"/>
  <c r="AB695" i="5"/>
  <c r="AB185" i="5"/>
  <c r="AB351" i="5"/>
  <c r="AB274" i="5"/>
  <c r="AB431" i="5"/>
  <c r="AB623" i="5"/>
  <c r="AB223" i="5"/>
  <c r="AB337" i="5"/>
  <c r="AB458" i="5"/>
  <c r="AB213" i="5"/>
  <c r="AB698" i="5"/>
  <c r="AB233" i="5"/>
  <c r="AB117" i="5"/>
  <c r="AB203" i="5"/>
  <c r="AB253" i="5"/>
  <c r="AB448" i="5"/>
  <c r="AB706" i="5"/>
  <c r="AB586" i="5"/>
  <c r="AB3" i="5"/>
  <c r="AB565" i="5"/>
  <c r="AB335" i="5"/>
  <c r="AB480" i="5"/>
  <c r="AB523" i="5"/>
  <c r="AB170" i="5"/>
  <c r="AB709" i="5"/>
  <c r="AB608" i="5"/>
  <c r="AB179" i="5"/>
  <c r="AB4" i="5"/>
  <c r="AB107" i="5"/>
  <c r="AB437" i="5"/>
  <c r="AB333" i="5"/>
  <c r="D322" i="27"/>
  <c r="AB200" i="5"/>
  <c r="AB428" i="5"/>
  <c r="AB665" i="5"/>
  <c r="AB14" i="5"/>
  <c r="AB37" i="5"/>
  <c r="AB21" i="5"/>
  <c r="AB167" i="5"/>
  <c r="AB300" i="5"/>
  <c r="AB165" i="5"/>
  <c r="AB348" i="5"/>
  <c r="AB618" i="5"/>
  <c r="AB236" i="5"/>
  <c r="AB576" i="5"/>
  <c r="AB240" i="5"/>
  <c r="AB2" i="5"/>
  <c r="AB159" i="5"/>
  <c r="AB714" i="5"/>
  <c r="AB101" i="5"/>
  <c r="AB472" i="5"/>
  <c r="AB311" i="5"/>
  <c r="AB514" i="5"/>
  <c r="AB610" i="5"/>
  <c r="AB266" i="5"/>
  <c r="AB34" i="5"/>
  <c r="AB249" i="5"/>
  <c r="AB182" i="5"/>
  <c r="AB545" i="5"/>
  <c r="AB574" i="5"/>
  <c r="AB616" i="5"/>
  <c r="AB306" i="5"/>
  <c r="AB548" i="5"/>
  <c r="AB489" i="5"/>
  <c r="AB250" i="5"/>
  <c r="AB363" i="5"/>
  <c r="AB739" i="5"/>
  <c r="AB44" i="5"/>
  <c r="AB742" i="5"/>
  <c r="AB473" i="5"/>
  <c r="AB305" i="5"/>
  <c r="D259" i="27"/>
  <c r="AB154" i="5"/>
  <c r="AB193" i="5"/>
  <c r="AB406" i="5"/>
  <c r="AB667" i="5"/>
  <c r="AB522" i="5"/>
  <c r="AB40" i="5"/>
  <c r="AB309" i="5"/>
  <c r="AB56" i="5"/>
  <c r="AB319" i="5"/>
  <c r="AB756" i="5"/>
  <c r="AB267" i="5"/>
  <c r="AB488" i="5"/>
  <c r="AB419" i="5"/>
  <c r="AB92" i="5"/>
  <c r="AB10" i="5"/>
  <c r="AB106" i="5"/>
  <c r="AB383" i="5"/>
  <c r="AB18" i="5"/>
  <c r="AB132" i="5"/>
  <c r="AB713" i="5"/>
  <c r="AB620" i="5"/>
  <c r="AB551" i="5"/>
  <c r="AB152" i="5"/>
  <c r="AB432" i="5"/>
  <c r="AB477" i="5"/>
  <c r="AB41" i="5"/>
  <c r="AB67" i="5"/>
  <c r="AB99" i="5"/>
  <c r="AB49" i="5"/>
  <c r="AB647" i="5"/>
  <c r="AB194" i="5"/>
  <c r="AB191" i="5"/>
  <c r="AB139" i="5"/>
  <c r="AB596" i="5"/>
  <c r="AB653" i="5"/>
  <c r="AB331" i="5"/>
  <c r="AB38" i="5"/>
  <c r="AB329" i="5"/>
  <c r="AB188" i="5"/>
  <c r="AB705" i="5"/>
  <c r="AB454" i="5"/>
  <c r="AB6" i="5"/>
  <c r="AB366" i="5"/>
  <c r="AB69" i="5"/>
  <c r="AB624" i="5"/>
  <c r="AB96" i="5"/>
  <c r="AB645" i="5"/>
  <c r="AB755" i="5"/>
  <c r="AB166" i="5"/>
  <c r="AB403" i="5"/>
  <c r="AB621" i="5"/>
  <c r="AB145" i="5"/>
  <c r="AB730" i="5"/>
  <c r="AB626" i="5"/>
  <c r="AB324" i="5"/>
  <c r="AB681" i="5"/>
  <c r="AB729" i="5"/>
  <c r="AB660" i="5"/>
  <c r="AB5" i="5"/>
  <c r="AB234" i="5"/>
  <c r="AB747" i="5"/>
  <c r="AB505" i="5"/>
  <c r="AB638" i="5"/>
  <c r="AB11" i="5"/>
  <c r="AB16" i="5"/>
  <c r="AB550" i="5"/>
  <c r="AB719" i="5"/>
  <c r="AB330" i="5"/>
  <c r="AB553" i="5"/>
  <c r="AB435" i="5"/>
  <c r="AB120" i="5"/>
  <c r="AB168" i="5"/>
  <c r="AB464" i="5"/>
  <c r="R5" i="14" l="1"/>
  <c r="R4" i="14"/>
  <c r="E14" i="27"/>
  <c r="E648" i="27"/>
  <c r="E464" i="27"/>
  <c r="E40" i="27"/>
  <c r="E217" i="27"/>
  <c r="E516" i="27"/>
  <c r="E398" i="27"/>
  <c r="E422" i="27"/>
  <c r="E101" i="27"/>
  <c r="E569" i="27"/>
  <c r="E803" i="27"/>
  <c r="E275" i="27"/>
  <c r="E484" i="27"/>
  <c r="E99" i="27"/>
  <c r="E98" i="27"/>
  <c r="E751" i="27"/>
  <c r="E779" i="27"/>
  <c r="E728" i="27"/>
  <c r="E742" i="27"/>
  <c r="E733" i="27"/>
  <c r="E497" i="27"/>
  <c r="E829" i="27"/>
  <c r="E337" i="27"/>
  <c r="E652" i="27"/>
  <c r="E231" i="27"/>
  <c r="E671" i="27"/>
  <c r="E265" i="27"/>
  <c r="E240" i="27"/>
  <c r="E828" i="27"/>
  <c r="E254" i="27"/>
  <c r="E780" i="27"/>
  <c r="E544" i="27"/>
  <c r="E441" i="27"/>
  <c r="E598" i="27"/>
  <c r="E84" i="27"/>
  <c r="E204" i="27"/>
  <c r="E831" i="27"/>
  <c r="E546" i="27"/>
  <c r="E262" i="27"/>
  <c r="E126" i="27"/>
  <c r="E301" i="27"/>
  <c r="E580" i="27"/>
  <c r="E319" i="27"/>
  <c r="E205" i="27"/>
  <c r="E784" i="27"/>
  <c r="E85" i="27"/>
  <c r="E209" i="27"/>
  <c r="E65" i="27"/>
  <c r="E656" i="27"/>
  <c r="E419" i="27"/>
  <c r="E276" i="27"/>
  <c r="E421" i="27"/>
  <c r="E361" i="27"/>
  <c r="E579" i="27"/>
  <c r="E545" i="27"/>
  <c r="E367" i="27"/>
  <c r="E199" i="27"/>
  <c r="E173" i="27"/>
  <c r="E292" i="27"/>
  <c r="E599" i="27"/>
  <c r="E604" i="27"/>
  <c r="E591" i="27"/>
  <c r="E437" i="27"/>
  <c r="E731" i="27"/>
  <c r="E129" i="27"/>
  <c r="E285" i="27"/>
  <c r="E761" i="27"/>
  <c r="E600" i="27"/>
  <c r="E198" i="27"/>
  <c r="E449" i="27"/>
  <c r="E107" i="27"/>
  <c r="E166" i="27"/>
  <c r="E21" i="27"/>
  <c r="E541" i="27"/>
  <c r="E736" i="27"/>
  <c r="E369" i="27"/>
  <c r="E316" i="27"/>
  <c r="E765" i="27"/>
  <c r="E266" i="27"/>
  <c r="E467" i="27"/>
  <c r="E382" i="27"/>
  <c r="E60" i="27"/>
  <c r="E659" i="27"/>
  <c r="E188" i="27"/>
  <c r="E798" i="27"/>
  <c r="E164" i="27"/>
  <c r="E800" i="27"/>
  <c r="E744" i="27"/>
  <c r="E782" i="27"/>
  <c r="E809" i="27"/>
  <c r="E317" i="27"/>
  <c r="E810" i="27"/>
  <c r="E789" i="27"/>
  <c r="E191" i="27"/>
  <c r="E813" i="27"/>
  <c r="E237" i="27"/>
  <c r="E762" i="27"/>
  <c r="E305" i="27"/>
  <c r="E401" i="27"/>
  <c r="E224" i="27"/>
  <c r="E821" i="27"/>
  <c r="E167" i="27"/>
  <c r="E491" i="27"/>
  <c r="E748" i="27"/>
  <c r="E308" i="27"/>
  <c r="E717" i="27"/>
  <c r="E608" i="27"/>
  <c r="E397" i="27"/>
  <c r="E324" i="27"/>
  <c r="E539" i="27"/>
  <c r="E51" i="27"/>
  <c r="E244" i="27"/>
  <c r="E489" i="27"/>
  <c r="E274" i="27"/>
  <c r="E248" i="27"/>
  <c r="E790" i="27"/>
  <c r="E677" i="27"/>
  <c r="E334" i="27"/>
  <c r="E357" i="27"/>
  <c r="E426" i="27"/>
  <c r="E43" i="27"/>
  <c r="E354" i="27"/>
  <c r="E644" i="27"/>
  <c r="E134" i="27"/>
  <c r="E469" i="27"/>
  <c r="E528" i="27"/>
  <c r="E653" i="27"/>
  <c r="E624" i="27"/>
  <c r="E760" i="27"/>
  <c r="E190" i="27"/>
  <c r="E32" i="27"/>
  <c r="E97" i="27"/>
  <c r="E603" i="27"/>
  <c r="E617" i="27"/>
  <c r="E561" i="27"/>
  <c r="E127" i="27"/>
  <c r="E115" i="27"/>
  <c r="E699" i="27"/>
  <c r="E83" i="27"/>
  <c r="E440" i="27"/>
  <c r="E806" i="27"/>
  <c r="E38" i="27"/>
  <c r="E832" i="27"/>
  <c r="E787" i="27"/>
  <c r="E490" i="27"/>
  <c r="E543" i="27"/>
  <c r="E210" i="27"/>
  <c r="E304" i="27"/>
  <c r="E466" i="27"/>
  <c r="E555" i="27"/>
  <c r="E796" i="27"/>
  <c r="E211" i="27"/>
  <c r="E745" i="27"/>
  <c r="E632" i="27"/>
  <c r="E182" i="27"/>
  <c r="E739" i="27"/>
  <c r="E257" i="27"/>
  <c r="E485" i="27"/>
  <c r="E514" i="27"/>
  <c r="E41" i="27"/>
  <c r="E172" i="27"/>
  <c r="E658" i="27"/>
  <c r="E302" i="27"/>
  <c r="E506" i="27"/>
  <c r="E461" i="27"/>
  <c r="E434" i="27"/>
  <c r="E66" i="27"/>
  <c r="E94" i="27"/>
  <c r="E816" i="27"/>
  <c r="E436" i="27"/>
  <c r="E245" i="27"/>
  <c r="E296" i="27"/>
  <c r="E232" i="27"/>
  <c r="E178" i="27"/>
  <c r="E365" i="27"/>
  <c r="E578" i="27"/>
  <c r="E605" i="27"/>
  <c r="E444" i="27"/>
  <c r="E512" i="27"/>
  <c r="E414" i="27"/>
  <c r="E508" i="27"/>
  <c r="E694" i="27"/>
  <c r="E549" i="27"/>
  <c r="E407" i="27"/>
  <c r="E358" i="27"/>
  <c r="E12" i="27"/>
  <c r="E537" i="27"/>
  <c r="E196" i="27"/>
  <c r="E288" i="27"/>
  <c r="E459" i="27"/>
  <c r="E738" i="27"/>
  <c r="E741" i="27"/>
  <c r="E91" i="27"/>
  <c r="E460" i="27"/>
  <c r="E454" i="27"/>
  <c r="E570" i="27"/>
  <c r="E577" i="27"/>
  <c r="E39" i="27"/>
  <c r="E142" i="27"/>
  <c r="E797" i="27"/>
  <c r="E690" i="27"/>
  <c r="E152" i="27"/>
  <c r="E835" i="27"/>
  <c r="E68" i="27"/>
  <c r="E226" i="27"/>
  <c r="E267" i="27"/>
  <c r="E396" i="27"/>
  <c r="E799" i="27"/>
  <c r="E776" i="27"/>
  <c r="E144" i="27"/>
  <c r="E685" i="27"/>
  <c r="E767" i="27"/>
  <c r="E651" i="27"/>
  <c r="E584" i="27"/>
  <c r="E315" i="27"/>
  <c r="E470" i="27"/>
  <c r="E214" i="27"/>
  <c r="E82" i="27"/>
  <c r="E673" i="27"/>
  <c r="E493" i="27"/>
  <c r="E170" i="27"/>
  <c r="E114" i="27"/>
  <c r="E71" i="27"/>
  <c r="E775" i="27"/>
  <c r="E112" i="27"/>
  <c r="E372" i="27"/>
  <c r="E241" i="27"/>
  <c r="E716" i="27"/>
  <c r="E48" i="27"/>
  <c r="E420" i="27"/>
  <c r="E701" i="27"/>
  <c r="E540" i="27"/>
  <c r="E629" i="27"/>
  <c r="E553" i="27"/>
  <c r="E588" i="27"/>
  <c r="E77" i="27"/>
  <c r="E89" i="27"/>
  <c r="E687" i="27"/>
  <c r="E535" i="27"/>
  <c r="E567" i="27"/>
  <c r="E445" i="27"/>
  <c r="E482" i="27"/>
  <c r="E507" i="27"/>
  <c r="E255" i="27"/>
  <c r="E139" i="27"/>
  <c r="E650" i="27"/>
  <c r="E340" i="27"/>
  <c r="E669" i="27"/>
  <c r="E720" i="27"/>
  <c r="E353" i="27"/>
  <c r="E722" i="27"/>
  <c r="E147" i="27"/>
  <c r="E158" i="27"/>
  <c r="E176" i="27"/>
  <c r="E755" i="27"/>
  <c r="E49" i="27"/>
  <c r="E22" i="27"/>
  <c r="E611" i="27"/>
  <c r="E645" i="27"/>
  <c r="E593" i="27"/>
  <c r="E630" i="27"/>
  <c r="E136" i="27"/>
  <c r="E282" i="27"/>
  <c r="E28" i="27"/>
  <c r="E818" i="27"/>
  <c r="E721" i="27"/>
  <c r="E328" i="27"/>
  <c r="E686" i="27"/>
  <c r="E4" i="27"/>
  <c r="E532" i="27"/>
  <c r="E392" i="27"/>
  <c r="E54" i="27"/>
  <c r="E108" i="27"/>
  <c r="E468" i="27"/>
  <c r="E771" i="27"/>
  <c r="E140" i="27"/>
  <c r="E639" i="27"/>
  <c r="E184" i="27"/>
  <c r="E672" i="27"/>
  <c r="E557" i="27"/>
  <c r="E42" i="27"/>
  <c r="E749" i="27"/>
  <c r="E642" i="27"/>
  <c r="E270" i="27"/>
  <c r="E568" i="27"/>
  <c r="E314" i="27"/>
  <c r="E80" i="27"/>
  <c r="E527" i="27"/>
  <c r="E52" i="27"/>
  <c r="E753" i="27"/>
  <c r="E153" i="27"/>
  <c r="E680" i="27"/>
  <c r="E783" i="27"/>
  <c r="E227" i="27"/>
  <c r="E333" i="27"/>
  <c r="E161" i="27"/>
  <c r="E649" i="27"/>
  <c r="E416" i="27"/>
  <c r="E388" i="27"/>
  <c r="E515" i="27"/>
  <c r="E37" i="27"/>
  <c r="E457" i="27"/>
  <c r="E177" i="27"/>
  <c r="E606" i="27"/>
  <c r="E171" i="27"/>
  <c r="E197" i="27"/>
  <c r="E443" i="27"/>
  <c r="E774" i="27"/>
  <c r="E413" i="27"/>
  <c r="E681" i="27"/>
  <c r="E688" i="27"/>
  <c r="E86" i="27"/>
  <c r="E79" i="27"/>
  <c r="E551" i="27"/>
  <c r="E615" i="27"/>
  <c r="E8" i="27"/>
  <c r="E479" i="27"/>
  <c r="E2" i="27"/>
  <c r="E610" i="27"/>
  <c r="E360" i="27"/>
  <c r="E752" i="27"/>
  <c r="E475" i="27"/>
  <c r="E641" i="27"/>
  <c r="E638" i="27"/>
  <c r="E312" i="27"/>
  <c r="E538" i="27"/>
  <c r="E252" i="27"/>
  <c r="E664" i="27"/>
  <c r="E399" i="27"/>
  <c r="E347" i="27"/>
  <c r="E242" i="27"/>
  <c r="E576" i="27"/>
  <c r="E772" i="27"/>
  <c r="E318" i="27"/>
  <c r="E703" i="27"/>
  <c r="E423" i="27"/>
  <c r="E696" i="27"/>
  <c r="E201" i="27"/>
  <c r="E111" i="27"/>
  <c r="E271" i="27"/>
  <c r="E552" i="27"/>
  <c r="E718" i="27"/>
  <c r="E348" i="27"/>
  <c r="E207" i="27"/>
  <c r="E665" i="27"/>
  <c r="E329" i="27"/>
  <c r="E729" i="27"/>
  <c r="E619" i="27"/>
  <c r="E805" i="27"/>
  <c r="E289" i="27"/>
  <c r="E138" i="27"/>
  <c r="E238" i="27"/>
  <c r="E563" i="27"/>
  <c r="E477" i="27"/>
  <c r="E243" i="27"/>
  <c r="E78" i="27"/>
  <c r="E74" i="27"/>
  <c r="E412" i="27"/>
  <c r="E381" i="27"/>
  <c r="E786" i="27"/>
  <c r="E678" i="27"/>
  <c r="E280" i="27"/>
  <c r="E35" i="27"/>
  <c r="E429" i="27"/>
  <c r="E612" i="27"/>
  <c r="E827" i="27"/>
  <c r="E17" i="27"/>
  <c r="E582" i="27"/>
  <c r="E339" i="27"/>
  <c r="E708" i="27"/>
  <c r="E128" i="27"/>
  <c r="E616" i="27"/>
  <c r="E698" i="27"/>
  <c r="E503" i="27"/>
  <c r="E713" i="27"/>
  <c r="E293" i="27"/>
  <c r="E109" i="27"/>
  <c r="E135" i="27"/>
  <c r="E758" i="27"/>
  <c r="E261" i="27"/>
  <c r="E223" i="27"/>
  <c r="E596" i="27"/>
  <c r="E571" i="27"/>
  <c r="E791" i="27"/>
  <c r="E95" i="27"/>
  <c r="E692" i="27"/>
  <c r="E836" i="27"/>
  <c r="E395" i="27"/>
  <c r="E130" i="27"/>
  <c r="E206" i="27"/>
  <c r="E510" i="27"/>
  <c r="E290" i="27"/>
  <c r="E183" i="27"/>
  <c r="E44" i="27"/>
  <c r="E81" i="27"/>
  <c r="E587" i="27"/>
  <c r="E269" i="27"/>
  <c r="E636" i="27"/>
  <c r="E547" i="27"/>
  <c r="E674" i="27"/>
  <c r="E462" i="27"/>
  <c r="E230" i="27"/>
  <c r="E64" i="27"/>
  <c r="E327" i="27"/>
  <c r="E272" i="27"/>
  <c r="E450" i="27"/>
  <c r="E747" i="27"/>
  <c r="E778" i="27"/>
  <c r="E121" i="27"/>
  <c r="E311" i="27"/>
  <c r="E235" i="27"/>
  <c r="E601" i="27"/>
  <c r="E562" i="27"/>
  <c r="E683" i="27"/>
  <c r="E225" i="27"/>
  <c r="E486" i="27"/>
  <c r="E513" i="27"/>
  <c r="E234" i="27"/>
  <c r="E332" i="27"/>
  <c r="E734" i="27"/>
  <c r="E203" i="27"/>
  <c r="E306" i="27"/>
  <c r="E355" i="27"/>
  <c r="E400" i="27"/>
  <c r="E9" i="27"/>
  <c r="E186" i="27"/>
  <c r="E715" i="27"/>
  <c r="E297" i="27"/>
  <c r="E13" i="27"/>
  <c r="E159" i="27"/>
  <c r="E670" i="27"/>
  <c r="E162" i="27"/>
  <c r="E283" i="27"/>
  <c r="E492" i="27"/>
  <c r="E572" i="27"/>
  <c r="E684" i="27"/>
  <c r="E57" i="27"/>
  <c r="E759" i="27"/>
  <c r="E822" i="27"/>
  <c r="E427" i="27"/>
  <c r="E62" i="27"/>
  <c r="E386" i="27"/>
  <c r="E530" i="27"/>
  <c r="E390" i="27"/>
  <c r="E676" i="27"/>
  <c r="E823" i="27"/>
  <c r="E769" i="27"/>
  <c r="E45" i="27"/>
  <c r="E766" i="27"/>
  <c r="E125" i="27"/>
  <c r="E26" i="27"/>
  <c r="E103" i="27"/>
  <c r="E411" i="27"/>
  <c r="E286" i="27"/>
  <c r="E408" i="27"/>
  <c r="E402" i="27"/>
  <c r="E215" i="27"/>
  <c r="E558" i="27"/>
  <c r="E625" i="27"/>
  <c r="E120" i="27"/>
  <c r="E260" i="27"/>
  <c r="E344" i="27"/>
  <c r="E646" i="27"/>
  <c r="E691" i="27"/>
  <c r="E345" i="27"/>
  <c r="E181" i="27"/>
  <c r="E498" i="27"/>
  <c r="E187" i="27"/>
  <c r="E20" i="27"/>
  <c r="E303" i="27"/>
  <c r="E693" i="27"/>
  <c r="E53" i="27"/>
  <c r="E375" i="27"/>
  <c r="E732" i="27"/>
  <c r="E309" i="27"/>
  <c r="E621" i="27"/>
  <c r="E156" i="27"/>
  <c r="E556" i="27"/>
  <c r="E448" i="27"/>
  <c r="E88" i="27"/>
  <c r="E389" i="27"/>
  <c r="E626" i="27"/>
  <c r="E346" i="27"/>
  <c r="E406" i="27"/>
  <c r="E501" i="27"/>
  <c r="E31" i="27"/>
  <c r="E228" i="27"/>
  <c r="E383" i="27"/>
  <c r="E463" i="27"/>
  <c r="E473" i="27"/>
  <c r="E70" i="27"/>
  <c r="E792" i="27"/>
  <c r="E524" i="27"/>
  <c r="E575" i="27"/>
  <c r="E202" i="27"/>
  <c r="E640" i="27"/>
  <c r="E118" i="27"/>
  <c r="E757" i="27"/>
  <c r="E379" i="27"/>
  <c r="E249" i="27"/>
  <c r="E770" i="27"/>
  <c r="E119" i="27"/>
  <c r="E808" i="27"/>
  <c r="E141" i="27"/>
  <c r="E504" i="27"/>
  <c r="E295" i="27"/>
  <c r="E559" i="27"/>
  <c r="E370" i="27"/>
  <c r="E165" i="27"/>
  <c r="E785" i="27"/>
  <c r="E236" i="27"/>
  <c r="E133" i="27"/>
  <c r="E273" i="27"/>
  <c r="E474" i="27"/>
  <c r="E384" i="27"/>
  <c r="E342" i="27"/>
  <c r="E509" i="27"/>
  <c r="E447" i="27"/>
  <c r="E597" i="27"/>
  <c r="E719" i="27"/>
  <c r="E773" i="27"/>
  <c r="E157" i="27"/>
  <c r="E627" i="27"/>
  <c r="E149" i="27"/>
  <c r="E335" i="27"/>
  <c r="E194" i="27"/>
  <c r="E666" i="27"/>
  <c r="E264" i="27"/>
  <c r="E566" i="27"/>
  <c r="E689" i="27"/>
  <c r="E192" i="27"/>
  <c r="E609" i="27"/>
  <c r="E322" i="27"/>
  <c r="E526" i="27"/>
  <c r="E458" i="27"/>
  <c r="E58" i="27"/>
  <c r="E777" i="27"/>
  <c r="E15" i="27"/>
  <c r="E668" i="27"/>
  <c r="E208" i="27"/>
  <c r="E795" i="27"/>
  <c r="E518" i="27"/>
  <c r="E628" i="27"/>
  <c r="E250" i="27"/>
  <c r="E300" i="27"/>
  <c r="E154" i="27"/>
  <c r="E590" i="27"/>
  <c r="E338" i="27"/>
  <c r="E34" i="27"/>
  <c r="E655" i="27"/>
  <c r="E432" i="27"/>
  <c r="E131" i="27"/>
  <c r="E92" i="27"/>
  <c r="E25" i="27"/>
  <c r="E564" i="27"/>
  <c r="E46" i="27"/>
  <c r="E263" i="27"/>
  <c r="E502" i="27"/>
  <c r="E393" i="27"/>
  <c r="E6" i="27"/>
  <c r="E50" i="27"/>
  <c r="E212" i="27"/>
  <c r="E531" i="27"/>
  <c r="E294" i="27"/>
  <c r="E213" i="27"/>
  <c r="E820" i="27"/>
  <c r="E476" i="27"/>
  <c r="E542" i="27"/>
  <c r="E595" i="27"/>
  <c r="E100" i="27"/>
  <c r="E16" i="27"/>
  <c r="E19" i="27"/>
  <c r="E812" i="27"/>
  <c r="E499" i="27"/>
  <c r="E385" i="27"/>
  <c r="E488" i="27"/>
  <c r="E523" i="27"/>
  <c r="E643" i="27"/>
  <c r="E377" i="27"/>
  <c r="E607" i="27"/>
  <c r="E634" i="27"/>
  <c r="E326" i="27"/>
  <c r="E321" i="27"/>
  <c r="E148" i="27"/>
  <c r="E3" i="27"/>
  <c r="E794" i="27"/>
  <c r="E711" i="27"/>
  <c r="E654" i="27"/>
  <c r="E682" i="27"/>
  <c r="E826" i="27"/>
  <c r="E424" i="27"/>
  <c r="E105" i="27"/>
  <c r="E585" i="27"/>
  <c r="E160" i="27"/>
  <c r="E707" i="27"/>
  <c r="E10" i="27"/>
  <c r="E730" i="27"/>
  <c r="E801" i="27"/>
  <c r="E320" i="27"/>
  <c r="E351" i="27"/>
  <c r="E18" i="27"/>
  <c r="E830" i="27"/>
  <c r="E410" i="27"/>
  <c r="E33" i="27"/>
  <c r="E520" i="27"/>
  <c r="E723" i="27"/>
  <c r="E391" i="27"/>
  <c r="E281" i="27"/>
  <c r="E737" i="27"/>
  <c r="E113" i="27"/>
  <c r="E675" i="27"/>
  <c r="E216" i="27"/>
  <c r="E415" i="27"/>
  <c r="E277" i="27"/>
  <c r="E380" i="27"/>
  <c r="E425" i="27"/>
  <c r="E163" i="27"/>
  <c r="E93" i="27"/>
  <c r="E116" i="27"/>
  <c r="E405" i="27"/>
  <c r="E500" i="27"/>
  <c r="E352" i="27"/>
  <c r="E363" i="27"/>
  <c r="E239" i="27"/>
  <c r="E614" i="27"/>
  <c r="E349" i="27"/>
  <c r="E635" i="27"/>
  <c r="E11" i="27"/>
  <c r="E417" i="27"/>
  <c r="E371" i="27"/>
  <c r="E833" i="27"/>
  <c r="E104" i="27"/>
  <c r="E483" i="27"/>
  <c r="E637" i="27"/>
  <c r="E647" i="27"/>
  <c r="E662" i="27"/>
  <c r="E709" i="27"/>
  <c r="E298" i="27"/>
  <c r="E446" i="27"/>
  <c r="E47" i="27"/>
  <c r="E724" i="27"/>
  <c r="E481" i="27"/>
  <c r="E63" i="27"/>
  <c r="E5" i="27"/>
  <c r="E620" i="27"/>
  <c r="E521" i="27"/>
  <c r="E550" i="27"/>
  <c r="E169" i="27"/>
  <c r="E218" i="27"/>
  <c r="E350" i="27"/>
  <c r="E195" i="27"/>
  <c r="E313" i="27"/>
  <c r="E706" i="27"/>
  <c r="E291" i="27"/>
  <c r="E465" i="27"/>
  <c r="E438" i="27"/>
  <c r="E583" i="27"/>
  <c r="E592" i="27"/>
  <c r="E336" i="27"/>
  <c r="E279" i="27"/>
  <c r="E764" i="27"/>
  <c r="E36" i="27"/>
  <c r="E750" i="27"/>
  <c r="E189" i="27"/>
  <c r="E825" i="27"/>
  <c r="E268" i="27"/>
  <c r="E90" i="27"/>
  <c r="E754" i="27"/>
  <c r="E451" i="27"/>
  <c r="E185" i="27"/>
  <c r="E151" i="27"/>
  <c r="E180" i="27"/>
  <c r="E102" i="27"/>
  <c r="E376" i="27"/>
  <c r="E310" i="27"/>
  <c r="E341" i="27"/>
  <c r="E67" i="27"/>
  <c r="E768" i="27"/>
  <c r="E480" i="27"/>
  <c r="E168" i="27"/>
  <c r="E143" i="27"/>
  <c r="E27" i="27"/>
  <c r="E356" i="27"/>
  <c r="E700" i="27"/>
  <c r="E323" i="27"/>
  <c r="E403" i="27"/>
  <c r="E146" i="27"/>
  <c r="E435" i="27"/>
  <c r="E471" i="27"/>
  <c r="E788" i="27"/>
  <c r="E815" i="27"/>
  <c r="E602" i="27"/>
  <c r="E548" i="27"/>
  <c r="E387" i="27"/>
  <c r="E554" i="27"/>
  <c r="E679" i="27"/>
  <c r="E430" i="27"/>
  <c r="E233" i="27"/>
  <c r="E394" i="27"/>
  <c r="E299" i="27"/>
  <c r="E123" i="27"/>
  <c r="E522" i="27"/>
  <c r="E175" i="27"/>
  <c r="E505" i="27"/>
  <c r="E657" i="27"/>
  <c r="E122" i="27"/>
  <c r="E802" i="27"/>
  <c r="E117" i="27"/>
  <c r="E594" i="27"/>
  <c r="E256" i="27"/>
  <c r="E222" i="27"/>
  <c r="E618" i="27"/>
  <c r="E746" i="27"/>
  <c r="E834" i="27"/>
  <c r="E667" i="27"/>
  <c r="E137" i="27"/>
  <c r="E633" i="27"/>
  <c r="E87" i="27"/>
  <c r="E714" i="27"/>
  <c r="E253" i="27"/>
  <c r="E75" i="27"/>
  <c r="E150" i="27"/>
  <c r="E702" i="27"/>
  <c r="E55" i="27"/>
  <c r="E259" i="27"/>
  <c r="E179" i="27"/>
  <c r="E331" i="27"/>
  <c r="E712" i="27"/>
  <c r="E814" i="27"/>
  <c r="E307" i="27"/>
  <c r="E824" i="27"/>
  <c r="E494" i="27"/>
  <c r="E613" i="27"/>
  <c r="E697" i="27"/>
  <c r="E359" i="27"/>
  <c r="E174" i="27"/>
  <c r="E362" i="27"/>
  <c r="E247" i="27"/>
  <c r="E456" i="27"/>
  <c r="E495" i="27"/>
  <c r="E817" i="27"/>
  <c r="E661" i="27"/>
  <c r="E56" i="27"/>
  <c r="E536" i="27"/>
  <c r="E364" i="27"/>
  <c r="E368" i="27"/>
  <c r="E72" i="27"/>
  <c r="E574" i="27"/>
  <c r="E525" i="27"/>
  <c r="E96" i="27"/>
  <c r="E519" i="27"/>
  <c r="E631" i="27"/>
  <c r="E418" i="27"/>
  <c r="E24" i="27"/>
  <c r="E740" i="27"/>
  <c r="E496" i="27"/>
  <c r="E838" i="27"/>
  <c r="E374" i="27"/>
  <c r="E59" i="27"/>
  <c r="E581" i="27"/>
  <c r="E76" i="27"/>
  <c r="E287" i="27"/>
  <c r="E404" i="27"/>
  <c r="E220" i="27"/>
  <c r="E586" i="27"/>
  <c r="E325" i="27"/>
  <c r="E69" i="27"/>
  <c r="E811" i="27"/>
  <c r="E145" i="27"/>
  <c r="E7" i="27"/>
  <c r="E433" i="27"/>
  <c r="E756" i="27"/>
  <c r="E589" i="27"/>
  <c r="E725" i="27"/>
  <c r="E533" i="27"/>
  <c r="E221" i="27"/>
  <c r="E781" i="27"/>
  <c r="E439" i="27"/>
  <c r="E373" i="27"/>
  <c r="E743" i="27"/>
  <c r="E452" i="27"/>
  <c r="E819" i="27"/>
  <c r="E727" i="27"/>
  <c r="E366" i="27"/>
  <c r="E487" i="27"/>
  <c r="E793" i="27"/>
  <c r="E110" i="27"/>
  <c r="E23" i="27"/>
  <c r="E804" i="27"/>
  <c r="E726" i="27"/>
  <c r="E565" i="27"/>
  <c r="E343" i="27"/>
  <c r="E807" i="27"/>
  <c r="E106" i="27"/>
  <c r="E478" i="27"/>
  <c r="E623" i="27"/>
  <c r="E378" i="27"/>
  <c r="E200" i="27"/>
  <c r="E735" i="27"/>
  <c r="E155" i="27"/>
  <c r="E442" i="27"/>
  <c r="E534" i="27"/>
  <c r="E132" i="27"/>
  <c r="E560" i="27"/>
  <c r="E622" i="27"/>
  <c r="E251" i="27"/>
  <c r="E229" i="27"/>
  <c r="E278" i="27"/>
  <c r="E409" i="27"/>
  <c r="E511" i="27"/>
  <c r="E529" i="27"/>
  <c r="E258" i="27"/>
  <c r="E219" i="27"/>
  <c r="E710" i="27"/>
  <c r="E428" i="27"/>
  <c r="E61" i="27"/>
  <c r="E330" i="27"/>
  <c r="E837" i="27"/>
  <c r="E246" i="27"/>
  <c r="E284" i="27"/>
  <c r="E573" i="27"/>
  <c r="E660" i="27"/>
  <c r="E29" i="27"/>
  <c r="E704" i="27"/>
  <c r="E124" i="27"/>
  <c r="E30" i="27"/>
  <c r="E472" i="27"/>
  <c r="E663" i="27"/>
  <c r="E73" i="27"/>
  <c r="E763" i="27"/>
  <c r="E695" i="27"/>
  <c r="E455" i="27"/>
  <c r="E453" i="27"/>
  <c r="E431" i="27"/>
  <c r="E193" i="27"/>
  <c r="E517" i="27"/>
  <c r="E705"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tc={1688DCD6-F0E9-47A5-8E89-577272AB0BCC}</author>
    <author>tc={A1669143-835C-4376-BC2B-F2C1C1D7AEEA}</author>
  </authors>
  <commentList>
    <comment ref="O1" authorId="0" shapeId="0" xr:uid="{1688DCD6-F0E9-47A5-8E89-577272AB0BCC}">
      <text>
        <t>[Threaded comment]
Your version of Excel allows you to read this threaded comment; however, any edits to it will get removed if the file is opened in a newer version of Excel. Learn more: https://go.microsoft.com/fwlink/?linkid=870924
Comment:
    This is any start where the goalie has above an average SV% (around 0.908) or faces less than 20 shots and has &gt; than a 0.885 SV%</t>
      </text>
    </comment>
    <comment ref="P1" authorId="1" shapeId="0" xr:uid="{A1669143-835C-4376-BC2B-F2C1C1D7AEEA}">
      <text>
        <t>[Threaded comment]
Your version of Excel allows you to read this threaded comment; however, any edits to it will get removed if the file is opened in a newer version of Excel. Learn more: https://go.microsoft.com/fwlink/?linkid=870924
Comment:
    Any start where the goalie has less than a 0.850 SV%</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<sst xmlns="http://schemas.openxmlformats.org/spreadsheetml/2006/main" count="17111" uniqueCount="1264">
  <si>
    <t>Player</t>
  </si>
  <si>
    <t>GP</t>
  </si>
  <si>
    <t>DET</t>
  </si>
  <si>
    <t>D</t>
  </si>
  <si>
    <t>BUF</t>
  </si>
  <si>
    <t>ANA</t>
  </si>
  <si>
    <t>MTL</t>
  </si>
  <si>
    <t>NSH</t>
  </si>
  <si>
    <t>VAN</t>
  </si>
  <si>
    <t>WPG</t>
  </si>
  <si>
    <t>NYR</t>
  </si>
  <si>
    <t>COL</t>
  </si>
  <si>
    <t>BOS</t>
  </si>
  <si>
    <t>ARI</t>
  </si>
  <si>
    <t>STL</t>
  </si>
  <si>
    <t>OTT</t>
  </si>
  <si>
    <t>EDM</t>
  </si>
  <si>
    <t>DAL</t>
  </si>
  <si>
    <t>MIN</t>
  </si>
  <si>
    <t>T.B</t>
  </si>
  <si>
    <t>NYI</t>
  </si>
  <si>
    <t>CHI</t>
  </si>
  <si>
    <t>CGY</t>
  </si>
  <si>
    <t>CBJ</t>
  </si>
  <si>
    <t>F</t>
  </si>
  <si>
    <t>PIT</t>
  </si>
  <si>
    <t>L.A</t>
  </si>
  <si>
    <t>N.J</t>
  </si>
  <si>
    <t>VGK</t>
  </si>
  <si>
    <t>WSH</t>
  </si>
  <si>
    <t>TOR</t>
  </si>
  <si>
    <t>FLA</t>
  </si>
  <si>
    <t>PHI</t>
  </si>
  <si>
    <t>S.J</t>
  </si>
  <si>
    <t>CAR</t>
  </si>
  <si>
    <t>COL, MIN</t>
  </si>
  <si>
    <t>BUF, FLA</t>
  </si>
  <si>
    <t>fo.p</t>
  </si>
  <si>
    <t>fol</t>
  </si>
  <si>
    <t>fow</t>
  </si>
  <si>
    <t>Mis</t>
  </si>
  <si>
    <t>Major</t>
  </si>
  <si>
    <t>Minor</t>
  </si>
  <si>
    <t>Blk</t>
  </si>
  <si>
    <t>Hit</t>
  </si>
  <si>
    <t>Assists</t>
  </si>
  <si>
    <t>G3</t>
  </si>
  <si>
    <t>G2</t>
  </si>
  <si>
    <t>sh.p</t>
  </si>
  <si>
    <t>sog</t>
  </si>
  <si>
    <t>Points</t>
  </si>
  <si>
    <t>Goals</t>
  </si>
  <si>
    <t>Toi</t>
  </si>
  <si>
    <t>Team</t>
  </si>
  <si>
    <t>Age</t>
  </si>
  <si>
    <t>Pos</t>
  </si>
  <si>
    <t>PIM</t>
  </si>
  <si>
    <t>TOI Org ES</t>
  </si>
  <si>
    <t>TOI Org PP</t>
  </si>
  <si>
    <t>TOI Org PK</t>
  </si>
  <si>
    <t>TOI ES</t>
  </si>
  <si>
    <t>TOI PP</t>
  </si>
  <si>
    <t>TOI PK</t>
  </si>
  <si>
    <t>Total TOI</t>
  </si>
  <si>
    <t>PP Points</t>
  </si>
  <si>
    <t>Hits</t>
  </si>
  <si>
    <t>BLK</t>
  </si>
  <si>
    <t>FOW</t>
  </si>
  <si>
    <t>FOL</t>
  </si>
  <si>
    <t>SOG</t>
  </si>
  <si>
    <t>Value</t>
  </si>
  <si>
    <t>VAR</t>
  </si>
  <si>
    <t>Fantasy Team</t>
  </si>
  <si>
    <t>Column1</t>
  </si>
  <si>
    <t>C</t>
  </si>
  <si>
    <t>G Reg</t>
  </si>
  <si>
    <t>A Reg</t>
  </si>
  <si>
    <t>P Reg</t>
  </si>
  <si>
    <t>PP</t>
  </si>
  <si>
    <t>Hit Reg</t>
  </si>
  <si>
    <t>Blk Reg</t>
  </si>
  <si>
    <t>Pim Reg</t>
  </si>
  <si>
    <t>FOW Reg</t>
  </si>
  <si>
    <t>FOL Reg</t>
  </si>
  <si>
    <t>SOG Reg</t>
  </si>
  <si>
    <t>Avg</t>
  </si>
  <si>
    <t>Std</t>
  </si>
  <si>
    <t>SEA</t>
  </si>
  <si>
    <t>Players Drafted</t>
  </si>
  <si>
    <t>Rank G</t>
  </si>
  <si>
    <t>Rank A</t>
  </si>
  <si>
    <t xml:space="preserve">Rank P </t>
  </si>
  <si>
    <t xml:space="preserve">Rank PPP </t>
  </si>
  <si>
    <t>Rank Hits</t>
  </si>
  <si>
    <t>Rank Blk</t>
  </si>
  <si>
    <t>Rank PIM</t>
  </si>
  <si>
    <t>Rank FOW</t>
  </si>
  <si>
    <t>Rank SOG</t>
  </si>
  <si>
    <t>Overall Rank</t>
  </si>
  <si>
    <t>Yes</t>
  </si>
  <si>
    <t>No</t>
  </si>
  <si>
    <t>C,LW</t>
  </si>
  <si>
    <t>LW</t>
  </si>
  <si>
    <t>RW</t>
  </si>
  <si>
    <t>LW,RW</t>
  </si>
  <si>
    <t>C,RW</t>
  </si>
  <si>
    <t>TOI Rates</t>
  </si>
  <si>
    <t>1st Line F</t>
  </si>
  <si>
    <t>2nd Line F</t>
  </si>
  <si>
    <t>3rd Line F</t>
  </si>
  <si>
    <t>4th Line F</t>
  </si>
  <si>
    <t>1st Pair D</t>
  </si>
  <si>
    <t>2nd Pair D</t>
  </si>
  <si>
    <t>3rd Pair D</t>
  </si>
  <si>
    <t>ES</t>
  </si>
  <si>
    <t>PK</t>
  </si>
  <si>
    <t>Extra</t>
  </si>
  <si>
    <t>Spare</t>
  </si>
  <si>
    <t>Rank</t>
  </si>
  <si>
    <t>AVG Value</t>
  </si>
  <si>
    <t>Pos2</t>
  </si>
  <si>
    <t>Pos3</t>
  </si>
  <si>
    <t>Player Value</t>
  </si>
  <si>
    <t>VAA</t>
  </si>
  <si>
    <t>GP Org</t>
  </si>
  <si>
    <t xml:space="preserve">Things to know, please read. </t>
  </si>
  <si>
    <t xml:space="preserve">Raw Stat Totals for Fantasy Teams </t>
  </si>
  <si>
    <t>Pts</t>
  </si>
  <si>
    <t>Points Breakdown</t>
  </si>
  <si>
    <t>Type in a player's name or part of their name in cell F4 or F5. Then use the arrow at the end of the box to select the desired player from the drop down menu.</t>
  </si>
  <si>
    <r>
      <t xml:space="preserve">You can see a visual breakdown of the VAA stat in the </t>
    </r>
    <r>
      <rPr>
        <u/>
        <sz val="11"/>
        <color theme="1"/>
        <rFont val="Calibri"/>
        <family val="2"/>
        <scheme val="minor"/>
      </rPr>
      <t>"Player Comparison Sheet</t>
    </r>
    <r>
      <rPr>
        <sz val="11"/>
        <color theme="1"/>
        <rFont val="Calibri"/>
        <family val="2"/>
        <scheme val="minor"/>
      </rPr>
      <t>". This will allow you to see the different ways players generate their fantasy value</t>
    </r>
  </si>
  <si>
    <t>Team Ranks Within Each Category</t>
  </si>
  <si>
    <t>Are PIMs a negative?</t>
  </si>
  <si>
    <r>
      <t>Lastly, keep track of how your team stacks up versus other teams in your league with the "</t>
    </r>
    <r>
      <rPr>
        <u/>
        <sz val="11"/>
        <color theme="1"/>
        <rFont val="Calibri"/>
        <family val="2"/>
        <scheme val="minor"/>
      </rPr>
      <t>Team Strength</t>
    </r>
    <r>
      <rPr>
        <sz val="11"/>
        <color theme="1"/>
        <rFont val="Calibri"/>
        <family val="2"/>
        <scheme val="minor"/>
      </rPr>
      <t xml:space="preserve">" Sheet. Just keep of track of which team drafted each player under the "Fantasy Team" column on the projections sheet and you'll be able to see what categories your team is strong in and what categories your team is lacking. </t>
    </r>
  </si>
  <si>
    <r>
      <t>The "</t>
    </r>
    <r>
      <rPr>
        <u/>
        <sz val="11"/>
        <color theme="1"/>
        <rFont val="Calibri"/>
        <family val="2"/>
        <scheme val="minor"/>
      </rPr>
      <t>Projections</t>
    </r>
    <r>
      <rPr>
        <sz val="11"/>
        <color theme="1"/>
        <rFont val="Calibri"/>
        <family val="2"/>
        <scheme val="minor"/>
      </rPr>
      <t>" sheet itself allows you to customize the TOI a player may receive as well as the number of games played. If you would like to alter the projections, you can manually adjust the TOI or GP figures and it will alter the projections accordingly. You can reset the TOI or GP to the original values by using the reset buttons on the "League Input" Sheet</t>
    </r>
  </si>
  <si>
    <t>CHI, OTT</t>
  </si>
  <si>
    <t>COL, S.J</t>
  </si>
  <si>
    <t>CGY, VAN</t>
  </si>
  <si>
    <t>ANA, COL</t>
  </si>
  <si>
    <t>SEA, WPG</t>
  </si>
  <si>
    <t>COL, PHI</t>
  </si>
  <si>
    <t>NYR, VAN</t>
  </si>
  <si>
    <t>Column2</t>
  </si>
  <si>
    <t>P Rank</t>
  </si>
  <si>
    <t>Number of Each Pos in league</t>
  </si>
  <si>
    <t>Replacement Level</t>
  </si>
  <si>
    <t>Average Table</t>
  </si>
  <si>
    <t>n</t>
  </si>
  <si>
    <t>Pos P Rank</t>
  </si>
  <si>
    <t>VOR</t>
  </si>
  <si>
    <t>value</t>
  </si>
  <si>
    <t>Value Rk</t>
  </si>
  <si>
    <t>Rk (VOR)</t>
  </si>
  <si>
    <t>TB</t>
  </si>
  <si>
    <t>SJ</t>
  </si>
  <si>
    <t>LA</t>
  </si>
  <si>
    <t>NJ</t>
  </si>
  <si>
    <t>G</t>
  </si>
  <si>
    <t>Spencer Martin</t>
  </si>
  <si>
    <t>Charlie Lindgren</t>
  </si>
  <si>
    <t>Ukko-Pekka Luukkonen</t>
  </si>
  <si>
    <t>Logan Thompson</t>
  </si>
  <si>
    <t>Eric Comrie</t>
  </si>
  <si>
    <t>Daniel Vladar</t>
  </si>
  <si>
    <t>Nico Daws</t>
  </si>
  <si>
    <t>TBL</t>
  </si>
  <si>
    <t>Filip Gustavsson</t>
  </si>
  <si>
    <t>Spencer Knight</t>
  </si>
  <si>
    <t>Anthony Stolarz</t>
  </si>
  <si>
    <t>Sam Montembeault</t>
  </si>
  <si>
    <t>Casey DeSmith</t>
  </si>
  <si>
    <t>Laurent Brossoit</t>
  </si>
  <si>
    <t>Scott Wedgewood</t>
  </si>
  <si>
    <t>Karel Vejmelka</t>
  </si>
  <si>
    <t>Adin Hill</t>
  </si>
  <si>
    <t>Jeremy Swayman</t>
  </si>
  <si>
    <t>Ville Husso</t>
  </si>
  <si>
    <t>Anton Forsberg</t>
  </si>
  <si>
    <t>David Rittich</t>
  </si>
  <si>
    <t>Antti Raanta</t>
  </si>
  <si>
    <t>Stuart Skinner</t>
  </si>
  <si>
    <t>Kevin Lankinen</t>
  </si>
  <si>
    <t>Alexandar Georgiev</t>
  </si>
  <si>
    <t>Joonas Korpisalo</t>
  </si>
  <si>
    <t>Jake Oettinger</t>
  </si>
  <si>
    <t>Ilya Samsonov</t>
  </si>
  <si>
    <t>Ilya Sorokin</t>
  </si>
  <si>
    <t>Calvin Petersen</t>
  </si>
  <si>
    <t>Alex Nedeljkovic</t>
  </si>
  <si>
    <t>Jake Allen</t>
  </si>
  <si>
    <t>Linus Ullmark</t>
  </si>
  <si>
    <t>Mackenzie Blackwood</t>
  </si>
  <si>
    <t>James Reimer</t>
  </si>
  <si>
    <t>Semyon Varlamov</t>
  </si>
  <si>
    <t>Jack Campbell</t>
  </si>
  <si>
    <t>Martin Jones</t>
  </si>
  <si>
    <t>Igor Shesterkin</t>
  </si>
  <si>
    <t>LAK</t>
  </si>
  <si>
    <t>Jonathan Quick</t>
  </si>
  <si>
    <t>Cam Talbot</t>
  </si>
  <si>
    <t>Elvis Merzlikins</t>
  </si>
  <si>
    <t>Darcy Kuemper</t>
  </si>
  <si>
    <t>Frederik Andersen</t>
  </si>
  <si>
    <t>Jordan Binnington</t>
  </si>
  <si>
    <t>Thatcher Demko</t>
  </si>
  <si>
    <t>Sergei Bobrovsky</t>
  </si>
  <si>
    <t>Tristan Jarry</t>
  </si>
  <si>
    <t>Philipp Grubauer</t>
  </si>
  <si>
    <t>Juuse Saros</t>
  </si>
  <si>
    <t>John Gibson</t>
  </si>
  <si>
    <t>Andrei Vasilevskiy</t>
  </si>
  <si>
    <t>Connor Hellebuyck</t>
  </si>
  <si>
    <t>proj_rbs</t>
  </si>
  <si>
    <t>proj_qs</t>
  </si>
  <si>
    <t>proj_so</t>
  </si>
  <si>
    <t>proj_sv.p</t>
  </si>
  <si>
    <t>proj_sv</t>
  </si>
  <si>
    <t>proj_sa</t>
  </si>
  <si>
    <t>proj_ga</t>
  </si>
  <si>
    <t>proj_otl</t>
  </si>
  <si>
    <t>proj_l</t>
  </si>
  <si>
    <t>proj_w</t>
  </si>
  <si>
    <t>proj_gs</t>
  </si>
  <si>
    <t>pos</t>
  </si>
  <si>
    <t>age</t>
  </si>
  <si>
    <t>team</t>
  </si>
  <si>
    <t>player</t>
  </si>
  <si>
    <t>RBS</t>
  </si>
  <si>
    <t>QS</t>
  </si>
  <si>
    <t>SO</t>
  </si>
  <si>
    <t>GAA</t>
  </si>
  <si>
    <t>SV%</t>
  </si>
  <si>
    <t>SV</t>
  </si>
  <si>
    <t>SA</t>
  </si>
  <si>
    <t>GA</t>
  </si>
  <si>
    <t>OTL</t>
  </si>
  <si>
    <t>L</t>
  </si>
  <si>
    <t>W</t>
  </si>
  <si>
    <t>Brady Tkachuk</t>
  </si>
  <si>
    <t>Leon Draisaitl</t>
  </si>
  <si>
    <t>Roman Josi</t>
  </si>
  <si>
    <t>Victor Hedman</t>
  </si>
  <si>
    <t>Matthew Tkachuk</t>
  </si>
  <si>
    <t>Nikita Kucherov</t>
  </si>
  <si>
    <t>Kris Letang</t>
  </si>
  <si>
    <t>Mikko Rantanen</t>
  </si>
  <si>
    <t>Cale Makar</t>
  </si>
  <si>
    <t>Auston Matthews</t>
  </si>
  <si>
    <t>Jonathan Huberdeau</t>
  </si>
  <si>
    <t>David Pastrnak</t>
  </si>
  <si>
    <t>Timo Meier</t>
  </si>
  <si>
    <t>Moritz Seider</t>
  </si>
  <si>
    <t>Brad Marchand</t>
  </si>
  <si>
    <t>Evander Kane</t>
  </si>
  <si>
    <t>Patrick Kane</t>
  </si>
  <si>
    <t>Jake Guentzel</t>
  </si>
  <si>
    <t>John Carlson</t>
  </si>
  <si>
    <t>Steven Stamkos</t>
  </si>
  <si>
    <t>Kyle Connor</t>
  </si>
  <si>
    <t>Adam Fox</t>
  </si>
  <si>
    <t>Andrei Svechnikov</t>
  </si>
  <si>
    <t>Aaron Ekblad</t>
  </si>
  <si>
    <t>Gabriel Landeskog</t>
  </si>
  <si>
    <t>Mitchell Marner</t>
  </si>
  <si>
    <t>Alex Ovechkin</t>
  </si>
  <si>
    <t>Seth Jones</t>
  </si>
  <si>
    <t>Sebastian Aho</t>
  </si>
  <si>
    <t>Darnell Nurse</t>
  </si>
  <si>
    <t>Kirill Kaprizov</t>
  </si>
  <si>
    <t>Filip Forsberg</t>
  </si>
  <si>
    <t>Jacob Trouba</t>
  </si>
  <si>
    <t>Brent Burns</t>
  </si>
  <si>
    <t>Chris Kreider</t>
  </si>
  <si>
    <t>Sidney Crosby</t>
  </si>
  <si>
    <t>Drew Doughty</t>
  </si>
  <si>
    <t>Morgan Rielly</t>
  </si>
  <si>
    <t>Kevin Fiala</t>
  </si>
  <si>
    <t>Mika Zibanejad</t>
  </si>
  <si>
    <t>Aleksander Barkov</t>
  </si>
  <si>
    <t>Dougie Hamilton</t>
  </si>
  <si>
    <t>Rasmus Dahlin</t>
  </si>
  <si>
    <t>Nazem Kadri</t>
  </si>
  <si>
    <t>Alex Pietrangelo</t>
  </si>
  <si>
    <t>Nikolaj Ehlers</t>
  </si>
  <si>
    <t>Thomas Chabot</t>
  </si>
  <si>
    <t>Artemi Panarin</t>
  </si>
  <si>
    <t>Johnny Gaudreau</t>
  </si>
  <si>
    <t>Jakob Chychrun</t>
  </si>
  <si>
    <t>Joe Pavelski</t>
  </si>
  <si>
    <t>Quinn Hughes</t>
  </si>
  <si>
    <t>William Nylander</t>
  </si>
  <si>
    <t>Jack Eichel</t>
  </si>
  <si>
    <t>Bryan Rust</t>
  </si>
  <si>
    <t>Elias Lindholm</t>
  </si>
  <si>
    <t>Evan Bouchard</t>
  </si>
  <si>
    <t>Tanner Jeannot</t>
  </si>
  <si>
    <t>Justin Faulk</t>
  </si>
  <si>
    <t>Mikhail Sergachev</t>
  </si>
  <si>
    <t>Pierre-Luc Dubois</t>
  </si>
  <si>
    <t>Josh Morrissey</t>
  </si>
  <si>
    <t>Blake Wheeler</t>
  </si>
  <si>
    <t>Drake Batherson</t>
  </si>
  <si>
    <t>Vincent Trocheck</t>
  </si>
  <si>
    <t>Rasmus Andersson</t>
  </si>
  <si>
    <t>Torey Krug</t>
  </si>
  <si>
    <t>Ivan Provorov</t>
  </si>
  <si>
    <t>John Tavares</t>
  </si>
  <si>
    <t>Tomas Hertl</t>
  </si>
  <si>
    <t>Jonathan Marchessault</t>
  </si>
  <si>
    <t>Evgeni Malkin</t>
  </si>
  <si>
    <t>Tyler Bertuzzi</t>
  </si>
  <si>
    <t>Vladimir Tarasenko</t>
  </si>
  <si>
    <t>Elias Pettersson</t>
  </si>
  <si>
    <t>Jamie Benn</t>
  </si>
  <si>
    <t>Sam Bennett</t>
  </si>
  <si>
    <t>Shea Theodore</t>
  </si>
  <si>
    <t>Mark Giordano</t>
  </si>
  <si>
    <t>Patrice Bergeron</t>
  </si>
  <si>
    <t>Anze Kopitar</t>
  </si>
  <si>
    <t>Radko Gudas</t>
  </si>
  <si>
    <t>Nick Suzuki</t>
  </si>
  <si>
    <t>Roope Hintz</t>
  </si>
  <si>
    <t>Rasmus Ristolainen</t>
  </si>
  <si>
    <t>Neal Pionk</t>
  </si>
  <si>
    <t>Clayton Keller</t>
  </si>
  <si>
    <t>Ben Chiarot</t>
  </si>
  <si>
    <t>Zach Werenski</t>
  </si>
  <si>
    <t>David Perron</t>
  </si>
  <si>
    <t>Josh Norris</t>
  </si>
  <si>
    <t>Noah Dobson</t>
  </si>
  <si>
    <t>Lawson Crouse</t>
  </si>
  <si>
    <t>Oliver Bjorkstrand</t>
  </si>
  <si>
    <t>Tyler Myers</t>
  </si>
  <si>
    <t>Mark Scheifele</t>
  </si>
  <si>
    <t>John Klingberg</t>
  </si>
  <si>
    <t>Adrian Kempe</t>
  </si>
  <si>
    <t>Jason Robertson</t>
  </si>
  <si>
    <t>Ryan Hartman</t>
  </si>
  <si>
    <t>Connor Murphy</t>
  </si>
  <si>
    <t>Tim Stutzle</t>
  </si>
  <si>
    <t>Brayden Schenn</t>
  </si>
  <si>
    <t>Sam Reinhart</t>
  </si>
  <si>
    <t>Matt Dumba</t>
  </si>
  <si>
    <t>Damon Severson</t>
  </si>
  <si>
    <t>Jake Muzzin</t>
  </si>
  <si>
    <t>Evgeny Kuznetsov</t>
  </si>
  <si>
    <t>Devon Toews</t>
  </si>
  <si>
    <t>Nicolas Hague</t>
  </si>
  <si>
    <t>Oliver Ekman-Larsson</t>
  </si>
  <si>
    <t>Jeff Petry</t>
  </si>
  <si>
    <t>Miro Heiskanen</t>
  </si>
  <si>
    <t>Brenden Dillon</t>
  </si>
  <si>
    <t>Tyler Seguin</t>
  </si>
  <si>
    <t>Alex Killorn</t>
  </si>
  <si>
    <t>Brayden Point</t>
  </si>
  <si>
    <t>Lucas Raymond</t>
  </si>
  <si>
    <t>Dylan Larkin</t>
  </si>
  <si>
    <t>Luke Schenn</t>
  </si>
  <si>
    <t>Pavel Buchnevich</t>
  </si>
  <si>
    <t>Ryan Nugent-Hopkins</t>
  </si>
  <si>
    <t>Joel Edmundson</t>
  </si>
  <si>
    <t>Ryan Pulock</t>
  </si>
  <si>
    <t>Marcus Foligno</t>
  </si>
  <si>
    <t>Alec Martinez</t>
  </si>
  <si>
    <t>Matt Duchene</t>
  </si>
  <si>
    <t>Colton Parayko</t>
  </si>
  <si>
    <t>Patrik Laine</t>
  </si>
  <si>
    <t>Shayne Gostisbehere</t>
  </si>
  <si>
    <t>Jake Sanderson</t>
  </si>
  <si>
    <t>Kevin Shattenkirk</t>
  </si>
  <si>
    <t>Claude Giroux</t>
  </si>
  <si>
    <t>Zach Hyman</t>
  </si>
  <si>
    <t>Travis Konecny</t>
  </si>
  <si>
    <t>Blake Coleman</t>
  </si>
  <si>
    <t>Bo Horvat</t>
  </si>
  <si>
    <t>Sean Couturier</t>
  </si>
  <si>
    <t>Adam Larsson</t>
  </si>
  <si>
    <t>Taylor Hall</t>
  </si>
  <si>
    <t>Artem Zub</t>
  </si>
  <si>
    <t>Jeremy Lauzon</t>
  </si>
  <si>
    <t>Sean Durzi</t>
  </si>
  <si>
    <t>Tyson Barrie</t>
  </si>
  <si>
    <t>Tyler Toffoli</t>
  </si>
  <si>
    <t>Erik Cernak</t>
  </si>
  <si>
    <t>Brady Skjei</t>
  </si>
  <si>
    <t>Ryan Graves</t>
  </si>
  <si>
    <t>Alex Tuch</t>
  </si>
  <si>
    <t>Filip Hronek</t>
  </si>
  <si>
    <t>Garnet Hathaway</t>
  </si>
  <si>
    <t>Joel Eriksson Ek</t>
  </si>
  <si>
    <t>Mario Ferraro</t>
  </si>
  <si>
    <t>Noah Hanifin</t>
  </si>
  <si>
    <t>Martin Fehervary</t>
  </si>
  <si>
    <t>Vince Dunn</t>
  </si>
  <si>
    <t>Josh Manson</t>
  </si>
  <si>
    <t>Erik Karlsson</t>
  </si>
  <si>
    <t>Teuvo Teravainen</t>
  </si>
  <si>
    <t>Mathew Barzal</t>
  </si>
  <si>
    <t>Matt Boldy</t>
  </si>
  <si>
    <t>Ondrej Palat</t>
  </si>
  <si>
    <t>Bowen Byram</t>
  </si>
  <si>
    <t>Erik Gudbranson</t>
  </si>
  <si>
    <t>Mark Stone</t>
  </si>
  <si>
    <t>David Savard</t>
  </si>
  <si>
    <t>Conor Garland</t>
  </si>
  <si>
    <t>Travis Hamonic</t>
  </si>
  <si>
    <t>Ryan Strome</t>
  </si>
  <si>
    <t>Brock Boeser</t>
  </si>
  <si>
    <t>Sean Walker</t>
  </si>
  <si>
    <t>Boone Jenner</t>
  </si>
  <si>
    <t>Nick Schmaltz</t>
  </si>
  <si>
    <t>Travis Sanheim</t>
  </si>
  <si>
    <t>Logan Couture</t>
  </si>
  <si>
    <t>Tage Thompson</t>
  </si>
  <si>
    <t>Jaccob Slavin</t>
  </si>
  <si>
    <t>Nikita Zadorov</t>
  </si>
  <si>
    <t>Andrew Mangiapane</t>
  </si>
  <si>
    <t>Anthony Mantha</t>
  </si>
  <si>
    <t>Jared Spurgeon</t>
  </si>
  <si>
    <t>Jesper Bratt</t>
  </si>
  <si>
    <t>Barclay Goodrow</t>
  </si>
  <si>
    <t>Hampus Lindholm</t>
  </si>
  <si>
    <t>Jack Hughes</t>
  </si>
  <si>
    <t>Michael Bunting</t>
  </si>
  <si>
    <t>Scott Mayfield</t>
  </si>
  <si>
    <t>Patric Hornqvist</t>
  </si>
  <si>
    <t>Brandon Tanev</t>
  </si>
  <si>
    <t>Brett Pesce</t>
  </si>
  <si>
    <t>Matt Roy</t>
  </si>
  <si>
    <t>Joel Farabee</t>
  </si>
  <si>
    <t>Mason Marchment</t>
  </si>
  <si>
    <t>Gustav Forsling</t>
  </si>
  <si>
    <t>Ryan Lindgren</t>
  </si>
  <si>
    <t>Mattias Ekholm</t>
  </si>
  <si>
    <t>Scott Laughton</t>
  </si>
  <si>
    <t>Chandler Stephenson</t>
  </si>
  <si>
    <t>Luke Kunin</t>
  </si>
  <si>
    <t>Mats Zuccarello</t>
  </si>
  <si>
    <t>Esa Lindell</t>
  </si>
  <si>
    <t>Samuel Girard</t>
  </si>
  <si>
    <t>Brendan Gallagher</t>
  </si>
  <si>
    <t>Brandon Montour</t>
  </si>
  <si>
    <t>Trevor Zegras</t>
  </si>
  <si>
    <t>Vladislav Gavrikov</t>
  </si>
  <si>
    <t>Adam Pelech</t>
  </si>
  <si>
    <t>Ryan Suter</t>
  </si>
  <si>
    <t>Andrew Copp</t>
  </si>
  <si>
    <t>Mikael Granlund</t>
  </si>
  <si>
    <t>Andrew Peeke</t>
  </si>
  <si>
    <t>Dmitry Orlov</t>
  </si>
  <si>
    <t>Jakub Voracek</t>
  </si>
  <si>
    <t>Rickard Rakell</t>
  </si>
  <si>
    <t>Anders Lee</t>
  </si>
  <si>
    <t>Andre Burakovsky</t>
  </si>
  <si>
    <t>K'Andre Miller</t>
  </si>
  <si>
    <t>Kailer Yamamoto</t>
  </si>
  <si>
    <t>Reilly Smith</t>
  </si>
  <si>
    <t>Ivan Barbashev</t>
  </si>
  <si>
    <t>Viktor Arvidsson</t>
  </si>
  <si>
    <t>Jamie Oleksiak</t>
  </si>
  <si>
    <t>Robby Fabbri</t>
  </si>
  <si>
    <t>Josh Anderson</t>
  </si>
  <si>
    <t>Jonas Siegenthaler</t>
  </si>
  <si>
    <t>Nick Ritchie</t>
  </si>
  <si>
    <t>Carter Verhaeghe</t>
  </si>
  <si>
    <t>Jesse Puljujarvi</t>
  </si>
  <si>
    <t>Ryan O'Reilly</t>
  </si>
  <si>
    <t>Martin Necas</t>
  </si>
  <si>
    <t>Jani Hakanpaa</t>
  </si>
  <si>
    <t>Carson Soucy</t>
  </si>
  <si>
    <t>Yanni Gourde</t>
  </si>
  <si>
    <t>Erik Johnson</t>
  </si>
  <si>
    <t>Cam Atkinson</t>
  </si>
  <si>
    <t>Ryan Johansen</t>
  </si>
  <si>
    <t>Corey Perry</t>
  </si>
  <si>
    <t>Cole Caufield</t>
  </si>
  <si>
    <t>Jordan Greenway</t>
  </si>
  <si>
    <t>Justin Holl</t>
  </si>
  <si>
    <t>Mike Matheson</t>
  </si>
  <si>
    <t>David Krejci</t>
  </si>
  <si>
    <t>Jonas Brodin</t>
  </si>
  <si>
    <t>Ilya Mikheyev</t>
  </si>
  <si>
    <t>Phillip Danault</t>
  </si>
  <si>
    <t>Oliver Wahlstrom</t>
  </si>
  <si>
    <t>Jordan Kyrou</t>
  </si>
  <si>
    <t>Jakub Vrana</t>
  </si>
  <si>
    <t>Jaden Schwartz</t>
  </si>
  <si>
    <t>Dominik Kubalik</t>
  </si>
  <si>
    <t>Nico Hischier</t>
  </si>
  <si>
    <t>Cam Fowler</t>
  </si>
  <si>
    <t>Austin Watson</t>
  </si>
  <si>
    <t>Jeff Carter</t>
  </si>
  <si>
    <t>Brock Nelson</t>
  </si>
  <si>
    <t>Ryan Lomberg</t>
  </si>
  <si>
    <t>Phil Kessel</t>
  </si>
  <si>
    <t>Ian Cole</t>
  </si>
  <si>
    <t>Jean-Gabriel Pageau</t>
  </si>
  <si>
    <t>Evan Rodrigues</t>
  </si>
  <si>
    <t>Mattias Samuelsson</t>
  </si>
  <si>
    <t>William Karlsson</t>
  </si>
  <si>
    <t>Dawson Mercer</t>
  </si>
  <si>
    <t>Valeri Nichushkin</t>
  </si>
  <si>
    <t>Nino Niederreiter</t>
  </si>
  <si>
    <t>Jamie Drysdale</t>
  </si>
  <si>
    <t>Kyle Palmieri</t>
  </si>
  <si>
    <t>Nicolas Roy</t>
  </si>
  <si>
    <t>Rudolfs Balcers</t>
  </si>
  <si>
    <t>Gustav Nyquist</t>
  </si>
  <si>
    <t>Cody Ceci</t>
  </si>
  <si>
    <t>Cam York</t>
  </si>
  <si>
    <t>Jordan Eberle</t>
  </si>
  <si>
    <t>Mike Hoffman</t>
  </si>
  <si>
    <t>Brian Dumoulin</t>
  </si>
  <si>
    <t>Mike Reilly</t>
  </si>
  <si>
    <t>John Marino</t>
  </si>
  <si>
    <t>Erik Brannstrom</t>
  </si>
  <si>
    <t>Matt Grzelcyk</t>
  </si>
  <si>
    <t>Nicolas Deslauriers</t>
  </si>
  <si>
    <t>Jeff Skinner</t>
  </si>
  <si>
    <t>Dylan Strome</t>
  </si>
  <si>
    <t>Dysin Mayo</t>
  </si>
  <si>
    <t>Adam Lowry</t>
  </si>
  <si>
    <t>Eeli Tolvanen</t>
  </si>
  <si>
    <t>Alex Iafallo</t>
  </si>
  <si>
    <t>Zach Whitecloud</t>
  </si>
  <si>
    <t>Nathan Bastian</t>
  </si>
  <si>
    <t>Keegan Kolesar</t>
  </si>
  <si>
    <t>Jonathan Toews</t>
  </si>
  <si>
    <t>Nikita Zaitsev</t>
  </si>
  <si>
    <t>Mikael Backlund</t>
  </si>
  <si>
    <t>Henri Jokiharju</t>
  </si>
  <si>
    <t>Alex Goligoski</t>
  </si>
  <si>
    <t>Anthony Cirelli</t>
  </si>
  <si>
    <t>Cole Sillinger</t>
  </si>
  <si>
    <t>Dante Fabbro</t>
  </si>
  <si>
    <t>Josh Archibald</t>
  </si>
  <si>
    <t>Cole Perfetti</t>
  </si>
  <si>
    <t>Zach Bogosian</t>
  </si>
  <si>
    <t>Max Comtois</t>
  </si>
  <si>
    <t>Adam Boqvist</t>
  </si>
  <si>
    <t>Miles Wood</t>
  </si>
  <si>
    <t>Brandon Carlo</t>
  </si>
  <si>
    <t>Milan Lucic</t>
  </si>
  <si>
    <t>Connor Brown</t>
  </si>
  <si>
    <t>Nate Schmidt</t>
  </si>
  <si>
    <t>Chris Wideman</t>
  </si>
  <si>
    <t>Seth Jarvis</t>
  </si>
  <si>
    <t>Trevor Moore</t>
  </si>
  <si>
    <t>Jordan Staal</t>
  </si>
  <si>
    <t>Jake Bean</t>
  </si>
  <si>
    <t>Kevin Hayes</t>
  </si>
  <si>
    <t>Arthur Kaliyev</t>
  </si>
  <si>
    <t>Logan Stanley</t>
  </si>
  <si>
    <t>Derek Forbort</t>
  </si>
  <si>
    <t>Michael Rasmussen</t>
  </si>
  <si>
    <t>Brandon Duhaime</t>
  </si>
  <si>
    <t>Tyler Motte</t>
  </si>
  <si>
    <t>Mikey Anderson</t>
  </si>
  <si>
    <t>Jason Zucker</t>
  </si>
  <si>
    <t>Oliver Kylington</t>
  </si>
  <si>
    <t>Timothy Liljegren</t>
  </si>
  <si>
    <t>Brendan Lemieux</t>
  </si>
  <si>
    <t>Anton Lundell</t>
  </si>
  <si>
    <t>Adam Henrique</t>
  </si>
  <si>
    <t>Pavel Zacha</t>
  </si>
  <si>
    <t>Ross Colton</t>
  </si>
  <si>
    <t>Zach Sanford</t>
  </si>
  <si>
    <t>Paul Stastny</t>
  </si>
  <si>
    <t>Tanner Pearson</t>
  </si>
  <si>
    <t>Mathieu Olivier</t>
  </si>
  <si>
    <t>Ilya Lyubushkin</t>
  </si>
  <si>
    <t>Brandon Hagel</t>
  </si>
  <si>
    <t>Rasmus Sandin</t>
  </si>
  <si>
    <t>Colin Miller</t>
  </si>
  <si>
    <t>Craig Smith</t>
  </si>
  <si>
    <t>Brandon Saad</t>
  </si>
  <si>
    <t>Warren Foegele</t>
  </si>
  <si>
    <t>Dmitry Kulikov</t>
  </si>
  <si>
    <t>Justin Braun</t>
  </si>
  <si>
    <t>Yakov Trenin</t>
  </si>
  <si>
    <t>Jonathan Drouin</t>
  </si>
  <si>
    <t>Erik Haula</t>
  </si>
  <si>
    <t>Robert Hagg</t>
  </si>
  <si>
    <t>Brendan Smith</t>
  </si>
  <si>
    <t>Connor Clifton</t>
  </si>
  <si>
    <t>Kirby Dach</t>
  </si>
  <si>
    <t>Denis Gurianov</t>
  </si>
  <si>
    <t>Owen Tippett</t>
  </si>
  <si>
    <t>Niko Mikkola</t>
  </si>
  <si>
    <t>Tomas Tatar</t>
  </si>
  <si>
    <t>Jake Evans</t>
  </si>
  <si>
    <t>Andreas Athanasiou</t>
  </si>
  <si>
    <t>Artturi Lehkonen</t>
  </si>
  <si>
    <t>Yegor Sharangovich</t>
  </si>
  <si>
    <t>Christian Dvorak</t>
  </si>
  <si>
    <t>Riley Stillman</t>
  </si>
  <si>
    <t>Charlie Coyle</t>
  </si>
  <si>
    <t>Tom Wilson</t>
  </si>
  <si>
    <t>Troy Terry</t>
  </si>
  <si>
    <t>Robert Bortuzzo</t>
  </si>
  <si>
    <t>Victor Olofsson</t>
  </si>
  <si>
    <t>Frank Vatrano</t>
  </si>
  <si>
    <t>Nick Holden</t>
  </si>
  <si>
    <t>Nils Hoglander</t>
  </si>
  <si>
    <t>Kasperi Kapanen</t>
  </si>
  <si>
    <t>Jakob Silfverberg</t>
  </si>
  <si>
    <t>Nick Jensen</t>
  </si>
  <si>
    <t>Robert Thomas</t>
  </si>
  <si>
    <t>Nick Leddy</t>
  </si>
  <si>
    <t>Cal Clutterbuck</t>
  </si>
  <si>
    <t>Marcus Pettersson</t>
  </si>
  <si>
    <t>Anthony Beauvillier</t>
  </si>
  <si>
    <t>Nick Foligno</t>
  </si>
  <si>
    <t>Sean Kuraly</t>
  </si>
  <si>
    <t>Ty Smith</t>
  </si>
  <si>
    <t>Sean Monahan</t>
  </si>
  <si>
    <t>Cal Foote</t>
  </si>
  <si>
    <t>Liam O'Brien</t>
  </si>
  <si>
    <t>Jan Rutta</t>
  </si>
  <si>
    <t>Brett Kulak</t>
  </si>
  <si>
    <t>Josh Brown</t>
  </si>
  <si>
    <t>Nick Bonino</t>
  </si>
  <si>
    <t>Kevin Labanc</t>
  </si>
  <si>
    <t>Vasily Podkolzin</t>
  </si>
  <si>
    <t>Kyle Burroughs</t>
  </si>
  <si>
    <t>Zach Parise</t>
  </si>
  <si>
    <t>Pierre-Olivier Joseph</t>
  </si>
  <si>
    <t>Sammy Blais</t>
  </si>
  <si>
    <t>Max Pacioretty</t>
  </si>
  <si>
    <t>Jujhar Khaira</t>
  </si>
  <si>
    <t>Jakub Zboril</t>
  </si>
  <si>
    <t>Jesper Fast</t>
  </si>
  <si>
    <t>Kyle Capobianco</t>
  </si>
  <si>
    <t>Lars Eller</t>
  </si>
  <si>
    <t>Dylan Cozens</t>
  </si>
  <si>
    <t>Marc Staal</t>
  </si>
  <si>
    <t>Alexis Lafreniere</t>
  </si>
  <si>
    <t>Noah Gregor</t>
  </si>
  <si>
    <t>Pius Suter</t>
  </si>
  <si>
    <t>Justin Schultz</t>
  </si>
  <si>
    <t>Dillon Dube</t>
  </si>
  <si>
    <t>Trent Frederic</t>
  </si>
  <si>
    <t>Urho Vaakanainen</t>
  </si>
  <si>
    <t>Scott Perunovich</t>
  </si>
  <si>
    <t>Jack Roslovic</t>
  </si>
  <si>
    <t>Chad Ruhwedel</t>
  </si>
  <si>
    <t>Barrett Hayton</t>
  </si>
  <si>
    <t>Jesperi Kotkaniemi</t>
  </si>
  <si>
    <t>Filip Zadina</t>
  </si>
  <si>
    <t>Max Domi</t>
  </si>
  <si>
    <t>Kyle Okposo</t>
  </si>
  <si>
    <t>Marco Scandella</t>
  </si>
  <si>
    <t>Radek Faksa</t>
  </si>
  <si>
    <t>Ryan Reaves</t>
  </si>
  <si>
    <t>Adam Erne</t>
  </si>
  <si>
    <t>Zemgus Girgensons</t>
  </si>
  <si>
    <t>Frederick Gaudreau</t>
  </si>
  <si>
    <t>Conor Sheary</t>
  </si>
  <si>
    <t>Patrik Nemeth</t>
  </si>
  <si>
    <t>Jon Merrill</t>
  </si>
  <si>
    <t>Nicolas Aube-Kubel</t>
  </si>
  <si>
    <t>Troy Stecher</t>
  </si>
  <si>
    <t>Sonny Milano</t>
  </si>
  <si>
    <t>Nic Dowd</t>
  </si>
  <si>
    <t>Colin Blackwell</t>
  </si>
  <si>
    <t>Pierre Engvall</t>
  </si>
  <si>
    <t>Braden Schneider</t>
  </si>
  <si>
    <t>Luke Glendening</t>
  </si>
  <si>
    <t>Zac Jones</t>
  </si>
  <si>
    <t>Vladislav Namestnikov</t>
  </si>
  <si>
    <t>Logan O'Connor</t>
  </si>
  <si>
    <t>Ethan Bear</t>
  </si>
  <si>
    <t>Philip Tomasino</t>
  </si>
  <si>
    <t>Ty Dellandrea</t>
  </si>
  <si>
    <t>Alex Barre-Boulet</t>
  </si>
  <si>
    <t>Dylan Coghlan</t>
  </si>
  <si>
    <t>Oskar Sundqvist</t>
  </si>
  <si>
    <t>Josh Bailey</t>
  </si>
  <si>
    <t>Noel Acciari</t>
  </si>
  <si>
    <t>Alex Newhook</t>
  </si>
  <si>
    <t>Mason Appleton</t>
  </si>
  <si>
    <t>Casey Mittelstadt</t>
  </si>
  <si>
    <t>Marcus Johansson</t>
  </si>
  <si>
    <t>Jacob Bryson</t>
  </si>
  <si>
    <t>Dryden Hunt</t>
  </si>
  <si>
    <t>Colton Sissons</t>
  </si>
  <si>
    <t>Alex Wennberg</t>
  </si>
  <si>
    <t>Derek Grant</t>
  </si>
  <si>
    <t>Nick Bjugstad</t>
  </si>
  <si>
    <t>Zach Aston-Reese</t>
  </si>
  <si>
    <t>Gustav Lindstrom</t>
  </si>
  <si>
    <t>Ben Hutton</t>
  </si>
  <si>
    <t>Olli Maatta</t>
  </si>
  <si>
    <t>Matthew Benning</t>
  </si>
  <si>
    <t>Peyton Krebs</t>
  </si>
  <si>
    <t>Ian Mitchell</t>
  </si>
  <si>
    <t>Kieffer Bellows</t>
  </si>
  <si>
    <t>Teddy Blueger</t>
  </si>
  <si>
    <t>Andrei Kuzmenko</t>
  </si>
  <si>
    <t>Nikolai Knyzhov</t>
  </si>
  <si>
    <t>Jake Walman</t>
  </si>
  <si>
    <t>Travis Boyd</t>
  </si>
  <si>
    <t>Jordan Spence</t>
  </si>
  <si>
    <t>Evgeny Svechnikov</t>
  </si>
  <si>
    <t>Tyler Johnson</t>
  </si>
  <si>
    <t>Rem Pitlick</t>
  </si>
  <si>
    <t>Caleb Jones</t>
  </si>
  <si>
    <t>Calle Jarnkrok</t>
  </si>
  <si>
    <t>Casey Cizikas</t>
  </si>
  <si>
    <t>Dylan Samberg</t>
  </si>
  <si>
    <t>Kevin Rooney</t>
  </si>
  <si>
    <t>Christian Fischer</t>
  </si>
  <si>
    <t>Zack Kassian</t>
  </si>
  <si>
    <t>Jack Johnson</t>
  </si>
  <si>
    <t>Sam Lafferty</t>
  </si>
  <si>
    <t>Joel Armia</t>
  </si>
  <si>
    <t>Taylor Raddysh</t>
  </si>
  <si>
    <t>Anthony Duclair</t>
  </si>
  <si>
    <t>Danton Heinen</t>
  </si>
  <si>
    <t>Haydn Fleury</t>
  </si>
  <si>
    <t>Alex Chiasson</t>
  </si>
  <si>
    <t>Marc-Edouard Vlasic</t>
  </si>
  <si>
    <t>Sam Gagner</t>
  </si>
  <si>
    <t>Filip Chytil</t>
  </si>
  <si>
    <t>Jaret Anderson-Dolan</t>
  </si>
  <si>
    <t>Kaapo Kakko</t>
  </si>
  <si>
    <t>Curtis Lazar</t>
  </si>
  <si>
    <t>Daniel Sprong</t>
  </si>
  <si>
    <t>Mathieu Joseph</t>
  </si>
  <si>
    <t>Brad Hunt</t>
  </si>
  <si>
    <t>Derek Stepan</t>
  </si>
  <si>
    <t>Radim Simek</t>
  </si>
  <si>
    <t>Trevor Lewis</t>
  </si>
  <si>
    <t>Parker Kelly</t>
  </si>
  <si>
    <t>Cody Glass</t>
  </si>
  <si>
    <t>Andreas Johnsson</t>
  </si>
  <si>
    <t>Phillip Di Giuseppe</t>
  </si>
  <si>
    <t>Mattias Janmark</t>
  </si>
  <si>
    <t>Justin Danforth</t>
  </si>
  <si>
    <t>Jordan Martinook</t>
  </si>
  <si>
    <t>Ryan Carpenter</t>
  </si>
  <si>
    <t>Ryan Murray</t>
  </si>
  <si>
    <t>Reese Johnson</t>
  </si>
  <si>
    <t>Vinnie Hinostroza</t>
  </si>
  <si>
    <t>Yegor Chinakhov</t>
  </si>
  <si>
    <t>Rasmus Asplund</t>
  </si>
  <si>
    <t>Sebastian Aho (D)</t>
  </si>
  <si>
    <t>Philipp Kurashev</t>
  </si>
  <si>
    <t>Tyson Jost</t>
  </si>
  <si>
    <t>Jimmy Vesey</t>
  </si>
  <si>
    <t>Derick Brassard</t>
  </si>
  <si>
    <t>Joe Veleno</t>
  </si>
  <si>
    <t>Rasmus Kupari</t>
  </si>
  <si>
    <t>Will Borgen</t>
  </si>
  <si>
    <t>Josh Mahura</t>
  </si>
  <si>
    <t>Matt Nieto</t>
  </si>
  <si>
    <t>Kevin Stenlund</t>
  </si>
  <si>
    <t>Conor Timmins</t>
  </si>
  <si>
    <t>Travis Dermott</t>
  </si>
  <si>
    <t>Tyler Pitlick</t>
  </si>
  <si>
    <t>Brett Ritchie</t>
  </si>
  <si>
    <t>Ross Johnston</t>
  </si>
  <si>
    <t>David Kampf</t>
  </si>
  <si>
    <t>Isac Lundestrom</t>
  </si>
  <si>
    <t>Jonah Gadjovich</t>
  </si>
  <si>
    <t>Emil Bemstrom</t>
  </si>
  <si>
    <t>Tomas Nosek</t>
  </si>
  <si>
    <t>Eetu Luostarinen</t>
  </si>
  <si>
    <t>Matt Martin</t>
  </si>
  <si>
    <t>Max Jones</t>
  </si>
  <si>
    <t>Nico Sturm</t>
  </si>
  <si>
    <t>Jason Dickinson</t>
  </si>
  <si>
    <t>Morgan Geekie</t>
  </si>
  <si>
    <t>Blake Lizotte</t>
  </si>
  <si>
    <t>Morgan Frost</t>
  </si>
  <si>
    <t>Patrick Brown</t>
  </si>
  <si>
    <t>Joel Hanley</t>
  </si>
  <si>
    <t>Thomas Harley</t>
  </si>
  <si>
    <t>Ryan Donato</t>
  </si>
  <si>
    <t>Kevin Bahl</t>
  </si>
  <si>
    <t>Joel Kiviranta</t>
  </si>
  <si>
    <t>Chris Tierney</t>
  </si>
  <si>
    <t>Mark Friedman</t>
  </si>
  <si>
    <t>Jesper Boqvist</t>
  </si>
  <si>
    <t>Josh Leivo</t>
  </si>
  <si>
    <t>Nicklas Backstrom</t>
  </si>
  <si>
    <t>Darren Helm</t>
  </si>
  <si>
    <t>William Carrier</t>
  </si>
  <si>
    <t>Pierre-Edouard Bellemare</t>
  </si>
  <si>
    <t>Vitali Kravtsov</t>
  </si>
  <si>
    <t>Klim Kostin</t>
  </si>
  <si>
    <t>Adam Ruzicka</t>
  </si>
  <si>
    <t>Derek Ryan</t>
  </si>
  <si>
    <t>Ryan Poehling</t>
  </si>
  <si>
    <t>Quinton Byfield</t>
  </si>
  <si>
    <t>Vinni Lettieri</t>
  </si>
  <si>
    <t>Karson Kuhlman</t>
  </si>
  <si>
    <t>Dylan Gambrell</t>
  </si>
  <si>
    <t>Carl Grundstrom</t>
  </si>
  <si>
    <t>Julien Gauthier</t>
  </si>
  <si>
    <t>Oskar Lindblom</t>
  </si>
  <si>
    <t>Philip Broberg</t>
  </si>
  <si>
    <t>Jacob Peterson</t>
  </si>
  <si>
    <t>Steven Lorentz</t>
  </si>
  <si>
    <t>Michael Amadio</t>
  </si>
  <si>
    <t>Morgan Barron</t>
  </si>
  <si>
    <t>Brett Howden</t>
  </si>
  <si>
    <t>Gabriel Vilardi</t>
  </si>
  <si>
    <t>Sam Steel</t>
  </si>
  <si>
    <t>Eric Robinson</t>
  </si>
  <si>
    <t>Mitchell Stephens</t>
  </si>
  <si>
    <t>Alexei Toropchenko</t>
  </si>
  <si>
    <t>Dominic Toninato</t>
  </si>
  <si>
    <t>Givani Smith</t>
  </si>
  <si>
    <t>Nick Cousins</t>
  </si>
  <si>
    <t>Laurent Dauphin</t>
  </si>
  <si>
    <t>Michael Pezzetta</t>
  </si>
  <si>
    <t>Matias Maccelli</t>
  </si>
  <si>
    <t>Devin Shore</t>
  </si>
  <si>
    <t>Jansen Harkins</t>
  </si>
  <si>
    <t>Aliaksei Protas</t>
  </si>
  <si>
    <t>Brett Leason</t>
  </si>
  <si>
    <t>Lane Pederson</t>
  </si>
  <si>
    <t>Jake Leschyshyn</t>
  </si>
  <si>
    <t>Andrew Cogliano</t>
  </si>
  <si>
    <t>Nathan Walker</t>
  </si>
  <si>
    <t>Brendan Gaunce</t>
  </si>
  <si>
    <t>Logan Brown</t>
  </si>
  <si>
    <t>Jonas Rondbjerg</t>
  </si>
  <si>
    <t>Boris Katchouk</t>
  </si>
  <si>
    <t>Drew O'Connor</t>
  </si>
  <si>
    <t>Anders Bjork</t>
  </si>
  <si>
    <t>Axel Jonsson-Fjallby</t>
  </si>
  <si>
    <t>Rk VOR</t>
  </si>
  <si>
    <t>Skater Categories</t>
  </si>
  <si>
    <t>Goalie Categories</t>
  </si>
  <si>
    <t>Number of Teams in League</t>
  </si>
  <si>
    <t>Wins</t>
  </si>
  <si>
    <t>Losses</t>
  </si>
  <si>
    <t>Games Started</t>
  </si>
  <si>
    <t>Goals Against</t>
  </si>
  <si>
    <t>Shots Against</t>
  </si>
  <si>
    <t>Saves</t>
  </si>
  <si>
    <t>Shutouts</t>
  </si>
  <si>
    <t>PPG</t>
  </si>
  <si>
    <t>PPA</t>
  </si>
  <si>
    <t>SHP</t>
  </si>
  <si>
    <r>
      <t>Use the table below to indicate which</t>
    </r>
    <r>
      <rPr>
        <b/>
        <sz val="11"/>
        <color rgb="FFFF0000"/>
        <rFont val="Calibri"/>
        <family val="2"/>
        <scheme val="minor"/>
      </rPr>
      <t xml:space="preserve"> </t>
    </r>
    <r>
      <rPr>
        <b/>
        <u/>
        <sz val="11"/>
        <color rgb="FFFF0000"/>
        <rFont val="Calibri"/>
        <family val="2"/>
        <scheme val="minor"/>
      </rPr>
      <t>Skater</t>
    </r>
    <r>
      <rPr>
        <b/>
        <sz val="11"/>
        <color rgb="FFFF0000"/>
        <rFont val="Calibri"/>
        <family val="2"/>
        <scheme val="minor"/>
      </rPr>
      <t xml:space="preserve"> </t>
    </r>
    <r>
      <rPr>
        <b/>
        <sz val="11"/>
        <color theme="1"/>
        <rFont val="Calibri"/>
        <family val="2"/>
        <scheme val="minor"/>
      </rPr>
      <t>categories are used in your league. Answer "Yes" or "No" in each block</t>
    </r>
  </si>
  <si>
    <r>
      <t>Use the button below to reset the</t>
    </r>
    <r>
      <rPr>
        <b/>
        <u/>
        <sz val="11"/>
        <color theme="1"/>
        <rFont val="Calibri"/>
        <family val="2"/>
        <scheme val="minor"/>
      </rPr>
      <t xml:space="preserve"> TOI </t>
    </r>
    <r>
      <rPr>
        <sz val="11"/>
        <color theme="1"/>
        <rFont val="Calibri"/>
        <family val="2"/>
        <scheme val="minor"/>
      </rPr>
      <t xml:space="preserve">for the </t>
    </r>
    <r>
      <rPr>
        <b/>
        <sz val="11"/>
        <color rgb="FFFF0000"/>
        <rFont val="Calibri"/>
        <family val="2"/>
        <scheme val="minor"/>
      </rPr>
      <t>Skater</t>
    </r>
    <r>
      <rPr>
        <sz val="11"/>
        <color theme="1"/>
        <rFont val="Calibri"/>
        <family val="2"/>
        <scheme val="minor"/>
      </rPr>
      <t xml:space="preserve"> Projections</t>
    </r>
  </si>
  <si>
    <r>
      <t xml:space="preserve">Use the button below to reset the </t>
    </r>
    <r>
      <rPr>
        <b/>
        <u/>
        <sz val="11"/>
        <color theme="1"/>
        <rFont val="Calibri"/>
        <family val="2"/>
        <scheme val="minor"/>
      </rPr>
      <t>GP</t>
    </r>
    <r>
      <rPr>
        <sz val="11"/>
        <color theme="1"/>
        <rFont val="Calibri"/>
        <family val="2"/>
        <scheme val="minor"/>
      </rPr>
      <t xml:space="preserve"> for the </t>
    </r>
    <r>
      <rPr>
        <b/>
        <sz val="11"/>
        <color rgb="FFFF0000"/>
        <rFont val="Calibri"/>
        <family val="2"/>
        <scheme val="minor"/>
      </rPr>
      <t>Skater</t>
    </r>
    <r>
      <rPr>
        <sz val="11"/>
        <color theme="1"/>
        <rFont val="Calibri"/>
        <family val="2"/>
        <scheme val="minor"/>
      </rPr>
      <t xml:space="preserve"> Projections</t>
    </r>
  </si>
  <si>
    <r>
      <t>Use the table below to indicate which</t>
    </r>
    <r>
      <rPr>
        <b/>
        <sz val="11"/>
        <color rgb="FFFF0000"/>
        <rFont val="Calibri"/>
        <family val="2"/>
        <scheme val="minor"/>
      </rPr>
      <t xml:space="preserve"> </t>
    </r>
    <r>
      <rPr>
        <b/>
        <u/>
        <sz val="11"/>
        <color theme="4"/>
        <rFont val="Calibri"/>
        <family val="2"/>
        <scheme val="minor"/>
      </rPr>
      <t>Goalie</t>
    </r>
    <r>
      <rPr>
        <b/>
        <sz val="11"/>
        <color rgb="FFFF0000"/>
        <rFont val="Calibri"/>
        <family val="2"/>
        <scheme val="minor"/>
      </rPr>
      <t xml:space="preserve"> </t>
    </r>
    <r>
      <rPr>
        <b/>
        <sz val="11"/>
        <color theme="1"/>
        <rFont val="Calibri"/>
        <family val="2"/>
        <scheme val="minor"/>
      </rPr>
      <t>categories are used in your league. Answer "Yes" or "No" in each block</t>
    </r>
  </si>
  <si>
    <r>
      <t xml:space="preserve">Use the button below to reset the </t>
    </r>
    <r>
      <rPr>
        <b/>
        <u/>
        <sz val="11"/>
        <color theme="1"/>
        <rFont val="Calibri"/>
        <family val="2"/>
        <scheme val="minor"/>
      </rPr>
      <t>GP</t>
    </r>
    <r>
      <rPr>
        <sz val="11"/>
        <color theme="1"/>
        <rFont val="Calibri"/>
        <family val="2"/>
        <scheme val="minor"/>
      </rPr>
      <t xml:space="preserve"> for the </t>
    </r>
    <r>
      <rPr>
        <b/>
        <sz val="11"/>
        <color theme="4"/>
        <rFont val="Calibri"/>
        <family val="2"/>
        <scheme val="minor"/>
      </rPr>
      <t>Goalie</t>
    </r>
    <r>
      <rPr>
        <sz val="11"/>
        <color theme="1"/>
        <rFont val="Calibri"/>
        <family val="2"/>
        <scheme val="minor"/>
      </rPr>
      <t xml:space="preserve"> Projections</t>
    </r>
  </si>
  <si>
    <r>
      <t xml:space="preserve">Use the table below to customize the point system for your league. </t>
    </r>
    <r>
      <rPr>
        <b/>
        <u/>
        <sz val="11"/>
        <color theme="5"/>
        <rFont val="Calibri"/>
        <family val="2"/>
        <scheme val="minor"/>
      </rPr>
      <t>This is for points leagues only</t>
    </r>
  </si>
  <si>
    <t>Jack Quinn</t>
  </si>
  <si>
    <t>Marco Rossi</t>
  </si>
  <si>
    <t>Mason McTavish</t>
  </si>
  <si>
    <t>Jack McBain</t>
  </si>
  <si>
    <t>Lukas Reichel</t>
  </si>
  <si>
    <t>Ben Meyers</t>
  </si>
  <si>
    <t>Kent Johnson</t>
  </si>
  <si>
    <t>Kirill Marchenko</t>
  </si>
  <si>
    <t>Simon Edvinsson</t>
  </si>
  <si>
    <t>Juraj Slafkovsky</t>
  </si>
  <si>
    <t>Shane Pinto</t>
  </si>
  <si>
    <t>Owen Power</t>
  </si>
  <si>
    <t>Alexander Edler</t>
  </si>
  <si>
    <t>Alexander Kerfoot</t>
  </si>
  <si>
    <t>Alexander Romanov</t>
  </si>
  <si>
    <t>Alexandre Carrier</t>
  </si>
  <si>
    <t>BUF, CHI</t>
  </si>
  <si>
    <t>NYI, VAN</t>
  </si>
  <si>
    <t>Brayden McNabb</t>
  </si>
  <si>
    <t>Brock McGinn</t>
  </si>
  <si>
    <t>NSH, T.B</t>
  </si>
  <si>
    <t>Calvin de Haan</t>
  </si>
  <si>
    <t>Charlie McAvoy</t>
  </si>
  <si>
    <t>Christopher Tanev</t>
  </si>
  <si>
    <t>Dylan DeMelo</t>
  </si>
  <si>
    <t>STL, VGK</t>
  </si>
  <si>
    <t>Jake DeBrusk</t>
  </si>
  <si>
    <t>Jake McCabe</t>
  </si>
  <si>
    <t>Jordan Oesterle</t>
  </si>
  <si>
    <t>Jordie Benn</t>
  </si>
  <si>
    <t>JT Compher</t>
  </si>
  <si>
    <t>JT Miller</t>
  </si>
  <si>
    <t>MacKenzie Weegar</t>
  </si>
  <si>
    <t>Mark Jankowski</t>
  </si>
  <si>
    <t>EDM, NSH</t>
  </si>
  <si>
    <t>Michael McLeod</t>
  </si>
  <si>
    <t>Michael Stone</t>
  </si>
  <si>
    <t>Nathan Beaulieu</t>
  </si>
  <si>
    <t>Nicholas Paul</t>
  </si>
  <si>
    <t>PIT, S.J</t>
  </si>
  <si>
    <t>NYR, STL</t>
  </si>
  <si>
    <t>NYI, TOR</t>
  </si>
  <si>
    <t>BUF, NSH</t>
  </si>
  <si>
    <t>BUF, VAN</t>
  </si>
  <si>
    <t>Ryan McDonagh</t>
  </si>
  <si>
    <t>Ryan McLeod</t>
  </si>
  <si>
    <t>TJ Brodie</t>
  </si>
  <si>
    <t>Trevor van Riemsdyk</t>
  </si>
  <si>
    <t>ARI, CGY</t>
  </si>
  <si>
    <t>CBJ, L.A</t>
  </si>
  <si>
    <t>Brad Malone</t>
  </si>
  <si>
    <t>Casey Fitzgerald</t>
  </si>
  <si>
    <t>Connor Dewar</t>
  </si>
  <si>
    <t>Connor McDavid</t>
  </si>
  <si>
    <t>Gavin Bayreuther</t>
  </si>
  <si>
    <t>Jake Middleton</t>
  </si>
  <si>
    <t>Jared McCann</t>
  </si>
  <si>
    <t>Jaycob Megna</t>
  </si>
  <si>
    <t>Jayson Megna</t>
  </si>
  <si>
    <t>JJ Moser</t>
  </si>
  <si>
    <t>Markus Niemelainen</t>
  </si>
  <si>
    <t>Michael McCarron</t>
  </si>
  <si>
    <t>Nick Seeler</t>
  </si>
  <si>
    <t>Noah Cates</t>
  </si>
  <si>
    <t>Noah Juulsen</t>
  </si>
  <si>
    <t>OTT, PHI</t>
  </si>
  <si>
    <t>Sam Carrick</t>
  </si>
  <si>
    <t>Simon Benoit</t>
  </si>
  <si>
    <t>Alex Belzile</t>
  </si>
  <si>
    <t>Alex Vlasic</t>
  </si>
  <si>
    <t>Alexander Alexeyev</t>
  </si>
  <si>
    <t>Andreas Englund</t>
  </si>
  <si>
    <t>Arber Xhekaj</t>
  </si>
  <si>
    <t>Billy Sweezey</t>
  </si>
  <si>
    <t>Brayden Pachal</t>
  </si>
  <si>
    <t>L.A, PHI</t>
  </si>
  <si>
    <t>Calle Rosen</t>
  </si>
  <si>
    <t>Cole Smith</t>
  </si>
  <si>
    <t>Colton White</t>
  </si>
  <si>
    <t>Connor Mackey</t>
  </si>
  <si>
    <t>Dakota Joshua</t>
  </si>
  <si>
    <t>David Gustafsson</t>
  </si>
  <si>
    <t>Eric Staal</t>
  </si>
  <si>
    <t>Erik Gustafsson (92)</t>
  </si>
  <si>
    <t>TOR, WSH</t>
  </si>
  <si>
    <t>Evgenii Dadonov</t>
  </si>
  <si>
    <t>DAL, MTL</t>
  </si>
  <si>
    <t>Guillaume Brisebois</t>
  </si>
  <si>
    <t>Isaak Phillips</t>
  </si>
  <si>
    <t>Joey Anderson</t>
  </si>
  <si>
    <t>Johnathan Kovacevic</t>
  </si>
  <si>
    <t>Jordan Harris</t>
  </si>
  <si>
    <t>Justin Barron</t>
  </si>
  <si>
    <t>Kaiden Guhle</t>
  </si>
  <si>
    <t>Kevin Gravel</t>
  </si>
  <si>
    <t>Lawrence Pilut</t>
  </si>
  <si>
    <t>Lukas Sedlak</t>
  </si>
  <si>
    <t>Marcus Bjork</t>
  </si>
  <si>
    <t>Mark Kastelic</t>
  </si>
  <si>
    <t>Mason Shaw</t>
  </si>
  <si>
    <t>Matty Beniers</t>
  </si>
  <si>
    <t>Michael Kesselring</t>
  </si>
  <si>
    <t>ARI, EDM</t>
  </si>
  <si>
    <t>Nick Blankenburg</t>
  </si>
  <si>
    <t>Nick Cicek</t>
  </si>
  <si>
    <t>Nils Aman</t>
  </si>
  <si>
    <t>Rafael Harvey-Pinard</t>
  </si>
  <si>
    <t>Saku Maenalanen</t>
  </si>
  <si>
    <t>Sheldon Dries</t>
  </si>
  <si>
    <t>Spencer Stastney</t>
  </si>
  <si>
    <t>Tim Berni</t>
  </si>
  <si>
    <t>Tony DeAngelo</t>
  </si>
  <si>
    <t>Tyler Tucker</t>
  </si>
  <si>
    <t>Vincent Desharnais</t>
  </si>
  <si>
    <t>Wyatt Johnston</t>
  </si>
  <si>
    <t>Wyatt Kaiser</t>
  </si>
  <si>
    <t>Jack Studnicka</t>
  </si>
  <si>
    <t>Jalen Chatfield</t>
  </si>
  <si>
    <t>Jarred Tinordi</t>
  </si>
  <si>
    <t>Juuso Valimaki</t>
  </si>
  <si>
    <t>Kurtis MacDermid</t>
  </si>
  <si>
    <t>Liam Foudy</t>
  </si>
  <si>
    <t>Matt Irwin</t>
  </si>
  <si>
    <t>Scott Harrington</t>
  </si>
  <si>
    <t>ANA, S.J</t>
  </si>
  <si>
    <t>Alex DeBrincat</t>
  </si>
  <si>
    <t>Alexandre Texier</t>
  </si>
  <si>
    <t>Ben Harpur</t>
  </si>
  <si>
    <t>Kale Clague</t>
  </si>
  <si>
    <t>TJ Oshie</t>
  </si>
  <si>
    <t>William Lagesson</t>
  </si>
  <si>
    <t>Jacob Moverare</t>
  </si>
  <si>
    <t>Jonny Brodzinski</t>
  </si>
  <si>
    <t>Justin Bailey</t>
  </si>
  <si>
    <t>MacKenzie Entwistle</t>
  </si>
  <si>
    <t>Ronnie Attard</t>
  </si>
  <si>
    <t>Alexander Barabanov</t>
  </si>
  <si>
    <t>Colin White (C)</t>
  </si>
  <si>
    <t>James van Riemsdyk</t>
  </si>
  <si>
    <t>CAR, EDM</t>
  </si>
  <si>
    <t>Nathan MacKinnon</t>
  </si>
  <si>
    <t>N.J, S.J</t>
  </si>
  <si>
    <t>DAL, S.J</t>
  </si>
  <si>
    <t>Tommy Novak</t>
  </si>
  <si>
    <t>Alexander Holtz</t>
  </si>
  <si>
    <t>Denis Malgin</t>
  </si>
  <si>
    <t>COL, TOR</t>
  </si>
  <si>
    <t>Dylan Guenther</t>
  </si>
  <si>
    <t>Dylan Holloway</t>
  </si>
  <si>
    <t>Fabian Zetterlund</t>
  </si>
  <si>
    <t>Jack Drury</t>
  </si>
  <si>
    <t>Jake Neighbours</t>
  </si>
  <si>
    <t>Jakob Pelletier</t>
  </si>
  <si>
    <t>Jesse Ylonen</t>
  </si>
  <si>
    <t>JJ Peterka</t>
  </si>
  <si>
    <t>Jonatan Berggren</t>
  </si>
  <si>
    <t>Juuso Parssinen</t>
  </si>
  <si>
    <t>Kiefer Sherwood</t>
  </si>
  <si>
    <t>Luke Evangelista</t>
  </si>
  <si>
    <t>Martin Kaut</t>
  </si>
  <si>
    <t>Michael Eyssimont</t>
  </si>
  <si>
    <t>Pavel Dorofeyev</t>
  </si>
  <si>
    <t>Stefan Noesen</t>
  </si>
  <si>
    <t>William Eklund</t>
  </si>
  <si>
    <t>Zack MacEwen</t>
  </si>
  <si>
    <t>Pat Maroon</t>
  </si>
  <si>
    <t>Bobby Brink</t>
  </si>
  <si>
    <t>Nils Lundkvist</t>
  </si>
  <si>
    <t>Calen Addison</t>
  </si>
  <si>
    <t>Jacob MacDonald</t>
  </si>
  <si>
    <t>Jordan Gross</t>
  </si>
  <si>
    <t>Victor Soderstrom</t>
  </si>
  <si>
    <t>FLA, T.B</t>
  </si>
  <si>
    <t>Austin Czarnik</t>
  </si>
  <si>
    <t>NYR, VGK</t>
  </si>
  <si>
    <t>NYI, PHI</t>
  </si>
  <si>
    <t>CBJ, VAN</t>
  </si>
  <si>
    <t>Matt Luff</t>
  </si>
  <si>
    <t>AJ Greer</t>
  </si>
  <si>
    <t>Cole Guttman</t>
  </si>
  <si>
    <t>Cole Koepke</t>
  </si>
  <si>
    <t>Egor Afanasyev</t>
  </si>
  <si>
    <t>Elmer Soderblom</t>
  </si>
  <si>
    <t>Fredrik Olofsson</t>
  </si>
  <si>
    <t>Grigori Denisenko</t>
  </si>
  <si>
    <t>Hudson Fasching</t>
  </si>
  <si>
    <t>Jakub Lauko</t>
  </si>
  <si>
    <t>Nikita Alexandrov</t>
  </si>
  <si>
    <t>Paul Cotter</t>
  </si>
  <si>
    <t>Pontus Holmberg</t>
  </si>
  <si>
    <t>Ridly Greig</t>
  </si>
  <si>
    <t>Simon Holmstrom</t>
  </si>
  <si>
    <t>Tanner Laczynski</t>
  </si>
  <si>
    <t>Walker Duehr</t>
  </si>
  <si>
    <t>Wade Allison</t>
  </si>
  <si>
    <t>Connor McMichael</t>
  </si>
  <si>
    <t>Michael Carcone</t>
  </si>
  <si>
    <t>Oskar Steen</t>
  </si>
  <si>
    <t>Radim Zohorna</t>
  </si>
  <si>
    <t>Libor Hajek</t>
  </si>
  <si>
    <t>Egor Zamula</t>
  </si>
  <si>
    <t>NA</t>
  </si>
  <si>
    <t>Cale Fleury</t>
  </si>
  <si>
    <t>Daniil Miromanov</t>
  </si>
  <si>
    <t>Darren Raddysh</t>
  </si>
  <si>
    <t>Dennis Gilbert</t>
  </si>
  <si>
    <t>Filip Roos</t>
  </si>
  <si>
    <t>Jacob Bernard-Docker</t>
  </si>
  <si>
    <t>Jake Christiansen</t>
  </si>
  <si>
    <t>Kaedan Korczak</t>
  </si>
  <si>
    <t>Matt Kiersted</t>
  </si>
  <si>
    <t>Nick Perbix</t>
  </si>
  <si>
    <t>Parker Wotherspoon</t>
  </si>
  <si>
    <t>Samuel Bolduc</t>
  </si>
  <si>
    <t>Christian Wolanin</t>
  </si>
  <si>
    <t>Shane Wright</t>
  </si>
  <si>
    <t>Nicholas Robertson</t>
  </si>
  <si>
    <t>Tyson Foerster</t>
  </si>
  <si>
    <t>Brandt Clarke</t>
  </si>
  <si>
    <t>Matthew Knies</t>
  </si>
  <si>
    <t>Luke Hughes</t>
  </si>
  <si>
    <t>Brock Faber</t>
  </si>
  <si>
    <t>Henry Thrun</t>
  </si>
  <si>
    <t>Connor Bedard</t>
  </si>
  <si>
    <t>Akira Schmid</t>
  </si>
  <si>
    <t>Alex Lyon</t>
  </si>
  <si>
    <t>TOT</t>
  </si>
  <si>
    <t>Collin Delia</t>
  </si>
  <si>
    <t>Connor Ingram</t>
  </si>
  <si>
    <t>Daniil Tarasov</t>
  </si>
  <si>
    <t>Devon Levi</t>
  </si>
  <si>
    <t>Joel Hofer</t>
  </si>
  <si>
    <t>NJD</t>
  </si>
  <si>
    <t>Joseph Woll</t>
  </si>
  <si>
    <t>Pheonix Copley</t>
  </si>
  <si>
    <t>Pyotr Kochetkov</t>
  </si>
  <si>
    <t>VEG</t>
  </si>
  <si>
    <t>Samuel Ersson</t>
  </si>
  <si>
    <t>SJS</t>
  </si>
  <si>
    <t>Dustin Wolf</t>
  </si>
  <si>
    <t>Matthew Phillips</t>
  </si>
  <si>
    <t>Thomas Bordeleau</t>
  </si>
  <si>
    <t>Matt Coronato</t>
  </si>
  <si>
    <t>Bobby McMann</t>
  </si>
  <si>
    <t>Leo Carlsson</t>
  </si>
  <si>
    <t>Adam Fantilli</t>
  </si>
  <si>
    <t>Ryker Evans</t>
  </si>
  <si>
    <t>Lukas Dostal</t>
  </si>
  <si>
    <t>UFA</t>
  </si>
  <si>
    <t>Jonas Johansson</t>
  </si>
  <si>
    <r>
      <t xml:space="preserve">Welcome to the DtZ 2024 projections. This sheet is designed to give custom Fantasy Hockey rankings with as little effort from the user as possible. Enter the categories your league uses on the </t>
    </r>
    <r>
      <rPr>
        <u/>
        <sz val="11"/>
        <color theme="1"/>
        <rFont val="Calibri"/>
        <family val="2"/>
        <scheme val="minor"/>
      </rPr>
      <t>"League Input</t>
    </r>
    <r>
      <rPr>
        <sz val="11"/>
        <color theme="1"/>
        <rFont val="Calibri"/>
        <family val="2"/>
        <scheme val="minor"/>
      </rPr>
      <t>" sheet, and you'll have your customized league rankings.</t>
    </r>
  </si>
  <si>
    <t>The projections include the following categories: Goals, Assists, Points, Power Play Points, Shots on goal, Hits, Face-off wins, Face-off losses, and Penalty Minutes. The sheet also contains my version of a positional adjusted all-encompassing value stat. It is known as VAA on the sheet and stands for Value Above Average. It's the value that the player provides above that of an "average" player at their position. Generally, players within 150 VOR of each other can be considered to be in same tier</t>
  </si>
  <si>
    <t>Unadj VOR</t>
  </si>
  <si>
    <t>Logan Cooley</t>
  </si>
  <si>
    <t>ANA, EDM</t>
  </si>
  <si>
    <t>C,LW,RW</t>
  </si>
  <si>
    <t>Alex Laferriere</t>
  </si>
  <si>
    <t>Alex Nylander</t>
  </si>
  <si>
    <t>CBJ, PIT</t>
  </si>
  <si>
    <t>Alex Turcotte</t>
  </si>
  <si>
    <t>NYR, SEA</t>
  </si>
  <si>
    <t>CHI, NSH, VAN</t>
  </si>
  <si>
    <t>S.J, T.B</t>
  </si>
  <si>
    <t>VGK, WSH</t>
  </si>
  <si>
    <t>Beck Malenstyn</t>
  </si>
  <si>
    <t>Brendan Brisson</t>
  </si>
  <si>
    <t>Byron Froese</t>
  </si>
  <si>
    <t>BUF, COL</t>
  </si>
  <si>
    <t>MTL, PIT</t>
  </si>
  <si>
    <t>MIN, TOR</t>
  </si>
  <si>
    <t>Connor Zary</t>
  </si>
  <si>
    <t>CHI, EDM</t>
  </si>
  <si>
    <t>NSH, PHI</t>
  </si>
  <si>
    <t>Dmitri Voronkov</t>
  </si>
  <si>
    <t>BUF, CBJ</t>
  </si>
  <si>
    <t>CAR, WSH</t>
  </si>
  <si>
    <t>Hendrix Lapierre</t>
  </si>
  <si>
    <t>Ivan Miroshnichenko</t>
  </si>
  <si>
    <t>CBJ, NYR</t>
  </si>
  <si>
    <t>S.J, VAN</t>
  </si>
  <si>
    <t>Jacob Lucchini</t>
  </si>
  <si>
    <t>CAR, PIT</t>
  </si>
  <si>
    <t>James Hamblin</t>
  </si>
  <si>
    <t>L.A, NSH</t>
  </si>
  <si>
    <t>ARI, NSH</t>
  </si>
  <si>
    <t>Jiri Smejkal</t>
  </si>
  <si>
    <t>John Beecher</t>
  </si>
  <si>
    <t>Joshua Roy</t>
  </si>
  <si>
    <t>Justin Brazeau</t>
  </si>
  <si>
    <t>DET, S.J</t>
  </si>
  <si>
    <t>LW,D</t>
  </si>
  <si>
    <t>COL, N.J</t>
  </si>
  <si>
    <t>Kyle MacLean</t>
  </si>
  <si>
    <t>Landon Slaggert</t>
  </si>
  <si>
    <t>Logan Stankoven</t>
  </si>
  <si>
    <t>Lukas Rousek</t>
  </si>
  <si>
    <t>Marat Khusnutdinov</t>
  </si>
  <si>
    <t>Martin Pospisil</t>
  </si>
  <si>
    <t>PIT, WSH</t>
  </si>
  <si>
    <t>Matthew Poitras</t>
  </si>
  <si>
    <t>Michael Sgarbossa</t>
  </si>
  <si>
    <t>Mikael Pyyhtia</t>
  </si>
  <si>
    <t>Mitchell Chaffee</t>
  </si>
  <si>
    <t>Olle Lycksell</t>
  </si>
  <si>
    <t>BOS, MIN</t>
  </si>
  <si>
    <t>Rourke Chartier</t>
  </si>
  <si>
    <t>MTL, WPG</t>
  </si>
  <si>
    <t>S.J, VGK</t>
  </si>
  <si>
    <t>COL, SEA</t>
  </si>
  <si>
    <t>Tye Kartye</t>
  </si>
  <si>
    <t>N.J, WPG</t>
  </si>
  <si>
    <t>Valtteri Puustinen</t>
  </si>
  <si>
    <t>FLA, OTT</t>
  </si>
  <si>
    <t>Will Cuylle</t>
  </si>
  <si>
    <t>William Lockwood</t>
  </si>
  <si>
    <t>COL, NSH</t>
  </si>
  <si>
    <t>Zach Benson</t>
  </si>
  <si>
    <t>ARI, CHI</t>
  </si>
  <si>
    <t>BOS, CBJ</t>
  </si>
  <si>
    <t>CGY, VGK</t>
  </si>
  <si>
    <t>MIN, S.J</t>
  </si>
  <si>
    <t>NYR, PIT</t>
  </si>
  <si>
    <t>CGY, DAL</t>
  </si>
  <si>
    <t>Dakota Mermis</t>
  </si>
  <si>
    <t>David Jiricek</t>
  </si>
  <si>
    <t>Declan Chisholm</t>
  </si>
  <si>
    <t>MIN, WPG</t>
  </si>
  <si>
    <t>BUF, PHI</t>
  </si>
  <si>
    <t>ANA, TOR</t>
  </si>
  <si>
    <t>Jackson LaCombe</t>
  </si>
  <si>
    <t>ANA, PHI</t>
  </si>
  <si>
    <t>Jayden Struble</t>
  </si>
  <si>
    <t>John Ludvig</t>
  </si>
  <si>
    <t>Kevin Korchinski</t>
  </si>
  <si>
    <t>Louie Belpedio</t>
  </si>
  <si>
    <t>Louis Crevier</t>
  </si>
  <si>
    <t>Mason Lohrei</t>
  </si>
  <si>
    <t>ARI, T.B</t>
  </si>
  <si>
    <t>Matthew Kessel</t>
  </si>
  <si>
    <t>Maxwell Crozier</t>
  </si>
  <si>
    <t>FLA, NYI</t>
  </si>
  <si>
    <t>Nick DeSimone</t>
  </si>
  <si>
    <t>CGY, N.J</t>
  </si>
  <si>
    <t>Nikita Okhotiuk</t>
  </si>
  <si>
    <t>CGY, S.J</t>
  </si>
  <si>
    <t>Olen Zellweger</t>
  </si>
  <si>
    <t>Pavel Mintyukov</t>
  </si>
  <si>
    <t>NYI, STL</t>
  </si>
  <si>
    <t>Ryan Johnson</t>
  </si>
  <si>
    <t>Ryan Shea</t>
  </si>
  <si>
    <t>Sam Malinski</t>
  </si>
  <si>
    <t>Santeri Hatakka</t>
  </si>
  <si>
    <t>Simon Nemec</t>
  </si>
  <si>
    <t>Ty Emberson</t>
  </si>
  <si>
    <t>Uvis Balinskis</t>
  </si>
  <si>
    <t>MIN, T.B</t>
  </si>
  <si>
    <t>Matt Rempe</t>
  </si>
  <si>
    <t>Josh Doan</t>
  </si>
  <si>
    <t>Maxim Tsyplakov</t>
  </si>
  <si>
    <t>Lane Hutson</t>
  </si>
  <si>
    <t>Matvei Michkov</t>
  </si>
  <si>
    <t xml:space="preserve">Rutger McGroarty </t>
  </si>
  <si>
    <t>Nikolai Kovalenko</t>
  </si>
  <si>
    <t>Mackie Samoskevich</t>
  </si>
  <si>
    <t>Cutter Gauthier</t>
  </si>
  <si>
    <t>Frank Nazar</t>
  </si>
  <si>
    <t>Mavrik Bourque</t>
  </si>
  <si>
    <t>Macklin Celebrini</t>
  </si>
  <si>
    <t>Will Smith</t>
  </si>
  <si>
    <t>Akil Thomas</t>
  </si>
  <si>
    <t>Albert Johansson</t>
  </si>
  <si>
    <t>Artyom Levshunov</t>
  </si>
  <si>
    <t>Emil Martinsen Lilleberg</t>
  </si>
  <si>
    <t>Jani HakanpÃ¤Ã¤</t>
  </si>
  <si>
    <t>7e-04</t>
  </si>
  <si>
    <t>Alex Kerfoot</t>
  </si>
  <si>
    <t>Bo Groulx</t>
  </si>
  <si>
    <t>Brandon Gignac</t>
  </si>
  <si>
    <t>Emil Lilleberg</t>
  </si>
  <si>
    <t>Gustav LindstrÃ¶m</t>
  </si>
  <si>
    <t>ANA, MTL</t>
  </si>
  <si>
    <t>Ilya Solovyov</t>
  </si>
  <si>
    <t>Jack St Ivany</t>
  </si>
  <si>
    <t>Jesse YlÃ¶nen</t>
  </si>
  <si>
    <t>Jonathan Gruden</t>
  </si>
  <si>
    <t>Marc Del Gaizo</t>
  </si>
  <si>
    <t>Waltteri Merela</t>
  </si>
  <si>
    <t>UTA</t>
  </si>
  <si>
    <t>PH</t>
  </si>
  <si>
    <t>Jacob Markstrom</t>
  </si>
  <si>
    <t>Marc-Andre Fleury</t>
  </si>
  <si>
    <t>Petr Mrazek</t>
  </si>
  <si>
    <t>Vitek Vanacek</t>
  </si>
  <si>
    <t>Kaapo Kahkonen</t>
  </si>
  <si>
    <t>Joey Daccord</t>
  </si>
  <si>
    <t>Arvid Soderblom</t>
  </si>
  <si>
    <t>Cayden Primeau</t>
  </si>
  <si>
    <t>Calvin Pickard</t>
  </si>
  <si>
    <t>Justus Annunen</t>
  </si>
  <si>
    <t>Felix Sandstrom</t>
  </si>
  <si>
    <t>Ivan Fedetov</t>
  </si>
  <si>
    <t>Rutger McGroarty</t>
  </si>
  <si>
    <t>Combined Leagues</t>
  </si>
  <si>
    <t>Forward Positions</t>
  </si>
  <si>
    <t>C/LW/RW</t>
  </si>
  <si>
    <t>Use the tables below to set the number of teams and the number of each position that are drafted. If you play in a league with combined forwards change the "Forward Positions" to "Combined", default is "C/LW/RW"</t>
  </si>
  <si>
    <t>Pos Rank</t>
  </si>
  <si>
    <t>Pos               Used for Vorp</t>
  </si>
  <si>
    <t>Pos Rank2</t>
  </si>
  <si>
    <t>Rank Ovr</t>
  </si>
  <si>
    <t>Ville Heinola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</si>
</sst>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4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2"/>
      <color theme="1"/>
      <name val="Calibri"/>
      <family val="2"/>
      <scheme val="minor"/>
    </font>
    <font>
      <b/>
      <sz val="16"/>
      <color theme="1"/>
      <name val="Calibri"/>
      <family val="2"/>
      <scheme val="minor"/>
    </font>
    <font>
      <sz val="9"/>
      <color theme="1"/>
      <name val="Calibri"/>
      <family val="2"/>
      <scheme val="minor"/>
    </font>
    <font>
      <sz val="12"/>
      <color theme="1"/>
      <name val="Calibri"/>
      <family val="2"/>
      <scheme val="minor"/>
    </font>
    <font>
      <b/>
      <sz val="14"/>
      <color theme="1"/>
      <name val="Calibri"/>
      <family val="2"/>
      <scheme val="minor"/>
    </font>
    <font>
      <b/>
      <sz val="14"/>
      <color theme="0"/>
      <name val="Calibri"/>
      <family val="2"/>
      <scheme val="minor"/>
    </font>
    <font>
      <sz val="14"/>
      <name val="Calibri"/>
      <family val="2"/>
      <scheme val="minor"/>
    </font>
    <font>
      <u/>
      <sz val="11"/>
      <color theme="10"/>
      <name val="Calibri"/>
      <family val="2"/>
      <scheme val="minor"/>
    </font>
    <font>
      <sz val="11"/>
      <name val="Calibri"/>
      <family val="2"/>
      <scheme val="minor"/>
    </font>
    <font>
      <b/>
      <sz val="11"/>
      <color theme="5"/>
      <name val="Calibri"/>
      <family val="2"/>
      <scheme val="minor"/>
    </font>
    <font>
      <b/>
      <sz val="11"/>
      <color theme="4"/>
      <name val="Calibri"/>
      <family val="2"/>
      <scheme val="minor"/>
    </font>
    <font>
      <b/>
      <u/>
      <sz val="11"/>
      <color theme="1"/>
      <name val="Calibri"/>
      <family val="2"/>
      <scheme val="minor"/>
    </font>
    <font>
      <b/>
      <u/>
      <sz val="14"/>
      <color theme="1"/>
      <name val="Calibri"/>
      <family val="2"/>
      <scheme val="minor"/>
    </font>
    <font>
      <u/>
      <sz val="11"/>
      <color theme="1"/>
      <name val="Calibri"/>
      <family val="2"/>
      <scheme val="minor"/>
    </font>
    <font>
      <b/>
      <sz val="11"/>
      <name val="Calibri"/>
      <family val="2"/>
      <scheme val="minor"/>
    </font>
    <font>
      <b/>
      <sz val="13"/>
      <color theme="0"/>
      <name val="Calibri"/>
      <family val="2"/>
      <scheme val="minor"/>
    </font>
    <font>
      <b/>
      <sz val="11"/>
      <color rgb="FFFF0000"/>
      <name val="Calibri"/>
      <family val="2"/>
      <scheme val="minor"/>
    </font>
    <font>
      <b/>
      <u/>
      <sz val="11"/>
      <color rgb="FFFF0000"/>
      <name val="Calibri"/>
      <family val="2"/>
      <scheme val="minor"/>
    </font>
    <font>
      <sz val="12"/>
      <name val="Calibri"/>
      <family val="2"/>
      <scheme val="minor"/>
    </font>
    <font>
      <b/>
      <u/>
      <sz val="11"/>
      <color theme="4"/>
      <name val="Calibri"/>
      <family val="2"/>
      <scheme val="minor"/>
    </font>
    <font>
      <b/>
      <u/>
      <sz val="11"/>
      <color theme="5"/>
      <name val="Calibri"/>
      <family val="2"/>
      <scheme val="minor"/>
    </font>
    <font>
      <b/>
      <sz val="12"/>
      <color theme="0"/>
      <name val="Calibri"/>
      <family val="2"/>
      <scheme val="minor"/>
    </font>
    <font>
      <b/>
      <sz val="12"/>
      <color rgb="FFFFFFFF"/>
      <name val="Calibri"/>
      <family val="2"/>
      <scheme val="minor"/>
    </font>
    <font>
      <b/>
      <sz val="14"/>
      <color rgb="FFFFFFFF"/>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rgb="FF0070C0"/>
        <bgColor indexed="64"/>
      </patternFill>
    </fill>
    <fill>
      <patternFill patternType="solid">
        <fgColor rgb="FF92D050"/>
        <bgColor indexed="64"/>
      </patternFill>
    </fill>
    <fill>
      <patternFill patternType="solid">
        <fgColor theme="0"/>
        <bgColor indexed="64"/>
      </patternFill>
    </fill>
    <fill>
      <patternFill patternType="solid">
        <fgColor theme="2"/>
        <bgColor indexed="64"/>
      </patternFill>
    </fill>
    <fill>
      <patternFill patternType="solid">
        <fgColor theme="8" tint="0.79998168889431442"/>
        <bgColor indexed="64"/>
      </patternFill>
    </fill>
    <fill>
      <patternFill patternType="solid">
        <fgColor theme="4" tint="-0.499984740745262"/>
        <bgColor theme="4"/>
      </patternFill>
    </fill>
    <fill>
      <patternFill patternType="solid">
        <fgColor theme="4"/>
        <bgColor indexed="64"/>
      </patternFill>
    </fill>
    <fill>
      <patternFill patternType="solid">
        <fgColor theme="5" tint="0.79998168889431442"/>
        <bgColor indexed="64"/>
      </patternFill>
    </fill>
    <fill>
      <patternFill patternType="solid">
        <fgColor theme="2"/>
        <bgColor theme="4"/>
      </patternFill>
    </fill>
    <fill>
      <patternFill patternType="solid">
        <fgColor theme="4" tint="-0.499984740745262"/>
        <bgColor indexed="64"/>
      </patternFill>
    </fill>
    <fill>
      <patternFill patternType="solid">
        <fgColor theme="0"/>
        <bgColor theme="4"/>
      </patternFill>
    </fill>
    <fill>
      <patternFill patternType="solid">
        <fgColor theme="0" tint="-0.14999847407452621"/>
        <bgColor indexed="64"/>
      </patternFill>
    </fill>
    <fill>
      <patternFill patternType="solid">
        <fgColor rgb="FF203764"/>
        <bgColor indexed="64"/>
      </patternFill>
    </fill>
    <fill>
      <patternFill patternType="solid">
        <fgColor rgb="FFDEEAF6"/>
        <bgColor indexed="64"/>
      </patternFill>
    </fill>
    <fill>
      <patternFill patternType="solid">
        <fgColor rgb="FFD9E1F2"/>
        <bgColor indexed="64"/>
      </patternFill>
    </fill>
    <fill>
      <patternFill patternType="solid">
        <fgColor rgb="FFD9E2F3"/>
        <bgColor indexed="64"/>
      </patternFill>
    </fill>
    <fill>
      <patternFill patternType="solid">
        <fgColor rgb="FFE7E6E6"/>
        <bgColor indexed="64"/>
      </patternFill>
    </fill>
    <fill>
      <patternFill patternType="solid">
        <fgColor rgb="FF1F3864"/>
        <bgColor indexed="64"/>
      </patternFill>
    </fill>
  </fills>
  <borders count="4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bottom style="thin">
        <color rgb="FF8EA9DB"/>
      </bottom>
      <diagonal/>
    </border>
    <border>
      <left style="thin">
        <color theme="4" tint="0.39997558519241921"/>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8EA9DB"/>
      </top>
      <bottom style="medium">
        <color rgb="FF8EA9DB"/>
      </bottom>
      <diagonal/>
    </border>
    <border>
      <left style="medium">
        <color rgb="FFCCCCCC"/>
      </left>
      <right style="medium">
        <color rgb="FFCCCCCC"/>
      </right>
      <top style="medium">
        <color rgb="FFCCCCCC"/>
      </top>
      <bottom style="medium">
        <color rgb="FF8EA9DB"/>
      </bottom>
      <diagonal/>
    </border>
    <border>
      <left/>
      <right/>
      <top/>
      <bottom style="thin">
        <color indexed="64"/>
      </bottom>
      <diagonal/>
    </border>
    <border>
      <left style="medium">
        <color rgb="FFCCCCCC"/>
      </left>
      <right style="medium">
        <color rgb="FFCCCCCC"/>
      </right>
      <top style="medium">
        <color rgb="FF8EAADB"/>
      </top>
      <bottom style="medium">
        <color rgb="FFCCCCCC"/>
      </bottom>
      <diagonal/>
    </border>
    <border>
      <left style="medium">
        <color rgb="FFCCCCCC"/>
      </left>
      <right style="medium">
        <color rgb="FFCCCCCC"/>
      </right>
      <top style="medium">
        <color rgb="FFCCCCCC"/>
      </top>
      <bottom style="medium">
        <color rgb="FFCCCCCC"/>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6" fillId="0" borderId="0" applyNumberFormat="0" applyFill="0" applyBorder="0" applyAlignment="0" applyProtection="0"/>
  </cellStyleXfs>
  <cellXfs count="192">
    <xf numFmtId="0" fontId="0" fillId="0" borderId="0" xfId="0"/>
    <xf numFmtId="11" fontId="0" fillId="0" borderId="0" xfId="0" applyNumberFormat="1"/>
    <xf numFmtId="0" fontId="0" fillId="0" borderId="10" xfId="0" applyBorder="1"/>
    <xf numFmtId="0" fontId="13" fillId="33" borderId="11" xfId="0" applyFont="1" applyFill="1" applyBorder="1"/>
    <xf numFmtId="0" fontId="13" fillId="35" borderId="11" xfId="0" applyFont="1" applyFill="1" applyBorder="1"/>
    <xf numFmtId="0" fontId="13" fillId="35" borderId="12" xfId="0" applyFont="1" applyFill="1" applyBorder="1"/>
    <xf numFmtId="0" fontId="13" fillId="36" borderId="11" xfId="0" applyFont="1" applyFill="1" applyBorder="1"/>
    <xf numFmtId="0" fontId="13" fillId="33" borderId="12" xfId="0" applyFont="1" applyFill="1" applyBorder="1"/>
    <xf numFmtId="164" fontId="0" fillId="0" borderId="0" xfId="0" applyNumberFormat="1"/>
    <xf numFmtId="2" fontId="0" fillId="0" borderId="0" xfId="0" applyNumberFormat="1"/>
    <xf numFmtId="1" fontId="0" fillId="0" borderId="0" xfId="0" applyNumberFormat="1"/>
    <xf numFmtId="1" fontId="0" fillId="34" borderId="10" xfId="0" applyNumberFormat="1" applyFill="1" applyBorder="1"/>
    <xf numFmtId="165" fontId="0" fillId="34" borderId="10" xfId="0" applyNumberFormat="1" applyFill="1" applyBorder="1"/>
    <xf numFmtId="0" fontId="0" fillId="37" borderId="0" xfId="0" applyFill="1"/>
    <xf numFmtId="0" fontId="16" fillId="37" borderId="0" xfId="0" applyFont="1" applyFill="1" applyAlignment="1">
      <alignment vertical="center" wrapText="1"/>
    </xf>
    <xf numFmtId="0" fontId="13" fillId="33" borderId="10" xfId="0" applyFont="1" applyFill="1" applyBorder="1"/>
    <xf numFmtId="0" fontId="13" fillId="33" borderId="28" xfId="0" applyFont="1" applyFill="1" applyBorder="1"/>
    <xf numFmtId="0" fontId="0" fillId="34" borderId="10" xfId="0" applyFill="1" applyBorder="1"/>
    <xf numFmtId="0" fontId="27" fillId="0" borderId="0" xfId="0" applyFont="1"/>
    <xf numFmtId="0" fontId="0" fillId="0" borderId="33" xfId="0" applyBorder="1"/>
    <xf numFmtId="0" fontId="0" fillId="38" borderId="0" xfId="0" applyFill="1"/>
    <xf numFmtId="0" fontId="0" fillId="0" borderId="0" xfId="0" applyAlignment="1">
      <alignment horizontal="left"/>
    </xf>
    <xf numFmtId="0" fontId="21" fillId="0" borderId="0" xfId="0" applyFont="1" applyAlignment="1">
      <alignment horizontal="left"/>
    </xf>
    <xf numFmtId="0" fontId="21" fillId="0" borderId="0" xfId="0" applyFont="1" applyAlignment="1">
      <alignment horizontal="left" vertical="top" wrapText="1"/>
    </xf>
    <xf numFmtId="0" fontId="21" fillId="0" borderId="0" xfId="0" applyFont="1" applyAlignment="1">
      <alignment horizontal="center" vertical="center" wrapText="1"/>
    </xf>
    <xf numFmtId="0" fontId="22" fillId="0" borderId="0" xfId="0" applyFont="1" applyAlignment="1">
      <alignment vertical="center"/>
    </xf>
    <xf numFmtId="0" fontId="22" fillId="38" borderId="0" xfId="0" applyFont="1" applyFill="1" applyAlignment="1">
      <alignment vertical="center"/>
    </xf>
    <xf numFmtId="0" fontId="13" fillId="33" borderId="34" xfId="0" applyFont="1" applyFill="1" applyBorder="1"/>
    <xf numFmtId="0" fontId="13" fillId="33" borderId="27" xfId="0" applyFont="1" applyFill="1" applyBorder="1"/>
    <xf numFmtId="0" fontId="0" fillId="34" borderId="34" xfId="0" applyFill="1" applyBorder="1"/>
    <xf numFmtId="0" fontId="13" fillId="41" borderId="11" xfId="0" applyFont="1" applyFill="1" applyBorder="1"/>
    <xf numFmtId="0" fontId="27" fillId="38" borderId="0" xfId="0" applyFont="1" applyFill="1"/>
    <xf numFmtId="0" fontId="33" fillId="43" borderId="26" xfId="0" applyFont="1" applyFill="1" applyBorder="1" applyAlignment="1">
      <alignment horizontal="center" vertical="top"/>
    </xf>
    <xf numFmtId="0" fontId="33" fillId="43" borderId="29" xfId="0" applyFont="1" applyFill="1" applyBorder="1"/>
    <xf numFmtId="0" fontId="33" fillId="43" borderId="24" xfId="0" applyFont="1" applyFill="1" applyBorder="1"/>
    <xf numFmtId="0" fontId="27" fillId="43" borderId="0" xfId="0" applyFont="1" applyFill="1"/>
    <xf numFmtId="0" fontId="16" fillId="38" borderId="0" xfId="0" applyFont="1" applyFill="1" applyAlignment="1">
      <alignment vertical="center"/>
    </xf>
    <xf numFmtId="0" fontId="28" fillId="38" borderId="21" xfId="0" applyFont="1" applyFill="1" applyBorder="1" applyProtection="1">
      <protection locked="0"/>
    </xf>
    <xf numFmtId="0" fontId="28" fillId="38" borderId="30" xfId="0" applyFont="1" applyFill="1" applyBorder="1"/>
    <xf numFmtId="1" fontId="28" fillId="38" borderId="30" xfId="0" applyNumberFormat="1" applyFont="1" applyFill="1" applyBorder="1"/>
    <xf numFmtId="1" fontId="28" fillId="38" borderId="31" xfId="0" applyNumberFormat="1" applyFont="1" applyFill="1" applyBorder="1"/>
    <xf numFmtId="1" fontId="28" fillId="38" borderId="25" xfId="0" applyNumberFormat="1" applyFont="1" applyFill="1" applyBorder="1" applyAlignment="1">
      <alignment horizontal="right"/>
    </xf>
    <xf numFmtId="1" fontId="28" fillId="38" borderId="0" xfId="0" applyNumberFormat="1" applyFont="1" applyFill="1"/>
    <xf numFmtId="0" fontId="29" fillId="38" borderId="32" xfId="0" applyFont="1" applyFill="1" applyBorder="1" applyProtection="1">
      <protection locked="0"/>
    </xf>
    <xf numFmtId="0" fontId="29" fillId="38" borderId="29" xfId="0" applyFont="1" applyFill="1" applyBorder="1"/>
    <xf numFmtId="1" fontId="29" fillId="38" borderId="29" xfId="0" applyNumberFormat="1" applyFont="1" applyFill="1" applyBorder="1"/>
    <xf numFmtId="1" fontId="29" fillId="38" borderId="24" xfId="0" applyNumberFormat="1" applyFont="1" applyFill="1" applyBorder="1" applyAlignment="1">
      <alignment horizontal="right"/>
    </xf>
    <xf numFmtId="1" fontId="29" fillId="38" borderId="0" xfId="0" applyNumberFormat="1" applyFont="1" applyFill="1"/>
    <xf numFmtId="0" fontId="13" fillId="38" borderId="0" xfId="0" applyFont="1" applyFill="1"/>
    <xf numFmtId="0" fontId="16" fillId="38" borderId="0" xfId="0" applyFont="1" applyFill="1"/>
    <xf numFmtId="0" fontId="26" fillId="38" borderId="0" xfId="42" applyFill="1"/>
    <xf numFmtId="0" fontId="17" fillId="37" borderId="0" xfId="0" applyFont="1" applyFill="1"/>
    <xf numFmtId="0" fontId="0" fillId="0" borderId="0" xfId="0" applyAlignment="1">
      <alignment horizontal="center" vertical="center"/>
    </xf>
    <xf numFmtId="0" fontId="13" fillId="33" borderId="11" xfId="0" applyFont="1" applyFill="1" applyBorder="1" applyAlignment="1">
      <alignment horizontal="left" wrapText="1"/>
    </xf>
    <xf numFmtId="0" fontId="0" fillId="0" borderId="0" xfId="0" applyAlignment="1">
      <alignment horizontal="left" wrapText="1"/>
    </xf>
    <xf numFmtId="0" fontId="0" fillId="0" borderId="0" xfId="0" applyAlignment="1">
      <alignment horizontal="left" vertical="center"/>
    </xf>
    <xf numFmtId="0" fontId="0" fillId="34" borderId="10" xfId="0" applyFill="1" applyBorder="1" applyAlignment="1">
      <alignment wrapText="1"/>
    </xf>
    <xf numFmtId="0" fontId="0" fillId="0" borderId="10" xfId="0" applyBorder="1" applyAlignment="1">
      <alignment wrapText="1"/>
    </xf>
    <xf numFmtId="0" fontId="0" fillId="0" borderId="27" xfId="0" applyBorder="1" applyAlignment="1">
      <alignment wrapText="1"/>
    </xf>
    <xf numFmtId="0" fontId="0" fillId="0" borderId="0" xfId="0" applyAlignment="1">
      <alignment wrapText="1"/>
    </xf>
    <xf numFmtId="0" fontId="13" fillId="35" borderId="27" xfId="0" applyFont="1" applyFill="1" applyBorder="1"/>
    <xf numFmtId="2" fontId="0" fillId="34" borderId="27" xfId="0" applyNumberFormat="1" applyFill="1" applyBorder="1"/>
    <xf numFmtId="2" fontId="0" fillId="0" borderId="10" xfId="0" applyNumberFormat="1" applyBorder="1"/>
    <xf numFmtId="0" fontId="13" fillId="35" borderId="35" xfId="0" applyFont="1" applyFill="1" applyBorder="1"/>
    <xf numFmtId="0" fontId="0" fillId="34" borderId="27" xfId="0" applyFill="1" applyBorder="1" applyAlignment="1">
      <alignment wrapText="1"/>
    </xf>
    <xf numFmtId="0" fontId="27" fillId="0" borderId="34" xfId="0" applyFont="1" applyBorder="1"/>
    <xf numFmtId="0" fontId="13" fillId="33" borderId="0" xfId="0" applyFont="1" applyFill="1"/>
    <xf numFmtId="0" fontId="0" fillId="34" borderId="0" xfId="0" applyFill="1"/>
    <xf numFmtId="0" fontId="0" fillId="0" borderId="11" xfId="0" applyBorder="1" applyAlignment="1">
      <alignment wrapText="1"/>
    </xf>
    <xf numFmtId="165" fontId="0" fillId="0" borderId="0" xfId="0" applyNumberFormat="1"/>
    <xf numFmtId="0" fontId="0" fillId="34" borderId="33" xfId="0" applyFill="1" applyBorder="1"/>
    <xf numFmtId="0" fontId="0" fillId="37" borderId="0" xfId="0" applyFill="1" applyAlignment="1">
      <alignment vertical="center" wrapText="1"/>
    </xf>
    <xf numFmtId="0" fontId="0" fillId="0" borderId="27" xfId="0" applyBorder="1"/>
    <xf numFmtId="165" fontId="0" fillId="34" borderId="27" xfId="0" applyNumberFormat="1" applyFill="1" applyBorder="1"/>
    <xf numFmtId="0" fontId="0" fillId="34" borderId="0" xfId="0" applyFill="1" applyAlignment="1">
      <alignment wrapText="1"/>
    </xf>
    <xf numFmtId="0" fontId="0" fillId="0" borderId="10" xfId="0" applyBorder="1" applyAlignment="1">
      <alignment horizontal="left" wrapText="1"/>
    </xf>
    <xf numFmtId="0" fontId="0" fillId="0" borderId="11" xfId="0" applyBorder="1" applyAlignment="1">
      <alignment horizontal="left" wrapText="1"/>
    </xf>
    <xf numFmtId="1" fontId="27" fillId="0" borderId="0" xfId="0" applyNumberFormat="1" applyFont="1"/>
    <xf numFmtId="0" fontId="13" fillId="0" borderId="0" xfId="0" applyFont="1"/>
    <xf numFmtId="0" fontId="17" fillId="0" borderId="0" xfId="0" applyFont="1"/>
    <xf numFmtId="0" fontId="17" fillId="0" borderId="0" xfId="6" applyFont="1" applyFill="1"/>
    <xf numFmtId="164" fontId="1" fillId="0" borderId="0" xfId="6" applyNumberFormat="1" applyFont="1" applyFill="1"/>
    <xf numFmtId="1" fontId="27" fillId="0" borderId="34" xfId="0" applyNumberFormat="1" applyFont="1" applyBorder="1"/>
    <xf numFmtId="164" fontId="1" fillId="0" borderId="0" xfId="0" applyNumberFormat="1" applyFont="1"/>
    <xf numFmtId="1" fontId="27" fillId="0" borderId="36" xfId="0" applyNumberFormat="1" applyFont="1" applyBorder="1"/>
    <xf numFmtId="0" fontId="27" fillId="0" borderId="36" xfId="0" applyFont="1" applyBorder="1"/>
    <xf numFmtId="0" fontId="24" fillId="45" borderId="0" xfId="0" applyFont="1" applyFill="1"/>
    <xf numFmtId="0" fontId="40" fillId="40" borderId="37" xfId="0" applyFont="1" applyFill="1" applyBorder="1"/>
    <xf numFmtId="0" fontId="41" fillId="47" borderId="37" xfId="0" applyFont="1" applyFill="1" applyBorder="1" applyAlignment="1">
      <alignment wrapText="1"/>
    </xf>
    <xf numFmtId="166" fontId="27" fillId="0" borderId="0" xfId="0" applyNumberFormat="1" applyFont="1"/>
    <xf numFmtId="164" fontId="0" fillId="34" borderId="28" xfId="0" applyNumberFormat="1" applyFill="1" applyBorder="1"/>
    <xf numFmtId="1" fontId="0" fillId="0" borderId="10" xfId="0" applyNumberFormat="1" applyBorder="1"/>
    <xf numFmtId="164" fontId="0" fillId="0" borderId="28" xfId="0" applyNumberFormat="1" applyBorder="1"/>
    <xf numFmtId="0" fontId="22" fillId="48" borderId="37" xfId="0" applyFont="1" applyFill="1" applyBorder="1" applyAlignment="1">
      <alignment horizontal="center" wrapText="1"/>
    </xf>
    <xf numFmtId="0" fontId="37" fillId="39" borderId="37" xfId="0" applyFont="1" applyFill="1" applyBorder="1" applyAlignment="1">
      <alignment horizontal="center" vertical="center"/>
    </xf>
    <xf numFmtId="0" fontId="0" fillId="49" borderId="44" xfId="0" applyFill="1" applyBorder="1" applyAlignment="1">
      <alignment horizontal="right" wrapText="1"/>
    </xf>
    <xf numFmtId="0" fontId="0" fillId="49" borderId="44" xfId="0" applyFill="1" applyBorder="1" applyAlignment="1">
      <alignment wrapText="1"/>
    </xf>
    <xf numFmtId="0" fontId="0" fillId="0" borderId="45" xfId="0" applyBorder="1" applyAlignment="1">
      <alignment horizontal="right" wrapText="1"/>
    </xf>
    <xf numFmtId="0" fontId="0" fillId="0" borderId="45" xfId="0" applyBorder="1" applyAlignment="1">
      <alignment wrapText="1"/>
    </xf>
    <xf numFmtId="0" fontId="0" fillId="49" borderId="45" xfId="0" applyFill="1" applyBorder="1" applyAlignment="1">
      <alignment horizontal="right" wrapText="1"/>
    </xf>
    <xf numFmtId="0" fontId="0" fillId="49" borderId="45" xfId="0" applyFill="1" applyBorder="1" applyAlignment="1">
      <alignment wrapText="1"/>
    </xf>
    <xf numFmtId="0" fontId="0" fillId="0" borderId="44" xfId="0" applyBorder="1" applyAlignment="1">
      <alignment horizontal="right" wrapText="1"/>
    </xf>
    <xf numFmtId="0" fontId="0" fillId="0" borderId="44" xfId="0" applyBorder="1" applyAlignment="1">
      <alignment wrapText="1"/>
    </xf>
    <xf numFmtId="0" fontId="0" fillId="0" borderId="0" xfId="0" applyAlignment="1">
      <alignment horizontal="right" wrapText="1"/>
    </xf>
    <xf numFmtId="0" fontId="0" fillId="49" borderId="0" xfId="0" applyFill="1" applyAlignment="1">
      <alignment wrapText="1"/>
    </xf>
    <xf numFmtId="0" fontId="0" fillId="49" borderId="0" xfId="0" applyFill="1" applyAlignment="1">
      <alignment horizontal="right" wrapText="1"/>
    </xf>
    <xf numFmtId="0" fontId="0" fillId="0" borderId="46" xfId="0" applyBorder="1"/>
    <xf numFmtId="0" fontId="0" fillId="50" borderId="47" xfId="0" applyFill="1" applyBorder="1" applyAlignment="1">
      <alignment wrapText="1"/>
    </xf>
    <xf numFmtId="0" fontId="0" fillId="50" borderId="48" xfId="0" applyFill="1" applyBorder="1" applyAlignment="1">
      <alignment wrapText="1"/>
    </xf>
    <xf numFmtId="0" fontId="0" fillId="0" borderId="45" xfId="0" applyBorder="1"/>
    <xf numFmtId="0" fontId="42" fillId="52" borderId="37" xfId="0" applyFont="1" applyFill="1" applyBorder="1" applyAlignment="1">
      <alignment wrapText="1"/>
    </xf>
    <xf numFmtId="0" fontId="22" fillId="39" borderId="37" xfId="0" applyFont="1" applyFill="1" applyBorder="1" applyAlignment="1">
      <alignment horizontal="center" vertical="center"/>
    </xf>
    <xf numFmtId="0" fontId="0" fillId="34" borderId="27" xfId="0" applyFill="1" applyBorder="1"/>
    <xf numFmtId="0" fontId="0" fillId="0" borderId="27" xfId="0" applyBorder="1" applyAlignment="1">
      <alignment horizontal="left" wrapText="1"/>
    </xf>
    <xf numFmtId="1" fontId="0" fillId="0" borderId="27" xfId="0" applyNumberFormat="1" applyBorder="1"/>
    <xf numFmtId="165" fontId="0" fillId="34" borderId="0" xfId="0" applyNumberFormat="1" applyFill="1"/>
    <xf numFmtId="0" fontId="0" fillId="38" borderId="13" xfId="0" applyFill="1" applyBorder="1" applyAlignment="1">
      <alignment horizontal="center" vertical="center" wrapText="1"/>
    </xf>
    <xf numFmtId="0" fontId="0" fillId="38" borderId="14" xfId="0" applyFill="1" applyBorder="1" applyAlignment="1">
      <alignment horizontal="center" vertical="center" wrapText="1"/>
    </xf>
    <xf numFmtId="0" fontId="0" fillId="38" borderId="15" xfId="0" applyFill="1" applyBorder="1" applyAlignment="1">
      <alignment horizontal="center" vertical="center" wrapText="1"/>
    </xf>
    <xf numFmtId="0" fontId="0" fillId="38" borderId="22" xfId="0" applyFill="1" applyBorder="1" applyAlignment="1">
      <alignment horizontal="center" vertical="center" wrapText="1"/>
    </xf>
    <xf numFmtId="0" fontId="0" fillId="38" borderId="23" xfId="0" applyFill="1" applyBorder="1" applyAlignment="1">
      <alignment horizontal="center" vertical="center" wrapText="1"/>
    </xf>
    <xf numFmtId="0" fontId="0" fillId="38" borderId="24" xfId="0" applyFill="1" applyBorder="1" applyAlignment="1">
      <alignment horizontal="center" vertical="center" wrapText="1"/>
    </xf>
    <xf numFmtId="0" fontId="0" fillId="38" borderId="16" xfId="0" applyFill="1" applyBorder="1" applyAlignment="1">
      <alignment horizontal="center" vertical="center" wrapText="1"/>
    </xf>
    <xf numFmtId="0" fontId="0" fillId="38" borderId="0" xfId="0" applyFill="1" applyAlignment="1">
      <alignment horizontal="center" vertical="center" wrapText="1"/>
    </xf>
    <xf numFmtId="0" fontId="0" fillId="38" borderId="17" xfId="0" applyFill="1" applyBorder="1" applyAlignment="1">
      <alignment horizontal="center" vertical="center" wrapText="1"/>
    </xf>
    <xf numFmtId="0" fontId="20" fillId="38" borderId="18" xfId="0" applyFont="1" applyFill="1" applyBorder="1" applyAlignment="1">
      <alignment horizontal="center"/>
    </xf>
    <xf numFmtId="0" fontId="20" fillId="38" borderId="20" xfId="0" applyFont="1" applyFill="1" applyBorder="1" applyAlignment="1">
      <alignment horizontal="center"/>
    </xf>
    <xf numFmtId="0" fontId="20" fillId="38" borderId="19" xfId="0" applyFont="1" applyFill="1" applyBorder="1" applyAlignment="1">
      <alignment horizontal="center"/>
    </xf>
    <xf numFmtId="0" fontId="19" fillId="0" borderId="0" xfId="0" applyFont="1" applyAlignment="1">
      <alignment horizontal="center"/>
    </xf>
    <xf numFmtId="0" fontId="0" fillId="38" borderId="13" xfId="0" applyFill="1" applyBorder="1" applyAlignment="1">
      <alignment horizontal="center" wrapText="1"/>
    </xf>
    <xf numFmtId="0" fontId="0" fillId="38" borderId="14" xfId="0" applyFill="1" applyBorder="1" applyAlignment="1">
      <alignment horizontal="center" wrapText="1"/>
    </xf>
    <xf numFmtId="0" fontId="0" fillId="38" borderId="15" xfId="0" applyFill="1" applyBorder="1" applyAlignment="1">
      <alignment horizontal="center" wrapText="1"/>
    </xf>
    <xf numFmtId="0" fontId="0" fillId="38" borderId="16" xfId="0" applyFill="1" applyBorder="1" applyAlignment="1">
      <alignment horizontal="center" wrapText="1"/>
    </xf>
    <xf numFmtId="0" fontId="0" fillId="38" borderId="0" xfId="0" applyFill="1" applyAlignment="1">
      <alignment horizontal="center" wrapText="1"/>
    </xf>
    <xf numFmtId="0" fontId="0" fillId="38" borderId="17" xfId="0" applyFill="1" applyBorder="1" applyAlignment="1">
      <alignment horizontal="center" wrapText="1"/>
    </xf>
    <xf numFmtId="0" fontId="0" fillId="38" borderId="22" xfId="0" applyFill="1" applyBorder="1" applyAlignment="1">
      <alignment horizontal="center" wrapText="1"/>
    </xf>
    <xf numFmtId="0" fontId="0" fillId="38" borderId="23" xfId="0" applyFill="1" applyBorder="1" applyAlignment="1">
      <alignment horizontal="center" wrapText="1"/>
    </xf>
    <xf numFmtId="0" fontId="0" fillId="38" borderId="24" xfId="0" applyFill="1" applyBorder="1" applyAlignment="1">
      <alignment horizontal="center" wrapText="1"/>
    </xf>
    <xf numFmtId="0" fontId="37" fillId="39" borderId="37" xfId="0" applyFont="1" applyFill="1" applyBorder="1" applyAlignment="1">
      <alignment horizontal="center"/>
    </xf>
    <xf numFmtId="0" fontId="37" fillId="39" borderId="42" xfId="0" applyFont="1" applyFill="1" applyBorder="1" applyAlignment="1">
      <alignment horizontal="center"/>
    </xf>
    <xf numFmtId="0" fontId="37" fillId="39" borderId="43" xfId="0" applyFont="1" applyFill="1" applyBorder="1" applyAlignment="1">
      <alignment horizontal="center"/>
    </xf>
    <xf numFmtId="0" fontId="37" fillId="39" borderId="38" xfId="0" applyFont="1" applyFill="1" applyBorder="1" applyAlignment="1">
      <alignment horizontal="center"/>
    </xf>
    <xf numFmtId="0" fontId="37" fillId="39" borderId="39" xfId="0" applyFont="1" applyFill="1" applyBorder="1" applyAlignment="1">
      <alignment horizontal="center"/>
    </xf>
    <xf numFmtId="0" fontId="0" fillId="37" borderId="13" xfId="0" applyFill="1" applyBorder="1" applyAlignment="1">
      <alignment horizontal="center" vertical="center" wrapText="1"/>
    </xf>
    <xf numFmtId="0" fontId="0" fillId="37" borderId="15" xfId="0" applyFill="1" applyBorder="1" applyAlignment="1">
      <alignment horizontal="center" vertical="center" wrapText="1"/>
    </xf>
    <xf numFmtId="0" fontId="0" fillId="37" borderId="16" xfId="0" applyFill="1" applyBorder="1" applyAlignment="1">
      <alignment horizontal="center" vertical="center" wrapText="1"/>
    </xf>
    <xf numFmtId="0" fontId="0" fillId="37" borderId="17" xfId="0" applyFill="1" applyBorder="1" applyAlignment="1">
      <alignment horizontal="center" vertical="center" wrapText="1"/>
    </xf>
    <xf numFmtId="0" fontId="0" fillId="37" borderId="22" xfId="0" applyFill="1" applyBorder="1" applyAlignment="1">
      <alignment horizontal="center" vertical="center" wrapText="1"/>
    </xf>
    <xf numFmtId="0" fontId="0" fillId="37" borderId="24" xfId="0" applyFill="1" applyBorder="1" applyAlignment="1">
      <alignment horizontal="center" vertical="center" wrapText="1"/>
    </xf>
    <xf numFmtId="0" fontId="23" fillId="46" borderId="37" xfId="0" applyFont="1" applyFill="1" applyBorder="1" applyAlignment="1">
      <alignment horizontal="center"/>
    </xf>
    <xf numFmtId="0" fontId="19" fillId="37" borderId="0" xfId="0" applyFont="1" applyFill="1" applyAlignment="1">
      <alignment horizontal="center" vertical="center" wrapText="1"/>
    </xf>
    <xf numFmtId="0" fontId="16" fillId="37" borderId="13" xfId="0" applyFont="1" applyFill="1" applyBorder="1" applyAlignment="1">
      <alignment horizontal="center" vertical="center" wrapText="1"/>
    </xf>
    <xf numFmtId="0" fontId="16" fillId="37" borderId="14" xfId="0" applyFont="1" applyFill="1" applyBorder="1" applyAlignment="1">
      <alignment horizontal="center" vertical="center" wrapText="1"/>
    </xf>
    <xf numFmtId="0" fontId="16" fillId="37" borderId="15" xfId="0" applyFont="1" applyFill="1" applyBorder="1" applyAlignment="1">
      <alignment horizontal="center" vertical="center" wrapText="1"/>
    </xf>
    <xf numFmtId="0" fontId="16" fillId="37" borderId="16" xfId="0" applyFont="1" applyFill="1" applyBorder="1" applyAlignment="1">
      <alignment horizontal="center" vertical="center" wrapText="1"/>
    </xf>
    <xf numFmtId="0" fontId="16" fillId="37" borderId="0" xfId="0" applyFont="1" applyFill="1" applyAlignment="1">
      <alignment horizontal="center" vertical="center" wrapText="1"/>
    </xf>
    <xf numFmtId="0" fontId="16" fillId="37" borderId="17" xfId="0" applyFont="1" applyFill="1" applyBorder="1" applyAlignment="1">
      <alignment horizontal="center" vertical="center" wrapText="1"/>
    </xf>
    <xf numFmtId="0" fontId="16" fillId="37" borderId="22" xfId="0" applyFont="1" applyFill="1" applyBorder="1" applyAlignment="1">
      <alignment horizontal="center" vertical="center" wrapText="1"/>
    </xf>
    <xf numFmtId="0" fontId="16" fillId="37" borderId="23" xfId="0" applyFont="1" applyFill="1" applyBorder="1" applyAlignment="1">
      <alignment horizontal="center" vertical="center" wrapText="1"/>
    </xf>
    <xf numFmtId="0" fontId="16" fillId="37" borderId="24" xfId="0" applyFont="1" applyFill="1" applyBorder="1" applyAlignment="1">
      <alignment horizontal="center" vertical="center" wrapText="1"/>
    </xf>
    <xf numFmtId="0" fontId="37" fillId="39" borderId="38" xfId="0" applyFont="1" applyFill="1" applyBorder="1" applyAlignment="1">
      <alignment horizontal="center" vertical="center"/>
    </xf>
    <xf numFmtId="0" fontId="37" fillId="39" borderId="39" xfId="0" applyFont="1" applyFill="1" applyBorder="1" applyAlignment="1">
      <alignment horizontal="center" vertical="center"/>
    </xf>
    <xf numFmtId="0" fontId="37" fillId="39" borderId="40" xfId="0" applyFont="1" applyFill="1" applyBorder="1" applyAlignment="1">
      <alignment horizontal="center" vertical="center"/>
    </xf>
    <xf numFmtId="0" fontId="37" fillId="39" borderId="41" xfId="0" applyFont="1" applyFill="1" applyBorder="1" applyAlignment="1">
      <alignment horizontal="center" vertical="center"/>
    </xf>
    <xf numFmtId="0" fontId="40" fillId="40" borderId="37" xfId="0" applyFont="1" applyFill="1" applyBorder="1" applyAlignment="1">
      <alignment horizontal="left" wrapText="1"/>
    </xf>
    <xf numFmtId="0" fontId="40" fillId="44" borderId="37" xfId="0" applyFont="1" applyFill="1" applyBorder="1" applyAlignment="1">
      <alignment horizontal="center" vertical="top" wrapText="1"/>
    </xf>
    <xf numFmtId="0" fontId="37" fillId="39" borderId="37" xfId="0" applyFont="1" applyFill="1" applyBorder="1" applyAlignment="1">
      <alignment horizontal="center" vertical="center"/>
    </xf>
    <xf numFmtId="0" fontId="25" fillId="37" borderId="0" xfId="0" applyFont="1" applyFill="1" applyAlignment="1">
      <alignment horizontal="center"/>
    </xf>
    <xf numFmtId="0" fontId="34" fillId="37" borderId="0" xfId="0" applyFont="1" applyFill="1" applyAlignment="1">
      <alignment horizontal="left" vertical="top" wrapText="1"/>
    </xf>
    <xf numFmtId="0" fontId="33" fillId="38" borderId="37" xfId="0" applyFont="1" applyFill="1" applyBorder="1" applyAlignment="1">
      <alignment horizontal="center"/>
    </xf>
    <xf numFmtId="0" fontId="27" fillId="39" borderId="37" xfId="0" applyFont="1" applyFill="1" applyBorder="1" applyAlignment="1">
      <alignment horizontal="center"/>
    </xf>
    <xf numFmtId="0" fontId="22" fillId="39" borderId="37" xfId="0" applyFont="1" applyFill="1" applyBorder="1" applyAlignment="1">
      <alignment horizontal="center"/>
    </xf>
    <xf numFmtId="0" fontId="22" fillId="48" borderId="37" xfId="0" applyFont="1" applyFill="1" applyBorder="1" applyAlignment="1">
      <alignment horizontal="center" wrapText="1"/>
    </xf>
    <xf numFmtId="0" fontId="41" fillId="47" borderId="37" xfId="0" applyFont="1" applyFill="1" applyBorder="1" applyAlignment="1">
      <alignment vertical="center" wrapText="1"/>
    </xf>
    <xf numFmtId="0" fontId="22" fillId="48" borderId="37" xfId="0" applyFont="1" applyFill="1" applyBorder="1" applyAlignment="1">
      <alignment horizontal="center" vertical="center" wrapText="1"/>
    </xf>
    <xf numFmtId="0" fontId="16" fillId="48" borderId="37" xfId="0" applyFont="1" applyFill="1" applyBorder="1" applyAlignment="1">
      <alignment horizontal="center" wrapText="1"/>
    </xf>
    <xf numFmtId="0" fontId="16" fillId="51" borderId="37" xfId="0" applyFont="1" applyFill="1" applyBorder="1" applyAlignment="1">
      <alignment horizontal="center" wrapText="1"/>
    </xf>
    <xf numFmtId="0" fontId="0" fillId="48" borderId="37" xfId="0" applyFill="1" applyBorder="1" applyAlignment="1">
      <alignment horizontal="center" wrapText="1"/>
    </xf>
    <xf numFmtId="0" fontId="16" fillId="38" borderId="13" xfId="0" applyFont="1" applyFill="1" applyBorder="1" applyAlignment="1">
      <alignment horizontal="center" vertical="center" wrapText="1"/>
    </xf>
    <xf numFmtId="0" fontId="16" fillId="38" borderId="14" xfId="0" applyFont="1" applyFill="1" applyBorder="1" applyAlignment="1">
      <alignment horizontal="center" vertical="center" wrapText="1"/>
    </xf>
    <xf numFmtId="0" fontId="16" fillId="38" borderId="15" xfId="0" applyFont="1" applyFill="1" applyBorder="1" applyAlignment="1">
      <alignment horizontal="center" vertical="center" wrapText="1"/>
    </xf>
    <xf numFmtId="0" fontId="16" fillId="38" borderId="16" xfId="0" applyFont="1" applyFill="1" applyBorder="1" applyAlignment="1">
      <alignment horizontal="center" vertical="center" wrapText="1"/>
    </xf>
    <xf numFmtId="0" fontId="16" fillId="38" borderId="0" xfId="0" applyFont="1" applyFill="1" applyAlignment="1">
      <alignment horizontal="center" vertical="center" wrapText="1"/>
    </xf>
    <xf numFmtId="0" fontId="16" fillId="38" borderId="17" xfId="0" applyFont="1" applyFill="1" applyBorder="1" applyAlignment="1">
      <alignment horizontal="center" vertical="center" wrapText="1"/>
    </xf>
    <xf numFmtId="0" fontId="16" fillId="38" borderId="22" xfId="0" applyFont="1" applyFill="1" applyBorder="1" applyAlignment="1">
      <alignment horizontal="center" vertical="center" wrapText="1"/>
    </xf>
    <xf numFmtId="0" fontId="16" fillId="38" borderId="23" xfId="0" applyFont="1" applyFill="1" applyBorder="1" applyAlignment="1">
      <alignment horizontal="center" vertical="center" wrapText="1"/>
    </xf>
    <xf numFmtId="0" fontId="16" fillId="38" borderId="24" xfId="0" applyFont="1" applyFill="1" applyBorder="1" applyAlignment="1">
      <alignment horizontal="center" vertical="center" wrapText="1"/>
    </xf>
    <xf numFmtId="0" fontId="16" fillId="38" borderId="18" xfId="0" applyFont="1" applyFill="1" applyBorder="1" applyAlignment="1">
      <alignment horizontal="center"/>
    </xf>
    <xf numFmtId="0" fontId="16" fillId="38" borderId="20" xfId="0" applyFont="1" applyFill="1" applyBorder="1" applyAlignment="1">
      <alignment horizontal="center"/>
    </xf>
    <xf numFmtId="0" fontId="16" fillId="38" borderId="19" xfId="0" applyFont="1" applyFill="1" applyBorder="1" applyAlignment="1">
      <alignment horizontal="center"/>
    </xf>
    <xf numFmtId="0" fontId="31" fillId="42" borderId="0" xfId="0" applyFont="1" applyFill="1" applyAlignment="1">
      <alignment horizontal="center"/>
    </xf>
    <xf numFmtId="0" fontId="0" fillId="0" borderId="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1">
    <dxf>
      <fill>
        <patternFill>
          <bgColor theme="8" tint="0.59996337778862885"/>
        </patternFill>
      </fill>
    </dxf>
    <dxf>
      <fill>
        <patternFill>
          <bgColor theme="5"/>
        </patternFill>
      </fill>
    </dxf>
    <dxf>
      <fill>
        <patternFill>
          <bgColor theme="8" tint="0.59996337778862885"/>
        </patternFill>
      </fill>
    </dxf>
    <dxf>
      <fill>
        <patternFill>
          <bgColor rgb="FF00B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tint="0.39994506668294322"/>
        </patternFill>
      </fill>
    </dxf>
    <dxf>
      <fill>
        <patternFill>
          <bgColor theme="5"/>
        </patternFill>
      </fill>
    </dxf>
    <dxf>
      <fill>
        <patternFill>
          <bgColor theme="5"/>
        </patternFill>
      </fill>
    </dxf>
    <dxf>
      <fill>
        <patternFill>
          <bgColor theme="5"/>
        </patternFill>
      </fill>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65"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fill>
        <patternFill patternType="none">
          <fgColor indexed="64"/>
          <bgColor auto="1"/>
        </patternFill>
      </fill>
    </dxf>
    <dxf>
      <numFmt numFmtId="2" formatCode="0.00"/>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numFmt numFmtId="165" formatCode="0.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numFmt numFmtId="165" formatCode="0.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165" formatCode="0.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0.0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border diagonalUp="0" diagonalDown="0" outline="0">
        <left style="thin">
          <color theme="4" tint="0.39997558519241921"/>
        </left>
        <right style="thin">
          <color theme="4" tint="0.39997558519241921"/>
        </right>
        <top/>
        <bottom/>
      </border>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rgb="FF8EA9DB"/>
        </left>
        <top style="thin">
          <color rgb="FF8EA9DB"/>
        </top>
      </border>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numFmt numFmtId="1" formatCode="0"/>
    </dxf>
    <dxf>
      <numFmt numFmtId="1" formatCode="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border outline="0">
        <left style="thin">
          <color rgb="FF8EA9DB"/>
        </left>
        <top style="thin">
          <color rgb="FF8EA9DB"/>
        </top>
      </border>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numFmt numFmtId="1" formatCode="0"/>
    </dxf>
    <dxf>
      <numFmt numFmtId="1" formatCode="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numFmt numFmtId="1" formatCode="0"/>
    </dxf>
    <dxf>
      <numFmt numFmtId="164" formatCode="0.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ill>
        <patternFill patternType="none">
          <fgColor indexed="64"/>
          <bgColor auto="1"/>
        </patternFill>
      </fill>
    </dxf>
    <dxf>
      <border outline="0">
        <left style="thin">
          <color rgb="FF8EA9DB"/>
        </left>
        <top style="thin">
          <color rgb="FF8EA9DB"/>
        </top>
      </border>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numFmt numFmtId="1" formatCode="0"/>
    </dxf>
    <dxf>
      <numFmt numFmtId="1" formatCode="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dxf>
    <dxf>
      <numFmt numFmtId="2" formatCode="0.0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 formatCode="0"/>
    </dxf>
    <dxf>
      <numFmt numFmtId="2" formatCode="0.00"/>
    </dxf>
    <dxf>
      <numFmt numFmtId="2" formatCode="0.00"/>
    </dxf>
    <dxf>
      <numFmt numFmtId="2" formatCode="0.00"/>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border diagonalUp="0" diagonalDown="0" outline="0">
        <left/>
        <right/>
        <top style="thin">
          <color theme="4" tint="0.39997558519241921"/>
        </top>
        <bottom style="thin">
          <color theme="4" tint="0.39997558519241921"/>
        </bottom>
      </border>
    </dxf>
    <dxf>
      <border outline="0">
        <left style="thin">
          <color theme="4" tint="0.39997558519241921"/>
        </left>
        <top style="thin">
          <color theme="4" tint="0.39997558519241921"/>
        </top>
      </border>
    </dxf>
    <dxf>
      <border outline="0">
        <bottom style="thin">
          <color theme="4" tint="0.39997558519241921"/>
        </bottom>
      </border>
    </dxf>
    <dxf>
      <numFmt numFmtId="15" formatCode="0.00E+00"/>
    </dxf>
    <dxf>
      <numFmt numFmtId="15" formatCode="0.00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baseline="0">
                <a:solidFill>
                  <a:sysClr val="windowText" lastClr="000000"/>
                </a:solidFill>
              </a:rPr>
              <a:t>Breakdown of Players Value</a:t>
            </a:r>
          </a:p>
          <a:p>
            <a:pPr>
              <a:defRPr/>
            </a:pPr>
            <a:endParaRPr lang="en-US" baseline="0"/>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6.5645828529793004E-2"/>
          <c:y val="7.9012345679012344E-2"/>
          <c:w val="0.8717569991251094"/>
          <c:h val="0.73577136191309422"/>
        </c:manualLayout>
      </c:layout>
      <c:barChart>
        <c:barDir val="bar"/>
        <c:grouping val="stacked"/>
        <c:varyColors val="0"/>
        <c:ser>
          <c:idx val="0"/>
          <c:order val="0"/>
          <c:tx>
            <c:strRef>
              <c:f>'Player Comparison Tool'!$E$3</c:f>
              <c:strCache>
                <c:ptCount val="1"/>
                <c:pt idx="0">
                  <c:v>Goals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Tool'!$E$4:$E$5</c:f>
              <c:numCache>
                <c:formatCode>0</c:formatCode>
                <c:ptCount val="2"/>
                <c:pt idx="0">
                  <c:v>314.03340188980792</c:v>
                </c:pt>
                <c:pt idx="1">
                  <c:v>461.92081815067985</c:v>
                </c:pt>
              </c:numCache>
            </c:numRef>
          </c:val>
          <c:extLst>
            <c:ext xmlns:c16="http://schemas.microsoft.com/office/drawing/2014/chart" uri="{C3380CC4-5D6E-409C-BE32-E72D297353CC}">
              <c16:uniqueId val="{00000000-F28C-44EE-B97A-6B50B9EEA944}"/>
            </c:ext>
          </c:extLst>
        </c:ser>
        <c:ser>
          <c:idx val="1"/>
          <c:order val="1"/>
          <c:tx>
            <c:strRef>
              <c:f>'Player Comparison Tool'!$F$3</c:f>
              <c:strCache>
                <c:ptCount val="1"/>
                <c:pt idx="0">
                  <c:v>Assists</c:v>
                </c:pt>
              </c:strCache>
            </c:strRef>
          </c:tx>
          <c:spPr>
            <a:solidFill>
              <a:srgbClr val="FF0000">
                <a:alpha val="64000"/>
              </a:srgbClr>
            </a:solidFill>
            <a:ln w="9525" cap="flat" cmpd="sng" algn="ctr">
              <a:solidFill>
                <a:schemeClr val="dk1"/>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Tool'!$F$4:$F$5</c:f>
              <c:numCache>
                <c:formatCode>0</c:formatCode>
                <c:ptCount val="2"/>
                <c:pt idx="0">
                  <c:v>522.51432585733164</c:v>
                </c:pt>
                <c:pt idx="1">
                  <c:v>179.67969771131172</c:v>
                </c:pt>
              </c:numCache>
            </c:numRef>
          </c:val>
          <c:extLst>
            <c:ext xmlns:c16="http://schemas.microsoft.com/office/drawing/2014/chart" uri="{C3380CC4-5D6E-409C-BE32-E72D297353CC}">
              <c16:uniqueId val="{00000001-F28C-44EE-B97A-6B50B9EEA944}"/>
            </c:ext>
          </c:extLst>
        </c:ser>
        <c:ser>
          <c:idx val="2"/>
          <c:order val="2"/>
          <c:tx>
            <c:strRef>
              <c:f>'Player Comparison Tool'!$G$3</c:f>
              <c:strCache>
                <c:ptCount val="1"/>
                <c:pt idx="0">
                  <c:v>Points</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dk1"/>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Tool'!$G$4:$G$5</c:f>
              <c:numCache>
                <c:formatCode>0</c:formatCode>
                <c:ptCount val="2"/>
                <c:pt idx="0">
                  <c:v>471.65594263396747</c:v>
                </c:pt>
                <c:pt idx="1">
                  <c:v>320.47975395523719</c:v>
                </c:pt>
              </c:numCache>
            </c:numRef>
          </c:val>
          <c:extLst>
            <c:ext xmlns:c16="http://schemas.microsoft.com/office/drawing/2014/chart" uri="{C3380CC4-5D6E-409C-BE32-E72D297353CC}">
              <c16:uniqueId val="{00000002-F28C-44EE-B97A-6B50B9EEA944}"/>
            </c:ext>
          </c:extLst>
        </c:ser>
        <c:ser>
          <c:idx val="3"/>
          <c:order val="3"/>
          <c:tx>
            <c:strRef>
              <c:f>'Player Comparison Tool'!$J$3</c:f>
              <c:strCache>
                <c:ptCount val="1"/>
                <c:pt idx="0">
                  <c:v>PP Points</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dk1"/>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Tool'!$J$4:$J$5</c:f>
              <c:numCache>
                <c:formatCode>0</c:formatCode>
                <c:ptCount val="2"/>
                <c:pt idx="0">
                  <c:v>462.04556788888686</c:v>
                </c:pt>
                <c:pt idx="1">
                  <c:v>255.44216801462852</c:v>
                </c:pt>
              </c:numCache>
            </c:numRef>
          </c:val>
          <c:extLst>
            <c:ext xmlns:c16="http://schemas.microsoft.com/office/drawing/2014/chart" uri="{C3380CC4-5D6E-409C-BE32-E72D297353CC}">
              <c16:uniqueId val="{00000003-F28C-44EE-B97A-6B50B9EEA944}"/>
            </c:ext>
          </c:extLst>
        </c:ser>
        <c:ser>
          <c:idx val="4"/>
          <c:order val="4"/>
          <c:tx>
            <c:strRef>
              <c:f>'Player Comparison Tool'!$L$3</c:f>
              <c:strCache>
                <c:ptCount val="1"/>
                <c:pt idx="0">
                  <c:v>SOG</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dk1"/>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Tool'!$L$4:$L$5</c:f>
              <c:numCache>
                <c:formatCode>0</c:formatCode>
                <c:ptCount val="2"/>
                <c:pt idx="0">
                  <c:v>272.2785757607129</c:v>
                </c:pt>
                <c:pt idx="1">
                  <c:v>389.05317262816237</c:v>
                </c:pt>
              </c:numCache>
            </c:numRef>
          </c:val>
          <c:extLst>
            <c:ext xmlns:c16="http://schemas.microsoft.com/office/drawing/2014/chart" uri="{C3380CC4-5D6E-409C-BE32-E72D297353CC}">
              <c16:uniqueId val="{00000004-F28C-44EE-B97A-6B50B9EEA944}"/>
            </c:ext>
          </c:extLst>
        </c:ser>
        <c:ser>
          <c:idx val="5"/>
          <c:order val="5"/>
          <c:tx>
            <c:strRef>
              <c:f>'Player Comparison Tool'!$M$3</c:f>
              <c:strCache>
                <c:ptCount val="1"/>
                <c:pt idx="0">
                  <c:v>BLK</c:v>
                </c:pt>
              </c:strCache>
            </c:strRef>
          </c:tx>
          <c:spPr>
            <a:solidFill>
              <a:srgbClr val="BC8FDD"/>
            </a:solidFill>
            <a:ln w="9525" cap="flat" cmpd="sng" algn="ctr">
              <a:solidFill>
                <a:schemeClr val="dk1"/>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Tool'!$M$4:$M$5</c:f>
              <c:numCache>
                <c:formatCode>0</c:formatCode>
                <c:ptCount val="2"/>
                <c:pt idx="0">
                  <c:v>-54.439221604893206</c:v>
                </c:pt>
                <c:pt idx="1">
                  <c:v>68.60559609279106</c:v>
                </c:pt>
              </c:numCache>
            </c:numRef>
          </c:val>
          <c:extLst>
            <c:ext xmlns:c16="http://schemas.microsoft.com/office/drawing/2014/chart" uri="{C3380CC4-5D6E-409C-BE32-E72D297353CC}">
              <c16:uniqueId val="{00000005-F28C-44EE-B97A-6B50B9EEA944}"/>
            </c:ext>
          </c:extLst>
        </c:ser>
        <c:ser>
          <c:idx val="6"/>
          <c:order val="6"/>
          <c:tx>
            <c:strRef>
              <c:f>'Player Comparison Tool'!$N$3</c:f>
              <c:strCache>
                <c:ptCount val="1"/>
                <c:pt idx="0">
                  <c:v>Hit</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dk1"/>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Tool'!$N$4:$N$5</c:f>
              <c:numCache>
                <c:formatCode>0</c:formatCode>
                <c:ptCount val="2"/>
                <c:pt idx="0">
                  <c:v>31.526077481379737</c:v>
                </c:pt>
                <c:pt idx="1">
                  <c:v>-5.2954158804825378</c:v>
                </c:pt>
              </c:numCache>
            </c:numRef>
          </c:val>
          <c:extLst>
            <c:ext xmlns:c16="http://schemas.microsoft.com/office/drawing/2014/chart" uri="{C3380CC4-5D6E-409C-BE32-E72D297353CC}">
              <c16:uniqueId val="{00000006-F28C-44EE-B97A-6B50B9EEA944}"/>
            </c:ext>
          </c:extLst>
        </c:ser>
        <c:ser>
          <c:idx val="7"/>
          <c:order val="7"/>
          <c:tx>
            <c:strRef>
              <c:f>'Player Comparison Tool'!$O$3</c:f>
              <c:strCache>
                <c:ptCount val="1"/>
                <c:pt idx="0">
                  <c:v>FOW</c:v>
                </c:pt>
              </c:strCache>
            </c:strRef>
          </c:tx>
          <c:spPr>
            <a:solidFill>
              <a:schemeClr val="accent5">
                <a:lumMod val="50000"/>
                <a:alpha val="67000"/>
              </a:schemeClr>
            </a:solidFill>
            <a:ln w="9525" cap="flat" cmpd="sng" algn="ctr">
              <a:solidFill>
                <a:schemeClr val="dk1">
                  <a:alpha val="66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Tool'!$O$4:$O$5</c:f>
              <c:numCache>
                <c:formatCode>0</c:formatCode>
                <c:ptCount val="2"/>
                <c:pt idx="0">
                  <c:v>191.26961313511001</c:v>
                </c:pt>
                <c:pt idx="1">
                  <c:v>301.07627846397327</c:v>
                </c:pt>
              </c:numCache>
            </c:numRef>
          </c:val>
          <c:extLst>
            <c:ext xmlns:c16="http://schemas.microsoft.com/office/drawing/2014/chart" uri="{C3380CC4-5D6E-409C-BE32-E72D297353CC}">
              <c16:uniqueId val="{00000007-F28C-44EE-B97A-6B50B9EEA944}"/>
            </c:ext>
          </c:extLst>
        </c:ser>
        <c:ser>
          <c:idx val="9"/>
          <c:order val="8"/>
          <c:tx>
            <c:strRef>
              <c:f>'Player Comparison Tool'!$P$3</c:f>
              <c:strCache>
                <c:ptCount val="1"/>
                <c:pt idx="0">
                  <c:v>PIM</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'Player Comparison Tool'!$C$4:$C$5</c:f>
              <c:strCache>
                <c:ptCount val="2"/>
                <c:pt idx="0">
                  <c:v>Connor McDavid</c:v>
                </c:pt>
                <c:pt idx="1">
                  <c:v>Auston Matthews</c:v>
                </c:pt>
              </c:strCache>
            </c:strRef>
          </c:cat>
          <c:val>
            <c:numRef>
              <c:f>'Player Comparison Tool'!$P$4:$P$5</c:f>
              <c:numCache>
                <c:formatCode>0</c:formatCode>
                <c:ptCount val="2"/>
                <c:pt idx="0">
                  <c:v>6.9963766660446165</c:v>
                </c:pt>
                <c:pt idx="1">
                  <c:v>-67.467262211328929</c:v>
                </c:pt>
              </c:numCache>
            </c:numRef>
          </c:val>
          <c:extLst>
            <c:ext xmlns:c16="http://schemas.microsoft.com/office/drawing/2014/chart" uri="{C3380CC4-5D6E-409C-BE32-E72D297353CC}">
              <c16:uniqueId val="{00000008-F28C-44EE-B97A-6B50B9EEA944}"/>
            </c:ext>
          </c:extLst>
        </c:ser>
        <c:ser>
          <c:idx val="8"/>
          <c:order val="9"/>
          <c:tx>
            <c:strRef>
              <c:f>'Player Comparison Tool'!$H$3</c:f>
              <c:strCache>
                <c:ptCount val="1"/>
                <c:pt idx="0">
                  <c:v>PPG</c:v>
                </c:pt>
              </c:strCache>
            </c:strRef>
          </c:tx>
          <c:spPr>
            <a:gradFill rotWithShape="1">
              <a:gsLst>
                <a:gs pos="0">
                  <a:schemeClr val="accent3">
                    <a:lumMod val="60000"/>
                    <a:lumMod val="110000"/>
                    <a:satMod val="105000"/>
                    <a:tint val="67000"/>
                  </a:schemeClr>
                </a:gs>
                <a:gs pos="50000">
                  <a:schemeClr val="accent3">
                    <a:lumMod val="60000"/>
                    <a:lumMod val="105000"/>
                    <a:satMod val="103000"/>
                    <a:tint val="73000"/>
                  </a:schemeClr>
                </a:gs>
                <a:gs pos="100000">
                  <a:schemeClr val="accent3">
                    <a:lumMod val="60000"/>
                    <a:lumMod val="105000"/>
                    <a:satMod val="109000"/>
                    <a:tint val="81000"/>
                  </a:schemeClr>
                </a:gs>
              </a:gsLst>
              <a:lin ang="5400000" scaled="0"/>
            </a:gradFill>
            <a:ln w="9525" cap="flat" cmpd="sng" algn="ctr">
              <a:solidFill>
                <a:schemeClr val="accent3">
                  <a:lumMod val="60000"/>
                  <a:shade val="95000"/>
                </a:schemeClr>
              </a:solidFill>
              <a:round/>
            </a:ln>
            <a:effectLst/>
          </c:spPr>
          <c:invertIfNegative val="0"/>
          <c:val>
            <c:numRef>
              <c:f>'Player Comparison Tool'!$H$4:$H$5</c:f>
              <c:numCache>
                <c:formatCode>0</c:formatCode>
                <c:ptCount val="2"/>
                <c:pt idx="0">
                  <c:v>0</c:v>
                </c:pt>
                <c:pt idx="1">
                  <c:v>0</c:v>
                </c:pt>
              </c:numCache>
            </c:numRef>
          </c:val>
          <c:extLst>
            <c:ext xmlns:c16="http://schemas.microsoft.com/office/drawing/2014/chart" uri="{C3380CC4-5D6E-409C-BE32-E72D297353CC}">
              <c16:uniqueId val="{00000001-B184-4C3B-AC59-1E1D00A082BC}"/>
            </c:ext>
          </c:extLst>
        </c:ser>
        <c:ser>
          <c:idx val="10"/>
          <c:order val="10"/>
          <c:tx>
            <c:strRef>
              <c:f>'Player Comparison Tool'!$I$3</c:f>
              <c:strCache>
                <c:ptCount val="1"/>
                <c:pt idx="0">
                  <c:v>PPA</c:v>
                </c:pt>
              </c:strCache>
            </c:strRef>
          </c:tx>
          <c:spPr>
            <a:gradFill rotWithShape="1">
              <a:gsLst>
                <a:gs pos="0">
                  <a:schemeClr val="accent5">
                    <a:lumMod val="60000"/>
                    <a:lumMod val="110000"/>
                    <a:satMod val="105000"/>
                    <a:tint val="67000"/>
                  </a:schemeClr>
                </a:gs>
                <a:gs pos="50000">
                  <a:schemeClr val="accent5">
                    <a:lumMod val="60000"/>
                    <a:lumMod val="105000"/>
                    <a:satMod val="103000"/>
                    <a:tint val="73000"/>
                  </a:schemeClr>
                </a:gs>
                <a:gs pos="100000">
                  <a:schemeClr val="accent5">
                    <a:lumMod val="60000"/>
                    <a:lumMod val="105000"/>
                    <a:satMod val="109000"/>
                    <a:tint val="81000"/>
                  </a:schemeClr>
                </a:gs>
              </a:gsLst>
              <a:lin ang="5400000" scaled="0"/>
            </a:gradFill>
            <a:ln w="9525" cap="flat" cmpd="sng" algn="ctr">
              <a:solidFill>
                <a:schemeClr val="accent5">
                  <a:lumMod val="60000"/>
                  <a:shade val="95000"/>
                </a:schemeClr>
              </a:solidFill>
              <a:round/>
            </a:ln>
            <a:effectLst/>
          </c:spPr>
          <c:invertIfNegative val="0"/>
          <c:val>
            <c:numRef>
              <c:f>'Player Comparison Tool'!$I$4:$I$5</c:f>
              <c:numCache>
                <c:formatCode>0</c:formatCode>
                <c:ptCount val="2"/>
                <c:pt idx="0">
                  <c:v>0</c:v>
                </c:pt>
                <c:pt idx="1">
                  <c:v>0</c:v>
                </c:pt>
              </c:numCache>
            </c:numRef>
          </c:val>
          <c:extLst>
            <c:ext xmlns:c16="http://schemas.microsoft.com/office/drawing/2014/chart" uri="{C3380CC4-5D6E-409C-BE32-E72D297353CC}">
              <c16:uniqueId val="{00000002-B184-4C3B-AC59-1E1D00A082BC}"/>
            </c:ext>
          </c:extLst>
        </c:ser>
        <c:ser>
          <c:idx val="11"/>
          <c:order val="11"/>
          <c:tx>
            <c:strRef>
              <c:f>'Player Comparison Tool'!$K$3</c:f>
              <c:strCache>
                <c:ptCount val="1"/>
                <c:pt idx="0">
                  <c:v>SHP</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val>
            <c:numRef>
              <c:f>'Player Comparison Tool'!$K$4:$K$5</c:f>
              <c:numCache>
                <c:formatCode>0</c:formatCode>
                <c:ptCount val="2"/>
                <c:pt idx="0">
                  <c:v>0</c:v>
                </c:pt>
                <c:pt idx="1">
                  <c:v>0</c:v>
                </c:pt>
              </c:numCache>
            </c:numRef>
          </c:val>
          <c:extLst>
            <c:ext xmlns:c16="http://schemas.microsoft.com/office/drawing/2014/chart" uri="{C3380CC4-5D6E-409C-BE32-E72D297353CC}">
              <c16:uniqueId val="{00000003-B184-4C3B-AC59-1E1D00A082BC}"/>
            </c:ext>
          </c:extLst>
        </c:ser>
        <c:dLbls>
          <c:showLegendKey val="0"/>
          <c:showVal val="0"/>
          <c:showCatName val="0"/>
          <c:showSerName val="0"/>
          <c:showPercent val="0"/>
          <c:showBubbleSize val="0"/>
        </c:dLbls>
        <c:gapWidth val="104"/>
        <c:overlap val="100"/>
        <c:axId val="815305496"/>
        <c:axId val="816593400"/>
      </c:barChart>
      <c:catAx>
        <c:axId val="815305496"/>
        <c:scaling>
          <c:orientation val="minMax"/>
        </c:scaling>
        <c:delete val="0"/>
        <c:axPos val="l"/>
        <c:numFmt formatCode="General" sourceLinked="1"/>
        <c:majorTickMark val="none"/>
        <c:minorTickMark val="none"/>
        <c:tickLblPos val="low"/>
        <c:spPr>
          <a:noFill/>
          <a:ln w="6350" cap="flat" cmpd="sng" algn="ctr">
            <a:solidFill>
              <a:schemeClr val="dk1"/>
            </a:solidFill>
            <a:prstDash val="solid"/>
            <a:miter lim="800000"/>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816593400"/>
        <c:crossesAt val="0"/>
        <c:auto val="1"/>
        <c:lblAlgn val="ctr"/>
        <c:lblOffset val="50"/>
        <c:tickMarkSkip val="1"/>
        <c:noMultiLvlLbl val="0"/>
      </c:catAx>
      <c:valAx>
        <c:axId val="816593400"/>
        <c:scaling>
          <c:orientation val="minMax"/>
          <c:max val="2500"/>
          <c:min val="-1250"/>
        </c:scaling>
        <c:delete val="0"/>
        <c:axPos val="b"/>
        <c:majorGridlines>
          <c:spPr>
            <a:ln w="6350" cap="flat" cmpd="sng" algn="ctr">
              <a:gradFill>
                <a:gsLst>
                  <a:gs pos="100000">
                    <a:schemeClr val="bg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ln>
            <a:effectLst/>
          </c:spPr>
        </c:majorGridlines>
        <c:numFmt formatCode="0.00" sourceLinked="0"/>
        <c:majorTickMark val="none"/>
        <c:minorTickMark val="none"/>
        <c:tickLblPos val="nextTo"/>
        <c:spPr>
          <a:noFill/>
          <a:ln>
            <a:noFill/>
          </a:ln>
          <a:effectLst/>
        </c:spPr>
        <c:txPr>
          <a:bodyPr rot="0" spcFirstLastPara="1" vertOverflow="ellipsis" wrap="square" anchor="ctr" anchorCtr="1"/>
          <a:lstStyle/>
          <a:p>
            <a:pPr>
              <a:defRPr sz="950" b="0" i="0" u="none" strike="noStrike" kern="1200" baseline="0">
                <a:solidFill>
                  <a:sysClr val="windowText" lastClr="000000"/>
                </a:solidFill>
                <a:latin typeface="+mn-lt"/>
                <a:ea typeface="+mn-ea"/>
                <a:cs typeface="+mn-cs"/>
              </a:defRPr>
            </a:pPr>
            <a:endParaRPr lang="en-US"/>
          </a:p>
        </c:txPr>
        <c:crossAx val="815305496"/>
        <c:crosses val="autoZero"/>
        <c:crossBetween val="between"/>
        <c:majorUnit val="500"/>
        <c:minorUnit val="100"/>
      </c:valAx>
      <c:spPr>
        <a:noFill/>
        <a:ln>
          <a:noFill/>
        </a:ln>
        <a:effectLst/>
      </c:spPr>
    </c:plotArea>
    <c:legend>
      <c:legendPos val="b"/>
      <c:layout>
        <c:manualLayout>
          <c:xMode val="edge"/>
          <c:yMode val="edge"/>
          <c:x val="0.11130401251246101"/>
          <c:y val="0.89564032273743555"/>
          <c:w val="0.74502617449078856"/>
          <c:h val="0.1043596772625644"/>
        </c:manualLayout>
      </c:layout>
      <c:overlay val="0"/>
      <c:spPr>
        <a:noFill/>
        <a:ln w="9525">
          <a:noFill/>
        </a:ln>
        <a:effectLst/>
      </c:spPr>
      <c:txPr>
        <a:bodyPr rot="0" spcFirstLastPara="1" vertOverflow="ellipsis" vert="horz" wrap="square" anchor="ctr" anchorCtr="1"/>
        <a:lstStyle/>
        <a:p>
          <a:pPr>
            <a:defRPr sz="1400" b="0" i="0" u="none" strike="noStrike" kern="1200" baseline="0">
              <a:ln>
                <a:noFill/>
              </a:ln>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'Player Comparison Tool'!$C$5</c:f>
              <c:strCache>
                <c:ptCount val="1"/>
                <c:pt idx="0">
                  <c:v>Auston Matthews</c:v>
                </c:pt>
              </c:strCache>
            </c:strRef>
          </c:tx>
          <c:spPr>
            <a:ln w="28575" cap="rnd">
              <a:solidFill>
                <a:schemeClr val="accent1"/>
              </a:solidFill>
              <a:round/>
            </a:ln>
            <a:effectLst/>
          </c:spPr>
          <c:marker>
            <c:symbol val="none"/>
          </c:marker>
          <c:cat>
            <c:strRef>
              <c:f>'Player Comparison Tool'!$E$3:$P$3</c:f>
              <c:strCache>
                <c:ptCount val="12"/>
                <c:pt idx="0">
                  <c:v>Goals</c:v>
                </c:pt>
                <c:pt idx="1">
                  <c:v>Assists</c:v>
                </c:pt>
                <c:pt idx="2">
                  <c:v>Points</c:v>
                </c:pt>
                <c:pt idx="3">
                  <c:v>PPG</c:v>
                </c:pt>
                <c:pt idx="4">
                  <c:v>PPA</c:v>
                </c:pt>
                <c:pt idx="5">
                  <c:v>PP Points</c:v>
                </c:pt>
                <c:pt idx="6">
                  <c:v>SHP</c:v>
                </c:pt>
                <c:pt idx="7">
                  <c:v>SOG</c:v>
                </c:pt>
                <c:pt idx="8">
                  <c:v>BLK</c:v>
                </c:pt>
                <c:pt idx="9">
                  <c:v>Hit</c:v>
                </c:pt>
                <c:pt idx="10">
                  <c:v>FOW</c:v>
                </c:pt>
                <c:pt idx="11">
                  <c:v>PIM</c:v>
                </c:pt>
              </c:strCache>
            </c:strRef>
          </c:cat>
          <c:val>
            <c:numRef>
              <c:f>'Player Comparison Tool'!$E$5:$P$5</c:f>
              <c:numCache>
                <c:formatCode>0</c:formatCode>
                <c:ptCount val="12"/>
                <c:pt idx="0">
                  <c:v>461.92081815067985</c:v>
                </c:pt>
                <c:pt idx="1">
                  <c:v>179.67969771131172</c:v>
                </c:pt>
                <c:pt idx="2">
                  <c:v>320.47975395523719</c:v>
                </c:pt>
                <c:pt idx="3">
                  <c:v>0</c:v>
                </c:pt>
                <c:pt idx="4">
                  <c:v>0</c:v>
                </c:pt>
                <c:pt idx="5">
                  <c:v>255.44216801462852</c:v>
                </c:pt>
                <c:pt idx="6">
                  <c:v>0</c:v>
                </c:pt>
                <c:pt idx="7">
                  <c:v>389.05317262816237</c:v>
                </c:pt>
                <c:pt idx="8">
                  <c:v>68.60559609279106</c:v>
                </c:pt>
                <c:pt idx="9">
                  <c:v>-5.2954158804825378</c:v>
                </c:pt>
                <c:pt idx="10">
                  <c:v>301.07627846397327</c:v>
                </c:pt>
                <c:pt idx="11">
                  <c:v>-67.467262211328929</c:v>
                </c:pt>
              </c:numCache>
            </c:numRef>
          </c:val>
          <c:extLst>
            <c:ext xmlns:c16="http://schemas.microsoft.com/office/drawing/2014/chart" uri="{C3380CC4-5D6E-409C-BE32-E72D297353CC}">
              <c16:uniqueId val="{00000000-3085-45C1-A171-57902A0C82AD}"/>
            </c:ext>
          </c:extLst>
        </c:ser>
        <c:ser>
          <c:idx val="1"/>
          <c:order val="1"/>
          <c:tx>
            <c:strRef>
              <c:f>'Player Comparison Tool'!$C$4</c:f>
              <c:strCache>
                <c:ptCount val="1"/>
                <c:pt idx="0">
                  <c:v>Connor McDavid</c:v>
                </c:pt>
              </c:strCache>
            </c:strRef>
          </c:tx>
          <c:spPr>
            <a:ln w="28575" cap="rnd">
              <a:solidFill>
                <a:schemeClr val="accent2"/>
              </a:solidFill>
              <a:round/>
            </a:ln>
            <a:effectLst/>
          </c:spPr>
          <c:marker>
            <c:symbol val="none"/>
          </c:marker>
          <c:cat>
            <c:strRef>
              <c:f>'Player Comparison Tool'!$E$3:$P$3</c:f>
              <c:strCache>
                <c:ptCount val="12"/>
                <c:pt idx="0">
                  <c:v>Goals</c:v>
                </c:pt>
                <c:pt idx="1">
                  <c:v>Assists</c:v>
                </c:pt>
                <c:pt idx="2">
                  <c:v>Points</c:v>
                </c:pt>
                <c:pt idx="3">
                  <c:v>PPG</c:v>
                </c:pt>
                <c:pt idx="4">
                  <c:v>PPA</c:v>
                </c:pt>
                <c:pt idx="5">
                  <c:v>PP Points</c:v>
                </c:pt>
                <c:pt idx="6">
                  <c:v>SHP</c:v>
                </c:pt>
                <c:pt idx="7">
                  <c:v>SOG</c:v>
                </c:pt>
                <c:pt idx="8">
                  <c:v>BLK</c:v>
                </c:pt>
                <c:pt idx="9">
                  <c:v>Hit</c:v>
                </c:pt>
                <c:pt idx="10">
                  <c:v>FOW</c:v>
                </c:pt>
                <c:pt idx="11">
                  <c:v>PIM</c:v>
                </c:pt>
              </c:strCache>
            </c:strRef>
          </c:cat>
          <c:val>
            <c:numRef>
              <c:f>'Player Comparison Tool'!$E$4:$P$4</c:f>
              <c:numCache>
                <c:formatCode>0</c:formatCode>
                <c:ptCount val="12"/>
                <c:pt idx="0">
                  <c:v>314.03340188980792</c:v>
                </c:pt>
                <c:pt idx="1">
                  <c:v>522.51432585733164</c:v>
                </c:pt>
                <c:pt idx="2">
                  <c:v>471.65594263396747</c:v>
                </c:pt>
                <c:pt idx="3">
                  <c:v>0</c:v>
                </c:pt>
                <c:pt idx="4">
                  <c:v>0</c:v>
                </c:pt>
                <c:pt idx="5">
                  <c:v>462.04556788888686</c:v>
                </c:pt>
                <c:pt idx="6">
                  <c:v>0</c:v>
                </c:pt>
                <c:pt idx="7">
                  <c:v>272.2785757607129</c:v>
                </c:pt>
                <c:pt idx="8">
                  <c:v>-54.439221604893206</c:v>
                </c:pt>
                <c:pt idx="9">
                  <c:v>31.526077481379737</c:v>
                </c:pt>
                <c:pt idx="10">
                  <c:v>191.26961313511001</c:v>
                </c:pt>
                <c:pt idx="11">
                  <c:v>6.9963766660446165</c:v>
                </c:pt>
              </c:numCache>
            </c:numRef>
          </c:val>
          <c:extLst>
            <c:ext xmlns:c16="http://schemas.microsoft.com/office/drawing/2014/chart" uri="{C3380CC4-5D6E-409C-BE32-E72D297353CC}">
              <c16:uniqueId val="{00000001-3085-45C1-A171-57902A0C82AD}"/>
            </c:ext>
          </c:extLst>
        </c:ser>
        <c:dLbls>
          <c:showLegendKey val="0"/>
          <c:showVal val="0"/>
          <c:showCatName val="0"/>
          <c:showSerName val="0"/>
          <c:showPercent val="0"/>
          <c:showBubbleSize val="0"/>
        </c:dLbls>
        <c:axId val="835743168"/>
        <c:axId val="835737920"/>
      </c:radarChart>
      <c:catAx>
        <c:axId val="835743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835737920"/>
        <c:crosses val="autoZero"/>
        <c:auto val="1"/>
        <c:lblAlgn val="ctr"/>
        <c:lblOffset val="100"/>
        <c:noMultiLvlLbl val="0"/>
      </c:catAx>
      <c:valAx>
        <c:axId val="835737920"/>
        <c:scaling>
          <c:orientation val="minMax"/>
          <c:max val="600"/>
          <c:min val="-200"/>
        </c:scaling>
        <c:delete val="1"/>
        <c:axPos val="l"/>
        <c:majorGridlines>
          <c:spPr>
            <a:ln w="12700"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low"/>
        <c:crossAx val="835743168"/>
        <c:crosses val="autoZero"/>
        <c:crossBetween val="between"/>
        <c:majorUnit val="100"/>
      </c:valAx>
      <c:spPr>
        <a:noFill/>
        <a:ln>
          <a:noFill/>
        </a:ln>
        <a:effectLst/>
      </c:spPr>
    </c:plotArea>
    <c:legend>
      <c:legendPos val="r"/>
      <c:layout>
        <c:manualLayout>
          <c:xMode val="edge"/>
          <c:yMode val="edge"/>
          <c:x val="0.79085077448220531"/>
          <c:y val="6.4172438189474448E-2"/>
          <c:w val="0.15959519362821006"/>
          <c:h val="0.32716104787419714"/>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9</xdr:col>
      <xdr:colOff>495300</xdr:colOff>
      <xdr:row>7</xdr:row>
      <xdr:rowOff>171450</xdr:rowOff>
    </xdr:from>
    <xdr:to>
      <xdr:col>11</xdr:col>
      <xdr:colOff>619125</xdr:colOff>
      <xdr:row>10</xdr:row>
      <xdr:rowOff>47625</xdr:rowOff>
    </xdr:to>
    <xdr:sp macro="" textlink="">
      <xdr:nvSpPr>
        <xdr:cNvPr id="4098" name="CommandButton1" hidden="1">
          <a:extLst>
            <a:ext uri="{63B3BB69-23CF-44E3-9099-C40C66FF867C}">
              <a14:compatExt xmlns:a14="http://schemas.microsoft.com/office/drawing/2010/main"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16</xdr:col>
          <xdr:colOff>600075</xdr:colOff>
          <xdr:row>13</xdr:row>
          <xdr:rowOff>247650</xdr:rowOff>
        </xdr:from>
        <xdr:to>
          <xdr:col>19</xdr:col>
          <xdr:colOff>19050</xdr:colOff>
          <xdr:row>16</xdr:row>
          <xdr:rowOff>209550</xdr:rowOff>
        </xdr:to>
        <xdr:sp macro="" textlink="">
          <xdr:nvSpPr>
            <xdr:cNvPr id="4100" name="CommandButton2"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590550</xdr:colOff>
          <xdr:row>6</xdr:row>
          <xdr:rowOff>9525</xdr:rowOff>
        </xdr:from>
        <xdr:to>
          <xdr:col>19</xdr:col>
          <xdr:colOff>9525</xdr:colOff>
          <xdr:row>8</xdr:row>
          <xdr:rowOff>123825</xdr:rowOff>
        </xdr:to>
        <xdr:sp macro="" textlink="">
          <xdr:nvSpPr>
            <xdr:cNvPr id="4102" name="CommandButton1"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600075</xdr:colOff>
          <xdr:row>5</xdr:row>
          <xdr:rowOff>180975</xdr:rowOff>
        </xdr:from>
        <xdr:to>
          <xdr:col>22</xdr:col>
          <xdr:colOff>28575</xdr:colOff>
          <xdr:row>8</xdr:row>
          <xdr:rowOff>95250</xdr:rowOff>
        </xdr:to>
        <xdr:sp macro="" textlink="">
          <xdr:nvSpPr>
            <xdr:cNvPr id="4103" name="CommandButton3"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28577</xdr:colOff>
      <xdr:row>5</xdr:row>
      <xdr:rowOff>161925</xdr:rowOff>
    </xdr:from>
    <xdr:to>
      <xdr:col>10</xdr:col>
      <xdr:colOff>552451</xdr:colOff>
      <xdr:row>32</xdr:row>
      <xdr:rowOff>161925</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457200</xdr:colOff>
      <xdr:row>5</xdr:row>
      <xdr:rowOff>161924</xdr:rowOff>
    </xdr:from>
    <xdr:to>
      <xdr:col>22</xdr:col>
      <xdr:colOff>714375</xdr:colOff>
      <xdr:row>32</xdr:row>
      <xdr:rowOff>161925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Documents/NHL%20Hockey%20Research/Fantasy%20Sports%20(Hockey)/Projections/Items%20Used%20to%20Project%20Players%20Stats/Projections/New%20Sheet%20for%202019-2020%20NHL%20Seas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Documents/NHL%20Hockey%20Research/Fantasy%20Sports%20(Hockey)/NHL%202019-2020%20Projections/Projections/2019-2020%20NHL%20Projection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e/Documents/Fantasy%20Sports%20(Baseball%20or%20Hockey)/Fantasy%20Hockey%20Player%20Valu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gue Inputs"/>
      <sheetName val="Std"/>
      <sheetName val="Per Game"/>
      <sheetName val="Full Season"/>
      <sheetName val="Upper &amp; Lower Bounds"/>
      <sheetName val="Upper STD"/>
      <sheetName val="Lower STD"/>
      <sheetName val="Point League"/>
      <sheetName val="Player Comparison Tool"/>
      <sheetName val="F VARP"/>
      <sheetName val="D VARP"/>
      <sheetName val="Player Lookup sheet"/>
    </sheetNames>
    <sheetDataSet>
      <sheetData sheetId="0"/>
      <sheetData sheetId="1"/>
      <sheetData sheetId="2"/>
      <sheetData sheetId="3"/>
      <sheetData sheetId="4"/>
      <sheetData sheetId="5"/>
      <sheetData sheetId="6"/>
      <sheetData sheetId="7"/>
      <sheetData sheetId="8">
        <row r="3">
          <cell r="I3" t="str">
            <v>Goals</v>
          </cell>
        </row>
      </sheetData>
      <sheetData sheetId="9"/>
      <sheetData sheetId="10"/>
      <sheetData sheetId="11">
        <row r="2">
          <cell r="C2" t="str">
            <v>Connor McDavid</v>
          </cell>
          <cell r="G2" t="str">
            <v>Sidney Crosby</v>
          </cell>
        </row>
        <row r="3">
          <cell r="C3" t="e">
            <v>#N/A</v>
          </cell>
          <cell r="G3" t="e">
            <v>#N/A</v>
          </cell>
        </row>
        <row r="4">
          <cell r="C4" t="e">
            <v>#N/A</v>
          </cell>
          <cell r="G4" t="e">
            <v>#N/A</v>
          </cell>
        </row>
        <row r="5">
          <cell r="C5" t="e">
            <v>#N/A</v>
          </cell>
          <cell r="G5" t="e">
            <v>#N/A</v>
          </cell>
        </row>
        <row r="6">
          <cell r="C6" t="e">
            <v>#N/A</v>
          </cell>
          <cell r="G6" t="e">
            <v>#N/A</v>
          </cell>
        </row>
        <row r="7">
          <cell r="C7" t="e">
            <v>#N/A</v>
          </cell>
          <cell r="G7" t="e">
            <v>#N/A</v>
          </cell>
        </row>
        <row r="8">
          <cell r="C8" t="e">
            <v>#N/A</v>
          </cell>
          <cell r="G8" t="e">
            <v>#N/A</v>
          </cell>
        </row>
        <row r="9">
          <cell r="C9" t="e">
            <v>#N/A</v>
          </cell>
          <cell r="G9" t="e">
            <v>#N/A</v>
          </cell>
        </row>
        <row r="10">
          <cell r="C10" t="e">
            <v>#N/A</v>
          </cell>
          <cell r="G10" t="e">
            <v>#N/A</v>
          </cell>
        </row>
        <row r="11">
          <cell r="C11" t="e">
            <v>#N/A</v>
          </cell>
          <cell r="G11" t="e">
            <v>#N/A</v>
          </cell>
        </row>
        <row r="12">
          <cell r="C12" t="e">
            <v>#N/A</v>
          </cell>
          <cell r="G12" t="e">
            <v>#N/A</v>
          </cell>
        </row>
        <row r="13">
          <cell r="C13" t="e">
            <v>#N/A</v>
          </cell>
          <cell r="G13" t="e">
            <v>#N/A</v>
          </cell>
        </row>
        <row r="14">
          <cell r="C14" t="e">
            <v>#N/A</v>
          </cell>
          <cell r="G14" t="e">
            <v>#N/A</v>
          </cell>
        </row>
        <row r="15">
          <cell r="C15" t="e">
            <v>#N/A</v>
          </cell>
          <cell r="G15" t="e">
            <v>#N/A</v>
          </cell>
        </row>
        <row r="16">
          <cell r="C16" t="e">
            <v>#N/A</v>
          </cell>
          <cell r="G16" t="e">
            <v>#N/A</v>
          </cell>
        </row>
        <row r="17">
          <cell r="C17" t="e">
            <v>#N/A</v>
          </cell>
          <cell r="G17" t="e">
            <v>#N/A</v>
          </cell>
        </row>
        <row r="18">
          <cell r="C18" t="e">
            <v>#N/A</v>
          </cell>
          <cell r="G18" t="e">
            <v>#N/A</v>
          </cell>
        </row>
        <row r="19">
          <cell r="C19" t="e">
            <v>#N/A</v>
          </cell>
          <cell r="G19" t="e">
            <v>#N/A</v>
          </cell>
        </row>
        <row r="20">
          <cell r="C20" t="e">
            <v>#N/A</v>
          </cell>
          <cell r="G20" t="e">
            <v>#N/A</v>
          </cell>
        </row>
        <row r="21">
          <cell r="C21" t="e">
            <v>#N/A</v>
          </cell>
          <cell r="G21" t="e">
            <v>#N/A</v>
          </cell>
        </row>
        <row r="22">
          <cell r="C22" t="e">
            <v>#N/A</v>
          </cell>
          <cell r="G22" t="e">
            <v>#N/A</v>
          </cell>
        </row>
        <row r="23">
          <cell r="C23" t="e">
            <v>#N/A</v>
          </cell>
          <cell r="G23" t="e">
            <v>#N/A</v>
          </cell>
        </row>
        <row r="24">
          <cell r="C24" t="e">
            <v>#N/A</v>
          </cell>
          <cell r="G24" t="e">
            <v>#N/A</v>
          </cell>
        </row>
        <row r="25">
          <cell r="C25" t="e">
            <v>#N/A</v>
          </cell>
          <cell r="G25" t="e">
            <v>#N/A</v>
          </cell>
        </row>
        <row r="26">
          <cell r="C26" t="e">
            <v>#N/A</v>
          </cell>
          <cell r="G26" t="e">
            <v>#N/A</v>
          </cell>
        </row>
        <row r="27">
          <cell r="C27" t="e">
            <v>#N/A</v>
          </cell>
          <cell r="G27" t="e">
            <v>#N/A</v>
          </cell>
        </row>
        <row r="28">
          <cell r="C28" t="e">
            <v>#N/A</v>
          </cell>
          <cell r="G28" t="e">
            <v>#N/A</v>
          </cell>
        </row>
        <row r="29">
          <cell r="C29" t="e">
            <v>#N/A</v>
          </cell>
          <cell r="G29" t="e">
            <v>#N/A</v>
          </cell>
        </row>
        <row r="30">
          <cell r="C30" t="e">
            <v>#N/A</v>
          </cell>
          <cell r="G30" t="e">
            <v>#N/A</v>
          </cell>
        </row>
        <row r="31">
          <cell r="C31" t="e">
            <v>#N/A</v>
          </cell>
          <cell r="G31" t="e">
            <v>#N/A</v>
          </cell>
        </row>
        <row r="32">
          <cell r="C32" t="e">
            <v>#N/A</v>
          </cell>
          <cell r="G32" t="e">
            <v>#N/A</v>
          </cell>
        </row>
        <row r="33">
          <cell r="C33" t="e">
            <v>#N/A</v>
          </cell>
          <cell r="G33" t="e">
            <v>#N/A</v>
          </cell>
        </row>
        <row r="34">
          <cell r="C34" t="e">
            <v>#N/A</v>
          </cell>
          <cell r="G34" t="e">
            <v>#N/A</v>
          </cell>
        </row>
        <row r="35">
          <cell r="C35" t="e">
            <v>#N/A</v>
          </cell>
          <cell r="G35" t="e">
            <v>#N/A</v>
          </cell>
        </row>
        <row r="36">
          <cell r="C36" t="e">
            <v>#N/A</v>
          </cell>
          <cell r="G36" t="e">
            <v>#N/A</v>
          </cell>
        </row>
        <row r="37">
          <cell r="C37" t="e">
            <v>#N/A</v>
          </cell>
          <cell r="G37" t="e">
            <v>#N/A</v>
          </cell>
        </row>
        <row r="38">
          <cell r="C38" t="e">
            <v>#N/A</v>
          </cell>
          <cell r="G38" t="e">
            <v>#N/A</v>
          </cell>
        </row>
        <row r="39">
          <cell r="C39" t="e">
            <v>#N/A</v>
          </cell>
          <cell r="G39" t="e">
            <v>#N/A</v>
          </cell>
        </row>
        <row r="40">
          <cell r="C40" t="e">
            <v>#N/A</v>
          </cell>
          <cell r="G40" t="e">
            <v>#N/A</v>
          </cell>
        </row>
        <row r="41">
          <cell r="C41" t="e">
            <v>#N/A</v>
          </cell>
          <cell r="G41" t="e">
            <v>#N/A</v>
          </cell>
        </row>
        <row r="42">
          <cell r="C42" t="e">
            <v>#N/A</v>
          </cell>
          <cell r="G42" t="e">
            <v>#N/A</v>
          </cell>
        </row>
        <row r="43">
          <cell r="C43" t="e">
            <v>#N/A</v>
          </cell>
          <cell r="G43" t="e">
            <v>#N/A</v>
          </cell>
        </row>
        <row r="44">
          <cell r="C44" t="e">
            <v>#N/A</v>
          </cell>
          <cell r="G44" t="e">
            <v>#N/A</v>
          </cell>
        </row>
        <row r="45">
          <cell r="C45" t="e">
            <v>#N/A</v>
          </cell>
          <cell r="G45" t="e">
            <v>#N/A</v>
          </cell>
        </row>
        <row r="46">
          <cell r="C46" t="e">
            <v>#N/A</v>
          </cell>
          <cell r="G46" t="e">
            <v>#N/A</v>
          </cell>
        </row>
        <row r="47">
          <cell r="C47" t="e">
            <v>#N/A</v>
          </cell>
          <cell r="G47" t="e">
            <v>#N/A</v>
          </cell>
        </row>
        <row r="48">
          <cell r="C48" t="e">
            <v>#N/A</v>
          </cell>
          <cell r="G48" t="e">
            <v>#N/A</v>
          </cell>
        </row>
        <row r="49">
          <cell r="C49" t="e">
            <v>#N/A</v>
          </cell>
          <cell r="G49" t="e">
            <v>#N/A</v>
          </cell>
        </row>
        <row r="50">
          <cell r="C50" t="e">
            <v>#N/A</v>
          </cell>
          <cell r="G50" t="e">
            <v>#N/A</v>
          </cell>
        </row>
        <row r="51">
          <cell r="C51" t="e">
            <v>#N/A</v>
          </cell>
          <cell r="G51" t="e">
            <v>#N/A</v>
          </cell>
        </row>
        <row r="52">
          <cell r="C52" t="e">
            <v>#N/A</v>
          </cell>
          <cell r="G52" t="e">
            <v>#N/A</v>
          </cell>
        </row>
        <row r="53">
          <cell r="C53" t="e">
            <v>#N/A</v>
          </cell>
          <cell r="G53" t="e">
            <v>#N/A</v>
          </cell>
        </row>
        <row r="54">
          <cell r="C54" t="e">
            <v>#N/A</v>
          </cell>
          <cell r="G54" t="e">
            <v>#N/A</v>
          </cell>
        </row>
        <row r="55">
          <cell r="C55" t="e">
            <v>#N/A</v>
          </cell>
          <cell r="G55" t="e">
            <v>#N/A</v>
          </cell>
        </row>
        <row r="56">
          <cell r="C56" t="e">
            <v>#N/A</v>
          </cell>
          <cell r="G56" t="e">
            <v>#N/A</v>
          </cell>
        </row>
        <row r="57">
          <cell r="C57" t="e">
            <v>#N/A</v>
          </cell>
          <cell r="G57" t="e">
            <v>#N/A</v>
          </cell>
        </row>
        <row r="58">
          <cell r="C58" t="e">
            <v>#N/A</v>
          </cell>
          <cell r="G58" t="e">
            <v>#N/A</v>
          </cell>
        </row>
        <row r="59">
          <cell r="C59" t="e">
            <v>#N/A</v>
          </cell>
          <cell r="G59" t="e">
            <v>#N/A</v>
          </cell>
        </row>
        <row r="60">
          <cell r="C60" t="e">
            <v>#N/A</v>
          </cell>
          <cell r="G60" t="e">
            <v>#N/A</v>
          </cell>
        </row>
        <row r="61">
          <cell r="C61" t="e">
            <v>#N/A</v>
          </cell>
          <cell r="G61" t="e">
            <v>#N/A</v>
          </cell>
        </row>
        <row r="62">
          <cell r="C62" t="e">
            <v>#N/A</v>
          </cell>
          <cell r="G62" t="e">
            <v>#N/A</v>
          </cell>
        </row>
        <row r="63">
          <cell r="C63" t="e">
            <v>#N/A</v>
          </cell>
          <cell r="G63" t="e">
            <v>#N/A</v>
          </cell>
        </row>
        <row r="64">
          <cell r="C64" t="e">
            <v>#N/A</v>
          </cell>
          <cell r="G64" t="e">
            <v>#N/A</v>
          </cell>
        </row>
        <row r="65">
          <cell r="C65" t="e">
            <v>#N/A</v>
          </cell>
          <cell r="G65" t="e">
            <v>#N/A</v>
          </cell>
        </row>
        <row r="66">
          <cell r="C66" t="e">
            <v>#N/A</v>
          </cell>
          <cell r="G66" t="e">
            <v>#N/A</v>
          </cell>
        </row>
        <row r="67">
          <cell r="C67" t="e">
            <v>#N/A</v>
          </cell>
          <cell r="G67" t="e">
            <v>#N/A</v>
          </cell>
        </row>
        <row r="68">
          <cell r="C68" t="e">
            <v>#N/A</v>
          </cell>
          <cell r="G68" t="e">
            <v>#N/A</v>
          </cell>
        </row>
        <row r="69">
          <cell r="C69" t="e">
            <v>#N/A</v>
          </cell>
          <cell r="G69" t="e">
            <v>#N/A</v>
          </cell>
        </row>
        <row r="70">
          <cell r="C70" t="e">
            <v>#N/A</v>
          </cell>
          <cell r="G70" t="e">
            <v>#N/A</v>
          </cell>
        </row>
        <row r="71">
          <cell r="C71" t="e">
            <v>#N/A</v>
          </cell>
          <cell r="G71" t="e">
            <v>#N/A</v>
          </cell>
        </row>
        <row r="72">
          <cell r="C72" t="e">
            <v>#N/A</v>
          </cell>
          <cell r="G72" t="e">
            <v>#N/A</v>
          </cell>
        </row>
        <row r="73">
          <cell r="C73" t="e">
            <v>#N/A</v>
          </cell>
          <cell r="G73" t="e">
            <v>#N/A</v>
          </cell>
        </row>
        <row r="74">
          <cell r="C74" t="e">
            <v>#N/A</v>
          </cell>
          <cell r="G74" t="e">
            <v>#N/A</v>
          </cell>
        </row>
        <row r="75">
          <cell r="C75" t="e">
            <v>#N/A</v>
          </cell>
          <cell r="G75" t="e">
            <v>#N/A</v>
          </cell>
        </row>
        <row r="76">
          <cell r="C76" t="e">
            <v>#N/A</v>
          </cell>
          <cell r="G76" t="e">
            <v>#N/A</v>
          </cell>
        </row>
        <row r="77">
          <cell r="C77" t="e">
            <v>#N/A</v>
          </cell>
          <cell r="G77" t="e">
            <v>#N/A</v>
          </cell>
        </row>
        <row r="78">
          <cell r="C78" t="e">
            <v>#N/A</v>
          </cell>
          <cell r="G78" t="e">
            <v>#N/A</v>
          </cell>
        </row>
        <row r="79">
          <cell r="C79" t="e">
            <v>#N/A</v>
          </cell>
          <cell r="G79" t="e">
            <v>#N/A</v>
          </cell>
        </row>
        <row r="80">
          <cell r="C80" t="e">
            <v>#N/A</v>
          </cell>
          <cell r="G80" t="e">
            <v>#N/A</v>
          </cell>
        </row>
        <row r="81">
          <cell r="C81" t="e">
            <v>#N/A</v>
          </cell>
          <cell r="G81" t="e">
            <v>#N/A</v>
          </cell>
        </row>
        <row r="82">
          <cell r="C82" t="e">
            <v>#N/A</v>
          </cell>
          <cell r="G82" t="e">
            <v>#N/A</v>
          </cell>
        </row>
        <row r="83">
          <cell r="C83" t="e">
            <v>#N/A</v>
          </cell>
          <cell r="G83" t="e">
            <v>#N/A</v>
          </cell>
        </row>
        <row r="84">
          <cell r="C84" t="e">
            <v>#N/A</v>
          </cell>
          <cell r="G84" t="e">
            <v>#N/A</v>
          </cell>
        </row>
        <row r="85">
          <cell r="C85" t="e">
            <v>#N/A</v>
          </cell>
          <cell r="G85" t="e">
            <v>#N/A</v>
          </cell>
        </row>
        <row r="86">
          <cell r="C86" t="e">
            <v>#N/A</v>
          </cell>
          <cell r="G86" t="e">
            <v>#N/A</v>
          </cell>
        </row>
        <row r="87">
          <cell r="C87" t="e">
            <v>#N/A</v>
          </cell>
          <cell r="G87" t="e">
            <v>#N/A</v>
          </cell>
        </row>
        <row r="88">
          <cell r="C88" t="e">
            <v>#N/A</v>
          </cell>
          <cell r="G88" t="e">
            <v>#N/A</v>
          </cell>
        </row>
        <row r="89">
          <cell r="C89" t="e">
            <v>#N/A</v>
          </cell>
          <cell r="G89" t="e">
            <v>#N/A</v>
          </cell>
        </row>
        <row r="90">
          <cell r="C90" t="e">
            <v>#N/A</v>
          </cell>
          <cell r="G90" t="e">
            <v>#N/A</v>
          </cell>
        </row>
        <row r="91">
          <cell r="C91" t="e">
            <v>#N/A</v>
          </cell>
          <cell r="G91" t="e">
            <v>#N/A</v>
          </cell>
        </row>
        <row r="92">
          <cell r="C92" t="e">
            <v>#N/A</v>
          </cell>
          <cell r="G92" t="e">
            <v>#N/A</v>
          </cell>
        </row>
        <row r="93">
          <cell r="C93" t="e">
            <v>#N/A</v>
          </cell>
          <cell r="G93" t="e">
            <v>#N/A</v>
          </cell>
        </row>
        <row r="94">
          <cell r="C94" t="e">
            <v>#N/A</v>
          </cell>
          <cell r="G94" t="e">
            <v>#N/A</v>
          </cell>
        </row>
        <row r="95">
          <cell r="C95" t="e">
            <v>#N/A</v>
          </cell>
          <cell r="G95" t="e">
            <v>#N/A</v>
          </cell>
        </row>
        <row r="96">
          <cell r="C96" t="e">
            <v>#N/A</v>
          </cell>
          <cell r="G96" t="e">
            <v>#N/A</v>
          </cell>
        </row>
        <row r="97">
          <cell r="C97" t="e">
            <v>#N/A</v>
          </cell>
          <cell r="G97" t="e">
            <v>#N/A</v>
          </cell>
        </row>
        <row r="98">
          <cell r="C98" t="e">
            <v>#N/A</v>
          </cell>
          <cell r="G98" t="e">
            <v>#N/A</v>
          </cell>
        </row>
        <row r="99">
          <cell r="C99" t="e">
            <v>#N/A</v>
          </cell>
          <cell r="G99" t="e">
            <v>#N/A</v>
          </cell>
        </row>
        <row r="100">
          <cell r="C100" t="e">
            <v>#N/A</v>
          </cell>
          <cell r="G100" t="e">
            <v>#N/A</v>
          </cell>
        </row>
        <row r="101">
          <cell r="C101" t="e">
            <v>#N/A</v>
          </cell>
          <cell r="G101" t="e">
            <v>#N/A</v>
          </cell>
        </row>
        <row r="102">
          <cell r="C102" t="e">
            <v>#N/A</v>
          </cell>
          <cell r="G102" t="e">
            <v>#N/A</v>
          </cell>
        </row>
        <row r="103">
          <cell r="C103" t="e">
            <v>#N/A</v>
          </cell>
          <cell r="G103" t="e">
            <v>#N/A</v>
          </cell>
        </row>
        <row r="104">
          <cell r="C104" t="e">
            <v>#N/A</v>
          </cell>
          <cell r="G104" t="e">
            <v>#N/A</v>
          </cell>
        </row>
        <row r="105">
          <cell r="C105" t="e">
            <v>#N/A</v>
          </cell>
          <cell r="G105" t="e">
            <v>#N/A</v>
          </cell>
        </row>
        <row r="106">
          <cell r="C106" t="e">
            <v>#N/A</v>
          </cell>
          <cell r="G106" t="e">
            <v>#N/A</v>
          </cell>
        </row>
        <row r="107">
          <cell r="C107" t="e">
            <v>#N/A</v>
          </cell>
          <cell r="G107" t="e">
            <v>#N/A</v>
          </cell>
        </row>
        <row r="108">
          <cell r="C108" t="e">
            <v>#N/A</v>
          </cell>
          <cell r="G108" t="e">
            <v>#N/A</v>
          </cell>
        </row>
        <row r="109">
          <cell r="C109" t="e">
            <v>#N/A</v>
          </cell>
          <cell r="G109" t="e">
            <v>#N/A</v>
          </cell>
        </row>
        <row r="110">
          <cell r="C110" t="e">
            <v>#N/A</v>
          </cell>
          <cell r="G110" t="e">
            <v>#N/A</v>
          </cell>
        </row>
        <row r="111">
          <cell r="C111" t="e">
            <v>#N/A</v>
          </cell>
          <cell r="G111" t="e">
            <v>#N/A</v>
          </cell>
        </row>
        <row r="112">
          <cell r="C112" t="e">
            <v>#N/A</v>
          </cell>
          <cell r="G112" t="e">
            <v>#N/A</v>
          </cell>
        </row>
        <row r="113">
          <cell r="C113" t="e">
            <v>#N/A</v>
          </cell>
          <cell r="G113" t="e">
            <v>#N/A</v>
          </cell>
        </row>
        <row r="114">
          <cell r="C114" t="e">
            <v>#N/A</v>
          </cell>
          <cell r="G114" t="e">
            <v>#N/A</v>
          </cell>
        </row>
        <row r="115">
          <cell r="C115" t="e">
            <v>#N/A</v>
          </cell>
          <cell r="G115" t="e">
            <v>#N/A</v>
          </cell>
        </row>
        <row r="116">
          <cell r="C116" t="e">
            <v>#N/A</v>
          </cell>
          <cell r="G116" t="e">
            <v>#N/A</v>
          </cell>
        </row>
        <row r="117">
          <cell r="C117" t="e">
            <v>#N/A</v>
          </cell>
          <cell r="G117" t="e">
            <v>#N/A</v>
          </cell>
        </row>
        <row r="118">
          <cell r="C118" t="e">
            <v>#N/A</v>
          </cell>
          <cell r="G118" t="e">
            <v>#N/A</v>
          </cell>
        </row>
        <row r="119">
          <cell r="C119" t="e">
            <v>#N/A</v>
          </cell>
          <cell r="G119" t="e">
            <v>#N/A</v>
          </cell>
        </row>
        <row r="120">
          <cell r="C120" t="e">
            <v>#N/A</v>
          </cell>
          <cell r="G120" t="e">
            <v>#N/A</v>
          </cell>
        </row>
        <row r="121">
          <cell r="C121" t="e">
            <v>#N/A</v>
          </cell>
          <cell r="G121" t="e">
            <v>#N/A</v>
          </cell>
        </row>
        <row r="122">
          <cell r="C122" t="e">
            <v>#N/A</v>
          </cell>
          <cell r="G122" t="e">
            <v>#N/A</v>
          </cell>
        </row>
        <row r="123">
          <cell r="C123" t="e">
            <v>#N/A</v>
          </cell>
          <cell r="G123" t="e">
            <v>#N/A</v>
          </cell>
        </row>
        <row r="124">
          <cell r="C124" t="e">
            <v>#N/A</v>
          </cell>
          <cell r="G124" t="e">
            <v>#N/A</v>
          </cell>
        </row>
        <row r="125">
          <cell r="C125" t="e">
            <v>#N/A</v>
          </cell>
          <cell r="G125" t="e">
            <v>#N/A</v>
          </cell>
        </row>
        <row r="126">
          <cell r="C126" t="e">
            <v>#N/A</v>
          </cell>
          <cell r="G126" t="e">
            <v>#N/A</v>
          </cell>
        </row>
        <row r="127">
          <cell r="C127" t="e">
            <v>#N/A</v>
          </cell>
          <cell r="G127" t="e">
            <v>#N/A</v>
          </cell>
        </row>
        <row r="128">
          <cell r="C128" t="e">
            <v>#N/A</v>
          </cell>
          <cell r="G128" t="e">
            <v>#N/A</v>
          </cell>
        </row>
        <row r="129">
          <cell r="C129" t="e">
            <v>#N/A</v>
          </cell>
          <cell r="G129" t="e">
            <v>#N/A</v>
          </cell>
        </row>
        <row r="130">
          <cell r="C130" t="e">
            <v>#N/A</v>
          </cell>
          <cell r="G130" t="e">
            <v>#N/A</v>
          </cell>
        </row>
        <row r="131">
          <cell r="C131" t="e">
            <v>#N/A</v>
          </cell>
          <cell r="G131" t="e">
            <v>#N/A</v>
          </cell>
        </row>
        <row r="132">
          <cell r="C132" t="e">
            <v>#N/A</v>
          </cell>
          <cell r="G132" t="e">
            <v>#N/A</v>
          </cell>
        </row>
        <row r="133">
          <cell r="C133" t="e">
            <v>#N/A</v>
          </cell>
          <cell r="G133" t="e">
            <v>#N/A</v>
          </cell>
        </row>
        <row r="134">
          <cell r="C134" t="e">
            <v>#N/A</v>
          </cell>
          <cell r="G134" t="e">
            <v>#N/A</v>
          </cell>
        </row>
        <row r="135">
          <cell r="C135" t="e">
            <v>#N/A</v>
          </cell>
          <cell r="G135" t="e">
            <v>#N/A</v>
          </cell>
        </row>
        <row r="136">
          <cell r="C136" t="e">
            <v>#N/A</v>
          </cell>
          <cell r="G136" t="e">
            <v>#N/A</v>
          </cell>
        </row>
        <row r="137">
          <cell r="C137" t="e">
            <v>#N/A</v>
          </cell>
          <cell r="G137" t="e">
            <v>#N/A</v>
          </cell>
        </row>
        <row r="138">
          <cell r="C138" t="e">
            <v>#N/A</v>
          </cell>
          <cell r="G138" t="e">
            <v>#N/A</v>
          </cell>
        </row>
        <row r="139">
          <cell r="C139" t="e">
            <v>#N/A</v>
          </cell>
          <cell r="G139" t="e">
            <v>#N/A</v>
          </cell>
        </row>
        <row r="140">
          <cell r="C140" t="e">
            <v>#N/A</v>
          </cell>
          <cell r="G140" t="e">
            <v>#N/A</v>
          </cell>
        </row>
        <row r="141">
          <cell r="C141" t="e">
            <v>#N/A</v>
          </cell>
          <cell r="G141" t="e">
            <v>#N/A</v>
          </cell>
        </row>
        <row r="142">
          <cell r="C142" t="e">
            <v>#N/A</v>
          </cell>
          <cell r="G142" t="e">
            <v>#N/A</v>
          </cell>
        </row>
        <row r="143">
          <cell r="C143" t="e">
            <v>#N/A</v>
          </cell>
          <cell r="G143" t="e">
            <v>#N/A</v>
          </cell>
        </row>
        <row r="144">
          <cell r="C144" t="e">
            <v>#N/A</v>
          </cell>
          <cell r="G144" t="e">
            <v>#N/A</v>
          </cell>
        </row>
        <row r="145">
          <cell r="C145" t="e">
            <v>#N/A</v>
          </cell>
          <cell r="G145" t="e">
            <v>#N/A</v>
          </cell>
        </row>
        <row r="146">
          <cell r="C146" t="e">
            <v>#N/A</v>
          </cell>
          <cell r="G146" t="e">
            <v>#N/A</v>
          </cell>
        </row>
        <row r="147">
          <cell r="C147" t="e">
            <v>#N/A</v>
          </cell>
          <cell r="G147" t="e">
            <v>#N/A</v>
          </cell>
        </row>
        <row r="148">
          <cell r="C148" t="e">
            <v>#N/A</v>
          </cell>
          <cell r="G148" t="e">
            <v>#N/A</v>
          </cell>
        </row>
        <row r="149">
          <cell r="C149" t="e">
            <v>#N/A</v>
          </cell>
          <cell r="G149" t="e">
            <v>#N/A</v>
          </cell>
        </row>
        <row r="150">
          <cell r="C150" t="e">
            <v>#N/A</v>
          </cell>
          <cell r="G150" t="e">
            <v>#N/A</v>
          </cell>
        </row>
        <row r="151">
          <cell r="C151" t="e">
            <v>#N/A</v>
          </cell>
          <cell r="G151" t="e">
            <v>#N/A</v>
          </cell>
        </row>
        <row r="152">
          <cell r="C152" t="e">
            <v>#N/A</v>
          </cell>
          <cell r="G152" t="e">
            <v>#N/A</v>
          </cell>
        </row>
        <row r="153">
          <cell r="C153" t="e">
            <v>#N/A</v>
          </cell>
          <cell r="G153" t="e">
            <v>#N/A</v>
          </cell>
        </row>
        <row r="154">
          <cell r="C154" t="e">
            <v>#N/A</v>
          </cell>
          <cell r="G154" t="e">
            <v>#N/A</v>
          </cell>
        </row>
        <row r="155">
          <cell r="C155" t="e">
            <v>#N/A</v>
          </cell>
          <cell r="G155" t="e">
            <v>#N/A</v>
          </cell>
        </row>
        <row r="156">
          <cell r="C156" t="e">
            <v>#N/A</v>
          </cell>
          <cell r="G156" t="e">
            <v>#N/A</v>
          </cell>
        </row>
        <row r="157">
          <cell r="C157" t="e">
            <v>#N/A</v>
          </cell>
          <cell r="G157" t="e">
            <v>#N/A</v>
          </cell>
        </row>
        <row r="158">
          <cell r="C158" t="e">
            <v>#N/A</v>
          </cell>
          <cell r="G158" t="e">
            <v>#N/A</v>
          </cell>
        </row>
        <row r="159">
          <cell r="C159" t="e">
            <v>#N/A</v>
          </cell>
          <cell r="G159" t="e">
            <v>#N/A</v>
          </cell>
        </row>
        <row r="160">
          <cell r="C160" t="e">
            <v>#N/A</v>
          </cell>
          <cell r="G160" t="e">
            <v>#N/A</v>
          </cell>
        </row>
        <row r="161">
          <cell r="C161" t="e">
            <v>#N/A</v>
          </cell>
          <cell r="G161" t="e">
            <v>#N/A</v>
          </cell>
        </row>
        <row r="162">
          <cell r="C162" t="e">
            <v>#N/A</v>
          </cell>
          <cell r="G162" t="e">
            <v>#N/A</v>
          </cell>
        </row>
        <row r="163">
          <cell r="C163" t="e">
            <v>#N/A</v>
          </cell>
          <cell r="G163" t="e">
            <v>#N/A</v>
          </cell>
        </row>
        <row r="164">
          <cell r="C164" t="e">
            <v>#N/A</v>
          </cell>
          <cell r="G164" t="e">
            <v>#N/A</v>
          </cell>
        </row>
        <row r="165">
          <cell r="C165" t="e">
            <v>#N/A</v>
          </cell>
          <cell r="G165" t="e">
            <v>#N/A</v>
          </cell>
        </row>
        <row r="166">
          <cell r="C166" t="e">
            <v>#N/A</v>
          </cell>
          <cell r="G166" t="e">
            <v>#N/A</v>
          </cell>
        </row>
        <row r="167">
          <cell r="C167" t="e">
            <v>#N/A</v>
          </cell>
          <cell r="G167" t="e">
            <v>#N/A</v>
          </cell>
        </row>
        <row r="168">
          <cell r="C168" t="e">
            <v>#N/A</v>
          </cell>
          <cell r="G168" t="e">
            <v>#N/A</v>
          </cell>
        </row>
        <row r="169">
          <cell r="C169" t="e">
            <v>#N/A</v>
          </cell>
          <cell r="G169" t="e">
            <v>#N/A</v>
          </cell>
        </row>
        <row r="170">
          <cell r="C170" t="e">
            <v>#N/A</v>
          </cell>
          <cell r="G170" t="e">
            <v>#N/A</v>
          </cell>
        </row>
        <row r="171">
          <cell r="C171" t="e">
            <v>#N/A</v>
          </cell>
          <cell r="G171" t="e">
            <v>#N/A</v>
          </cell>
        </row>
        <row r="172">
          <cell r="C172" t="e">
            <v>#N/A</v>
          </cell>
          <cell r="G172" t="e">
            <v>#N/A</v>
          </cell>
        </row>
        <row r="173">
          <cell r="C173" t="e">
            <v>#N/A</v>
          </cell>
          <cell r="G173" t="e">
            <v>#N/A</v>
          </cell>
        </row>
        <row r="174">
          <cell r="C174" t="e">
            <v>#N/A</v>
          </cell>
          <cell r="G174" t="e">
            <v>#N/A</v>
          </cell>
        </row>
        <row r="175">
          <cell r="C175" t="e">
            <v>#N/A</v>
          </cell>
          <cell r="G175" t="e">
            <v>#N/A</v>
          </cell>
        </row>
        <row r="176">
          <cell r="C176" t="e">
            <v>#N/A</v>
          </cell>
          <cell r="G176" t="e">
            <v>#N/A</v>
          </cell>
        </row>
        <row r="177">
          <cell r="C177" t="e">
            <v>#N/A</v>
          </cell>
          <cell r="G177" t="e">
            <v>#N/A</v>
          </cell>
        </row>
        <row r="178">
          <cell r="C178" t="e">
            <v>#N/A</v>
          </cell>
          <cell r="G178" t="e">
            <v>#N/A</v>
          </cell>
        </row>
        <row r="179">
          <cell r="C179" t="e">
            <v>#N/A</v>
          </cell>
          <cell r="G179" t="e">
            <v>#N/A</v>
          </cell>
        </row>
        <row r="180">
          <cell r="C180" t="e">
            <v>#N/A</v>
          </cell>
          <cell r="G180" t="e">
            <v>#N/A</v>
          </cell>
        </row>
        <row r="181">
          <cell r="C181" t="e">
            <v>#N/A</v>
          </cell>
          <cell r="G181" t="e">
            <v>#N/A</v>
          </cell>
        </row>
        <row r="182">
          <cell r="C182" t="e">
            <v>#N/A</v>
          </cell>
          <cell r="G182" t="e">
            <v>#N/A</v>
          </cell>
        </row>
        <row r="183">
          <cell r="C183" t="e">
            <v>#N/A</v>
          </cell>
          <cell r="G183" t="e">
            <v>#N/A</v>
          </cell>
        </row>
        <row r="184">
          <cell r="C184" t="e">
            <v>#N/A</v>
          </cell>
          <cell r="G184" t="e">
            <v>#N/A</v>
          </cell>
        </row>
        <row r="185">
          <cell r="C185" t="e">
            <v>#N/A</v>
          </cell>
          <cell r="G185" t="e">
            <v>#N/A</v>
          </cell>
        </row>
        <row r="186">
          <cell r="C186" t="e">
            <v>#N/A</v>
          </cell>
          <cell r="G186" t="e">
            <v>#N/A</v>
          </cell>
        </row>
        <row r="187">
          <cell r="C187" t="e">
            <v>#N/A</v>
          </cell>
          <cell r="G187" t="e">
            <v>#N/A</v>
          </cell>
        </row>
        <row r="188">
          <cell r="C188" t="e">
            <v>#N/A</v>
          </cell>
          <cell r="G188" t="e">
            <v>#N/A</v>
          </cell>
        </row>
        <row r="189">
          <cell r="C189" t="e">
            <v>#N/A</v>
          </cell>
          <cell r="G189" t="e">
            <v>#N/A</v>
          </cell>
        </row>
        <row r="190">
          <cell r="C190" t="e">
            <v>#N/A</v>
          </cell>
          <cell r="G190" t="e">
            <v>#N/A</v>
          </cell>
        </row>
        <row r="191">
          <cell r="C191" t="e">
            <v>#N/A</v>
          </cell>
          <cell r="G191" t="e">
            <v>#N/A</v>
          </cell>
        </row>
        <row r="192">
          <cell r="C192" t="e">
            <v>#N/A</v>
          </cell>
          <cell r="G192" t="e">
            <v>#N/A</v>
          </cell>
        </row>
        <row r="193">
          <cell r="C193" t="e">
            <v>#N/A</v>
          </cell>
          <cell r="G193" t="e">
            <v>#N/A</v>
          </cell>
        </row>
        <row r="194">
          <cell r="C194" t="e">
            <v>#N/A</v>
          </cell>
          <cell r="G194" t="e">
            <v>#N/A</v>
          </cell>
        </row>
        <row r="195">
          <cell r="C195" t="e">
            <v>#N/A</v>
          </cell>
          <cell r="G195" t="e">
            <v>#N/A</v>
          </cell>
        </row>
        <row r="196">
          <cell r="C196" t="e">
            <v>#N/A</v>
          </cell>
          <cell r="G196" t="e">
            <v>#N/A</v>
          </cell>
        </row>
        <row r="197">
          <cell r="C197" t="e">
            <v>#N/A</v>
          </cell>
          <cell r="G197" t="e">
            <v>#N/A</v>
          </cell>
        </row>
        <row r="198">
          <cell r="C198" t="e">
            <v>#N/A</v>
          </cell>
          <cell r="G198" t="e">
            <v>#N/A</v>
          </cell>
        </row>
        <row r="199">
          <cell r="C199" t="e">
            <v>#N/A</v>
          </cell>
          <cell r="G199" t="e">
            <v>#N/A</v>
          </cell>
        </row>
        <row r="200">
          <cell r="C200" t="e">
            <v>#N/A</v>
          </cell>
          <cell r="G200" t="e">
            <v>#N/A</v>
          </cell>
        </row>
        <row r="201">
          <cell r="C201" t="e">
            <v>#N/A</v>
          </cell>
          <cell r="G201" t="e">
            <v>#N/A</v>
          </cell>
        </row>
        <row r="202">
          <cell r="C202" t="e">
            <v>#N/A</v>
          </cell>
          <cell r="G202" t="e">
            <v>#N/A</v>
          </cell>
        </row>
        <row r="203">
          <cell r="C203" t="e">
            <v>#N/A</v>
          </cell>
          <cell r="G203" t="e">
            <v>#N/A</v>
          </cell>
        </row>
        <row r="204">
          <cell r="C204" t="e">
            <v>#N/A</v>
          </cell>
          <cell r="G204" t="e">
            <v>#N/A</v>
          </cell>
        </row>
        <row r="205">
          <cell r="C205" t="e">
            <v>#N/A</v>
          </cell>
          <cell r="G205" t="e">
            <v>#N/A</v>
          </cell>
        </row>
        <row r="206">
          <cell r="C206" t="e">
            <v>#N/A</v>
          </cell>
          <cell r="G206" t="e">
            <v>#N/A</v>
          </cell>
        </row>
        <row r="207">
          <cell r="C207" t="e">
            <v>#N/A</v>
          </cell>
          <cell r="G207" t="e">
            <v>#N/A</v>
          </cell>
        </row>
        <row r="208">
          <cell r="C208" t="e">
            <v>#N/A</v>
          </cell>
          <cell r="G208" t="e">
            <v>#N/A</v>
          </cell>
        </row>
        <row r="209">
          <cell r="C209" t="e">
            <v>#N/A</v>
          </cell>
          <cell r="G209" t="e">
            <v>#N/A</v>
          </cell>
        </row>
        <row r="210">
          <cell r="C210" t="e">
            <v>#N/A</v>
          </cell>
          <cell r="G210" t="e">
            <v>#N/A</v>
          </cell>
        </row>
        <row r="211">
          <cell r="C211" t="e">
            <v>#N/A</v>
          </cell>
          <cell r="G211" t="e">
            <v>#N/A</v>
          </cell>
        </row>
        <row r="212">
          <cell r="C212" t="e">
            <v>#N/A</v>
          </cell>
          <cell r="G212" t="e">
            <v>#N/A</v>
          </cell>
        </row>
        <row r="213">
          <cell r="C213" t="e">
            <v>#N/A</v>
          </cell>
          <cell r="G213" t="e">
            <v>#N/A</v>
          </cell>
        </row>
        <row r="214">
          <cell r="C214" t="e">
            <v>#N/A</v>
          </cell>
          <cell r="G214" t="e">
            <v>#N/A</v>
          </cell>
        </row>
        <row r="215">
          <cell r="C215" t="e">
            <v>#N/A</v>
          </cell>
          <cell r="G215" t="e">
            <v>#N/A</v>
          </cell>
        </row>
        <row r="216">
          <cell r="C216" t="e">
            <v>#N/A</v>
          </cell>
          <cell r="G216" t="e">
            <v>#N/A</v>
          </cell>
        </row>
        <row r="217">
          <cell r="C217" t="e">
            <v>#N/A</v>
          </cell>
          <cell r="G217" t="e">
            <v>#N/A</v>
          </cell>
        </row>
        <row r="218">
          <cell r="C218" t="e">
            <v>#N/A</v>
          </cell>
          <cell r="G218" t="e">
            <v>#N/A</v>
          </cell>
        </row>
        <row r="219">
          <cell r="C219" t="e">
            <v>#N/A</v>
          </cell>
          <cell r="G219" t="e">
            <v>#N/A</v>
          </cell>
        </row>
        <row r="220">
          <cell r="C220" t="e">
            <v>#N/A</v>
          </cell>
          <cell r="G220" t="e">
            <v>#N/A</v>
          </cell>
        </row>
        <row r="221">
          <cell r="C221" t="e">
            <v>#N/A</v>
          </cell>
          <cell r="G221" t="e">
            <v>#N/A</v>
          </cell>
        </row>
        <row r="222">
          <cell r="C222" t="e">
            <v>#N/A</v>
          </cell>
          <cell r="G222" t="e">
            <v>#N/A</v>
          </cell>
        </row>
        <row r="223">
          <cell r="C223" t="e">
            <v>#N/A</v>
          </cell>
          <cell r="G223" t="e">
            <v>#N/A</v>
          </cell>
        </row>
        <row r="224">
          <cell r="C224" t="e">
            <v>#N/A</v>
          </cell>
          <cell r="G224" t="e">
            <v>#N/A</v>
          </cell>
        </row>
        <row r="225">
          <cell r="C225" t="e">
            <v>#N/A</v>
          </cell>
          <cell r="G225" t="e">
            <v>#N/A</v>
          </cell>
        </row>
        <row r="226">
          <cell r="C226" t="e">
            <v>#N/A</v>
          </cell>
          <cell r="G226" t="e">
            <v>#N/A</v>
          </cell>
        </row>
        <row r="227">
          <cell r="C227" t="e">
            <v>#N/A</v>
          </cell>
          <cell r="G227" t="e">
            <v>#N/A</v>
          </cell>
        </row>
        <row r="228">
          <cell r="C228" t="e">
            <v>#N/A</v>
          </cell>
          <cell r="G228" t="e">
            <v>#N/A</v>
          </cell>
        </row>
        <row r="229">
          <cell r="C229" t="e">
            <v>#N/A</v>
          </cell>
          <cell r="G229" t="e">
            <v>#N/A</v>
          </cell>
        </row>
        <row r="230">
          <cell r="C230" t="e">
            <v>#N/A</v>
          </cell>
          <cell r="G230" t="e">
            <v>#N/A</v>
          </cell>
        </row>
        <row r="231">
          <cell r="C231" t="e">
            <v>#N/A</v>
          </cell>
          <cell r="G231" t="e">
            <v>#N/A</v>
          </cell>
        </row>
        <row r="232">
          <cell r="C232" t="e">
            <v>#N/A</v>
          </cell>
          <cell r="G232" t="e">
            <v>#N/A</v>
          </cell>
        </row>
        <row r="233">
          <cell r="C233" t="e">
            <v>#N/A</v>
          </cell>
          <cell r="G233" t="e">
            <v>#N/A</v>
          </cell>
        </row>
        <row r="234">
          <cell r="C234" t="e">
            <v>#N/A</v>
          </cell>
          <cell r="G234" t="e">
            <v>#N/A</v>
          </cell>
        </row>
        <row r="235">
          <cell r="C235" t="e">
            <v>#N/A</v>
          </cell>
          <cell r="G235" t="e">
            <v>#N/A</v>
          </cell>
        </row>
        <row r="236">
          <cell r="C236" t="e">
            <v>#N/A</v>
          </cell>
          <cell r="G236" t="e">
            <v>#N/A</v>
          </cell>
        </row>
        <row r="237">
          <cell r="C237" t="e">
            <v>#N/A</v>
          </cell>
          <cell r="G237" t="e">
            <v>#N/A</v>
          </cell>
        </row>
        <row r="238">
          <cell r="C238" t="e">
            <v>#N/A</v>
          </cell>
          <cell r="G238" t="e">
            <v>#N/A</v>
          </cell>
        </row>
        <row r="239">
          <cell r="C239" t="e">
            <v>#N/A</v>
          </cell>
          <cell r="G239" t="e">
            <v>#N/A</v>
          </cell>
        </row>
        <row r="240">
          <cell r="C240" t="e">
            <v>#N/A</v>
          </cell>
          <cell r="G240" t="e">
            <v>#N/A</v>
          </cell>
        </row>
        <row r="241">
          <cell r="C241" t="e">
            <v>#N/A</v>
          </cell>
          <cell r="G241" t="e">
            <v>#N/A</v>
          </cell>
        </row>
        <row r="242">
          <cell r="C242" t="e">
            <v>#N/A</v>
          </cell>
          <cell r="G242" t="e">
            <v>#N/A</v>
          </cell>
        </row>
        <row r="243">
          <cell r="C243" t="e">
            <v>#N/A</v>
          </cell>
          <cell r="G243" t="e">
            <v>#N/A</v>
          </cell>
        </row>
        <row r="244">
          <cell r="C244" t="e">
            <v>#N/A</v>
          </cell>
          <cell r="G244" t="e">
            <v>#N/A</v>
          </cell>
        </row>
        <row r="245">
          <cell r="C245" t="e">
            <v>#N/A</v>
          </cell>
          <cell r="G245" t="e">
            <v>#N/A</v>
          </cell>
        </row>
        <row r="246">
          <cell r="C246" t="e">
            <v>#N/A</v>
          </cell>
          <cell r="G246" t="e">
            <v>#N/A</v>
          </cell>
        </row>
        <row r="247">
          <cell r="C247" t="e">
            <v>#N/A</v>
          </cell>
          <cell r="G247" t="e">
            <v>#N/A</v>
          </cell>
        </row>
        <row r="248">
          <cell r="C248" t="e">
            <v>#N/A</v>
          </cell>
          <cell r="G248" t="e">
            <v>#N/A</v>
          </cell>
        </row>
        <row r="249">
          <cell r="C249" t="e">
            <v>#N/A</v>
          </cell>
          <cell r="G249" t="e">
            <v>#N/A</v>
          </cell>
        </row>
        <row r="250">
          <cell r="C250" t="e">
            <v>#N/A</v>
          </cell>
          <cell r="G250" t="e">
            <v>#N/A</v>
          </cell>
        </row>
        <row r="251">
          <cell r="C251" t="e">
            <v>#N/A</v>
          </cell>
          <cell r="G251" t="e">
            <v>#N/A</v>
          </cell>
        </row>
        <row r="252">
          <cell r="C252" t="e">
            <v>#N/A</v>
          </cell>
          <cell r="G252" t="e">
            <v>#N/A</v>
          </cell>
        </row>
        <row r="253">
          <cell r="C253" t="e">
            <v>#N/A</v>
          </cell>
          <cell r="G253" t="e">
            <v>#N/A</v>
          </cell>
        </row>
        <row r="254">
          <cell r="C254" t="e">
            <v>#N/A</v>
          </cell>
          <cell r="G254" t="e">
            <v>#N/A</v>
          </cell>
        </row>
        <row r="255">
          <cell r="C255" t="e">
            <v>#N/A</v>
          </cell>
          <cell r="G255" t="e">
            <v>#N/A</v>
          </cell>
        </row>
        <row r="256">
          <cell r="C256" t="e">
            <v>#N/A</v>
          </cell>
          <cell r="G256" t="e">
            <v>#N/A</v>
          </cell>
        </row>
        <row r="257">
          <cell r="C257" t="e">
            <v>#N/A</v>
          </cell>
          <cell r="G257" t="e">
            <v>#N/A</v>
          </cell>
        </row>
        <row r="258">
          <cell r="C258" t="e">
            <v>#N/A</v>
          </cell>
          <cell r="G258" t="e">
            <v>#N/A</v>
          </cell>
        </row>
        <row r="259">
          <cell r="C259" t="e">
            <v>#N/A</v>
          </cell>
          <cell r="G259" t="e">
            <v>#N/A</v>
          </cell>
        </row>
        <row r="260">
          <cell r="C260" t="e">
            <v>#N/A</v>
          </cell>
          <cell r="G260" t="e">
            <v>#N/A</v>
          </cell>
        </row>
        <row r="261">
          <cell r="C261" t="e">
            <v>#N/A</v>
          </cell>
          <cell r="G261" t="e">
            <v>#N/A</v>
          </cell>
        </row>
        <row r="262">
          <cell r="C262" t="e">
            <v>#N/A</v>
          </cell>
          <cell r="G262" t="e">
            <v>#N/A</v>
          </cell>
        </row>
        <row r="263">
          <cell r="C263" t="e">
            <v>#N/A</v>
          </cell>
          <cell r="G263" t="e">
            <v>#N/A</v>
          </cell>
        </row>
        <row r="264">
          <cell r="C264" t="e">
            <v>#N/A</v>
          </cell>
          <cell r="G264" t="e">
            <v>#N/A</v>
          </cell>
        </row>
        <row r="265">
          <cell r="C265" t="e">
            <v>#N/A</v>
          </cell>
          <cell r="G265" t="e">
            <v>#N/A</v>
          </cell>
        </row>
        <row r="266">
          <cell r="C266" t="e">
            <v>#N/A</v>
          </cell>
          <cell r="G266" t="e">
            <v>#N/A</v>
          </cell>
        </row>
        <row r="267">
          <cell r="C267" t="e">
            <v>#N/A</v>
          </cell>
          <cell r="G267" t="e">
            <v>#N/A</v>
          </cell>
        </row>
        <row r="268">
          <cell r="C268" t="e">
            <v>#N/A</v>
          </cell>
          <cell r="G268" t="e">
            <v>#N/A</v>
          </cell>
        </row>
        <row r="269">
          <cell r="C269" t="e">
            <v>#N/A</v>
          </cell>
          <cell r="G269" t="e">
            <v>#N/A</v>
          </cell>
        </row>
        <row r="270">
          <cell r="C270" t="e">
            <v>#N/A</v>
          </cell>
          <cell r="G270" t="e">
            <v>#N/A</v>
          </cell>
        </row>
        <row r="271">
          <cell r="C271" t="e">
            <v>#N/A</v>
          </cell>
          <cell r="G271" t="e">
            <v>#N/A</v>
          </cell>
        </row>
        <row r="272">
          <cell r="C272" t="e">
            <v>#N/A</v>
          </cell>
          <cell r="G272" t="e">
            <v>#N/A</v>
          </cell>
        </row>
        <row r="273">
          <cell r="C273" t="e">
            <v>#N/A</v>
          </cell>
          <cell r="G273" t="e">
            <v>#N/A</v>
          </cell>
        </row>
        <row r="274">
          <cell r="C274" t="e">
            <v>#N/A</v>
          </cell>
          <cell r="G274" t="e">
            <v>#N/A</v>
          </cell>
        </row>
        <row r="275">
          <cell r="C275" t="e">
            <v>#N/A</v>
          </cell>
          <cell r="G275" t="e">
            <v>#N/A</v>
          </cell>
        </row>
        <row r="276">
          <cell r="C276" t="e">
            <v>#N/A</v>
          </cell>
          <cell r="G276" t="e">
            <v>#N/A</v>
          </cell>
        </row>
        <row r="277">
          <cell r="C277" t="e">
            <v>#N/A</v>
          </cell>
          <cell r="G277" t="e">
            <v>#N/A</v>
          </cell>
        </row>
        <row r="278">
          <cell r="C278" t="e">
            <v>#N/A</v>
          </cell>
          <cell r="G278" t="e">
            <v>#N/A</v>
          </cell>
        </row>
        <row r="279">
          <cell r="C279" t="e">
            <v>#N/A</v>
          </cell>
          <cell r="G279" t="e">
            <v>#N/A</v>
          </cell>
        </row>
        <row r="280">
          <cell r="C280" t="e">
            <v>#N/A</v>
          </cell>
          <cell r="G280" t="e">
            <v>#N/A</v>
          </cell>
        </row>
        <row r="281">
          <cell r="C281" t="e">
            <v>#N/A</v>
          </cell>
          <cell r="G281" t="e">
            <v>#N/A</v>
          </cell>
        </row>
        <row r="282">
          <cell r="C282" t="e">
            <v>#N/A</v>
          </cell>
          <cell r="G282" t="e">
            <v>#N/A</v>
          </cell>
        </row>
        <row r="283">
          <cell r="C283" t="e">
            <v>#N/A</v>
          </cell>
          <cell r="G283" t="e">
            <v>#N/A</v>
          </cell>
        </row>
        <row r="284">
          <cell r="C284" t="e">
            <v>#N/A</v>
          </cell>
          <cell r="G284" t="e">
            <v>#N/A</v>
          </cell>
        </row>
        <row r="285">
          <cell r="C285" t="e">
            <v>#N/A</v>
          </cell>
          <cell r="G285" t="e">
            <v>#N/A</v>
          </cell>
        </row>
        <row r="286">
          <cell r="C286" t="e">
            <v>#N/A</v>
          </cell>
          <cell r="G286" t="e">
            <v>#N/A</v>
          </cell>
        </row>
        <row r="287">
          <cell r="C287" t="e">
            <v>#N/A</v>
          </cell>
          <cell r="G287" t="e">
            <v>#N/A</v>
          </cell>
        </row>
        <row r="288">
          <cell r="C288" t="e">
            <v>#N/A</v>
          </cell>
          <cell r="G288" t="e">
            <v>#N/A</v>
          </cell>
        </row>
        <row r="289">
          <cell r="C289" t="e">
            <v>#N/A</v>
          </cell>
          <cell r="G289" t="e">
            <v>#N/A</v>
          </cell>
        </row>
        <row r="290">
          <cell r="C290" t="e">
            <v>#N/A</v>
          </cell>
          <cell r="G290" t="e">
            <v>#N/A</v>
          </cell>
        </row>
        <row r="291">
          <cell r="C291" t="e">
            <v>#N/A</v>
          </cell>
          <cell r="G291" t="e">
            <v>#N/A</v>
          </cell>
        </row>
        <row r="292">
          <cell r="C292" t="e">
            <v>#N/A</v>
          </cell>
          <cell r="G292" t="e">
            <v>#N/A</v>
          </cell>
        </row>
        <row r="293">
          <cell r="C293" t="e">
            <v>#N/A</v>
          </cell>
          <cell r="G293" t="e">
            <v>#N/A</v>
          </cell>
        </row>
        <row r="294">
          <cell r="C294" t="e">
            <v>#N/A</v>
          </cell>
          <cell r="G294" t="e">
            <v>#N/A</v>
          </cell>
        </row>
        <row r="295">
          <cell r="C295" t="e">
            <v>#N/A</v>
          </cell>
          <cell r="G295" t="e">
            <v>#N/A</v>
          </cell>
        </row>
        <row r="296">
          <cell r="C296" t="e">
            <v>#N/A</v>
          </cell>
          <cell r="G296" t="e">
            <v>#N/A</v>
          </cell>
        </row>
        <row r="297">
          <cell r="C297" t="e">
            <v>#N/A</v>
          </cell>
          <cell r="G297" t="e">
            <v>#N/A</v>
          </cell>
        </row>
        <row r="298">
          <cell r="C298" t="e">
            <v>#N/A</v>
          </cell>
          <cell r="G298" t="e">
            <v>#N/A</v>
          </cell>
        </row>
        <row r="299">
          <cell r="C299" t="e">
            <v>#N/A</v>
          </cell>
          <cell r="G299" t="e">
            <v>#N/A</v>
          </cell>
        </row>
        <row r="300">
          <cell r="C300" t="e">
            <v>#N/A</v>
          </cell>
          <cell r="G300" t="e">
            <v>#N/A</v>
          </cell>
        </row>
        <row r="301">
          <cell r="C301" t="e">
            <v>#N/A</v>
          </cell>
          <cell r="G301" t="e">
            <v>#N/A</v>
          </cell>
        </row>
        <row r="302">
          <cell r="C302" t="e">
            <v>#N/A</v>
          </cell>
          <cell r="G302" t="e">
            <v>#N/A</v>
          </cell>
        </row>
        <row r="303">
          <cell r="C303" t="e">
            <v>#N/A</v>
          </cell>
          <cell r="G303" t="e">
            <v>#N/A</v>
          </cell>
        </row>
        <row r="304">
          <cell r="C304" t="e">
            <v>#N/A</v>
          </cell>
          <cell r="G304" t="e">
            <v>#N/A</v>
          </cell>
        </row>
        <row r="305">
          <cell r="C305" t="e">
            <v>#N/A</v>
          </cell>
          <cell r="G305" t="e">
            <v>#N/A</v>
          </cell>
        </row>
        <row r="306">
          <cell r="C306" t="e">
            <v>#N/A</v>
          </cell>
          <cell r="G306" t="e">
            <v>#N/A</v>
          </cell>
        </row>
        <row r="307">
          <cell r="C307" t="e">
            <v>#N/A</v>
          </cell>
          <cell r="G307" t="e">
            <v>#N/A</v>
          </cell>
        </row>
        <row r="308">
          <cell r="C308" t="e">
            <v>#N/A</v>
          </cell>
          <cell r="G308" t="e">
            <v>#N/A</v>
          </cell>
        </row>
        <row r="309">
          <cell r="C309" t="e">
            <v>#N/A</v>
          </cell>
          <cell r="G309" t="e">
            <v>#N/A</v>
          </cell>
        </row>
        <row r="310">
          <cell r="C310" t="e">
            <v>#N/A</v>
          </cell>
          <cell r="G310" t="e">
            <v>#N/A</v>
          </cell>
        </row>
        <row r="311">
          <cell r="C311" t="e">
            <v>#N/A</v>
          </cell>
          <cell r="G311" t="e">
            <v>#N/A</v>
          </cell>
        </row>
        <row r="312">
          <cell r="C312" t="e">
            <v>#N/A</v>
          </cell>
          <cell r="G312" t="e">
            <v>#N/A</v>
          </cell>
        </row>
        <row r="313">
          <cell r="C313" t="e">
            <v>#N/A</v>
          </cell>
          <cell r="G313" t="e">
            <v>#N/A</v>
          </cell>
        </row>
        <row r="314">
          <cell r="C314" t="e">
            <v>#N/A</v>
          </cell>
          <cell r="G314" t="e">
            <v>#N/A</v>
          </cell>
        </row>
        <row r="315">
          <cell r="C315" t="e">
            <v>#N/A</v>
          </cell>
          <cell r="G315" t="e">
            <v>#N/A</v>
          </cell>
        </row>
        <row r="316">
          <cell r="C316" t="e">
            <v>#N/A</v>
          </cell>
          <cell r="G316" t="e">
            <v>#N/A</v>
          </cell>
        </row>
        <row r="317">
          <cell r="C317" t="e">
            <v>#N/A</v>
          </cell>
          <cell r="G317" t="e">
            <v>#N/A</v>
          </cell>
        </row>
        <row r="318">
          <cell r="C318" t="e">
            <v>#N/A</v>
          </cell>
          <cell r="G318" t="e">
            <v>#N/A</v>
          </cell>
        </row>
        <row r="319">
          <cell r="C319" t="e">
            <v>#N/A</v>
          </cell>
          <cell r="G319" t="e">
            <v>#N/A</v>
          </cell>
        </row>
        <row r="320">
          <cell r="C320" t="e">
            <v>#N/A</v>
          </cell>
          <cell r="G320" t="e">
            <v>#N/A</v>
          </cell>
        </row>
        <row r="321">
          <cell r="C321" t="e">
            <v>#N/A</v>
          </cell>
          <cell r="G321" t="e">
            <v>#N/A</v>
          </cell>
        </row>
        <row r="322">
          <cell r="C322" t="e">
            <v>#N/A</v>
          </cell>
          <cell r="G322" t="e">
            <v>#N/A</v>
          </cell>
        </row>
        <row r="323">
          <cell r="C323" t="e">
            <v>#N/A</v>
          </cell>
          <cell r="G323" t="e">
            <v>#N/A</v>
          </cell>
        </row>
        <row r="324">
          <cell r="C324" t="e">
            <v>#N/A</v>
          </cell>
          <cell r="G324" t="e">
            <v>#N/A</v>
          </cell>
        </row>
        <row r="325">
          <cell r="C325" t="e">
            <v>#N/A</v>
          </cell>
          <cell r="G325" t="e">
            <v>#N/A</v>
          </cell>
        </row>
        <row r="326">
          <cell r="C326" t="e">
            <v>#N/A</v>
          </cell>
          <cell r="G326" t="e">
            <v>#N/A</v>
          </cell>
        </row>
        <row r="327">
          <cell r="C327" t="e">
            <v>#N/A</v>
          </cell>
          <cell r="G327" t="e">
            <v>#N/A</v>
          </cell>
        </row>
        <row r="328">
          <cell r="C328" t="e">
            <v>#N/A</v>
          </cell>
          <cell r="G328" t="e">
            <v>#N/A</v>
          </cell>
        </row>
        <row r="329">
          <cell r="C329" t="e">
            <v>#N/A</v>
          </cell>
          <cell r="G329" t="e">
            <v>#N/A</v>
          </cell>
        </row>
        <row r="330">
          <cell r="C330" t="e">
            <v>#N/A</v>
          </cell>
          <cell r="G330" t="e">
            <v>#N/A</v>
          </cell>
        </row>
        <row r="331">
          <cell r="C331" t="e">
            <v>#N/A</v>
          </cell>
          <cell r="G331" t="e">
            <v>#N/A</v>
          </cell>
        </row>
        <row r="332">
          <cell r="C332" t="e">
            <v>#N/A</v>
          </cell>
          <cell r="G332" t="e">
            <v>#N/A</v>
          </cell>
        </row>
        <row r="333">
          <cell r="C333" t="e">
            <v>#N/A</v>
          </cell>
          <cell r="G333" t="e">
            <v>#N/A</v>
          </cell>
        </row>
        <row r="334">
          <cell r="C334" t="e">
            <v>#N/A</v>
          </cell>
          <cell r="G334" t="e">
            <v>#N/A</v>
          </cell>
        </row>
        <row r="335">
          <cell r="C335" t="e">
            <v>#N/A</v>
          </cell>
          <cell r="G335" t="e">
            <v>#N/A</v>
          </cell>
        </row>
        <row r="336">
          <cell r="C336" t="e">
            <v>#N/A</v>
          </cell>
          <cell r="G336" t="e">
            <v>#N/A</v>
          </cell>
        </row>
        <row r="337">
          <cell r="C337" t="e">
            <v>#N/A</v>
          </cell>
          <cell r="G337" t="e">
            <v>#N/A</v>
          </cell>
        </row>
        <row r="338">
          <cell r="C338" t="e">
            <v>#N/A</v>
          </cell>
          <cell r="G338" t="e">
            <v>#N/A</v>
          </cell>
        </row>
        <row r="339">
          <cell r="C339" t="e">
            <v>#N/A</v>
          </cell>
          <cell r="G339" t="e">
            <v>#N/A</v>
          </cell>
        </row>
        <row r="340">
          <cell r="C340" t="e">
            <v>#N/A</v>
          </cell>
          <cell r="G340" t="e">
            <v>#N/A</v>
          </cell>
        </row>
        <row r="341">
          <cell r="C341" t="e">
            <v>#N/A</v>
          </cell>
          <cell r="G341" t="e">
            <v>#N/A</v>
          </cell>
        </row>
        <row r="342">
          <cell r="C342" t="e">
            <v>#N/A</v>
          </cell>
          <cell r="G342" t="e">
            <v>#N/A</v>
          </cell>
        </row>
        <row r="343">
          <cell r="C343" t="e">
            <v>#N/A</v>
          </cell>
          <cell r="G343" t="e">
            <v>#N/A</v>
          </cell>
        </row>
        <row r="344">
          <cell r="C344" t="e">
            <v>#N/A</v>
          </cell>
          <cell r="G344" t="e">
            <v>#N/A</v>
          </cell>
        </row>
        <row r="345">
          <cell r="C345" t="e">
            <v>#N/A</v>
          </cell>
          <cell r="G345" t="e">
            <v>#N/A</v>
          </cell>
        </row>
        <row r="346">
          <cell r="C346" t="e">
            <v>#N/A</v>
          </cell>
          <cell r="G346" t="e">
            <v>#N/A</v>
          </cell>
        </row>
        <row r="347">
          <cell r="C347" t="e">
            <v>#N/A</v>
          </cell>
          <cell r="G347" t="e">
            <v>#N/A</v>
          </cell>
        </row>
        <row r="348">
          <cell r="C348" t="e">
            <v>#N/A</v>
          </cell>
          <cell r="G348" t="e">
            <v>#N/A</v>
          </cell>
        </row>
        <row r="349">
          <cell r="C349" t="e">
            <v>#N/A</v>
          </cell>
          <cell r="G349" t="e">
            <v>#N/A</v>
          </cell>
        </row>
        <row r="350">
          <cell r="C350" t="e">
            <v>#N/A</v>
          </cell>
          <cell r="G350" t="e">
            <v>#N/A</v>
          </cell>
        </row>
        <row r="351">
          <cell r="C351" t="e">
            <v>#N/A</v>
          </cell>
          <cell r="G351" t="e">
            <v>#N/A</v>
          </cell>
        </row>
        <row r="352">
          <cell r="C352" t="e">
            <v>#N/A</v>
          </cell>
          <cell r="G352" t="e">
            <v>#N/A</v>
          </cell>
        </row>
        <row r="353">
          <cell r="C353" t="e">
            <v>#N/A</v>
          </cell>
          <cell r="G353" t="e">
            <v>#N/A</v>
          </cell>
        </row>
        <row r="354">
          <cell r="C354" t="e">
            <v>#N/A</v>
          </cell>
          <cell r="G354" t="e">
            <v>#N/A</v>
          </cell>
        </row>
        <row r="355">
          <cell r="C355" t="e">
            <v>#N/A</v>
          </cell>
          <cell r="G355" t="e">
            <v>#N/A</v>
          </cell>
        </row>
        <row r="356">
          <cell r="C356" t="e">
            <v>#N/A</v>
          </cell>
          <cell r="G356" t="e">
            <v>#N/A</v>
          </cell>
        </row>
        <row r="357">
          <cell r="C357" t="e">
            <v>#N/A</v>
          </cell>
          <cell r="G357" t="e">
            <v>#N/A</v>
          </cell>
        </row>
        <row r="358">
          <cell r="C358" t="e">
            <v>#N/A</v>
          </cell>
          <cell r="G358" t="e">
            <v>#N/A</v>
          </cell>
        </row>
        <row r="359">
          <cell r="C359" t="e">
            <v>#N/A</v>
          </cell>
          <cell r="G359" t="e">
            <v>#N/A</v>
          </cell>
        </row>
        <row r="360">
          <cell r="C360" t="e">
            <v>#N/A</v>
          </cell>
          <cell r="G360" t="e">
            <v>#N/A</v>
          </cell>
        </row>
        <row r="361">
          <cell r="C361" t="e">
            <v>#N/A</v>
          </cell>
          <cell r="G361" t="e">
            <v>#N/A</v>
          </cell>
        </row>
        <row r="362">
          <cell r="C362" t="e">
            <v>#N/A</v>
          </cell>
          <cell r="G362" t="e">
            <v>#N/A</v>
          </cell>
        </row>
        <row r="363">
          <cell r="C363" t="e">
            <v>#N/A</v>
          </cell>
          <cell r="G363" t="e">
            <v>#N/A</v>
          </cell>
        </row>
        <row r="364">
          <cell r="C364" t="e">
            <v>#N/A</v>
          </cell>
          <cell r="G364" t="e">
            <v>#N/A</v>
          </cell>
        </row>
        <row r="365">
          <cell r="C365" t="e">
            <v>#N/A</v>
          </cell>
          <cell r="G365" t="e">
            <v>#N/A</v>
          </cell>
        </row>
        <row r="366">
          <cell r="C366" t="e">
            <v>#N/A</v>
          </cell>
          <cell r="G366" t="e">
            <v>#N/A</v>
          </cell>
        </row>
        <row r="367">
          <cell r="C367" t="e">
            <v>#N/A</v>
          </cell>
          <cell r="G367" t="e">
            <v>#N/A</v>
          </cell>
        </row>
        <row r="368">
          <cell r="C368" t="e">
            <v>#N/A</v>
          </cell>
          <cell r="G368" t="e">
            <v>#N/A</v>
          </cell>
        </row>
        <row r="369">
          <cell r="C369" t="e">
            <v>#N/A</v>
          </cell>
          <cell r="G369" t="e">
            <v>#N/A</v>
          </cell>
        </row>
        <row r="370">
          <cell r="C370" t="e">
            <v>#N/A</v>
          </cell>
          <cell r="G370" t="e">
            <v>#N/A</v>
          </cell>
        </row>
        <row r="371">
          <cell r="C371" t="e">
            <v>#N/A</v>
          </cell>
          <cell r="G371" t="e">
            <v>#N/A</v>
          </cell>
        </row>
        <row r="372">
          <cell r="C372" t="e">
            <v>#N/A</v>
          </cell>
          <cell r="G372" t="e">
            <v>#N/A</v>
          </cell>
        </row>
        <row r="373">
          <cell r="C373" t="e">
            <v>#N/A</v>
          </cell>
          <cell r="G373" t="e">
            <v>#N/A</v>
          </cell>
        </row>
        <row r="374">
          <cell r="C374" t="e">
            <v>#N/A</v>
          </cell>
          <cell r="G374" t="e">
            <v>#N/A</v>
          </cell>
        </row>
        <row r="375">
          <cell r="C375" t="e">
            <v>#N/A</v>
          </cell>
          <cell r="G375" t="e">
            <v>#N/A</v>
          </cell>
        </row>
        <row r="376">
          <cell r="C376" t="e">
            <v>#N/A</v>
          </cell>
          <cell r="G376" t="e">
            <v>#N/A</v>
          </cell>
        </row>
        <row r="377">
          <cell r="C377" t="e">
            <v>#N/A</v>
          </cell>
          <cell r="G377" t="e">
            <v>#N/A</v>
          </cell>
        </row>
        <row r="378">
          <cell r="C378" t="e">
            <v>#N/A</v>
          </cell>
          <cell r="G378" t="e">
            <v>#N/A</v>
          </cell>
        </row>
        <row r="379">
          <cell r="C379" t="e">
            <v>#N/A</v>
          </cell>
          <cell r="G379" t="e">
            <v>#N/A</v>
          </cell>
        </row>
        <row r="380">
          <cell r="C380" t="e">
            <v>#N/A</v>
          </cell>
          <cell r="G380" t="e">
            <v>#N/A</v>
          </cell>
        </row>
        <row r="381">
          <cell r="C381" t="e">
            <v>#N/A</v>
          </cell>
          <cell r="G381" t="e">
            <v>#N/A</v>
          </cell>
        </row>
        <row r="382">
          <cell r="C382" t="e">
            <v>#N/A</v>
          </cell>
          <cell r="G382" t="e">
            <v>#N/A</v>
          </cell>
        </row>
        <row r="383">
          <cell r="C383" t="e">
            <v>#N/A</v>
          </cell>
          <cell r="G383" t="e">
            <v>#N/A</v>
          </cell>
        </row>
        <row r="384">
          <cell r="C384" t="e">
            <v>#N/A</v>
          </cell>
          <cell r="G384" t="e">
            <v>#N/A</v>
          </cell>
        </row>
        <row r="385">
          <cell r="C385" t="e">
            <v>#N/A</v>
          </cell>
          <cell r="G385" t="e">
            <v>#N/A</v>
          </cell>
        </row>
        <row r="386">
          <cell r="C386" t="e">
            <v>#N/A</v>
          </cell>
          <cell r="G386" t="e">
            <v>#N/A</v>
          </cell>
        </row>
        <row r="387">
          <cell r="C387" t="e">
            <v>#N/A</v>
          </cell>
          <cell r="G387" t="e">
            <v>#N/A</v>
          </cell>
        </row>
        <row r="388">
          <cell r="C388" t="e">
            <v>#N/A</v>
          </cell>
          <cell r="G388" t="e">
            <v>#N/A</v>
          </cell>
        </row>
        <row r="389">
          <cell r="C389" t="e">
            <v>#N/A</v>
          </cell>
          <cell r="G389" t="e">
            <v>#N/A</v>
          </cell>
        </row>
        <row r="390">
          <cell r="C390" t="e">
            <v>#N/A</v>
          </cell>
          <cell r="G390" t="e">
            <v>#N/A</v>
          </cell>
        </row>
        <row r="391">
          <cell r="C391" t="e">
            <v>#N/A</v>
          </cell>
          <cell r="G391" t="e">
            <v>#N/A</v>
          </cell>
        </row>
        <row r="392">
          <cell r="C392" t="e">
            <v>#N/A</v>
          </cell>
          <cell r="G392" t="e">
            <v>#N/A</v>
          </cell>
        </row>
        <row r="393">
          <cell r="C393" t="e">
            <v>#N/A</v>
          </cell>
          <cell r="G393" t="e">
            <v>#N/A</v>
          </cell>
        </row>
        <row r="394">
          <cell r="C394" t="e">
            <v>#N/A</v>
          </cell>
          <cell r="G394" t="e">
            <v>#N/A</v>
          </cell>
        </row>
        <row r="395">
          <cell r="C395" t="e">
            <v>#N/A</v>
          </cell>
          <cell r="G395" t="e">
            <v>#N/A</v>
          </cell>
        </row>
        <row r="396">
          <cell r="C396" t="e">
            <v>#N/A</v>
          </cell>
          <cell r="G396" t="e">
            <v>#N/A</v>
          </cell>
        </row>
        <row r="397">
          <cell r="C397" t="e">
            <v>#N/A</v>
          </cell>
          <cell r="G397" t="e">
            <v>#N/A</v>
          </cell>
        </row>
        <row r="398">
          <cell r="C398" t="e">
            <v>#N/A</v>
          </cell>
          <cell r="G398" t="e">
            <v>#N/A</v>
          </cell>
        </row>
        <row r="399">
          <cell r="C399" t="e">
            <v>#N/A</v>
          </cell>
          <cell r="G399" t="e">
            <v>#N/A</v>
          </cell>
        </row>
        <row r="400">
          <cell r="C400" t="e">
            <v>#N/A</v>
          </cell>
          <cell r="G400" t="e">
            <v>#N/A</v>
          </cell>
        </row>
        <row r="401">
          <cell r="C401" t="e">
            <v>#N/A</v>
          </cell>
          <cell r="G401" t="e">
            <v>#N/A</v>
          </cell>
        </row>
        <row r="402">
          <cell r="C402" t="e">
            <v>#N/A</v>
          </cell>
          <cell r="G402" t="e">
            <v>#N/A</v>
          </cell>
        </row>
        <row r="403">
          <cell r="C403" t="e">
            <v>#N/A</v>
          </cell>
          <cell r="G403" t="e">
            <v>#N/A</v>
          </cell>
        </row>
        <row r="404">
          <cell r="C404" t="e">
            <v>#N/A</v>
          </cell>
          <cell r="G404" t="e">
            <v>#N/A</v>
          </cell>
        </row>
        <row r="405">
          <cell r="C405" t="e">
            <v>#N/A</v>
          </cell>
          <cell r="G405" t="e">
            <v>#N/A</v>
          </cell>
        </row>
        <row r="406">
          <cell r="C406" t="e">
            <v>#N/A</v>
          </cell>
          <cell r="G406" t="e">
            <v>#N/A</v>
          </cell>
        </row>
        <row r="407">
          <cell r="C407" t="e">
            <v>#N/A</v>
          </cell>
          <cell r="G407" t="e">
            <v>#N/A</v>
          </cell>
        </row>
        <row r="408">
          <cell r="C408" t="e">
            <v>#N/A</v>
          </cell>
          <cell r="G408" t="e">
            <v>#N/A</v>
          </cell>
        </row>
        <row r="409">
          <cell r="C409" t="e">
            <v>#N/A</v>
          </cell>
          <cell r="G409" t="e">
            <v>#N/A</v>
          </cell>
        </row>
        <row r="410">
          <cell r="C410" t="e">
            <v>#N/A</v>
          </cell>
          <cell r="G410" t="e">
            <v>#N/A</v>
          </cell>
        </row>
        <row r="411">
          <cell r="C411" t="e">
            <v>#N/A</v>
          </cell>
          <cell r="G411" t="e">
            <v>#N/A</v>
          </cell>
        </row>
        <row r="412">
          <cell r="C412" t="e">
            <v>#N/A</v>
          </cell>
          <cell r="G412" t="e">
            <v>#N/A</v>
          </cell>
        </row>
        <row r="413">
          <cell r="C413" t="e">
            <v>#N/A</v>
          </cell>
          <cell r="G413" t="e">
            <v>#N/A</v>
          </cell>
        </row>
        <row r="414">
          <cell r="C414" t="e">
            <v>#N/A</v>
          </cell>
          <cell r="G414" t="e">
            <v>#N/A</v>
          </cell>
        </row>
        <row r="415">
          <cell r="C415" t="e">
            <v>#N/A</v>
          </cell>
          <cell r="G415" t="e">
            <v>#N/A</v>
          </cell>
        </row>
        <row r="416">
          <cell r="C416" t="e">
            <v>#N/A</v>
          </cell>
          <cell r="G416" t="e">
            <v>#N/A</v>
          </cell>
        </row>
        <row r="417">
          <cell r="C417" t="e">
            <v>#N/A</v>
          </cell>
          <cell r="G417" t="e">
            <v>#N/A</v>
          </cell>
        </row>
        <row r="418">
          <cell r="C418" t="e">
            <v>#N/A</v>
          </cell>
          <cell r="G418" t="e">
            <v>#N/A</v>
          </cell>
        </row>
        <row r="419">
          <cell r="C419" t="e">
            <v>#N/A</v>
          </cell>
          <cell r="G419" t="e">
            <v>#N/A</v>
          </cell>
        </row>
        <row r="420">
          <cell r="C420" t="e">
            <v>#N/A</v>
          </cell>
          <cell r="G420" t="e">
            <v>#N/A</v>
          </cell>
        </row>
        <row r="421">
          <cell r="C421" t="e">
            <v>#N/A</v>
          </cell>
          <cell r="G421" t="e">
            <v>#N/A</v>
          </cell>
        </row>
        <row r="422">
          <cell r="C422" t="e">
            <v>#N/A</v>
          </cell>
          <cell r="G422" t="e">
            <v>#N/A</v>
          </cell>
        </row>
        <row r="423">
          <cell r="C423" t="e">
            <v>#N/A</v>
          </cell>
          <cell r="G423" t="e">
            <v>#N/A</v>
          </cell>
        </row>
        <row r="424">
          <cell r="C424" t="e">
            <v>#N/A</v>
          </cell>
          <cell r="G424" t="e">
            <v>#N/A</v>
          </cell>
        </row>
        <row r="425">
          <cell r="C425" t="e">
            <v>#N/A</v>
          </cell>
          <cell r="G425" t="e">
            <v>#N/A</v>
          </cell>
        </row>
        <row r="426">
          <cell r="C426" t="e">
            <v>#N/A</v>
          </cell>
          <cell r="G426" t="e">
            <v>#N/A</v>
          </cell>
        </row>
        <row r="427">
          <cell r="C427" t="e">
            <v>#N/A</v>
          </cell>
          <cell r="G427" t="e">
            <v>#N/A</v>
          </cell>
        </row>
        <row r="428">
          <cell r="C428" t="e">
            <v>#N/A</v>
          </cell>
          <cell r="G428" t="e">
            <v>#N/A</v>
          </cell>
        </row>
        <row r="429">
          <cell r="C429" t="e">
            <v>#N/A</v>
          </cell>
          <cell r="G429" t="e">
            <v>#N/A</v>
          </cell>
        </row>
        <row r="430">
          <cell r="C430" t="e">
            <v>#N/A</v>
          </cell>
          <cell r="G430" t="e">
            <v>#N/A</v>
          </cell>
        </row>
        <row r="431">
          <cell r="C431" t="e">
            <v>#N/A</v>
          </cell>
          <cell r="G431" t="e">
            <v>#N/A</v>
          </cell>
        </row>
        <row r="432">
          <cell r="C432" t="e">
            <v>#N/A</v>
          </cell>
          <cell r="G432" t="e">
            <v>#N/A</v>
          </cell>
        </row>
        <row r="433">
          <cell r="C433" t="e">
            <v>#N/A</v>
          </cell>
          <cell r="G433" t="e">
            <v>#N/A</v>
          </cell>
        </row>
        <row r="434">
          <cell r="C434" t="e">
            <v>#N/A</v>
          </cell>
          <cell r="G434" t="e">
            <v>#N/A</v>
          </cell>
        </row>
        <row r="435">
          <cell r="C435" t="e">
            <v>#N/A</v>
          </cell>
          <cell r="G435" t="e">
            <v>#N/A</v>
          </cell>
        </row>
        <row r="436">
          <cell r="C436" t="e">
            <v>#N/A</v>
          </cell>
          <cell r="G436" t="e">
            <v>#N/A</v>
          </cell>
        </row>
        <row r="437">
          <cell r="C437" t="e">
            <v>#N/A</v>
          </cell>
          <cell r="G437" t="e">
            <v>#N/A</v>
          </cell>
        </row>
        <row r="438">
          <cell r="C438" t="e">
            <v>#N/A</v>
          </cell>
          <cell r="G438" t="e">
            <v>#N/A</v>
          </cell>
        </row>
        <row r="439">
          <cell r="C439" t="e">
            <v>#N/A</v>
          </cell>
          <cell r="G439" t="e">
            <v>#N/A</v>
          </cell>
        </row>
        <row r="440">
          <cell r="C440" t="e">
            <v>#N/A</v>
          </cell>
          <cell r="G440" t="e">
            <v>#N/A</v>
          </cell>
        </row>
        <row r="441">
          <cell r="C441" t="e">
            <v>#N/A</v>
          </cell>
          <cell r="G441" t="e">
            <v>#N/A</v>
          </cell>
        </row>
        <row r="442">
          <cell r="C442" t="e">
            <v>#N/A</v>
          </cell>
          <cell r="G442" t="e">
            <v>#N/A</v>
          </cell>
        </row>
        <row r="443">
          <cell r="C443" t="e">
            <v>#N/A</v>
          </cell>
          <cell r="G443" t="e">
            <v>#N/A</v>
          </cell>
        </row>
        <row r="444">
          <cell r="C444" t="e">
            <v>#N/A</v>
          </cell>
          <cell r="G444" t="e">
            <v>#N/A</v>
          </cell>
        </row>
        <row r="445">
          <cell r="C445" t="e">
            <v>#N/A</v>
          </cell>
          <cell r="G445" t="e">
            <v>#N/A</v>
          </cell>
        </row>
        <row r="446">
          <cell r="C446" t="e">
            <v>#N/A</v>
          </cell>
          <cell r="G446" t="e">
            <v>#N/A</v>
          </cell>
        </row>
        <row r="447">
          <cell r="C447" t="e">
            <v>#N/A</v>
          </cell>
          <cell r="G447" t="e">
            <v>#N/A</v>
          </cell>
        </row>
        <row r="448">
          <cell r="C448" t="e">
            <v>#N/A</v>
          </cell>
          <cell r="G448" t="e">
            <v>#N/A</v>
          </cell>
        </row>
        <row r="449">
          <cell r="C449" t="e">
            <v>#N/A</v>
          </cell>
          <cell r="G449" t="e">
            <v>#N/A</v>
          </cell>
        </row>
        <row r="450">
          <cell r="C450" t="e">
            <v>#N/A</v>
          </cell>
          <cell r="G450" t="e">
            <v>#N/A</v>
          </cell>
        </row>
        <row r="451">
          <cell r="C451" t="e">
            <v>#N/A</v>
          </cell>
          <cell r="G451" t="e">
            <v>#N/A</v>
          </cell>
        </row>
        <row r="452">
          <cell r="C452" t="e">
            <v>#N/A</v>
          </cell>
          <cell r="G452" t="e">
            <v>#N/A</v>
          </cell>
        </row>
        <row r="453">
          <cell r="C453" t="e">
            <v>#N/A</v>
          </cell>
          <cell r="G453" t="e">
            <v>#N/A</v>
          </cell>
        </row>
        <row r="454">
          <cell r="C454" t="e">
            <v>#N/A</v>
          </cell>
          <cell r="G454" t="e">
            <v>#N/A</v>
          </cell>
        </row>
        <row r="455">
          <cell r="C455" t="e">
            <v>#N/A</v>
          </cell>
          <cell r="G455" t="e">
            <v>#N/A</v>
          </cell>
        </row>
        <row r="456">
          <cell r="C456" t="e">
            <v>#N/A</v>
          </cell>
          <cell r="G456" t="e">
            <v>#N/A</v>
          </cell>
        </row>
        <row r="457">
          <cell r="C457" t="e">
            <v>#N/A</v>
          </cell>
          <cell r="G457" t="e">
            <v>#N/A</v>
          </cell>
        </row>
        <row r="458">
          <cell r="C458" t="e">
            <v>#N/A</v>
          </cell>
          <cell r="G458" t="e">
            <v>#N/A</v>
          </cell>
        </row>
        <row r="459">
          <cell r="C459" t="e">
            <v>#N/A</v>
          </cell>
          <cell r="G459" t="e">
            <v>#N/A</v>
          </cell>
        </row>
        <row r="460">
          <cell r="C460" t="e">
            <v>#N/A</v>
          </cell>
          <cell r="G460" t="e">
            <v>#N/A</v>
          </cell>
        </row>
        <row r="461">
          <cell r="C461" t="e">
            <v>#N/A</v>
          </cell>
          <cell r="G461" t="e">
            <v>#N/A</v>
          </cell>
        </row>
        <row r="462">
          <cell r="C462" t="e">
            <v>#N/A</v>
          </cell>
          <cell r="G462" t="e">
            <v>#N/A</v>
          </cell>
        </row>
        <row r="463">
          <cell r="C463" t="e">
            <v>#N/A</v>
          </cell>
          <cell r="G463" t="e">
            <v>#N/A</v>
          </cell>
        </row>
        <row r="464">
          <cell r="C464" t="e">
            <v>#N/A</v>
          </cell>
          <cell r="G464" t="e">
            <v>#N/A</v>
          </cell>
        </row>
        <row r="465">
          <cell r="C465" t="e">
            <v>#N/A</v>
          </cell>
          <cell r="G465" t="e">
            <v>#N/A</v>
          </cell>
        </row>
        <row r="466">
          <cell r="C466" t="e">
            <v>#N/A</v>
          </cell>
          <cell r="G466" t="e">
            <v>#N/A</v>
          </cell>
        </row>
        <row r="467">
          <cell r="C467" t="e">
            <v>#N/A</v>
          </cell>
          <cell r="G467" t="e">
            <v>#N/A</v>
          </cell>
        </row>
        <row r="468">
          <cell r="C468" t="e">
            <v>#N/A</v>
          </cell>
          <cell r="G468" t="e">
            <v>#N/A</v>
          </cell>
        </row>
        <row r="469">
          <cell r="C469" t="e">
            <v>#N/A</v>
          </cell>
          <cell r="G469" t="e">
            <v>#N/A</v>
          </cell>
        </row>
        <row r="470">
          <cell r="C470" t="e">
            <v>#N/A</v>
          </cell>
          <cell r="G470" t="e">
            <v>#N/A</v>
          </cell>
        </row>
        <row r="471">
          <cell r="C471" t="e">
            <v>#N/A</v>
          </cell>
          <cell r="G471" t="e">
            <v>#N/A</v>
          </cell>
        </row>
        <row r="472">
          <cell r="C472" t="e">
            <v>#N/A</v>
          </cell>
          <cell r="G472" t="e">
            <v>#N/A</v>
          </cell>
        </row>
        <row r="473">
          <cell r="C473" t="e">
            <v>#N/A</v>
          </cell>
          <cell r="G473" t="e">
            <v>#N/A</v>
          </cell>
        </row>
        <row r="474">
          <cell r="C474" t="e">
            <v>#N/A</v>
          </cell>
          <cell r="G474" t="e">
            <v>#N/A</v>
          </cell>
        </row>
        <row r="475">
          <cell r="C475" t="e">
            <v>#N/A</v>
          </cell>
          <cell r="G475" t="e">
            <v>#N/A</v>
          </cell>
        </row>
        <row r="476">
          <cell r="C476" t="e">
            <v>#N/A</v>
          </cell>
          <cell r="G476" t="e">
            <v>#N/A</v>
          </cell>
        </row>
        <row r="477">
          <cell r="C477" t="e">
            <v>#N/A</v>
          </cell>
          <cell r="G477" t="e">
            <v>#N/A</v>
          </cell>
        </row>
        <row r="478">
          <cell r="C478" t="e">
            <v>#N/A</v>
          </cell>
          <cell r="G478" t="e">
            <v>#N/A</v>
          </cell>
        </row>
        <row r="479">
          <cell r="C479" t="e">
            <v>#N/A</v>
          </cell>
          <cell r="G479" t="e">
            <v>#N/A</v>
          </cell>
        </row>
        <row r="480">
          <cell r="C480" t="e">
            <v>#N/A</v>
          </cell>
          <cell r="G480" t="e">
            <v>#N/A</v>
          </cell>
        </row>
        <row r="481">
          <cell r="C481" t="e">
            <v>#N/A</v>
          </cell>
          <cell r="G481" t="e">
            <v>#N/A</v>
          </cell>
        </row>
        <row r="482">
          <cell r="C482" t="e">
            <v>#N/A</v>
          </cell>
          <cell r="G482" t="e">
            <v>#N/A</v>
          </cell>
        </row>
        <row r="483">
          <cell r="C483" t="e">
            <v>#N/A</v>
          </cell>
          <cell r="G483" t="e">
            <v>#N/A</v>
          </cell>
        </row>
        <row r="484">
          <cell r="C484" t="e">
            <v>#N/A</v>
          </cell>
          <cell r="G484" t="e">
            <v>#N/A</v>
          </cell>
        </row>
        <row r="485">
          <cell r="C485" t="e">
            <v>#N/A</v>
          </cell>
          <cell r="G485" t="e">
            <v>#N/A</v>
          </cell>
        </row>
        <row r="486">
          <cell r="C486" t="e">
            <v>#N/A</v>
          </cell>
          <cell r="G486" t="e">
            <v>#N/A</v>
          </cell>
        </row>
        <row r="487">
          <cell r="C487" t="e">
            <v>#N/A</v>
          </cell>
          <cell r="G487" t="e">
            <v>#N/A</v>
          </cell>
        </row>
        <row r="488">
          <cell r="C488" t="e">
            <v>#N/A</v>
          </cell>
          <cell r="G488" t="e">
            <v>#N/A</v>
          </cell>
        </row>
        <row r="489">
          <cell r="C489" t="e">
            <v>#N/A</v>
          </cell>
          <cell r="G489" t="e">
            <v>#N/A</v>
          </cell>
        </row>
        <row r="490">
          <cell r="C490" t="e">
            <v>#N/A</v>
          </cell>
          <cell r="G490" t="e">
            <v>#N/A</v>
          </cell>
        </row>
        <row r="491">
          <cell r="C491" t="e">
            <v>#N/A</v>
          </cell>
          <cell r="G491" t="e">
            <v>#N/A</v>
          </cell>
        </row>
        <row r="492">
          <cell r="C492" t="e">
            <v>#N/A</v>
          </cell>
          <cell r="G492" t="e">
            <v>#N/A</v>
          </cell>
        </row>
        <row r="493">
          <cell r="C493" t="e">
            <v>#N/A</v>
          </cell>
          <cell r="G493" t="e">
            <v>#N/A</v>
          </cell>
        </row>
        <row r="494">
          <cell r="C494" t="e">
            <v>#N/A</v>
          </cell>
          <cell r="G494" t="e">
            <v>#N/A</v>
          </cell>
        </row>
        <row r="495">
          <cell r="C495" t="e">
            <v>#N/A</v>
          </cell>
          <cell r="G495" t="e">
            <v>#N/A</v>
          </cell>
        </row>
        <row r="496">
          <cell r="C496" t="e">
            <v>#N/A</v>
          </cell>
          <cell r="G496" t="e">
            <v>#N/A</v>
          </cell>
        </row>
        <row r="497">
          <cell r="C497" t="e">
            <v>#N/A</v>
          </cell>
          <cell r="G497" t="e">
            <v>#N/A</v>
          </cell>
        </row>
        <row r="498">
          <cell r="C498" t="e">
            <v>#N/A</v>
          </cell>
          <cell r="G498" t="e">
            <v>#N/A</v>
          </cell>
        </row>
        <row r="499">
          <cell r="C499" t="e">
            <v>#N/A</v>
          </cell>
          <cell r="G499" t="e">
            <v>#N/A</v>
          </cell>
        </row>
        <row r="500">
          <cell r="C500" t="e">
            <v>#N/A</v>
          </cell>
          <cell r="G500" t="e">
            <v>#N/A</v>
          </cell>
        </row>
        <row r="501">
          <cell r="C501" t="e">
            <v>#N/A</v>
          </cell>
          <cell r="G501" t="e">
            <v>#N/A</v>
          </cell>
        </row>
        <row r="502">
          <cell r="C502" t="e">
            <v>#N/A</v>
          </cell>
          <cell r="G502" t="e">
            <v>#N/A</v>
          </cell>
        </row>
        <row r="503">
          <cell r="C503" t="e">
            <v>#N/A</v>
          </cell>
          <cell r="G503" t="e">
            <v>#N/A</v>
          </cell>
        </row>
        <row r="504">
          <cell r="C504" t="e">
            <v>#N/A</v>
          </cell>
          <cell r="G504" t="e">
            <v>#N/A</v>
          </cell>
        </row>
        <row r="505">
          <cell r="C505" t="e">
            <v>#N/A</v>
          </cell>
          <cell r="G505" t="e">
            <v>#N/A</v>
          </cell>
        </row>
        <row r="506">
          <cell r="C506" t="e">
            <v>#N/A</v>
          </cell>
          <cell r="G506" t="e">
            <v>#N/A</v>
          </cell>
        </row>
        <row r="507">
          <cell r="C507" t="e">
            <v>#N/A</v>
          </cell>
          <cell r="G507" t="e">
            <v>#N/A</v>
          </cell>
        </row>
        <row r="508">
          <cell r="C508" t="e">
            <v>#N/A</v>
          </cell>
          <cell r="G508" t="e">
            <v>#N/A</v>
          </cell>
        </row>
        <row r="509">
          <cell r="C509" t="e">
            <v>#N/A</v>
          </cell>
          <cell r="G509" t="e">
            <v>#N/A</v>
          </cell>
        </row>
        <row r="510">
          <cell r="C510" t="e">
            <v>#N/A</v>
          </cell>
          <cell r="G510" t="e">
            <v>#N/A</v>
          </cell>
        </row>
        <row r="511">
          <cell r="C511" t="e">
            <v>#N/A</v>
          </cell>
          <cell r="G511" t="e">
            <v>#N/A</v>
          </cell>
        </row>
        <row r="512">
          <cell r="C512" t="e">
            <v>#N/A</v>
          </cell>
          <cell r="G512" t="e">
            <v>#N/A</v>
          </cell>
        </row>
        <row r="513">
          <cell r="C513" t="e">
            <v>#N/A</v>
          </cell>
          <cell r="G513" t="e">
            <v>#N/A</v>
          </cell>
        </row>
        <row r="514">
          <cell r="C514" t="e">
            <v>#N/A</v>
          </cell>
          <cell r="G514" t="e">
            <v>#N/A</v>
          </cell>
        </row>
        <row r="515">
          <cell r="C515" t="e">
            <v>#N/A</v>
          </cell>
          <cell r="G515" t="e">
            <v>#N/A</v>
          </cell>
        </row>
        <row r="516">
          <cell r="C516" t="e">
            <v>#N/A</v>
          </cell>
          <cell r="G516" t="e">
            <v>#N/A</v>
          </cell>
        </row>
        <row r="517">
          <cell r="C517" t="e">
            <v>#N/A</v>
          </cell>
          <cell r="G517" t="e">
            <v>#N/A</v>
          </cell>
        </row>
        <row r="518">
          <cell r="C518" t="e">
            <v>#N/A</v>
          </cell>
          <cell r="G518" t="e">
            <v>#N/A</v>
          </cell>
        </row>
        <row r="519">
          <cell r="C519" t="e">
            <v>#N/A</v>
          </cell>
          <cell r="G519" t="e">
            <v>#N/A</v>
          </cell>
        </row>
        <row r="520">
          <cell r="C520" t="e">
            <v>#N/A</v>
          </cell>
          <cell r="G520" t="e">
            <v>#N/A</v>
          </cell>
        </row>
        <row r="521">
          <cell r="C521" t="e">
            <v>#N/A</v>
          </cell>
          <cell r="G521" t="e">
            <v>#N/A</v>
          </cell>
        </row>
        <row r="522">
          <cell r="C522" t="e">
            <v>#N/A</v>
          </cell>
          <cell r="G522" t="e">
            <v>#N/A</v>
          </cell>
        </row>
        <row r="523">
          <cell r="C523" t="e">
            <v>#N/A</v>
          </cell>
          <cell r="G523" t="e">
            <v>#N/A</v>
          </cell>
        </row>
        <row r="524">
          <cell r="C524" t="e">
            <v>#N/A</v>
          </cell>
          <cell r="G524" t="e">
            <v>#N/A</v>
          </cell>
        </row>
        <row r="525">
          <cell r="C525" t="e">
            <v>#N/A</v>
          </cell>
          <cell r="G525" t="e">
            <v>#N/A</v>
          </cell>
        </row>
        <row r="526">
          <cell r="C526" t="e">
            <v>#N/A</v>
          </cell>
          <cell r="G526" t="e">
            <v>#N/A</v>
          </cell>
        </row>
        <row r="527">
          <cell r="C527" t="e">
            <v>#N/A</v>
          </cell>
          <cell r="G527" t="e">
            <v>#N/A</v>
          </cell>
        </row>
        <row r="528">
          <cell r="C528" t="e">
            <v>#N/A</v>
          </cell>
          <cell r="G528" t="e">
            <v>#N/A</v>
          </cell>
        </row>
        <row r="529">
          <cell r="C529" t="e">
            <v>#N/A</v>
          </cell>
          <cell r="G529" t="e">
            <v>#N/A</v>
          </cell>
        </row>
        <row r="530">
          <cell r="C530" t="e">
            <v>#N/A</v>
          </cell>
          <cell r="G530" t="e">
            <v>#N/A</v>
          </cell>
        </row>
        <row r="531">
          <cell r="C531" t="e">
            <v>#N/A</v>
          </cell>
          <cell r="G531" t="e">
            <v>#N/A</v>
          </cell>
        </row>
        <row r="532">
          <cell r="C532" t="e">
            <v>#N/A</v>
          </cell>
          <cell r="G532" t="e">
            <v>#N/A</v>
          </cell>
        </row>
        <row r="533">
          <cell r="C533" t="e">
            <v>#N/A</v>
          </cell>
          <cell r="G533" t="e">
            <v>#N/A</v>
          </cell>
        </row>
        <row r="534">
          <cell r="C534" t="e">
            <v>#N/A</v>
          </cell>
          <cell r="G534" t="e">
            <v>#N/A</v>
          </cell>
        </row>
        <row r="535">
          <cell r="C535" t="e">
            <v>#N/A</v>
          </cell>
          <cell r="G535" t="e">
            <v>#N/A</v>
          </cell>
        </row>
        <row r="536">
          <cell r="C536" t="e">
            <v>#N/A</v>
          </cell>
          <cell r="G536" t="e">
            <v>#N/A</v>
          </cell>
        </row>
        <row r="537">
          <cell r="C537" t="e">
            <v>#N/A</v>
          </cell>
          <cell r="G537" t="e">
            <v>#N/A</v>
          </cell>
        </row>
        <row r="538">
          <cell r="C538" t="e">
            <v>#N/A</v>
          </cell>
          <cell r="G538" t="e">
            <v>#N/A</v>
          </cell>
        </row>
        <row r="539">
          <cell r="C539" t="e">
            <v>#N/A</v>
          </cell>
          <cell r="G539" t="e">
            <v>#N/A</v>
          </cell>
        </row>
        <row r="540">
          <cell r="C540" t="e">
            <v>#N/A</v>
          </cell>
          <cell r="G540" t="e">
            <v>#N/A</v>
          </cell>
        </row>
        <row r="541">
          <cell r="C541" t="e">
            <v>#N/A</v>
          </cell>
          <cell r="G541" t="e">
            <v>#N/A</v>
          </cell>
        </row>
        <row r="542">
          <cell r="C542" t="e">
            <v>#N/A</v>
          </cell>
          <cell r="G542" t="e">
            <v>#N/A</v>
          </cell>
        </row>
        <row r="543">
          <cell r="C543" t="e">
            <v>#N/A</v>
          </cell>
          <cell r="G543" t="e">
            <v>#N/A</v>
          </cell>
        </row>
        <row r="544">
          <cell r="C544" t="e">
            <v>#N/A</v>
          </cell>
          <cell r="G544" t="e">
            <v>#N/A</v>
          </cell>
        </row>
        <row r="545">
          <cell r="C545" t="e">
            <v>#N/A</v>
          </cell>
          <cell r="G545" t="e">
            <v>#N/A</v>
          </cell>
        </row>
        <row r="546">
          <cell r="C546" t="e">
            <v>#N/A</v>
          </cell>
          <cell r="G546" t="e">
            <v>#N/A</v>
          </cell>
        </row>
        <row r="547">
          <cell r="C547" t="e">
            <v>#N/A</v>
          </cell>
          <cell r="G547" t="e">
            <v>#N/A</v>
          </cell>
        </row>
        <row r="548">
          <cell r="C548" t="e">
            <v>#N/A</v>
          </cell>
          <cell r="G548" t="e">
            <v>#N/A</v>
          </cell>
        </row>
        <row r="549">
          <cell r="C549" t="e">
            <v>#N/A</v>
          </cell>
          <cell r="G549" t="e">
            <v>#N/A</v>
          </cell>
        </row>
        <row r="550">
          <cell r="C550" t="e">
            <v>#N/A</v>
          </cell>
          <cell r="G550" t="e">
            <v>#N/A</v>
          </cell>
        </row>
        <row r="551">
          <cell r="C551" t="e">
            <v>#N/A</v>
          </cell>
          <cell r="G551" t="e">
            <v>#N/A</v>
          </cell>
        </row>
        <row r="552">
          <cell r="C552" t="e">
            <v>#N/A</v>
          </cell>
          <cell r="G552" t="e">
            <v>#N/A</v>
          </cell>
        </row>
        <row r="553">
          <cell r="C553" t="e">
            <v>#N/A</v>
          </cell>
          <cell r="G553" t="e">
            <v>#N/A</v>
          </cell>
        </row>
        <row r="554">
          <cell r="C554" t="e">
            <v>#N/A</v>
          </cell>
          <cell r="G554" t="e">
            <v>#N/A</v>
          </cell>
        </row>
        <row r="555">
          <cell r="C555" t="e">
            <v>#N/A</v>
          </cell>
          <cell r="G555" t="e">
            <v>#N/A</v>
          </cell>
        </row>
        <row r="556">
          <cell r="C556" t="e">
            <v>#N/A</v>
          </cell>
          <cell r="G556" t="e">
            <v>#N/A</v>
          </cell>
        </row>
        <row r="557">
          <cell r="C557" t="e">
            <v>#N/A</v>
          </cell>
          <cell r="G557" t="e">
            <v>#N/A</v>
          </cell>
        </row>
        <row r="558">
          <cell r="C558" t="e">
            <v>#N/A</v>
          </cell>
          <cell r="G558" t="e">
            <v>#N/A</v>
          </cell>
        </row>
        <row r="559">
          <cell r="C559" t="e">
            <v>#N/A</v>
          </cell>
          <cell r="G559" t="e">
            <v>#N/A</v>
          </cell>
        </row>
        <row r="560">
          <cell r="C560" t="e">
            <v>#N/A</v>
          </cell>
          <cell r="G560" t="e">
            <v>#N/A</v>
          </cell>
        </row>
        <row r="561">
          <cell r="C561" t="e">
            <v>#N/A</v>
          </cell>
          <cell r="G561" t="e">
            <v>#N/A</v>
          </cell>
        </row>
        <row r="562">
          <cell r="C562" t="e">
            <v>#N/A</v>
          </cell>
          <cell r="G562" t="e">
            <v>#N/A</v>
          </cell>
        </row>
        <row r="563">
          <cell r="C563" t="e">
            <v>#N/A</v>
          </cell>
          <cell r="G563" t="e">
            <v>#N/A</v>
          </cell>
        </row>
        <row r="564">
          <cell r="C564" t="e">
            <v>#N/A</v>
          </cell>
          <cell r="G564" t="e">
            <v>#N/A</v>
          </cell>
        </row>
        <row r="565">
          <cell r="C565" t="e">
            <v>#N/A</v>
          </cell>
          <cell r="G565" t="e">
            <v>#N/A</v>
          </cell>
        </row>
        <row r="566">
          <cell r="C566" t="e">
            <v>#N/A</v>
          </cell>
          <cell r="G566" t="e">
            <v>#N/A</v>
          </cell>
        </row>
        <row r="567">
          <cell r="C567" t="e">
            <v>#N/A</v>
          </cell>
          <cell r="G567" t="e">
            <v>#N/A</v>
          </cell>
        </row>
        <row r="568">
          <cell r="C568" t="e">
            <v>#N/A</v>
          </cell>
          <cell r="G568" t="e">
            <v>#N/A</v>
          </cell>
        </row>
        <row r="569">
          <cell r="C569" t="e">
            <v>#N/A</v>
          </cell>
          <cell r="G569" t="e">
            <v>#N/A</v>
          </cell>
        </row>
        <row r="570">
          <cell r="C570" t="e">
            <v>#N/A</v>
          </cell>
          <cell r="G570" t="e">
            <v>#N/A</v>
          </cell>
        </row>
        <row r="571">
          <cell r="C571" t="e">
            <v>#N/A</v>
          </cell>
          <cell r="G571" t="e">
            <v>#N/A</v>
          </cell>
        </row>
        <row r="572">
          <cell r="C572" t="e">
            <v>#N/A</v>
          </cell>
          <cell r="G572" t="e">
            <v>#N/A</v>
          </cell>
        </row>
        <row r="573">
          <cell r="C573" t="e">
            <v>#N/A</v>
          </cell>
          <cell r="G573" t="e">
            <v>#N/A</v>
          </cell>
        </row>
        <row r="574">
          <cell r="C574" t="e">
            <v>#N/A</v>
          </cell>
          <cell r="G574" t="e">
            <v>#N/A</v>
          </cell>
        </row>
        <row r="575">
          <cell r="C575" t="e">
            <v>#N/A</v>
          </cell>
          <cell r="G575" t="e">
            <v>#N/A</v>
          </cell>
        </row>
        <row r="576">
          <cell r="C576" t="e">
            <v>#N/A</v>
          </cell>
          <cell r="G576" t="e">
            <v>#N/A</v>
          </cell>
        </row>
        <row r="577">
          <cell r="C577" t="e">
            <v>#N/A</v>
          </cell>
          <cell r="G577" t="e">
            <v>#N/A</v>
          </cell>
        </row>
        <row r="578">
          <cell r="C578" t="e">
            <v>#N/A</v>
          </cell>
          <cell r="G578" t="e">
            <v>#N/A</v>
          </cell>
        </row>
        <row r="579">
          <cell r="C579" t="e">
            <v>#N/A</v>
          </cell>
          <cell r="G579" t="e">
            <v>#N/A</v>
          </cell>
        </row>
        <row r="580">
          <cell r="C580" t="e">
            <v>#N/A</v>
          </cell>
          <cell r="G580" t="e">
            <v>#N/A</v>
          </cell>
        </row>
        <row r="581">
          <cell r="C581" t="e">
            <v>#N/A</v>
          </cell>
          <cell r="G581" t="e">
            <v>#N/A</v>
          </cell>
        </row>
        <row r="582">
          <cell r="C582" t="e">
            <v>#N/A</v>
          </cell>
          <cell r="G582" t="e">
            <v>#N/A</v>
          </cell>
        </row>
        <row r="583">
          <cell r="C583" t="e">
            <v>#N/A</v>
          </cell>
          <cell r="G583" t="e">
            <v>#N/A</v>
          </cell>
        </row>
        <row r="584">
          <cell r="C584" t="e">
            <v>#N/A</v>
          </cell>
          <cell r="G584" t="e">
            <v>#N/A</v>
          </cell>
        </row>
        <row r="585">
          <cell r="C585" t="e">
            <v>#N/A</v>
          </cell>
          <cell r="G585" t="e">
            <v>#N/A</v>
          </cell>
        </row>
        <row r="586">
          <cell r="C586" t="e">
            <v>#N/A</v>
          </cell>
          <cell r="G586" t="e">
            <v>#N/A</v>
          </cell>
        </row>
        <row r="587">
          <cell r="C587" t="e">
            <v>#N/A</v>
          </cell>
          <cell r="G587" t="e">
            <v>#N/A</v>
          </cell>
        </row>
        <row r="588">
          <cell r="C588" t="e">
            <v>#N/A</v>
          </cell>
          <cell r="G588" t="e">
            <v>#N/A</v>
          </cell>
        </row>
        <row r="589">
          <cell r="C589" t="e">
            <v>#N/A</v>
          </cell>
          <cell r="G589" t="e">
            <v>#N/A</v>
          </cell>
        </row>
        <row r="590">
          <cell r="C590" t="e">
            <v>#N/A</v>
          </cell>
          <cell r="G590" t="e">
            <v>#N/A</v>
          </cell>
        </row>
        <row r="591">
          <cell r="C591" t="e">
            <v>#N/A</v>
          </cell>
          <cell r="G591" t="e">
            <v>#N/A</v>
          </cell>
        </row>
        <row r="592">
          <cell r="C592" t="e">
            <v>#N/A</v>
          </cell>
          <cell r="G592" t="e">
            <v>#N/A</v>
          </cell>
        </row>
        <row r="593">
          <cell r="C593" t="e">
            <v>#N/A</v>
          </cell>
          <cell r="G593" t="e">
            <v>#N/A</v>
          </cell>
        </row>
        <row r="594">
          <cell r="C594" t="e">
            <v>#N/A</v>
          </cell>
          <cell r="G594" t="e">
            <v>#N/A</v>
          </cell>
        </row>
        <row r="595">
          <cell r="C595" t="e">
            <v>#N/A</v>
          </cell>
          <cell r="G595" t="e">
            <v>#N/A</v>
          </cell>
        </row>
        <row r="596">
          <cell r="C596" t="e">
            <v>#N/A</v>
          </cell>
          <cell r="G596" t="e">
            <v>#N/A</v>
          </cell>
        </row>
        <row r="597">
          <cell r="C597" t="e">
            <v>#N/A</v>
          </cell>
          <cell r="G597" t="e">
            <v>#N/A</v>
          </cell>
        </row>
        <row r="598">
          <cell r="C598" t="e">
            <v>#N/A</v>
          </cell>
          <cell r="G598" t="e">
            <v>#N/A</v>
          </cell>
        </row>
        <row r="599">
          <cell r="C599" t="e">
            <v>#N/A</v>
          </cell>
          <cell r="G599" t="e">
            <v>#N/A</v>
          </cell>
        </row>
        <row r="600">
          <cell r="C600" t="e">
            <v>#N/A</v>
          </cell>
          <cell r="G600" t="e">
            <v>#N/A</v>
          </cell>
        </row>
        <row r="601">
          <cell r="C601" t="e">
            <v>#N/A</v>
          </cell>
          <cell r="G601" t="e">
            <v>#N/A</v>
          </cell>
        </row>
        <row r="602">
          <cell r="C602" t="e">
            <v>#N/A</v>
          </cell>
          <cell r="G602" t="e">
            <v>#N/A</v>
          </cell>
        </row>
        <row r="603">
          <cell r="C603" t="e">
            <v>#N/A</v>
          </cell>
          <cell r="G603" t="e">
            <v>#N/A</v>
          </cell>
        </row>
        <row r="604">
          <cell r="C604" t="e">
            <v>#N/A</v>
          </cell>
          <cell r="G604" t="e">
            <v>#N/A</v>
          </cell>
        </row>
        <row r="605">
          <cell r="C605" t="e">
            <v>#N/A</v>
          </cell>
          <cell r="G605" t="e">
            <v>#N/A</v>
          </cell>
        </row>
        <row r="606">
          <cell r="C606" t="e">
            <v>#N/A</v>
          </cell>
          <cell r="G606" t="e">
            <v>#N/A</v>
          </cell>
        </row>
        <row r="607">
          <cell r="C607" t="e">
            <v>#N/A</v>
          </cell>
          <cell r="G607" t="e">
            <v>#N/A</v>
          </cell>
        </row>
        <row r="608">
          <cell r="C608" t="e">
            <v>#N/A</v>
          </cell>
          <cell r="G608" t="e">
            <v>#N/A</v>
          </cell>
        </row>
        <row r="609">
          <cell r="C609" t="e">
            <v>#N/A</v>
          </cell>
          <cell r="G609" t="e">
            <v>#N/A</v>
          </cell>
        </row>
        <row r="610">
          <cell r="C610" t="e">
            <v>#N/A</v>
          </cell>
          <cell r="G610" t="e">
            <v>#N/A</v>
          </cell>
        </row>
        <row r="611">
          <cell r="C611" t="e">
            <v>#N/A</v>
          </cell>
          <cell r="G611" t="e">
            <v>#N/A</v>
          </cell>
        </row>
        <row r="612">
          <cell r="C612" t="e">
            <v>#N/A</v>
          </cell>
          <cell r="G612" t="e">
            <v>#N/A</v>
          </cell>
        </row>
        <row r="613">
          <cell r="C613" t="e">
            <v>#N/A</v>
          </cell>
          <cell r="G613" t="e">
            <v>#N/A</v>
          </cell>
        </row>
        <row r="614">
          <cell r="C614" t="e">
            <v>#N/A</v>
          </cell>
          <cell r="G614" t="e">
            <v>#N/A</v>
          </cell>
        </row>
        <row r="615">
          <cell r="C615" t="e">
            <v>#N/A</v>
          </cell>
          <cell r="G615" t="e">
            <v>#N/A</v>
          </cell>
        </row>
        <row r="616">
          <cell r="C616" t="e">
            <v>#N/A</v>
          </cell>
          <cell r="G616" t="e">
            <v>#N/A</v>
          </cell>
        </row>
        <row r="617">
          <cell r="C617" t="e">
            <v>#N/A</v>
          </cell>
          <cell r="G617" t="e">
            <v>#N/A</v>
          </cell>
        </row>
        <row r="618">
          <cell r="C618" t="e">
            <v>#N/A</v>
          </cell>
          <cell r="G618" t="e">
            <v>#N/A</v>
          </cell>
        </row>
        <row r="619">
          <cell r="C619" t="e">
            <v>#N/A</v>
          </cell>
          <cell r="G619" t="e">
            <v>#N/A</v>
          </cell>
        </row>
        <row r="620">
          <cell r="C620" t="e">
            <v>#N/A</v>
          </cell>
          <cell r="G620" t="e">
            <v>#N/A</v>
          </cell>
        </row>
        <row r="621">
          <cell r="C621" t="e">
            <v>#N/A</v>
          </cell>
          <cell r="G621" t="e">
            <v>#N/A</v>
          </cell>
        </row>
        <row r="622">
          <cell r="C622" t="e">
            <v>#N/A</v>
          </cell>
          <cell r="G622" t="e">
            <v>#N/A</v>
          </cell>
        </row>
        <row r="623">
          <cell r="C623" t="e">
            <v>#N/A</v>
          </cell>
          <cell r="G623" t="e">
            <v>#N/A</v>
          </cell>
        </row>
        <row r="624">
          <cell r="C624" t="e">
            <v>#N/A</v>
          </cell>
          <cell r="G624" t="e">
            <v>#N/A</v>
          </cell>
        </row>
        <row r="625">
          <cell r="C625" t="e">
            <v>#N/A</v>
          </cell>
          <cell r="G625" t="e">
            <v>#N/A</v>
          </cell>
        </row>
        <row r="626">
          <cell r="C626" t="e">
            <v>#N/A</v>
          </cell>
          <cell r="G626" t="e">
            <v>#N/A</v>
          </cell>
        </row>
        <row r="627">
          <cell r="C627" t="e">
            <v>#N/A</v>
          </cell>
          <cell r="G627" t="e">
            <v>#N/A</v>
          </cell>
        </row>
        <row r="628">
          <cell r="C628" t="e">
            <v>#N/A</v>
          </cell>
          <cell r="G628" t="e">
            <v>#N/A</v>
          </cell>
        </row>
        <row r="629">
          <cell r="C629" t="e">
            <v>#N/A</v>
          </cell>
          <cell r="G629" t="e">
            <v>#N/A</v>
          </cell>
        </row>
        <row r="630">
          <cell r="C630" t="e">
            <v>#N/A</v>
          </cell>
          <cell r="G630" t="e">
            <v>#N/A</v>
          </cell>
        </row>
        <row r="631">
          <cell r="C631" t="e">
            <v>#N/A</v>
          </cell>
          <cell r="G631" t="e">
            <v>#N/A</v>
          </cell>
        </row>
        <row r="632">
          <cell r="C632" t="e">
            <v>#N/A</v>
          </cell>
          <cell r="G632" t="e">
            <v>#N/A</v>
          </cell>
        </row>
        <row r="633">
          <cell r="C633" t="e">
            <v>#N/A</v>
          </cell>
          <cell r="G633" t="e">
            <v>#N/A</v>
          </cell>
        </row>
        <row r="634">
          <cell r="C634" t="e">
            <v>#N/A</v>
          </cell>
          <cell r="G634" t="e">
            <v>#N/A</v>
          </cell>
        </row>
        <row r="635">
          <cell r="C635" t="e">
            <v>#N/A</v>
          </cell>
          <cell r="G635" t="e">
            <v>#N/A</v>
          </cell>
        </row>
        <row r="636">
          <cell r="C636" t="e">
            <v>#N/A</v>
          </cell>
          <cell r="G636" t="e">
            <v>#N/A</v>
          </cell>
        </row>
        <row r="637">
          <cell r="C637" t="e">
            <v>#N/A</v>
          </cell>
          <cell r="G637" t="e">
            <v>#N/A</v>
          </cell>
        </row>
        <row r="638">
          <cell r="C638" t="e">
            <v>#N/A</v>
          </cell>
          <cell r="G638" t="e">
            <v>#N/A</v>
          </cell>
        </row>
        <row r="639">
          <cell r="C639" t="e">
            <v>#N/A</v>
          </cell>
          <cell r="G639" t="e">
            <v>#N/A</v>
          </cell>
        </row>
        <row r="640">
          <cell r="C640" t="e">
            <v>#N/A</v>
          </cell>
          <cell r="G640" t="e">
            <v>#N/A</v>
          </cell>
        </row>
        <row r="641">
          <cell r="C641" t="e">
            <v>#N/A</v>
          </cell>
          <cell r="G641" t="e">
            <v>#N/A</v>
          </cell>
        </row>
        <row r="642">
          <cell r="C642" t="e">
            <v>#N/A</v>
          </cell>
          <cell r="G642" t="e">
            <v>#N/A</v>
          </cell>
        </row>
        <row r="643">
          <cell r="C643" t="e">
            <v>#N/A</v>
          </cell>
          <cell r="G643" t="e">
            <v>#N/A</v>
          </cell>
        </row>
        <row r="644">
          <cell r="C644" t="e">
            <v>#N/A</v>
          </cell>
          <cell r="G644" t="e">
            <v>#N/A</v>
          </cell>
        </row>
        <row r="645">
          <cell r="C645" t="e">
            <v>#N/A</v>
          </cell>
          <cell r="G645" t="e">
            <v>#N/A</v>
          </cell>
        </row>
        <row r="646">
          <cell r="C646" t="e">
            <v>#N/A</v>
          </cell>
          <cell r="G646" t="e">
            <v>#N/A</v>
          </cell>
        </row>
        <row r="647">
          <cell r="C647" t="e">
            <v>#N/A</v>
          </cell>
          <cell r="G647" t="e">
            <v>#N/A</v>
          </cell>
        </row>
        <row r="648">
          <cell r="C648" t="e">
            <v>#N/A</v>
          </cell>
          <cell r="G648" t="e">
            <v>#N/A</v>
          </cell>
        </row>
        <row r="649">
          <cell r="C649" t="e">
            <v>#N/A</v>
          </cell>
          <cell r="G649" t="e">
            <v>#N/A</v>
          </cell>
        </row>
        <row r="650">
          <cell r="C650" t="e">
            <v>#N/A</v>
          </cell>
          <cell r="G650" t="e">
            <v>#N/A</v>
          </cell>
        </row>
        <row r="651">
          <cell r="C651" t="e">
            <v>#N/A</v>
          </cell>
          <cell r="G651" t="e">
            <v>#N/A</v>
          </cell>
        </row>
        <row r="652">
          <cell r="C652" t="e">
            <v>#N/A</v>
          </cell>
          <cell r="G652" t="e">
            <v>#N/A</v>
          </cell>
        </row>
        <row r="653">
          <cell r="C653" t="e">
            <v>#N/A</v>
          </cell>
          <cell r="G653" t="e">
            <v>#N/A</v>
          </cell>
        </row>
        <row r="654">
          <cell r="C654" t="e">
            <v>#N/A</v>
          </cell>
          <cell r="G654" t="e">
            <v>#N/A</v>
          </cell>
        </row>
        <row r="655">
          <cell r="C655" t="e">
            <v>#N/A</v>
          </cell>
          <cell r="G655" t="e">
            <v>#N/A</v>
          </cell>
        </row>
        <row r="656">
          <cell r="C656" t="e">
            <v>#N/A</v>
          </cell>
          <cell r="G656" t="e">
            <v>#N/A</v>
          </cell>
        </row>
        <row r="657">
          <cell r="C657" t="e">
            <v>#N/A</v>
          </cell>
          <cell r="G657" t="e">
            <v>#N/A</v>
          </cell>
        </row>
        <row r="658">
          <cell r="C658" t="e">
            <v>#N/A</v>
          </cell>
          <cell r="G658" t="e">
            <v>#N/A</v>
          </cell>
        </row>
        <row r="659">
          <cell r="C659" t="e">
            <v>#N/A</v>
          </cell>
          <cell r="G659" t="e">
            <v>#N/A</v>
          </cell>
        </row>
        <row r="660">
          <cell r="C660" t="e">
            <v>#N/A</v>
          </cell>
          <cell r="G660" t="e">
            <v>#N/A</v>
          </cell>
        </row>
        <row r="661">
          <cell r="C661" t="e">
            <v>#N/A</v>
          </cell>
          <cell r="G661" t="e">
            <v>#N/A</v>
          </cell>
        </row>
        <row r="662">
          <cell r="C662" t="e">
            <v>#N/A</v>
          </cell>
          <cell r="G662" t="e">
            <v>#N/A</v>
          </cell>
        </row>
        <row r="663">
          <cell r="C663" t="e">
            <v>#N/A</v>
          </cell>
          <cell r="G663" t="e">
            <v>#N/A</v>
          </cell>
        </row>
        <row r="664">
          <cell r="C664" t="e">
            <v>#N/A</v>
          </cell>
          <cell r="G664" t="e">
            <v>#N/A</v>
          </cell>
        </row>
        <row r="665">
          <cell r="C665" t="e">
            <v>#N/A</v>
          </cell>
          <cell r="G665" t="e">
            <v>#N/A</v>
          </cell>
        </row>
        <row r="666">
          <cell r="C666" t="e">
            <v>#N/A</v>
          </cell>
          <cell r="G666" t="e">
            <v>#N/A</v>
          </cell>
        </row>
        <row r="667">
          <cell r="C667" t="e">
            <v>#N/A</v>
          </cell>
          <cell r="G667" t="e">
            <v>#N/A</v>
          </cell>
        </row>
        <row r="668">
          <cell r="C668" t="e">
            <v>#N/A</v>
          </cell>
          <cell r="G668" t="e">
            <v>#N/A</v>
          </cell>
        </row>
        <row r="669">
          <cell r="C669" t="e">
            <v>#N/A</v>
          </cell>
          <cell r="G669" t="e">
            <v>#N/A</v>
          </cell>
        </row>
        <row r="670">
          <cell r="C670" t="e">
            <v>#N/A</v>
          </cell>
          <cell r="G670" t="e">
            <v>#N/A</v>
          </cell>
        </row>
        <row r="671">
          <cell r="C671" t="e">
            <v>#N/A</v>
          </cell>
          <cell r="G671" t="e">
            <v>#N/A</v>
          </cell>
        </row>
        <row r="672">
          <cell r="C672" t="e">
            <v>#N/A</v>
          </cell>
          <cell r="G672" t="e">
            <v>#N/A</v>
          </cell>
        </row>
        <row r="673">
          <cell r="C673" t="e">
            <v>#N/A</v>
          </cell>
          <cell r="G673" t="e">
            <v>#N/A</v>
          </cell>
        </row>
        <row r="674">
          <cell r="C674" t="e">
            <v>#N/A</v>
          </cell>
          <cell r="G674" t="e">
            <v>#N/A</v>
          </cell>
        </row>
        <row r="675">
          <cell r="C675" t="e">
            <v>#N/A</v>
          </cell>
          <cell r="G675" t="e">
            <v>#N/A</v>
          </cell>
        </row>
        <row r="676">
          <cell r="C676" t="e">
            <v>#N/A</v>
          </cell>
          <cell r="G676" t="e">
            <v>#N/A</v>
          </cell>
        </row>
        <row r="677">
          <cell r="C677" t="e">
            <v>#N/A</v>
          </cell>
          <cell r="G677" t="e">
            <v>#N/A</v>
          </cell>
        </row>
        <row r="678">
          <cell r="C678" t="e">
            <v>#N/A</v>
          </cell>
          <cell r="G678" t="e">
            <v>#N/A</v>
          </cell>
        </row>
        <row r="679">
          <cell r="C679" t="e">
            <v>#N/A</v>
          </cell>
          <cell r="G679" t="e">
            <v>#N/A</v>
          </cell>
        </row>
        <row r="680">
          <cell r="C680" t="e">
            <v>#N/A</v>
          </cell>
          <cell r="G680" t="e">
            <v>#N/A</v>
          </cell>
        </row>
        <row r="681">
          <cell r="C681" t="e">
            <v>#N/A</v>
          </cell>
          <cell r="G681" t="e">
            <v>#N/A</v>
          </cell>
        </row>
        <row r="682">
          <cell r="C682" t="e">
            <v>#N/A</v>
          </cell>
          <cell r="G682" t="e">
            <v>#N/A</v>
          </cell>
        </row>
        <row r="683">
          <cell r="C683" t="e">
            <v>#N/A</v>
          </cell>
          <cell r="G683" t="e">
            <v>#N/A</v>
          </cell>
        </row>
        <row r="684">
          <cell r="C684" t="e">
            <v>#N/A</v>
          </cell>
          <cell r="G684" t="e">
            <v>#N/A</v>
          </cell>
        </row>
        <row r="685">
          <cell r="C685" t="e">
            <v>#N/A</v>
          </cell>
          <cell r="G685" t="e">
            <v>#N/A</v>
          </cell>
        </row>
        <row r="686">
          <cell r="C686" t="e">
            <v>#N/A</v>
          </cell>
          <cell r="G686" t="e">
            <v>#N/A</v>
          </cell>
        </row>
        <row r="687">
          <cell r="C687" t="e">
            <v>#N/A</v>
          </cell>
          <cell r="G687" t="e">
            <v>#N/A</v>
          </cell>
        </row>
        <row r="688">
          <cell r="C688" t="e">
            <v>#N/A</v>
          </cell>
          <cell r="G688" t="e">
            <v>#N/A</v>
          </cell>
        </row>
        <row r="689">
          <cell r="C689" t="e">
            <v>#N/A</v>
          </cell>
          <cell r="G689" t="e">
            <v>#N/A</v>
          </cell>
        </row>
        <row r="690">
          <cell r="C690" t="e">
            <v>#N/A</v>
          </cell>
          <cell r="G690" t="e">
            <v>#N/A</v>
          </cell>
        </row>
        <row r="691">
          <cell r="C691" t="e">
            <v>#N/A</v>
          </cell>
          <cell r="G691" t="e">
            <v>#N/A</v>
          </cell>
        </row>
        <row r="692">
          <cell r="C692" t="e">
            <v>#N/A</v>
          </cell>
          <cell r="G692" t="e">
            <v>#N/A</v>
          </cell>
        </row>
        <row r="693">
          <cell r="C693" t="e">
            <v>#N/A</v>
          </cell>
          <cell r="G693" t="e">
            <v>#N/A</v>
          </cell>
        </row>
        <row r="694">
          <cell r="C694" t="e">
            <v>#N/A</v>
          </cell>
          <cell r="G694" t="e">
            <v>#N/A</v>
          </cell>
        </row>
        <row r="695">
          <cell r="C695" t="e">
            <v>#N/A</v>
          </cell>
          <cell r="G695" t="e">
            <v>#N/A</v>
          </cell>
        </row>
        <row r="696">
          <cell r="C696" t="e">
            <v>#N/A</v>
          </cell>
          <cell r="G696" t="e">
            <v>#N/A</v>
          </cell>
        </row>
        <row r="697">
          <cell r="C697" t="e">
            <v>#N/A</v>
          </cell>
          <cell r="G697" t="e">
            <v>#N/A</v>
          </cell>
        </row>
        <row r="698">
          <cell r="C698" t="e">
            <v>#N/A</v>
          </cell>
          <cell r="G698" t="e">
            <v>#N/A</v>
          </cell>
        </row>
        <row r="699">
          <cell r="C699" t="e">
            <v>#N/A</v>
          </cell>
          <cell r="G699" t="e">
            <v>#N/A</v>
          </cell>
        </row>
        <row r="700">
          <cell r="C700" t="e">
            <v>#N/A</v>
          </cell>
          <cell r="G700" t="e">
            <v>#N/A</v>
          </cell>
        </row>
        <row r="701">
          <cell r="C701" t="e">
            <v>#N/A</v>
          </cell>
          <cell r="G701" t="e">
            <v>#N/A</v>
          </cell>
        </row>
        <row r="702">
          <cell r="C702" t="e">
            <v>#N/A</v>
          </cell>
          <cell r="G702" t="e">
            <v>#N/A</v>
          </cell>
        </row>
        <row r="703">
          <cell r="C703" t="e">
            <v>#N/A</v>
          </cell>
          <cell r="G703" t="e">
            <v>#N/A</v>
          </cell>
        </row>
        <row r="704">
          <cell r="C704" t="e">
            <v>#N/A</v>
          </cell>
          <cell r="G704" t="e">
            <v>#N/A</v>
          </cell>
        </row>
        <row r="705">
          <cell r="C705" t="e">
            <v>#N/A</v>
          </cell>
          <cell r="G705" t="e">
            <v>#N/A</v>
          </cell>
        </row>
        <row r="706">
          <cell r="C706" t="e">
            <v>#N/A</v>
          </cell>
          <cell r="G706" t="e">
            <v>#N/A</v>
          </cell>
        </row>
        <row r="707">
          <cell r="C707" t="e">
            <v>#N/A</v>
          </cell>
          <cell r="G707" t="e">
            <v>#N/A</v>
          </cell>
        </row>
        <row r="708">
          <cell r="C708" t="e">
            <v>#N/A</v>
          </cell>
          <cell r="G708" t="e">
            <v>#N/A</v>
          </cell>
        </row>
        <row r="709">
          <cell r="C709" t="e">
            <v>#N/A</v>
          </cell>
          <cell r="G709" t="e">
            <v>#N/A</v>
          </cell>
        </row>
        <row r="710">
          <cell r="C710" t="e">
            <v>#N/A</v>
          </cell>
          <cell r="G710" t="e">
            <v>#N/A</v>
          </cell>
        </row>
        <row r="711">
          <cell r="C711" t="e">
            <v>#N/A</v>
          </cell>
          <cell r="G711" t="e">
            <v>#N/A</v>
          </cell>
        </row>
        <row r="712">
          <cell r="C712" t="e">
            <v>#N/A</v>
          </cell>
          <cell r="G712" t="e">
            <v>#N/A</v>
          </cell>
        </row>
        <row r="713">
          <cell r="C713" t="e">
            <v>#N/A</v>
          </cell>
          <cell r="G713" t="e">
            <v>#N/A</v>
          </cell>
        </row>
        <row r="714">
          <cell r="C714" t="e">
            <v>#N/A</v>
          </cell>
          <cell r="G714" t="e">
            <v>#N/A</v>
          </cell>
        </row>
        <row r="715">
          <cell r="C715" t="e">
            <v>#N/A</v>
          </cell>
          <cell r="G715" t="e">
            <v>#N/A</v>
          </cell>
        </row>
        <row r="716">
          <cell r="C716" t="e">
            <v>#N/A</v>
          </cell>
          <cell r="G716" t="e">
            <v>#N/A</v>
          </cell>
        </row>
        <row r="717">
          <cell r="C717" t="e">
            <v>#N/A</v>
          </cell>
          <cell r="G717" t="e">
            <v>#N/A</v>
          </cell>
        </row>
        <row r="718">
          <cell r="C718" t="e">
            <v>#N/A</v>
          </cell>
          <cell r="G718" t="e">
            <v>#N/A</v>
          </cell>
        </row>
        <row r="719">
          <cell r="C719" t="e">
            <v>#N/A</v>
          </cell>
          <cell r="G719" t="e">
            <v>#N/A</v>
          </cell>
        </row>
        <row r="720">
          <cell r="C720" t="e">
            <v>#N/A</v>
          </cell>
          <cell r="G720" t="e">
            <v>#N/A</v>
          </cell>
        </row>
        <row r="721">
          <cell r="C721" t="e">
            <v>#N/A</v>
          </cell>
          <cell r="G721" t="e">
            <v>#N/A</v>
          </cell>
        </row>
        <row r="722">
          <cell r="C722" t="e">
            <v>#N/A</v>
          </cell>
          <cell r="G722" t="e">
            <v>#N/A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gue Inputs"/>
      <sheetName val="Std"/>
      <sheetName val="Full Season"/>
      <sheetName val="Per Game"/>
      <sheetName val="Player Comparison Tool"/>
      <sheetName val="Sheet6"/>
      <sheetName val="2019-2020 NHL Projections"/>
    </sheetNames>
    <sheetDataSet>
      <sheetData sheetId="0"/>
      <sheetData sheetId="1"/>
      <sheetData sheetId="2"/>
      <sheetData sheetId="3"/>
      <sheetData sheetId="4"/>
      <sheetData sheetId="5">
        <row r="1">
          <cell r="C1" t="str">
            <v>Sidney Crosby</v>
          </cell>
          <cell r="G1" t="str">
            <v>Connor McDavid</v>
          </cell>
        </row>
        <row r="2">
          <cell r="C2" t="e">
            <v>#N/A</v>
          </cell>
          <cell r="G2" t="e">
            <v>#N/A</v>
          </cell>
        </row>
        <row r="3">
          <cell r="C3" t="e">
            <v>#N/A</v>
          </cell>
          <cell r="G3" t="e">
            <v>#N/A</v>
          </cell>
        </row>
        <row r="4">
          <cell r="C4" t="e">
            <v>#N/A</v>
          </cell>
          <cell r="G4" t="e">
            <v>#N/A</v>
          </cell>
        </row>
        <row r="5">
          <cell r="C5" t="e">
            <v>#N/A</v>
          </cell>
          <cell r="G5" t="e">
            <v>#N/A</v>
          </cell>
        </row>
        <row r="6">
          <cell r="C6" t="e">
            <v>#N/A</v>
          </cell>
          <cell r="G6" t="e">
            <v>#N/A</v>
          </cell>
        </row>
        <row r="7">
          <cell r="C7" t="e">
            <v>#N/A</v>
          </cell>
          <cell r="G7" t="e">
            <v>#N/A</v>
          </cell>
        </row>
        <row r="8">
          <cell r="C8" t="e">
            <v>#N/A</v>
          </cell>
          <cell r="G8" t="e">
            <v>#N/A</v>
          </cell>
        </row>
        <row r="9">
          <cell r="C9" t="e">
            <v>#N/A</v>
          </cell>
          <cell r="G9" t="e">
            <v>#N/A</v>
          </cell>
        </row>
        <row r="10">
          <cell r="C10" t="e">
            <v>#N/A</v>
          </cell>
          <cell r="G10" t="e">
            <v>#N/A</v>
          </cell>
        </row>
        <row r="11">
          <cell r="C11" t="e">
            <v>#N/A</v>
          </cell>
          <cell r="G11" t="e">
            <v>#N/A</v>
          </cell>
        </row>
        <row r="12">
          <cell r="C12" t="e">
            <v>#N/A</v>
          </cell>
          <cell r="G12" t="e">
            <v>#N/A</v>
          </cell>
        </row>
        <row r="13">
          <cell r="C13" t="e">
            <v>#N/A</v>
          </cell>
          <cell r="G13" t="e">
            <v>#N/A</v>
          </cell>
        </row>
        <row r="14">
          <cell r="C14" t="e">
            <v>#N/A</v>
          </cell>
          <cell r="G14" t="e">
            <v>#N/A</v>
          </cell>
        </row>
        <row r="15">
          <cell r="C15" t="e">
            <v>#N/A</v>
          </cell>
          <cell r="G15" t="e">
            <v>#N/A</v>
          </cell>
        </row>
        <row r="16">
          <cell r="C16" t="e">
            <v>#N/A</v>
          </cell>
          <cell r="G16" t="e">
            <v>#N/A</v>
          </cell>
        </row>
        <row r="17">
          <cell r="C17" t="e">
            <v>#N/A</v>
          </cell>
          <cell r="G17" t="e">
            <v>#N/A</v>
          </cell>
        </row>
        <row r="18">
          <cell r="C18" t="e">
            <v>#N/A</v>
          </cell>
          <cell r="G18" t="e">
            <v>#N/A</v>
          </cell>
        </row>
        <row r="19">
          <cell r="C19" t="e">
            <v>#N/A</v>
          </cell>
          <cell r="G19" t="e">
            <v>#N/A</v>
          </cell>
        </row>
        <row r="20">
          <cell r="C20" t="e">
            <v>#N/A</v>
          </cell>
          <cell r="G20" t="e">
            <v>#N/A</v>
          </cell>
        </row>
        <row r="21">
          <cell r="C21" t="e">
            <v>#N/A</v>
          </cell>
          <cell r="G21" t="e">
            <v>#N/A</v>
          </cell>
        </row>
        <row r="22">
          <cell r="C22" t="e">
            <v>#N/A</v>
          </cell>
          <cell r="G22" t="e">
            <v>#N/A</v>
          </cell>
        </row>
        <row r="23">
          <cell r="C23" t="e">
            <v>#N/A</v>
          </cell>
          <cell r="G23" t="e">
            <v>#N/A</v>
          </cell>
        </row>
        <row r="24">
          <cell r="C24" t="e">
            <v>#N/A</v>
          </cell>
          <cell r="G24" t="e">
            <v>#N/A</v>
          </cell>
        </row>
        <row r="25">
          <cell r="C25" t="e">
            <v>#N/A</v>
          </cell>
          <cell r="G25" t="e">
            <v>#N/A</v>
          </cell>
        </row>
        <row r="26">
          <cell r="C26" t="e">
            <v>#N/A</v>
          </cell>
          <cell r="G26" t="e">
            <v>#N/A</v>
          </cell>
        </row>
        <row r="27">
          <cell r="C27" t="e">
            <v>#N/A</v>
          </cell>
          <cell r="G27" t="e">
            <v>#N/A</v>
          </cell>
        </row>
        <row r="28">
          <cell r="C28" t="e">
            <v>#N/A</v>
          </cell>
          <cell r="G28" t="e">
            <v>#N/A</v>
          </cell>
        </row>
        <row r="29">
          <cell r="C29" t="e">
            <v>#N/A</v>
          </cell>
          <cell r="G29" t="e">
            <v>#N/A</v>
          </cell>
        </row>
        <row r="30">
          <cell r="C30" t="e">
            <v>#N/A</v>
          </cell>
          <cell r="G30" t="e">
            <v>#N/A</v>
          </cell>
        </row>
        <row r="31">
          <cell r="C31" t="e">
            <v>#N/A</v>
          </cell>
          <cell r="G31" t="e">
            <v>#N/A</v>
          </cell>
        </row>
        <row r="32">
          <cell r="C32" t="e">
            <v>#N/A</v>
          </cell>
          <cell r="G32" t="e">
            <v>#N/A</v>
          </cell>
        </row>
        <row r="33">
          <cell r="C33" t="e">
            <v>#N/A</v>
          </cell>
          <cell r="G33" t="e">
            <v>#N/A</v>
          </cell>
        </row>
        <row r="34">
          <cell r="C34" t="e">
            <v>#N/A</v>
          </cell>
          <cell r="G34" t="e">
            <v>#N/A</v>
          </cell>
        </row>
        <row r="35">
          <cell r="C35" t="e">
            <v>#N/A</v>
          </cell>
          <cell r="G35" t="e">
            <v>#N/A</v>
          </cell>
        </row>
        <row r="36">
          <cell r="C36" t="e">
            <v>#N/A</v>
          </cell>
          <cell r="G36" t="e">
            <v>#N/A</v>
          </cell>
        </row>
        <row r="37">
          <cell r="C37" t="e">
            <v>#N/A</v>
          </cell>
          <cell r="G37" t="e">
            <v>#N/A</v>
          </cell>
        </row>
        <row r="38">
          <cell r="C38" t="e">
            <v>#N/A</v>
          </cell>
          <cell r="G38" t="e">
            <v>#N/A</v>
          </cell>
        </row>
        <row r="39">
          <cell r="C39" t="e">
            <v>#N/A</v>
          </cell>
          <cell r="G39" t="e">
            <v>#N/A</v>
          </cell>
        </row>
        <row r="40">
          <cell r="C40" t="e">
            <v>#N/A</v>
          </cell>
          <cell r="G40" t="e">
            <v>#N/A</v>
          </cell>
        </row>
        <row r="41">
          <cell r="C41" t="e">
            <v>#N/A</v>
          </cell>
          <cell r="G41" t="e">
            <v>#N/A</v>
          </cell>
        </row>
        <row r="42">
          <cell r="C42" t="e">
            <v>#N/A</v>
          </cell>
          <cell r="G42" t="e">
            <v>#N/A</v>
          </cell>
        </row>
        <row r="43">
          <cell r="C43" t="e">
            <v>#N/A</v>
          </cell>
          <cell r="G43" t="e">
            <v>#N/A</v>
          </cell>
        </row>
        <row r="44">
          <cell r="C44" t="e">
            <v>#N/A</v>
          </cell>
          <cell r="G44" t="e">
            <v>#N/A</v>
          </cell>
        </row>
        <row r="45">
          <cell r="C45" t="e">
            <v>#N/A</v>
          </cell>
          <cell r="G45" t="e">
            <v>#N/A</v>
          </cell>
        </row>
        <row r="46">
          <cell r="C46" t="e">
            <v>#N/A</v>
          </cell>
          <cell r="G46" t="e">
            <v>#N/A</v>
          </cell>
        </row>
        <row r="47">
          <cell r="C47" t="e">
            <v>#N/A</v>
          </cell>
          <cell r="G47" t="e">
            <v>#N/A</v>
          </cell>
        </row>
        <row r="48">
          <cell r="C48" t="e">
            <v>#N/A</v>
          </cell>
          <cell r="G48" t="e">
            <v>#N/A</v>
          </cell>
        </row>
        <row r="49">
          <cell r="C49" t="e">
            <v>#N/A</v>
          </cell>
          <cell r="G49" t="e">
            <v>#N/A</v>
          </cell>
        </row>
        <row r="50">
          <cell r="C50" t="e">
            <v>#N/A</v>
          </cell>
          <cell r="G50" t="e">
            <v>#N/A</v>
          </cell>
        </row>
        <row r="51">
          <cell r="C51" t="e">
            <v>#N/A</v>
          </cell>
          <cell r="G51" t="e">
            <v>#N/A</v>
          </cell>
        </row>
        <row r="52">
          <cell r="C52" t="e">
            <v>#N/A</v>
          </cell>
          <cell r="G52" t="e">
            <v>#N/A</v>
          </cell>
        </row>
        <row r="53">
          <cell r="C53" t="e">
            <v>#N/A</v>
          </cell>
          <cell r="G53" t="e">
            <v>#N/A</v>
          </cell>
        </row>
        <row r="54">
          <cell r="C54" t="e">
            <v>#N/A</v>
          </cell>
          <cell r="G54" t="e">
            <v>#N/A</v>
          </cell>
        </row>
        <row r="55">
          <cell r="C55" t="e">
            <v>#N/A</v>
          </cell>
          <cell r="G55" t="e">
            <v>#N/A</v>
          </cell>
        </row>
        <row r="56">
          <cell r="C56" t="e">
            <v>#N/A</v>
          </cell>
          <cell r="G56" t="e">
            <v>#N/A</v>
          </cell>
        </row>
        <row r="57">
          <cell r="C57" t="e">
            <v>#N/A</v>
          </cell>
          <cell r="G57" t="e">
            <v>#N/A</v>
          </cell>
        </row>
        <row r="58">
          <cell r="C58" t="e">
            <v>#N/A</v>
          </cell>
          <cell r="G58" t="e">
            <v>#N/A</v>
          </cell>
        </row>
        <row r="59">
          <cell r="C59" t="e">
            <v>#N/A</v>
          </cell>
          <cell r="G59" t="e">
            <v>#N/A</v>
          </cell>
        </row>
        <row r="60">
          <cell r="C60" t="e">
            <v>#N/A</v>
          </cell>
          <cell r="G60" t="e">
            <v>#N/A</v>
          </cell>
        </row>
        <row r="61">
          <cell r="C61" t="e">
            <v>#N/A</v>
          </cell>
          <cell r="G61" t="e">
            <v>#N/A</v>
          </cell>
        </row>
        <row r="62">
          <cell r="C62" t="e">
            <v>#N/A</v>
          </cell>
          <cell r="G62" t="e">
            <v>#N/A</v>
          </cell>
        </row>
        <row r="63">
          <cell r="C63" t="e">
            <v>#N/A</v>
          </cell>
          <cell r="G63" t="e">
            <v>#N/A</v>
          </cell>
        </row>
        <row r="64">
          <cell r="C64" t="e">
            <v>#N/A</v>
          </cell>
          <cell r="G64" t="e">
            <v>#N/A</v>
          </cell>
        </row>
        <row r="65">
          <cell r="C65" t="e">
            <v>#N/A</v>
          </cell>
          <cell r="G65" t="e">
            <v>#N/A</v>
          </cell>
        </row>
        <row r="66">
          <cell r="C66" t="e">
            <v>#N/A</v>
          </cell>
          <cell r="G66" t="e">
            <v>#N/A</v>
          </cell>
        </row>
        <row r="67">
          <cell r="C67" t="e">
            <v>#N/A</v>
          </cell>
          <cell r="G67" t="e">
            <v>#N/A</v>
          </cell>
        </row>
        <row r="68">
          <cell r="C68" t="e">
            <v>#N/A</v>
          </cell>
          <cell r="G68" t="e">
            <v>#N/A</v>
          </cell>
        </row>
        <row r="69">
          <cell r="C69" t="e">
            <v>#N/A</v>
          </cell>
          <cell r="G69" t="e">
            <v>#N/A</v>
          </cell>
        </row>
        <row r="70">
          <cell r="C70" t="e">
            <v>#N/A</v>
          </cell>
          <cell r="G70" t="e">
            <v>#N/A</v>
          </cell>
        </row>
        <row r="71">
          <cell r="C71" t="e">
            <v>#N/A</v>
          </cell>
          <cell r="G71" t="e">
            <v>#N/A</v>
          </cell>
        </row>
        <row r="72">
          <cell r="C72" t="e">
            <v>#N/A</v>
          </cell>
          <cell r="G72" t="e">
            <v>#N/A</v>
          </cell>
        </row>
        <row r="73">
          <cell r="C73" t="e">
            <v>#N/A</v>
          </cell>
          <cell r="G73" t="e">
            <v>#N/A</v>
          </cell>
        </row>
        <row r="74">
          <cell r="C74" t="e">
            <v>#N/A</v>
          </cell>
          <cell r="G74" t="e">
            <v>#N/A</v>
          </cell>
        </row>
        <row r="75">
          <cell r="C75" t="e">
            <v>#N/A</v>
          </cell>
          <cell r="G75" t="e">
            <v>#N/A</v>
          </cell>
        </row>
        <row r="76">
          <cell r="C76" t="e">
            <v>#N/A</v>
          </cell>
          <cell r="G76" t="e">
            <v>#N/A</v>
          </cell>
        </row>
        <row r="77">
          <cell r="C77" t="e">
            <v>#N/A</v>
          </cell>
          <cell r="G77" t="e">
            <v>#N/A</v>
          </cell>
        </row>
        <row r="78">
          <cell r="C78" t="e">
            <v>#N/A</v>
          </cell>
          <cell r="G78" t="e">
            <v>#N/A</v>
          </cell>
        </row>
        <row r="79">
          <cell r="C79" t="e">
            <v>#N/A</v>
          </cell>
          <cell r="G79" t="e">
            <v>#N/A</v>
          </cell>
        </row>
        <row r="80">
          <cell r="C80" t="e">
            <v>#N/A</v>
          </cell>
          <cell r="G80" t="e">
            <v>#N/A</v>
          </cell>
        </row>
        <row r="81">
          <cell r="C81" t="e">
            <v>#N/A</v>
          </cell>
          <cell r="G81" t="e">
            <v>#N/A</v>
          </cell>
        </row>
        <row r="82">
          <cell r="C82" t="e">
            <v>#N/A</v>
          </cell>
          <cell r="G82" t="e">
            <v>#N/A</v>
          </cell>
        </row>
        <row r="83">
          <cell r="C83" t="e">
            <v>#N/A</v>
          </cell>
          <cell r="G83" t="e">
            <v>#N/A</v>
          </cell>
        </row>
        <row r="84">
          <cell r="C84" t="e">
            <v>#N/A</v>
          </cell>
          <cell r="G84" t="e">
            <v>#N/A</v>
          </cell>
        </row>
        <row r="85">
          <cell r="C85" t="e">
            <v>#N/A</v>
          </cell>
          <cell r="G85" t="e">
            <v>#N/A</v>
          </cell>
        </row>
        <row r="86">
          <cell r="C86" t="e">
            <v>#N/A</v>
          </cell>
          <cell r="G86" t="e">
            <v>#N/A</v>
          </cell>
        </row>
        <row r="87">
          <cell r="C87" t="e">
            <v>#N/A</v>
          </cell>
          <cell r="G87" t="e">
            <v>#N/A</v>
          </cell>
        </row>
        <row r="88">
          <cell r="C88" t="e">
            <v>#N/A</v>
          </cell>
          <cell r="G88" t="e">
            <v>#N/A</v>
          </cell>
        </row>
        <row r="89">
          <cell r="C89" t="e">
            <v>#N/A</v>
          </cell>
          <cell r="G89" t="e">
            <v>#N/A</v>
          </cell>
        </row>
        <row r="90">
          <cell r="C90" t="e">
            <v>#N/A</v>
          </cell>
          <cell r="G90" t="e">
            <v>#N/A</v>
          </cell>
        </row>
        <row r="91">
          <cell r="C91" t="e">
            <v>#N/A</v>
          </cell>
          <cell r="G91" t="e">
            <v>#N/A</v>
          </cell>
        </row>
        <row r="92">
          <cell r="C92" t="e">
            <v>#N/A</v>
          </cell>
          <cell r="G92" t="e">
            <v>#N/A</v>
          </cell>
        </row>
        <row r="93">
          <cell r="C93" t="e">
            <v>#N/A</v>
          </cell>
          <cell r="G93" t="e">
            <v>#N/A</v>
          </cell>
        </row>
        <row r="94">
          <cell r="C94" t="e">
            <v>#N/A</v>
          </cell>
          <cell r="G94" t="e">
            <v>#N/A</v>
          </cell>
        </row>
        <row r="95">
          <cell r="C95" t="e">
            <v>#N/A</v>
          </cell>
          <cell r="G95" t="e">
            <v>#N/A</v>
          </cell>
        </row>
        <row r="96">
          <cell r="C96" t="e">
            <v>#N/A</v>
          </cell>
          <cell r="G96" t="e">
            <v>#N/A</v>
          </cell>
        </row>
        <row r="97">
          <cell r="C97" t="e">
            <v>#N/A</v>
          </cell>
          <cell r="G97" t="e">
            <v>#N/A</v>
          </cell>
        </row>
        <row r="98">
          <cell r="C98" t="e">
            <v>#N/A</v>
          </cell>
          <cell r="G98" t="e">
            <v>#N/A</v>
          </cell>
        </row>
        <row r="99">
          <cell r="C99" t="e">
            <v>#N/A</v>
          </cell>
          <cell r="G99" t="e">
            <v>#N/A</v>
          </cell>
        </row>
        <row r="100">
          <cell r="C100" t="e">
            <v>#N/A</v>
          </cell>
          <cell r="G100" t="e">
            <v>#N/A</v>
          </cell>
        </row>
        <row r="101">
          <cell r="C101" t="e">
            <v>#N/A</v>
          </cell>
          <cell r="G101" t="e">
            <v>#N/A</v>
          </cell>
        </row>
        <row r="102">
          <cell r="C102" t="e">
            <v>#N/A</v>
          </cell>
          <cell r="G102" t="e">
            <v>#N/A</v>
          </cell>
        </row>
        <row r="103">
          <cell r="C103" t="e">
            <v>#N/A</v>
          </cell>
          <cell r="G103" t="e">
            <v>#N/A</v>
          </cell>
        </row>
        <row r="104">
          <cell r="C104" t="e">
            <v>#N/A</v>
          </cell>
          <cell r="G104" t="e">
            <v>#N/A</v>
          </cell>
        </row>
        <row r="105">
          <cell r="C105" t="e">
            <v>#N/A</v>
          </cell>
          <cell r="G105" t="e">
            <v>#N/A</v>
          </cell>
        </row>
        <row r="106">
          <cell r="C106" t="e">
            <v>#N/A</v>
          </cell>
          <cell r="G106" t="e">
            <v>#N/A</v>
          </cell>
        </row>
        <row r="107">
          <cell r="C107" t="e">
            <v>#N/A</v>
          </cell>
          <cell r="G107" t="e">
            <v>#N/A</v>
          </cell>
        </row>
        <row r="108">
          <cell r="C108" t="e">
            <v>#N/A</v>
          </cell>
          <cell r="G108" t="e">
            <v>#N/A</v>
          </cell>
        </row>
        <row r="109">
          <cell r="C109" t="e">
            <v>#N/A</v>
          </cell>
          <cell r="G109" t="e">
            <v>#N/A</v>
          </cell>
        </row>
        <row r="110">
          <cell r="C110" t="e">
            <v>#N/A</v>
          </cell>
          <cell r="G110" t="e">
            <v>#N/A</v>
          </cell>
        </row>
        <row r="111">
          <cell r="C111" t="e">
            <v>#N/A</v>
          </cell>
          <cell r="G111" t="e">
            <v>#N/A</v>
          </cell>
        </row>
        <row r="112">
          <cell r="C112" t="e">
            <v>#N/A</v>
          </cell>
          <cell r="G112" t="e">
            <v>#N/A</v>
          </cell>
        </row>
        <row r="113">
          <cell r="C113" t="e">
            <v>#N/A</v>
          </cell>
          <cell r="G113" t="e">
            <v>#N/A</v>
          </cell>
        </row>
        <row r="114">
          <cell r="C114" t="e">
            <v>#N/A</v>
          </cell>
          <cell r="G114" t="e">
            <v>#N/A</v>
          </cell>
        </row>
        <row r="115">
          <cell r="C115" t="e">
            <v>#N/A</v>
          </cell>
          <cell r="G115" t="e">
            <v>#N/A</v>
          </cell>
        </row>
        <row r="116">
          <cell r="C116" t="e">
            <v>#N/A</v>
          </cell>
          <cell r="G116" t="e">
            <v>#N/A</v>
          </cell>
        </row>
        <row r="117">
          <cell r="C117" t="e">
            <v>#N/A</v>
          </cell>
          <cell r="G117" t="e">
            <v>#N/A</v>
          </cell>
        </row>
        <row r="118">
          <cell r="C118" t="e">
            <v>#N/A</v>
          </cell>
          <cell r="G118" t="e">
            <v>#N/A</v>
          </cell>
        </row>
        <row r="119">
          <cell r="C119" t="e">
            <v>#N/A</v>
          </cell>
          <cell r="G119" t="e">
            <v>#N/A</v>
          </cell>
        </row>
        <row r="120">
          <cell r="C120" t="e">
            <v>#N/A</v>
          </cell>
          <cell r="G120" t="e">
            <v>#N/A</v>
          </cell>
        </row>
        <row r="121">
          <cell r="C121" t="e">
            <v>#N/A</v>
          </cell>
          <cell r="G121" t="e">
            <v>#N/A</v>
          </cell>
        </row>
        <row r="122">
          <cell r="C122" t="e">
            <v>#N/A</v>
          </cell>
          <cell r="G122" t="e">
            <v>#N/A</v>
          </cell>
        </row>
        <row r="123">
          <cell r="C123" t="e">
            <v>#N/A</v>
          </cell>
          <cell r="G123" t="e">
            <v>#N/A</v>
          </cell>
        </row>
        <row r="124">
          <cell r="C124" t="e">
            <v>#N/A</v>
          </cell>
          <cell r="G124" t="e">
            <v>#N/A</v>
          </cell>
        </row>
        <row r="125">
          <cell r="C125" t="e">
            <v>#N/A</v>
          </cell>
          <cell r="G125" t="e">
            <v>#N/A</v>
          </cell>
        </row>
        <row r="126">
          <cell r="C126" t="e">
            <v>#N/A</v>
          </cell>
          <cell r="G126" t="e">
            <v>#N/A</v>
          </cell>
        </row>
        <row r="127">
          <cell r="C127" t="e">
            <v>#N/A</v>
          </cell>
          <cell r="G127" t="e">
            <v>#N/A</v>
          </cell>
        </row>
        <row r="128">
          <cell r="C128" t="e">
            <v>#N/A</v>
          </cell>
          <cell r="G128" t="e">
            <v>#N/A</v>
          </cell>
        </row>
        <row r="129">
          <cell r="C129" t="e">
            <v>#N/A</v>
          </cell>
          <cell r="G129" t="e">
            <v>#N/A</v>
          </cell>
        </row>
        <row r="130">
          <cell r="C130" t="e">
            <v>#N/A</v>
          </cell>
          <cell r="G130" t="e">
            <v>#N/A</v>
          </cell>
        </row>
        <row r="131">
          <cell r="C131" t="e">
            <v>#N/A</v>
          </cell>
          <cell r="G131" t="e">
            <v>#N/A</v>
          </cell>
        </row>
        <row r="132">
          <cell r="C132" t="e">
            <v>#N/A</v>
          </cell>
          <cell r="G132" t="e">
            <v>#N/A</v>
          </cell>
        </row>
        <row r="133">
          <cell r="C133" t="e">
            <v>#N/A</v>
          </cell>
          <cell r="G133" t="e">
            <v>#N/A</v>
          </cell>
        </row>
        <row r="134">
          <cell r="C134" t="e">
            <v>#N/A</v>
          </cell>
          <cell r="G134" t="e">
            <v>#N/A</v>
          </cell>
        </row>
        <row r="135">
          <cell r="C135" t="e">
            <v>#N/A</v>
          </cell>
          <cell r="G135" t="e">
            <v>#N/A</v>
          </cell>
        </row>
        <row r="136">
          <cell r="C136" t="e">
            <v>#N/A</v>
          </cell>
          <cell r="G136" t="e">
            <v>#N/A</v>
          </cell>
        </row>
        <row r="137">
          <cell r="C137" t="e">
            <v>#N/A</v>
          </cell>
          <cell r="G137" t="e">
            <v>#N/A</v>
          </cell>
        </row>
        <row r="138">
          <cell r="C138" t="e">
            <v>#N/A</v>
          </cell>
          <cell r="G138" t="e">
            <v>#N/A</v>
          </cell>
        </row>
        <row r="139">
          <cell r="C139" t="e">
            <v>#N/A</v>
          </cell>
          <cell r="G139" t="e">
            <v>#N/A</v>
          </cell>
        </row>
        <row r="140">
          <cell r="C140" t="e">
            <v>#N/A</v>
          </cell>
          <cell r="G140" t="e">
            <v>#N/A</v>
          </cell>
        </row>
        <row r="141">
          <cell r="C141" t="e">
            <v>#N/A</v>
          </cell>
          <cell r="G141" t="e">
            <v>#N/A</v>
          </cell>
        </row>
        <row r="142">
          <cell r="C142" t="e">
            <v>#N/A</v>
          </cell>
          <cell r="G142" t="e">
            <v>#N/A</v>
          </cell>
        </row>
        <row r="143">
          <cell r="C143" t="e">
            <v>#N/A</v>
          </cell>
          <cell r="G143" t="e">
            <v>#N/A</v>
          </cell>
        </row>
        <row r="144">
          <cell r="C144" t="e">
            <v>#N/A</v>
          </cell>
          <cell r="G144" t="e">
            <v>#N/A</v>
          </cell>
        </row>
        <row r="145">
          <cell r="C145" t="e">
            <v>#N/A</v>
          </cell>
          <cell r="G145" t="e">
            <v>#N/A</v>
          </cell>
        </row>
        <row r="146">
          <cell r="C146" t="e">
            <v>#N/A</v>
          </cell>
          <cell r="G146" t="e">
            <v>#N/A</v>
          </cell>
        </row>
        <row r="147">
          <cell r="C147" t="e">
            <v>#N/A</v>
          </cell>
          <cell r="G147" t="e">
            <v>#N/A</v>
          </cell>
        </row>
        <row r="148">
          <cell r="C148" t="e">
            <v>#N/A</v>
          </cell>
          <cell r="G148" t="e">
            <v>#N/A</v>
          </cell>
        </row>
        <row r="149">
          <cell r="C149" t="e">
            <v>#N/A</v>
          </cell>
          <cell r="G149" t="e">
            <v>#N/A</v>
          </cell>
        </row>
        <row r="150">
          <cell r="C150" t="e">
            <v>#N/A</v>
          </cell>
          <cell r="G150" t="e">
            <v>#N/A</v>
          </cell>
        </row>
        <row r="151">
          <cell r="C151" t="e">
            <v>#N/A</v>
          </cell>
          <cell r="G151" t="e">
            <v>#N/A</v>
          </cell>
        </row>
        <row r="152">
          <cell r="C152" t="e">
            <v>#N/A</v>
          </cell>
          <cell r="G152" t="e">
            <v>#N/A</v>
          </cell>
        </row>
        <row r="153">
          <cell r="C153" t="e">
            <v>#N/A</v>
          </cell>
          <cell r="G153" t="e">
            <v>#N/A</v>
          </cell>
        </row>
        <row r="154">
          <cell r="C154" t="e">
            <v>#N/A</v>
          </cell>
          <cell r="G154" t="e">
            <v>#N/A</v>
          </cell>
        </row>
        <row r="155">
          <cell r="C155" t="e">
            <v>#N/A</v>
          </cell>
          <cell r="G155" t="e">
            <v>#N/A</v>
          </cell>
        </row>
        <row r="156">
          <cell r="C156" t="e">
            <v>#N/A</v>
          </cell>
          <cell r="G156" t="e">
            <v>#N/A</v>
          </cell>
        </row>
        <row r="157">
          <cell r="C157" t="e">
            <v>#N/A</v>
          </cell>
          <cell r="G157" t="e">
            <v>#N/A</v>
          </cell>
        </row>
        <row r="158">
          <cell r="C158" t="e">
            <v>#N/A</v>
          </cell>
          <cell r="G158" t="e">
            <v>#N/A</v>
          </cell>
        </row>
        <row r="159">
          <cell r="C159" t="e">
            <v>#N/A</v>
          </cell>
          <cell r="G159" t="e">
            <v>#N/A</v>
          </cell>
        </row>
        <row r="160">
          <cell r="C160" t="e">
            <v>#N/A</v>
          </cell>
          <cell r="G160" t="e">
            <v>#N/A</v>
          </cell>
        </row>
        <row r="161">
          <cell r="C161" t="e">
            <v>#N/A</v>
          </cell>
          <cell r="G161" t="e">
            <v>#N/A</v>
          </cell>
        </row>
        <row r="162">
          <cell r="C162" t="e">
            <v>#N/A</v>
          </cell>
          <cell r="G162" t="e">
            <v>#N/A</v>
          </cell>
        </row>
        <row r="163">
          <cell r="C163" t="e">
            <v>#N/A</v>
          </cell>
          <cell r="G163" t="e">
            <v>#N/A</v>
          </cell>
        </row>
        <row r="164">
          <cell r="C164" t="e">
            <v>#N/A</v>
          </cell>
          <cell r="G164" t="e">
            <v>#N/A</v>
          </cell>
        </row>
        <row r="165">
          <cell r="C165" t="e">
            <v>#N/A</v>
          </cell>
          <cell r="G165" t="e">
            <v>#N/A</v>
          </cell>
        </row>
        <row r="166">
          <cell r="C166" t="e">
            <v>#N/A</v>
          </cell>
          <cell r="G166" t="e">
            <v>#N/A</v>
          </cell>
        </row>
        <row r="167">
          <cell r="C167" t="e">
            <v>#N/A</v>
          </cell>
          <cell r="G167" t="e">
            <v>#N/A</v>
          </cell>
        </row>
        <row r="168">
          <cell r="C168" t="e">
            <v>#N/A</v>
          </cell>
          <cell r="G168" t="e">
            <v>#N/A</v>
          </cell>
        </row>
        <row r="169">
          <cell r="C169" t="e">
            <v>#N/A</v>
          </cell>
          <cell r="G169" t="e">
            <v>#N/A</v>
          </cell>
        </row>
        <row r="170">
          <cell r="C170" t="e">
            <v>#N/A</v>
          </cell>
          <cell r="G170" t="e">
            <v>#N/A</v>
          </cell>
        </row>
        <row r="171">
          <cell r="C171" t="e">
            <v>#N/A</v>
          </cell>
          <cell r="G171" t="e">
            <v>#N/A</v>
          </cell>
        </row>
        <row r="172">
          <cell r="C172" t="e">
            <v>#N/A</v>
          </cell>
          <cell r="G172" t="e">
            <v>#N/A</v>
          </cell>
        </row>
        <row r="173">
          <cell r="C173" t="e">
            <v>#N/A</v>
          </cell>
          <cell r="G173" t="e">
            <v>#N/A</v>
          </cell>
        </row>
        <row r="174">
          <cell r="C174" t="e">
            <v>#N/A</v>
          </cell>
          <cell r="G174" t="e">
            <v>#N/A</v>
          </cell>
        </row>
        <row r="175">
          <cell r="C175" t="e">
            <v>#N/A</v>
          </cell>
          <cell r="G175" t="e">
            <v>#N/A</v>
          </cell>
        </row>
        <row r="176">
          <cell r="C176" t="e">
            <v>#N/A</v>
          </cell>
          <cell r="G176" t="e">
            <v>#N/A</v>
          </cell>
        </row>
        <row r="177">
          <cell r="C177" t="e">
            <v>#N/A</v>
          </cell>
          <cell r="G177" t="e">
            <v>#N/A</v>
          </cell>
        </row>
        <row r="178">
          <cell r="C178" t="e">
            <v>#N/A</v>
          </cell>
          <cell r="G178" t="e">
            <v>#N/A</v>
          </cell>
        </row>
        <row r="179">
          <cell r="C179" t="e">
            <v>#N/A</v>
          </cell>
          <cell r="G179" t="e">
            <v>#N/A</v>
          </cell>
        </row>
        <row r="180">
          <cell r="C180" t="e">
            <v>#N/A</v>
          </cell>
          <cell r="G180" t="e">
            <v>#N/A</v>
          </cell>
        </row>
        <row r="181">
          <cell r="C181" t="e">
            <v>#N/A</v>
          </cell>
          <cell r="G181" t="e">
            <v>#N/A</v>
          </cell>
        </row>
        <row r="182">
          <cell r="C182" t="e">
            <v>#N/A</v>
          </cell>
          <cell r="G182" t="e">
            <v>#N/A</v>
          </cell>
        </row>
        <row r="183">
          <cell r="C183" t="e">
            <v>#N/A</v>
          </cell>
          <cell r="G183" t="e">
            <v>#N/A</v>
          </cell>
        </row>
        <row r="184">
          <cell r="C184" t="e">
            <v>#N/A</v>
          </cell>
          <cell r="G184" t="e">
            <v>#N/A</v>
          </cell>
        </row>
        <row r="185">
          <cell r="C185" t="e">
            <v>#N/A</v>
          </cell>
          <cell r="G185" t="e">
            <v>#N/A</v>
          </cell>
        </row>
        <row r="186">
          <cell r="C186" t="e">
            <v>#N/A</v>
          </cell>
          <cell r="G186" t="e">
            <v>#N/A</v>
          </cell>
        </row>
        <row r="187">
          <cell r="C187" t="e">
            <v>#N/A</v>
          </cell>
          <cell r="G187" t="e">
            <v>#N/A</v>
          </cell>
        </row>
        <row r="188">
          <cell r="C188" t="e">
            <v>#N/A</v>
          </cell>
          <cell r="G188" t="e">
            <v>#N/A</v>
          </cell>
        </row>
        <row r="189">
          <cell r="C189" t="e">
            <v>#N/A</v>
          </cell>
          <cell r="G189" t="e">
            <v>#N/A</v>
          </cell>
        </row>
        <row r="190">
          <cell r="C190" t="e">
            <v>#N/A</v>
          </cell>
          <cell r="G190" t="e">
            <v>#N/A</v>
          </cell>
        </row>
        <row r="191">
          <cell r="C191" t="e">
            <v>#N/A</v>
          </cell>
          <cell r="G191" t="e">
            <v>#N/A</v>
          </cell>
        </row>
        <row r="192">
          <cell r="C192" t="e">
            <v>#N/A</v>
          </cell>
          <cell r="G192" t="e">
            <v>#N/A</v>
          </cell>
        </row>
        <row r="193">
          <cell r="C193" t="e">
            <v>#N/A</v>
          </cell>
          <cell r="G193" t="e">
            <v>#N/A</v>
          </cell>
        </row>
        <row r="194">
          <cell r="C194" t="e">
            <v>#N/A</v>
          </cell>
          <cell r="G194" t="e">
            <v>#N/A</v>
          </cell>
        </row>
        <row r="195">
          <cell r="C195" t="e">
            <v>#N/A</v>
          </cell>
          <cell r="G195" t="e">
            <v>#N/A</v>
          </cell>
        </row>
        <row r="196">
          <cell r="C196" t="e">
            <v>#N/A</v>
          </cell>
          <cell r="G196" t="e">
            <v>#N/A</v>
          </cell>
        </row>
        <row r="197">
          <cell r="C197" t="e">
            <v>#N/A</v>
          </cell>
          <cell r="G197" t="e">
            <v>#N/A</v>
          </cell>
        </row>
        <row r="198">
          <cell r="C198" t="e">
            <v>#N/A</v>
          </cell>
          <cell r="G198" t="e">
            <v>#N/A</v>
          </cell>
        </row>
        <row r="199">
          <cell r="C199" t="e">
            <v>#N/A</v>
          </cell>
          <cell r="G199" t="e">
            <v>#N/A</v>
          </cell>
        </row>
        <row r="200">
          <cell r="C200" t="e">
            <v>#N/A</v>
          </cell>
          <cell r="G200" t="e">
            <v>#N/A</v>
          </cell>
        </row>
        <row r="201">
          <cell r="C201" t="e">
            <v>#N/A</v>
          </cell>
          <cell r="G201" t="e">
            <v>#N/A</v>
          </cell>
        </row>
        <row r="202">
          <cell r="C202" t="e">
            <v>#N/A</v>
          </cell>
          <cell r="G202" t="e">
            <v>#N/A</v>
          </cell>
        </row>
        <row r="203">
          <cell r="C203" t="e">
            <v>#N/A</v>
          </cell>
          <cell r="G203" t="e">
            <v>#N/A</v>
          </cell>
        </row>
        <row r="204">
          <cell r="C204" t="e">
            <v>#N/A</v>
          </cell>
          <cell r="G204" t="e">
            <v>#N/A</v>
          </cell>
        </row>
        <row r="205">
          <cell r="C205" t="e">
            <v>#N/A</v>
          </cell>
          <cell r="G205" t="e">
            <v>#N/A</v>
          </cell>
        </row>
        <row r="206">
          <cell r="C206" t="e">
            <v>#N/A</v>
          </cell>
          <cell r="G206" t="e">
            <v>#N/A</v>
          </cell>
        </row>
        <row r="207">
          <cell r="C207" t="e">
            <v>#N/A</v>
          </cell>
          <cell r="G207" t="e">
            <v>#N/A</v>
          </cell>
        </row>
        <row r="208">
          <cell r="C208" t="e">
            <v>#N/A</v>
          </cell>
          <cell r="G208" t="e">
            <v>#N/A</v>
          </cell>
        </row>
        <row r="209">
          <cell r="C209" t="e">
            <v>#N/A</v>
          </cell>
          <cell r="G209" t="e">
            <v>#N/A</v>
          </cell>
        </row>
        <row r="210">
          <cell r="C210" t="e">
            <v>#N/A</v>
          </cell>
          <cell r="G210" t="e">
            <v>#N/A</v>
          </cell>
        </row>
        <row r="211">
          <cell r="C211" t="e">
            <v>#N/A</v>
          </cell>
          <cell r="G211" t="e">
            <v>#N/A</v>
          </cell>
        </row>
        <row r="212">
          <cell r="C212" t="e">
            <v>#N/A</v>
          </cell>
          <cell r="G212" t="e">
            <v>#N/A</v>
          </cell>
        </row>
        <row r="213">
          <cell r="C213" t="e">
            <v>#N/A</v>
          </cell>
          <cell r="G213" t="e">
            <v>#N/A</v>
          </cell>
        </row>
        <row r="214">
          <cell r="C214" t="e">
            <v>#N/A</v>
          </cell>
          <cell r="G214" t="e">
            <v>#N/A</v>
          </cell>
        </row>
        <row r="215">
          <cell r="C215" t="e">
            <v>#N/A</v>
          </cell>
          <cell r="G215" t="e">
            <v>#N/A</v>
          </cell>
        </row>
        <row r="216">
          <cell r="C216" t="e">
            <v>#N/A</v>
          </cell>
          <cell r="G216" t="e">
            <v>#N/A</v>
          </cell>
        </row>
        <row r="217">
          <cell r="C217" t="e">
            <v>#N/A</v>
          </cell>
          <cell r="G217" t="e">
            <v>#N/A</v>
          </cell>
        </row>
        <row r="218">
          <cell r="C218" t="e">
            <v>#N/A</v>
          </cell>
          <cell r="G218" t="e">
            <v>#N/A</v>
          </cell>
        </row>
        <row r="219">
          <cell r="C219" t="e">
            <v>#N/A</v>
          </cell>
          <cell r="G219" t="e">
            <v>#N/A</v>
          </cell>
        </row>
        <row r="220">
          <cell r="C220" t="e">
            <v>#N/A</v>
          </cell>
          <cell r="G220" t="e">
            <v>#N/A</v>
          </cell>
        </row>
        <row r="221">
          <cell r="C221" t="e">
            <v>#N/A</v>
          </cell>
          <cell r="G221" t="e">
            <v>#N/A</v>
          </cell>
        </row>
        <row r="222">
          <cell r="C222" t="e">
            <v>#N/A</v>
          </cell>
          <cell r="G222" t="e">
            <v>#N/A</v>
          </cell>
        </row>
        <row r="223">
          <cell r="C223" t="e">
            <v>#N/A</v>
          </cell>
          <cell r="G223" t="e">
            <v>#N/A</v>
          </cell>
        </row>
        <row r="224">
          <cell r="C224" t="e">
            <v>#N/A</v>
          </cell>
          <cell r="G224" t="e">
            <v>#N/A</v>
          </cell>
        </row>
        <row r="225">
          <cell r="C225" t="e">
            <v>#N/A</v>
          </cell>
          <cell r="G225" t="e">
            <v>#N/A</v>
          </cell>
        </row>
        <row r="226">
          <cell r="C226" t="e">
            <v>#N/A</v>
          </cell>
          <cell r="G226" t="e">
            <v>#N/A</v>
          </cell>
        </row>
        <row r="227">
          <cell r="C227" t="e">
            <v>#N/A</v>
          </cell>
          <cell r="G227" t="e">
            <v>#N/A</v>
          </cell>
        </row>
        <row r="228">
          <cell r="C228" t="e">
            <v>#N/A</v>
          </cell>
          <cell r="G228" t="e">
            <v>#N/A</v>
          </cell>
        </row>
        <row r="229">
          <cell r="C229" t="e">
            <v>#N/A</v>
          </cell>
          <cell r="G229" t="e">
            <v>#N/A</v>
          </cell>
        </row>
        <row r="230">
          <cell r="C230" t="e">
            <v>#N/A</v>
          </cell>
          <cell r="G230" t="e">
            <v>#N/A</v>
          </cell>
        </row>
        <row r="231">
          <cell r="C231" t="e">
            <v>#N/A</v>
          </cell>
          <cell r="G231" t="e">
            <v>#N/A</v>
          </cell>
        </row>
        <row r="232">
          <cell r="C232" t="e">
            <v>#N/A</v>
          </cell>
          <cell r="G232" t="e">
            <v>#N/A</v>
          </cell>
        </row>
        <row r="233">
          <cell r="C233" t="e">
            <v>#N/A</v>
          </cell>
          <cell r="G233" t="e">
            <v>#N/A</v>
          </cell>
        </row>
        <row r="234">
          <cell r="C234" t="e">
            <v>#N/A</v>
          </cell>
          <cell r="G234" t="e">
            <v>#N/A</v>
          </cell>
        </row>
        <row r="235">
          <cell r="C235" t="e">
            <v>#N/A</v>
          </cell>
          <cell r="G235" t="e">
            <v>#N/A</v>
          </cell>
        </row>
        <row r="236">
          <cell r="C236" t="e">
            <v>#N/A</v>
          </cell>
          <cell r="G236" t="e">
            <v>#N/A</v>
          </cell>
        </row>
        <row r="237">
          <cell r="C237" t="e">
            <v>#N/A</v>
          </cell>
          <cell r="G237" t="e">
            <v>#N/A</v>
          </cell>
        </row>
        <row r="238">
          <cell r="C238" t="e">
            <v>#N/A</v>
          </cell>
          <cell r="G238" t="e">
            <v>#N/A</v>
          </cell>
        </row>
        <row r="239">
          <cell r="C239" t="e">
            <v>#N/A</v>
          </cell>
          <cell r="G239" t="e">
            <v>#N/A</v>
          </cell>
        </row>
        <row r="240">
          <cell r="C240" t="e">
            <v>#N/A</v>
          </cell>
          <cell r="G240" t="e">
            <v>#N/A</v>
          </cell>
        </row>
        <row r="241">
          <cell r="C241" t="e">
            <v>#N/A</v>
          </cell>
          <cell r="G241" t="e">
            <v>#N/A</v>
          </cell>
        </row>
        <row r="242">
          <cell r="C242" t="e">
            <v>#N/A</v>
          </cell>
          <cell r="G242" t="e">
            <v>#N/A</v>
          </cell>
        </row>
        <row r="243">
          <cell r="C243" t="e">
            <v>#N/A</v>
          </cell>
          <cell r="G243" t="e">
            <v>#N/A</v>
          </cell>
        </row>
        <row r="244">
          <cell r="C244" t="e">
            <v>#N/A</v>
          </cell>
          <cell r="G244" t="e">
            <v>#N/A</v>
          </cell>
        </row>
        <row r="245">
          <cell r="C245" t="e">
            <v>#N/A</v>
          </cell>
          <cell r="G245" t="e">
            <v>#N/A</v>
          </cell>
        </row>
        <row r="246">
          <cell r="C246" t="e">
            <v>#N/A</v>
          </cell>
          <cell r="G246" t="e">
            <v>#N/A</v>
          </cell>
        </row>
        <row r="247">
          <cell r="C247" t="e">
            <v>#N/A</v>
          </cell>
          <cell r="G247" t="e">
            <v>#N/A</v>
          </cell>
        </row>
        <row r="248">
          <cell r="C248" t="e">
            <v>#N/A</v>
          </cell>
          <cell r="G248" t="e">
            <v>#N/A</v>
          </cell>
        </row>
        <row r="249">
          <cell r="C249" t="e">
            <v>#N/A</v>
          </cell>
          <cell r="G249" t="e">
            <v>#N/A</v>
          </cell>
        </row>
        <row r="250">
          <cell r="C250" t="e">
            <v>#N/A</v>
          </cell>
          <cell r="G250" t="e">
            <v>#N/A</v>
          </cell>
        </row>
        <row r="251">
          <cell r="C251" t="e">
            <v>#N/A</v>
          </cell>
          <cell r="G251" t="e">
            <v>#N/A</v>
          </cell>
        </row>
        <row r="252">
          <cell r="C252" t="e">
            <v>#N/A</v>
          </cell>
          <cell r="G252" t="e">
            <v>#N/A</v>
          </cell>
        </row>
        <row r="253">
          <cell r="C253" t="e">
            <v>#N/A</v>
          </cell>
          <cell r="G253" t="e">
            <v>#N/A</v>
          </cell>
        </row>
        <row r="254">
          <cell r="C254" t="e">
            <v>#N/A</v>
          </cell>
          <cell r="G254" t="e">
            <v>#N/A</v>
          </cell>
        </row>
        <row r="255">
          <cell r="C255" t="e">
            <v>#N/A</v>
          </cell>
          <cell r="G255" t="e">
            <v>#N/A</v>
          </cell>
        </row>
        <row r="256">
          <cell r="C256" t="e">
            <v>#N/A</v>
          </cell>
          <cell r="G256" t="e">
            <v>#N/A</v>
          </cell>
        </row>
        <row r="257">
          <cell r="C257" t="e">
            <v>#N/A</v>
          </cell>
          <cell r="G257" t="e">
            <v>#N/A</v>
          </cell>
        </row>
        <row r="258">
          <cell r="C258" t="e">
            <v>#N/A</v>
          </cell>
          <cell r="G258" t="e">
            <v>#N/A</v>
          </cell>
        </row>
        <row r="259">
          <cell r="C259" t="e">
            <v>#N/A</v>
          </cell>
          <cell r="G259" t="e">
            <v>#N/A</v>
          </cell>
        </row>
        <row r="260">
          <cell r="C260" t="e">
            <v>#N/A</v>
          </cell>
          <cell r="G260" t="e">
            <v>#N/A</v>
          </cell>
        </row>
        <row r="261">
          <cell r="C261" t="e">
            <v>#N/A</v>
          </cell>
          <cell r="G261" t="e">
            <v>#N/A</v>
          </cell>
        </row>
        <row r="262">
          <cell r="C262" t="e">
            <v>#N/A</v>
          </cell>
          <cell r="G262" t="e">
            <v>#N/A</v>
          </cell>
        </row>
        <row r="263">
          <cell r="C263" t="e">
            <v>#N/A</v>
          </cell>
          <cell r="G263" t="e">
            <v>#N/A</v>
          </cell>
        </row>
        <row r="264">
          <cell r="C264" t="e">
            <v>#N/A</v>
          </cell>
          <cell r="G264" t="e">
            <v>#N/A</v>
          </cell>
        </row>
        <row r="265">
          <cell r="C265" t="e">
            <v>#N/A</v>
          </cell>
          <cell r="G265" t="e">
            <v>#N/A</v>
          </cell>
        </row>
        <row r="266">
          <cell r="C266" t="e">
            <v>#N/A</v>
          </cell>
          <cell r="G266" t="e">
            <v>#N/A</v>
          </cell>
        </row>
        <row r="267">
          <cell r="C267" t="e">
            <v>#N/A</v>
          </cell>
          <cell r="G267" t="e">
            <v>#N/A</v>
          </cell>
        </row>
        <row r="268">
          <cell r="C268" t="e">
            <v>#N/A</v>
          </cell>
          <cell r="G268" t="e">
            <v>#N/A</v>
          </cell>
        </row>
        <row r="269">
          <cell r="C269" t="e">
            <v>#N/A</v>
          </cell>
          <cell r="G269" t="e">
            <v>#N/A</v>
          </cell>
        </row>
        <row r="270">
          <cell r="C270" t="e">
            <v>#N/A</v>
          </cell>
          <cell r="G270" t="e">
            <v>#N/A</v>
          </cell>
        </row>
        <row r="271">
          <cell r="C271" t="e">
            <v>#N/A</v>
          </cell>
          <cell r="G271" t="e">
            <v>#N/A</v>
          </cell>
        </row>
        <row r="272">
          <cell r="C272" t="e">
            <v>#N/A</v>
          </cell>
          <cell r="G272" t="e">
            <v>#N/A</v>
          </cell>
        </row>
        <row r="273">
          <cell r="C273" t="e">
            <v>#N/A</v>
          </cell>
          <cell r="G273" t="e">
            <v>#N/A</v>
          </cell>
        </row>
        <row r="274">
          <cell r="C274" t="e">
            <v>#N/A</v>
          </cell>
          <cell r="G274" t="e">
            <v>#N/A</v>
          </cell>
        </row>
        <row r="275">
          <cell r="C275" t="e">
            <v>#N/A</v>
          </cell>
          <cell r="G275" t="e">
            <v>#N/A</v>
          </cell>
        </row>
        <row r="276">
          <cell r="C276" t="e">
            <v>#N/A</v>
          </cell>
          <cell r="G276" t="e">
            <v>#N/A</v>
          </cell>
        </row>
        <row r="277">
          <cell r="C277" t="e">
            <v>#N/A</v>
          </cell>
          <cell r="G277" t="e">
            <v>#N/A</v>
          </cell>
        </row>
        <row r="278">
          <cell r="C278" t="e">
            <v>#N/A</v>
          </cell>
          <cell r="G278" t="e">
            <v>#N/A</v>
          </cell>
        </row>
        <row r="279">
          <cell r="C279" t="e">
            <v>#N/A</v>
          </cell>
          <cell r="G279" t="e">
            <v>#N/A</v>
          </cell>
        </row>
        <row r="280">
          <cell r="C280" t="e">
            <v>#N/A</v>
          </cell>
          <cell r="G280" t="e">
            <v>#N/A</v>
          </cell>
        </row>
        <row r="281">
          <cell r="C281" t="e">
            <v>#N/A</v>
          </cell>
          <cell r="G281" t="e">
            <v>#N/A</v>
          </cell>
        </row>
        <row r="282">
          <cell r="C282" t="e">
            <v>#N/A</v>
          </cell>
          <cell r="G282" t="e">
            <v>#N/A</v>
          </cell>
        </row>
        <row r="283">
          <cell r="C283" t="e">
            <v>#N/A</v>
          </cell>
          <cell r="G283" t="e">
            <v>#N/A</v>
          </cell>
        </row>
        <row r="284">
          <cell r="C284" t="e">
            <v>#N/A</v>
          </cell>
          <cell r="G284" t="e">
            <v>#N/A</v>
          </cell>
        </row>
        <row r="285">
          <cell r="C285" t="e">
            <v>#N/A</v>
          </cell>
          <cell r="G285" t="e">
            <v>#N/A</v>
          </cell>
        </row>
        <row r="286">
          <cell r="C286" t="e">
            <v>#N/A</v>
          </cell>
          <cell r="G286" t="e">
            <v>#N/A</v>
          </cell>
        </row>
        <row r="287">
          <cell r="C287" t="e">
            <v>#N/A</v>
          </cell>
          <cell r="G287" t="e">
            <v>#N/A</v>
          </cell>
        </row>
        <row r="288">
          <cell r="C288" t="e">
            <v>#N/A</v>
          </cell>
          <cell r="G288" t="e">
            <v>#N/A</v>
          </cell>
        </row>
        <row r="289">
          <cell r="C289" t="e">
            <v>#N/A</v>
          </cell>
          <cell r="G289" t="e">
            <v>#N/A</v>
          </cell>
        </row>
        <row r="290">
          <cell r="C290" t="e">
            <v>#N/A</v>
          </cell>
          <cell r="G290" t="e">
            <v>#N/A</v>
          </cell>
        </row>
        <row r="291">
          <cell r="C291" t="e">
            <v>#N/A</v>
          </cell>
          <cell r="G291" t="e">
            <v>#N/A</v>
          </cell>
        </row>
        <row r="292">
          <cell r="C292" t="e">
            <v>#N/A</v>
          </cell>
          <cell r="G292" t="e">
            <v>#N/A</v>
          </cell>
        </row>
        <row r="293">
          <cell r="C293" t="e">
            <v>#N/A</v>
          </cell>
          <cell r="G293" t="e">
            <v>#N/A</v>
          </cell>
        </row>
        <row r="294">
          <cell r="C294" t="e">
            <v>#N/A</v>
          </cell>
          <cell r="G294" t="e">
            <v>#N/A</v>
          </cell>
        </row>
        <row r="295">
          <cell r="C295" t="e">
            <v>#N/A</v>
          </cell>
          <cell r="G295" t="e">
            <v>#N/A</v>
          </cell>
        </row>
        <row r="296">
          <cell r="C296" t="e">
            <v>#N/A</v>
          </cell>
          <cell r="G296" t="e">
            <v>#N/A</v>
          </cell>
        </row>
        <row r="297">
          <cell r="C297" t="e">
            <v>#N/A</v>
          </cell>
          <cell r="G297" t="e">
            <v>#N/A</v>
          </cell>
        </row>
        <row r="298">
          <cell r="C298" t="e">
            <v>#N/A</v>
          </cell>
          <cell r="G298" t="e">
            <v>#N/A</v>
          </cell>
        </row>
        <row r="299">
          <cell r="C299" t="e">
            <v>#N/A</v>
          </cell>
          <cell r="G299" t="e">
            <v>#N/A</v>
          </cell>
        </row>
        <row r="300">
          <cell r="C300" t="e">
            <v>#N/A</v>
          </cell>
          <cell r="G300" t="e">
            <v>#N/A</v>
          </cell>
        </row>
        <row r="301">
          <cell r="C301" t="e">
            <v>#N/A</v>
          </cell>
          <cell r="G301" t="e">
            <v>#N/A</v>
          </cell>
        </row>
        <row r="302">
          <cell r="C302" t="e">
            <v>#N/A</v>
          </cell>
          <cell r="G302" t="e">
            <v>#N/A</v>
          </cell>
        </row>
        <row r="303">
          <cell r="C303" t="e">
            <v>#N/A</v>
          </cell>
          <cell r="G303" t="e">
            <v>#N/A</v>
          </cell>
        </row>
        <row r="304">
          <cell r="C304" t="e">
            <v>#N/A</v>
          </cell>
          <cell r="G304" t="e">
            <v>#N/A</v>
          </cell>
        </row>
        <row r="305">
          <cell r="C305" t="e">
            <v>#N/A</v>
          </cell>
          <cell r="G305" t="e">
            <v>#N/A</v>
          </cell>
        </row>
        <row r="306">
          <cell r="C306" t="e">
            <v>#N/A</v>
          </cell>
          <cell r="G306" t="e">
            <v>#N/A</v>
          </cell>
        </row>
        <row r="307">
          <cell r="C307" t="e">
            <v>#N/A</v>
          </cell>
          <cell r="G307" t="e">
            <v>#N/A</v>
          </cell>
        </row>
        <row r="308">
          <cell r="C308" t="e">
            <v>#N/A</v>
          </cell>
          <cell r="G308" t="e">
            <v>#N/A</v>
          </cell>
        </row>
        <row r="309">
          <cell r="C309" t="e">
            <v>#N/A</v>
          </cell>
          <cell r="G309" t="e">
            <v>#N/A</v>
          </cell>
        </row>
        <row r="310">
          <cell r="C310" t="e">
            <v>#N/A</v>
          </cell>
          <cell r="G310" t="e">
            <v>#N/A</v>
          </cell>
        </row>
        <row r="311">
          <cell r="C311" t="e">
            <v>#N/A</v>
          </cell>
          <cell r="G311" t="e">
            <v>#N/A</v>
          </cell>
        </row>
        <row r="312">
          <cell r="C312" t="e">
            <v>#N/A</v>
          </cell>
          <cell r="G312" t="e">
            <v>#N/A</v>
          </cell>
        </row>
        <row r="313">
          <cell r="C313" t="e">
            <v>#N/A</v>
          </cell>
          <cell r="G313" t="e">
            <v>#N/A</v>
          </cell>
        </row>
        <row r="314">
          <cell r="C314" t="e">
            <v>#N/A</v>
          </cell>
          <cell r="G314" t="e">
            <v>#N/A</v>
          </cell>
        </row>
        <row r="315">
          <cell r="C315" t="e">
            <v>#N/A</v>
          </cell>
          <cell r="G315" t="e">
            <v>#N/A</v>
          </cell>
        </row>
        <row r="316">
          <cell r="C316" t="e">
            <v>#N/A</v>
          </cell>
          <cell r="G316" t="e">
            <v>#N/A</v>
          </cell>
        </row>
        <row r="317">
          <cell r="C317" t="e">
            <v>#N/A</v>
          </cell>
          <cell r="G317" t="e">
            <v>#N/A</v>
          </cell>
        </row>
        <row r="318">
          <cell r="C318" t="e">
            <v>#N/A</v>
          </cell>
          <cell r="G318" t="e">
            <v>#N/A</v>
          </cell>
        </row>
        <row r="319">
          <cell r="C319" t="e">
            <v>#N/A</v>
          </cell>
          <cell r="G319" t="e">
            <v>#N/A</v>
          </cell>
        </row>
        <row r="320">
          <cell r="C320" t="e">
            <v>#N/A</v>
          </cell>
          <cell r="G320" t="e">
            <v>#N/A</v>
          </cell>
        </row>
        <row r="321">
          <cell r="C321" t="e">
            <v>#N/A</v>
          </cell>
          <cell r="G321" t="e">
            <v>#N/A</v>
          </cell>
        </row>
        <row r="322">
          <cell r="C322" t="e">
            <v>#N/A</v>
          </cell>
          <cell r="G322" t="e">
            <v>#N/A</v>
          </cell>
        </row>
        <row r="323">
          <cell r="C323" t="e">
            <v>#N/A</v>
          </cell>
          <cell r="G323" t="e">
            <v>#N/A</v>
          </cell>
        </row>
        <row r="324">
          <cell r="C324" t="e">
            <v>#N/A</v>
          </cell>
          <cell r="G324" t="e">
            <v>#N/A</v>
          </cell>
        </row>
        <row r="325">
          <cell r="C325" t="e">
            <v>#N/A</v>
          </cell>
          <cell r="G325" t="e">
            <v>#N/A</v>
          </cell>
        </row>
        <row r="326">
          <cell r="C326" t="e">
            <v>#N/A</v>
          </cell>
          <cell r="G326" t="e">
            <v>#N/A</v>
          </cell>
        </row>
        <row r="327">
          <cell r="C327" t="e">
            <v>#N/A</v>
          </cell>
          <cell r="G327" t="e">
            <v>#N/A</v>
          </cell>
        </row>
        <row r="328">
          <cell r="C328" t="e">
            <v>#N/A</v>
          </cell>
          <cell r="G328" t="e">
            <v>#N/A</v>
          </cell>
        </row>
        <row r="329">
          <cell r="C329" t="e">
            <v>#N/A</v>
          </cell>
          <cell r="G329" t="e">
            <v>#N/A</v>
          </cell>
        </row>
        <row r="330">
          <cell r="C330" t="e">
            <v>#N/A</v>
          </cell>
          <cell r="G330" t="e">
            <v>#N/A</v>
          </cell>
        </row>
        <row r="331">
          <cell r="C331" t="e">
            <v>#N/A</v>
          </cell>
          <cell r="G331" t="e">
            <v>#N/A</v>
          </cell>
        </row>
        <row r="332">
          <cell r="C332" t="e">
            <v>#N/A</v>
          </cell>
          <cell r="G332" t="e">
            <v>#N/A</v>
          </cell>
        </row>
        <row r="333">
          <cell r="C333" t="e">
            <v>#N/A</v>
          </cell>
          <cell r="G333" t="e">
            <v>#N/A</v>
          </cell>
        </row>
        <row r="334">
          <cell r="C334" t="e">
            <v>#N/A</v>
          </cell>
          <cell r="G334" t="e">
            <v>#N/A</v>
          </cell>
        </row>
        <row r="335">
          <cell r="C335" t="e">
            <v>#N/A</v>
          </cell>
          <cell r="G335" t="e">
            <v>#N/A</v>
          </cell>
        </row>
        <row r="336">
          <cell r="C336" t="e">
            <v>#N/A</v>
          </cell>
          <cell r="G336" t="e">
            <v>#N/A</v>
          </cell>
        </row>
        <row r="337">
          <cell r="C337" t="e">
            <v>#N/A</v>
          </cell>
          <cell r="G337" t="e">
            <v>#N/A</v>
          </cell>
        </row>
        <row r="338">
          <cell r="C338" t="e">
            <v>#N/A</v>
          </cell>
          <cell r="G338" t="e">
            <v>#N/A</v>
          </cell>
        </row>
        <row r="339">
          <cell r="C339" t="e">
            <v>#N/A</v>
          </cell>
          <cell r="G339" t="e">
            <v>#N/A</v>
          </cell>
        </row>
        <row r="340">
          <cell r="C340" t="e">
            <v>#N/A</v>
          </cell>
          <cell r="G340" t="e">
            <v>#N/A</v>
          </cell>
        </row>
        <row r="341">
          <cell r="C341" t="e">
            <v>#N/A</v>
          </cell>
          <cell r="G341" t="e">
            <v>#N/A</v>
          </cell>
        </row>
        <row r="342">
          <cell r="C342" t="e">
            <v>#N/A</v>
          </cell>
          <cell r="G342" t="e">
            <v>#N/A</v>
          </cell>
        </row>
        <row r="343">
          <cell r="C343" t="e">
            <v>#N/A</v>
          </cell>
          <cell r="G343" t="e">
            <v>#N/A</v>
          </cell>
        </row>
        <row r="344">
          <cell r="C344" t="e">
            <v>#N/A</v>
          </cell>
          <cell r="G344" t="e">
            <v>#N/A</v>
          </cell>
        </row>
        <row r="345">
          <cell r="C345" t="e">
            <v>#N/A</v>
          </cell>
          <cell r="G345" t="e">
            <v>#N/A</v>
          </cell>
        </row>
        <row r="346">
          <cell r="C346" t="e">
            <v>#N/A</v>
          </cell>
          <cell r="G346" t="e">
            <v>#N/A</v>
          </cell>
        </row>
        <row r="347">
          <cell r="C347" t="e">
            <v>#N/A</v>
          </cell>
          <cell r="G347" t="e">
            <v>#N/A</v>
          </cell>
        </row>
        <row r="348">
          <cell r="C348" t="e">
            <v>#N/A</v>
          </cell>
          <cell r="G348" t="e">
            <v>#N/A</v>
          </cell>
        </row>
        <row r="349">
          <cell r="C349" t="e">
            <v>#N/A</v>
          </cell>
          <cell r="G349" t="e">
            <v>#N/A</v>
          </cell>
        </row>
        <row r="350">
          <cell r="C350" t="e">
            <v>#N/A</v>
          </cell>
          <cell r="G350" t="e">
            <v>#N/A</v>
          </cell>
        </row>
        <row r="351">
          <cell r="C351" t="e">
            <v>#N/A</v>
          </cell>
          <cell r="G351" t="e">
            <v>#N/A</v>
          </cell>
        </row>
        <row r="352">
          <cell r="C352" t="e">
            <v>#N/A</v>
          </cell>
          <cell r="G352" t="e">
            <v>#N/A</v>
          </cell>
        </row>
        <row r="353">
          <cell r="C353" t="e">
            <v>#N/A</v>
          </cell>
          <cell r="G353" t="e">
            <v>#N/A</v>
          </cell>
        </row>
        <row r="354">
          <cell r="C354" t="e">
            <v>#N/A</v>
          </cell>
          <cell r="G354" t="e">
            <v>#N/A</v>
          </cell>
        </row>
        <row r="355">
          <cell r="C355" t="e">
            <v>#N/A</v>
          </cell>
          <cell r="G355" t="e">
            <v>#N/A</v>
          </cell>
        </row>
        <row r="356">
          <cell r="C356" t="e">
            <v>#N/A</v>
          </cell>
          <cell r="G356" t="e">
            <v>#N/A</v>
          </cell>
        </row>
        <row r="357">
          <cell r="C357" t="e">
            <v>#N/A</v>
          </cell>
          <cell r="G357" t="e">
            <v>#N/A</v>
          </cell>
        </row>
        <row r="358">
          <cell r="C358" t="e">
            <v>#N/A</v>
          </cell>
          <cell r="G358" t="e">
            <v>#N/A</v>
          </cell>
        </row>
        <row r="359">
          <cell r="C359" t="e">
            <v>#N/A</v>
          </cell>
          <cell r="G359" t="e">
            <v>#N/A</v>
          </cell>
        </row>
        <row r="360">
          <cell r="C360" t="e">
            <v>#N/A</v>
          </cell>
          <cell r="G360" t="e">
            <v>#N/A</v>
          </cell>
        </row>
        <row r="361">
          <cell r="C361" t="e">
            <v>#N/A</v>
          </cell>
          <cell r="G361" t="e">
            <v>#N/A</v>
          </cell>
        </row>
        <row r="362">
          <cell r="C362" t="e">
            <v>#N/A</v>
          </cell>
          <cell r="G362" t="e">
            <v>#N/A</v>
          </cell>
        </row>
        <row r="363">
          <cell r="C363" t="e">
            <v>#N/A</v>
          </cell>
          <cell r="G363" t="e">
            <v>#N/A</v>
          </cell>
        </row>
        <row r="364">
          <cell r="C364" t="e">
            <v>#N/A</v>
          </cell>
          <cell r="G364" t="e">
            <v>#N/A</v>
          </cell>
        </row>
        <row r="365">
          <cell r="C365" t="e">
            <v>#N/A</v>
          </cell>
          <cell r="G365" t="e">
            <v>#N/A</v>
          </cell>
        </row>
        <row r="366">
          <cell r="C366" t="e">
            <v>#N/A</v>
          </cell>
          <cell r="G366" t="e">
            <v>#N/A</v>
          </cell>
        </row>
        <row r="367">
          <cell r="C367" t="e">
            <v>#N/A</v>
          </cell>
          <cell r="G367" t="e">
            <v>#N/A</v>
          </cell>
        </row>
        <row r="368">
          <cell r="C368" t="e">
            <v>#N/A</v>
          </cell>
          <cell r="G368" t="e">
            <v>#N/A</v>
          </cell>
        </row>
        <row r="369">
          <cell r="C369" t="e">
            <v>#N/A</v>
          </cell>
          <cell r="G369" t="e">
            <v>#N/A</v>
          </cell>
        </row>
        <row r="370">
          <cell r="C370" t="e">
            <v>#N/A</v>
          </cell>
          <cell r="G370" t="e">
            <v>#N/A</v>
          </cell>
        </row>
        <row r="371">
          <cell r="C371" t="e">
            <v>#N/A</v>
          </cell>
          <cell r="G371" t="e">
            <v>#N/A</v>
          </cell>
        </row>
        <row r="372">
          <cell r="C372" t="e">
            <v>#N/A</v>
          </cell>
          <cell r="G372" t="e">
            <v>#N/A</v>
          </cell>
        </row>
        <row r="373">
          <cell r="C373" t="e">
            <v>#N/A</v>
          </cell>
          <cell r="G373" t="e">
            <v>#N/A</v>
          </cell>
        </row>
        <row r="374">
          <cell r="C374" t="e">
            <v>#N/A</v>
          </cell>
          <cell r="G374" t="e">
            <v>#N/A</v>
          </cell>
        </row>
        <row r="375">
          <cell r="C375" t="e">
            <v>#N/A</v>
          </cell>
          <cell r="G375" t="e">
            <v>#N/A</v>
          </cell>
        </row>
        <row r="376">
          <cell r="C376" t="e">
            <v>#N/A</v>
          </cell>
          <cell r="G376" t="e">
            <v>#N/A</v>
          </cell>
        </row>
        <row r="377">
          <cell r="C377" t="e">
            <v>#N/A</v>
          </cell>
          <cell r="G377" t="e">
            <v>#N/A</v>
          </cell>
        </row>
        <row r="378">
          <cell r="C378" t="e">
            <v>#N/A</v>
          </cell>
          <cell r="G378" t="e">
            <v>#N/A</v>
          </cell>
        </row>
        <row r="379">
          <cell r="C379" t="e">
            <v>#N/A</v>
          </cell>
          <cell r="G379" t="e">
            <v>#N/A</v>
          </cell>
        </row>
        <row r="380">
          <cell r="C380" t="e">
            <v>#N/A</v>
          </cell>
          <cell r="G380" t="e">
            <v>#N/A</v>
          </cell>
        </row>
        <row r="381">
          <cell r="C381" t="e">
            <v>#N/A</v>
          </cell>
          <cell r="G381" t="e">
            <v>#N/A</v>
          </cell>
        </row>
        <row r="382">
          <cell r="C382" t="e">
            <v>#N/A</v>
          </cell>
          <cell r="G382" t="e">
            <v>#N/A</v>
          </cell>
        </row>
        <row r="383">
          <cell r="C383" t="e">
            <v>#N/A</v>
          </cell>
          <cell r="G383" t="e">
            <v>#N/A</v>
          </cell>
        </row>
        <row r="384">
          <cell r="C384" t="e">
            <v>#N/A</v>
          </cell>
          <cell r="G384" t="e">
            <v>#N/A</v>
          </cell>
        </row>
        <row r="385">
          <cell r="C385" t="e">
            <v>#N/A</v>
          </cell>
          <cell r="G385" t="e">
            <v>#N/A</v>
          </cell>
        </row>
        <row r="386">
          <cell r="C386" t="e">
            <v>#N/A</v>
          </cell>
          <cell r="G386" t="e">
            <v>#N/A</v>
          </cell>
        </row>
        <row r="387">
          <cell r="C387" t="e">
            <v>#N/A</v>
          </cell>
          <cell r="G387" t="e">
            <v>#N/A</v>
          </cell>
        </row>
        <row r="388">
          <cell r="C388" t="e">
            <v>#N/A</v>
          </cell>
          <cell r="G388" t="e">
            <v>#N/A</v>
          </cell>
        </row>
        <row r="389">
          <cell r="C389" t="e">
            <v>#N/A</v>
          </cell>
          <cell r="G389" t="e">
            <v>#N/A</v>
          </cell>
        </row>
        <row r="390">
          <cell r="C390" t="e">
            <v>#N/A</v>
          </cell>
          <cell r="G390" t="e">
            <v>#N/A</v>
          </cell>
        </row>
        <row r="391">
          <cell r="C391" t="e">
            <v>#N/A</v>
          </cell>
          <cell r="G391" t="e">
            <v>#N/A</v>
          </cell>
        </row>
        <row r="392">
          <cell r="C392" t="e">
            <v>#N/A</v>
          </cell>
          <cell r="G392" t="e">
            <v>#N/A</v>
          </cell>
        </row>
        <row r="393">
          <cell r="C393" t="e">
            <v>#N/A</v>
          </cell>
          <cell r="G393" t="e">
            <v>#N/A</v>
          </cell>
        </row>
        <row r="394">
          <cell r="C394" t="e">
            <v>#N/A</v>
          </cell>
          <cell r="G394" t="e">
            <v>#N/A</v>
          </cell>
        </row>
        <row r="395">
          <cell r="C395" t="e">
            <v>#N/A</v>
          </cell>
          <cell r="G395" t="e">
            <v>#N/A</v>
          </cell>
        </row>
        <row r="396">
          <cell r="C396" t="e">
            <v>#N/A</v>
          </cell>
          <cell r="G396" t="e">
            <v>#N/A</v>
          </cell>
        </row>
        <row r="397">
          <cell r="C397" t="e">
            <v>#N/A</v>
          </cell>
          <cell r="G397" t="e">
            <v>#N/A</v>
          </cell>
        </row>
        <row r="398">
          <cell r="C398" t="e">
            <v>#N/A</v>
          </cell>
          <cell r="G398" t="e">
            <v>#N/A</v>
          </cell>
        </row>
        <row r="399">
          <cell r="C399" t="e">
            <v>#N/A</v>
          </cell>
          <cell r="G399" t="e">
            <v>#N/A</v>
          </cell>
        </row>
        <row r="400">
          <cell r="C400" t="e">
            <v>#N/A</v>
          </cell>
          <cell r="G400" t="e">
            <v>#N/A</v>
          </cell>
        </row>
        <row r="401">
          <cell r="C401" t="e">
            <v>#N/A</v>
          </cell>
          <cell r="G401" t="e">
            <v>#N/A</v>
          </cell>
        </row>
        <row r="402">
          <cell r="C402" t="e">
            <v>#N/A</v>
          </cell>
          <cell r="G402" t="e">
            <v>#N/A</v>
          </cell>
        </row>
        <row r="403">
          <cell r="C403" t="e">
            <v>#N/A</v>
          </cell>
          <cell r="G403" t="e">
            <v>#N/A</v>
          </cell>
        </row>
        <row r="404">
          <cell r="C404" t="e">
            <v>#N/A</v>
          </cell>
          <cell r="G404" t="e">
            <v>#N/A</v>
          </cell>
        </row>
        <row r="405">
          <cell r="C405" t="e">
            <v>#N/A</v>
          </cell>
          <cell r="G405" t="e">
            <v>#N/A</v>
          </cell>
        </row>
        <row r="406">
          <cell r="C406" t="e">
            <v>#N/A</v>
          </cell>
          <cell r="G406" t="e">
            <v>#N/A</v>
          </cell>
        </row>
        <row r="407">
          <cell r="C407" t="e">
            <v>#N/A</v>
          </cell>
          <cell r="G407" t="e">
            <v>#N/A</v>
          </cell>
        </row>
        <row r="408">
          <cell r="C408" t="e">
            <v>#N/A</v>
          </cell>
          <cell r="G408" t="e">
            <v>#N/A</v>
          </cell>
        </row>
        <row r="409">
          <cell r="C409" t="e">
            <v>#N/A</v>
          </cell>
          <cell r="G409" t="e">
            <v>#N/A</v>
          </cell>
        </row>
        <row r="410">
          <cell r="C410" t="e">
            <v>#N/A</v>
          </cell>
          <cell r="G410" t="e">
            <v>#N/A</v>
          </cell>
        </row>
        <row r="411">
          <cell r="C411" t="e">
            <v>#N/A</v>
          </cell>
          <cell r="G411" t="e">
            <v>#N/A</v>
          </cell>
        </row>
        <row r="412">
          <cell r="C412" t="e">
            <v>#N/A</v>
          </cell>
          <cell r="G412" t="e">
            <v>#N/A</v>
          </cell>
        </row>
        <row r="413">
          <cell r="C413" t="e">
            <v>#N/A</v>
          </cell>
          <cell r="G413" t="e">
            <v>#N/A</v>
          </cell>
        </row>
        <row r="414">
          <cell r="C414" t="e">
            <v>#N/A</v>
          </cell>
          <cell r="G414" t="e">
            <v>#N/A</v>
          </cell>
        </row>
        <row r="415">
          <cell r="C415" t="e">
            <v>#N/A</v>
          </cell>
          <cell r="G415" t="e">
            <v>#N/A</v>
          </cell>
        </row>
        <row r="416">
          <cell r="C416" t="e">
            <v>#N/A</v>
          </cell>
          <cell r="G416" t="e">
            <v>#N/A</v>
          </cell>
        </row>
        <row r="417">
          <cell r="C417" t="e">
            <v>#N/A</v>
          </cell>
          <cell r="G417" t="e">
            <v>#N/A</v>
          </cell>
        </row>
        <row r="418">
          <cell r="C418" t="e">
            <v>#N/A</v>
          </cell>
          <cell r="G418" t="e">
            <v>#N/A</v>
          </cell>
        </row>
        <row r="419">
          <cell r="C419" t="e">
            <v>#N/A</v>
          </cell>
          <cell r="G419" t="e">
            <v>#N/A</v>
          </cell>
        </row>
        <row r="420">
          <cell r="C420" t="e">
            <v>#N/A</v>
          </cell>
          <cell r="G420" t="e">
            <v>#N/A</v>
          </cell>
        </row>
        <row r="421">
          <cell r="C421" t="e">
            <v>#N/A</v>
          </cell>
          <cell r="G421" t="e">
            <v>#N/A</v>
          </cell>
        </row>
        <row r="422">
          <cell r="C422" t="e">
            <v>#N/A</v>
          </cell>
          <cell r="G422" t="e">
            <v>#N/A</v>
          </cell>
        </row>
        <row r="423">
          <cell r="C423" t="e">
            <v>#N/A</v>
          </cell>
          <cell r="G423" t="e">
            <v>#N/A</v>
          </cell>
        </row>
        <row r="424">
          <cell r="C424" t="e">
            <v>#N/A</v>
          </cell>
          <cell r="G424" t="e">
            <v>#N/A</v>
          </cell>
        </row>
        <row r="425">
          <cell r="C425" t="e">
            <v>#N/A</v>
          </cell>
          <cell r="G425" t="e">
            <v>#N/A</v>
          </cell>
        </row>
        <row r="426">
          <cell r="C426" t="e">
            <v>#N/A</v>
          </cell>
          <cell r="G426" t="e">
            <v>#N/A</v>
          </cell>
        </row>
        <row r="427">
          <cell r="C427" t="e">
            <v>#N/A</v>
          </cell>
          <cell r="G427" t="e">
            <v>#N/A</v>
          </cell>
        </row>
        <row r="428">
          <cell r="C428" t="e">
            <v>#N/A</v>
          </cell>
          <cell r="G428" t="e">
            <v>#N/A</v>
          </cell>
        </row>
        <row r="429">
          <cell r="C429" t="e">
            <v>#N/A</v>
          </cell>
          <cell r="G429" t="e">
            <v>#N/A</v>
          </cell>
        </row>
        <row r="430">
          <cell r="C430" t="e">
            <v>#N/A</v>
          </cell>
          <cell r="G430" t="e">
            <v>#N/A</v>
          </cell>
        </row>
        <row r="431">
          <cell r="C431" t="e">
            <v>#N/A</v>
          </cell>
          <cell r="G431" t="e">
            <v>#N/A</v>
          </cell>
        </row>
        <row r="432">
          <cell r="C432" t="e">
            <v>#N/A</v>
          </cell>
          <cell r="G432" t="e">
            <v>#N/A</v>
          </cell>
        </row>
        <row r="433">
          <cell r="C433" t="e">
            <v>#N/A</v>
          </cell>
          <cell r="G433" t="e">
            <v>#N/A</v>
          </cell>
        </row>
        <row r="434">
          <cell r="C434" t="e">
            <v>#N/A</v>
          </cell>
          <cell r="G434" t="e">
            <v>#N/A</v>
          </cell>
        </row>
        <row r="435">
          <cell r="C435" t="e">
            <v>#N/A</v>
          </cell>
          <cell r="G435" t="e">
            <v>#N/A</v>
          </cell>
        </row>
        <row r="436">
          <cell r="C436" t="e">
            <v>#N/A</v>
          </cell>
          <cell r="G436" t="e">
            <v>#N/A</v>
          </cell>
        </row>
        <row r="437">
          <cell r="C437" t="e">
            <v>#N/A</v>
          </cell>
          <cell r="G437" t="e">
            <v>#N/A</v>
          </cell>
        </row>
        <row r="438">
          <cell r="C438" t="e">
            <v>#N/A</v>
          </cell>
          <cell r="G438" t="e">
            <v>#N/A</v>
          </cell>
        </row>
        <row r="439">
          <cell r="C439" t="e">
            <v>#N/A</v>
          </cell>
          <cell r="G439" t="e">
            <v>#N/A</v>
          </cell>
        </row>
        <row r="440">
          <cell r="C440" t="e">
            <v>#N/A</v>
          </cell>
          <cell r="G440" t="e">
            <v>#N/A</v>
          </cell>
        </row>
        <row r="441">
          <cell r="C441" t="e">
            <v>#N/A</v>
          </cell>
          <cell r="G441" t="e">
            <v>#N/A</v>
          </cell>
        </row>
        <row r="442">
          <cell r="C442" t="e">
            <v>#N/A</v>
          </cell>
          <cell r="G442" t="e">
            <v>#N/A</v>
          </cell>
        </row>
        <row r="443">
          <cell r="C443" t="e">
            <v>#N/A</v>
          </cell>
          <cell r="G443" t="e">
            <v>#N/A</v>
          </cell>
        </row>
        <row r="444">
          <cell r="C444" t="e">
            <v>#N/A</v>
          </cell>
          <cell r="G444" t="e">
            <v>#N/A</v>
          </cell>
        </row>
        <row r="445">
          <cell r="C445" t="e">
            <v>#N/A</v>
          </cell>
          <cell r="G445" t="e">
            <v>#N/A</v>
          </cell>
        </row>
        <row r="446">
          <cell r="C446" t="e">
            <v>#N/A</v>
          </cell>
          <cell r="G446" t="e">
            <v>#N/A</v>
          </cell>
        </row>
        <row r="447">
          <cell r="C447" t="e">
            <v>#N/A</v>
          </cell>
          <cell r="G447" t="e">
            <v>#N/A</v>
          </cell>
        </row>
        <row r="448">
          <cell r="C448" t="e">
            <v>#N/A</v>
          </cell>
          <cell r="G448" t="e">
            <v>#N/A</v>
          </cell>
        </row>
        <row r="449">
          <cell r="C449" t="e">
            <v>#N/A</v>
          </cell>
          <cell r="G449" t="e">
            <v>#N/A</v>
          </cell>
        </row>
        <row r="450">
          <cell r="C450" t="e">
            <v>#N/A</v>
          </cell>
          <cell r="G450" t="e">
            <v>#N/A</v>
          </cell>
        </row>
        <row r="451">
          <cell r="C451" t="e">
            <v>#N/A</v>
          </cell>
          <cell r="G451" t="e">
            <v>#N/A</v>
          </cell>
        </row>
        <row r="452">
          <cell r="C452" t="e">
            <v>#N/A</v>
          </cell>
          <cell r="G452" t="e">
            <v>#N/A</v>
          </cell>
        </row>
        <row r="453">
          <cell r="C453" t="e">
            <v>#N/A</v>
          </cell>
          <cell r="G453" t="e">
            <v>#N/A</v>
          </cell>
        </row>
        <row r="454">
          <cell r="C454" t="e">
            <v>#N/A</v>
          </cell>
          <cell r="G454" t="e">
            <v>#N/A</v>
          </cell>
        </row>
        <row r="455">
          <cell r="C455" t="e">
            <v>#N/A</v>
          </cell>
          <cell r="G455" t="e">
            <v>#N/A</v>
          </cell>
        </row>
        <row r="456">
          <cell r="C456" t="e">
            <v>#N/A</v>
          </cell>
          <cell r="G456" t="e">
            <v>#N/A</v>
          </cell>
        </row>
        <row r="457">
          <cell r="C457" t="e">
            <v>#N/A</v>
          </cell>
          <cell r="G457" t="e">
            <v>#N/A</v>
          </cell>
        </row>
        <row r="458">
          <cell r="C458" t="e">
            <v>#N/A</v>
          </cell>
          <cell r="G458" t="e">
            <v>#N/A</v>
          </cell>
        </row>
        <row r="459">
          <cell r="C459" t="e">
            <v>#N/A</v>
          </cell>
          <cell r="G459" t="e">
            <v>#N/A</v>
          </cell>
        </row>
        <row r="460">
          <cell r="C460" t="e">
            <v>#N/A</v>
          </cell>
          <cell r="G460" t="e">
            <v>#N/A</v>
          </cell>
        </row>
        <row r="461">
          <cell r="C461" t="e">
            <v>#N/A</v>
          </cell>
          <cell r="G461" t="e">
            <v>#N/A</v>
          </cell>
        </row>
        <row r="462">
          <cell r="C462" t="e">
            <v>#N/A</v>
          </cell>
          <cell r="G462" t="e">
            <v>#N/A</v>
          </cell>
        </row>
        <row r="463">
          <cell r="C463" t="e">
            <v>#N/A</v>
          </cell>
          <cell r="G463" t="e">
            <v>#N/A</v>
          </cell>
        </row>
        <row r="464">
          <cell r="C464" t="e">
            <v>#N/A</v>
          </cell>
          <cell r="G464" t="e">
            <v>#N/A</v>
          </cell>
        </row>
        <row r="465">
          <cell r="C465" t="e">
            <v>#N/A</v>
          </cell>
          <cell r="G465" t="e">
            <v>#N/A</v>
          </cell>
        </row>
        <row r="466">
          <cell r="C466" t="e">
            <v>#N/A</v>
          </cell>
          <cell r="G466" t="e">
            <v>#N/A</v>
          </cell>
        </row>
        <row r="467">
          <cell r="C467" t="e">
            <v>#N/A</v>
          </cell>
          <cell r="G467" t="e">
            <v>#N/A</v>
          </cell>
        </row>
        <row r="468">
          <cell r="C468" t="e">
            <v>#N/A</v>
          </cell>
          <cell r="G468" t="e">
            <v>#N/A</v>
          </cell>
        </row>
        <row r="469">
          <cell r="C469" t="e">
            <v>#N/A</v>
          </cell>
          <cell r="G469" t="e">
            <v>#N/A</v>
          </cell>
        </row>
        <row r="470">
          <cell r="C470" t="e">
            <v>#N/A</v>
          </cell>
          <cell r="G470" t="e">
            <v>#N/A</v>
          </cell>
        </row>
        <row r="471">
          <cell r="C471" t="e">
            <v>#N/A</v>
          </cell>
          <cell r="G471" t="e">
            <v>#N/A</v>
          </cell>
        </row>
        <row r="472">
          <cell r="C472" t="e">
            <v>#N/A</v>
          </cell>
          <cell r="G472" t="e">
            <v>#N/A</v>
          </cell>
        </row>
        <row r="473">
          <cell r="C473" t="e">
            <v>#N/A</v>
          </cell>
          <cell r="G473" t="e">
            <v>#N/A</v>
          </cell>
        </row>
        <row r="474">
          <cell r="C474" t="e">
            <v>#N/A</v>
          </cell>
          <cell r="G474" t="e">
            <v>#N/A</v>
          </cell>
        </row>
        <row r="475">
          <cell r="C475" t="e">
            <v>#N/A</v>
          </cell>
          <cell r="G475" t="e">
            <v>#N/A</v>
          </cell>
        </row>
        <row r="476">
          <cell r="C476" t="e">
            <v>#N/A</v>
          </cell>
          <cell r="G476" t="e">
            <v>#N/A</v>
          </cell>
        </row>
        <row r="477">
          <cell r="C477" t="e">
            <v>#N/A</v>
          </cell>
          <cell r="G477" t="e">
            <v>#N/A</v>
          </cell>
        </row>
        <row r="478">
          <cell r="C478" t="e">
            <v>#N/A</v>
          </cell>
          <cell r="G478" t="e">
            <v>#N/A</v>
          </cell>
        </row>
        <row r="479">
          <cell r="C479" t="e">
            <v>#N/A</v>
          </cell>
          <cell r="G479" t="e">
            <v>#N/A</v>
          </cell>
        </row>
        <row r="480">
          <cell r="C480" t="e">
            <v>#N/A</v>
          </cell>
          <cell r="G480" t="e">
            <v>#N/A</v>
          </cell>
        </row>
        <row r="481">
          <cell r="C481" t="e">
            <v>#N/A</v>
          </cell>
          <cell r="G481" t="e">
            <v>#N/A</v>
          </cell>
        </row>
        <row r="482">
          <cell r="C482" t="e">
            <v>#N/A</v>
          </cell>
          <cell r="G482" t="e">
            <v>#N/A</v>
          </cell>
        </row>
        <row r="483">
          <cell r="C483" t="e">
            <v>#N/A</v>
          </cell>
          <cell r="G483" t="e">
            <v>#N/A</v>
          </cell>
        </row>
        <row r="484">
          <cell r="C484" t="e">
            <v>#N/A</v>
          </cell>
          <cell r="G484" t="e">
            <v>#N/A</v>
          </cell>
        </row>
        <row r="485">
          <cell r="C485" t="e">
            <v>#N/A</v>
          </cell>
          <cell r="G485" t="e">
            <v>#N/A</v>
          </cell>
        </row>
        <row r="486">
          <cell r="C486" t="e">
            <v>#N/A</v>
          </cell>
          <cell r="G486" t="e">
            <v>#N/A</v>
          </cell>
        </row>
        <row r="487">
          <cell r="C487" t="e">
            <v>#N/A</v>
          </cell>
          <cell r="G487" t="e">
            <v>#N/A</v>
          </cell>
        </row>
        <row r="488">
          <cell r="C488" t="e">
            <v>#N/A</v>
          </cell>
          <cell r="G488" t="e">
            <v>#N/A</v>
          </cell>
        </row>
        <row r="489">
          <cell r="C489" t="e">
            <v>#N/A</v>
          </cell>
          <cell r="G489" t="e">
            <v>#N/A</v>
          </cell>
        </row>
        <row r="490">
          <cell r="C490" t="e">
            <v>#N/A</v>
          </cell>
          <cell r="G490" t="e">
            <v>#N/A</v>
          </cell>
        </row>
        <row r="491">
          <cell r="C491" t="e">
            <v>#N/A</v>
          </cell>
          <cell r="G491" t="e">
            <v>#N/A</v>
          </cell>
        </row>
        <row r="492">
          <cell r="C492" t="e">
            <v>#N/A</v>
          </cell>
          <cell r="G492" t="e">
            <v>#N/A</v>
          </cell>
        </row>
        <row r="493">
          <cell r="C493" t="e">
            <v>#N/A</v>
          </cell>
          <cell r="G493" t="e">
            <v>#N/A</v>
          </cell>
        </row>
        <row r="494">
          <cell r="C494" t="e">
            <v>#N/A</v>
          </cell>
          <cell r="G494" t="e">
            <v>#N/A</v>
          </cell>
        </row>
        <row r="495">
          <cell r="C495" t="e">
            <v>#N/A</v>
          </cell>
          <cell r="G495" t="e">
            <v>#N/A</v>
          </cell>
        </row>
        <row r="496">
          <cell r="C496" t="e">
            <v>#N/A</v>
          </cell>
          <cell r="G496" t="e">
            <v>#N/A</v>
          </cell>
        </row>
        <row r="497">
          <cell r="C497" t="e">
            <v>#N/A</v>
          </cell>
          <cell r="G497" t="e">
            <v>#N/A</v>
          </cell>
        </row>
        <row r="498">
          <cell r="C498" t="e">
            <v>#N/A</v>
          </cell>
          <cell r="G498" t="e">
            <v>#N/A</v>
          </cell>
        </row>
        <row r="499">
          <cell r="C499" t="e">
            <v>#N/A</v>
          </cell>
          <cell r="G499" t="e">
            <v>#N/A</v>
          </cell>
        </row>
        <row r="500">
          <cell r="C500" t="e">
            <v>#N/A</v>
          </cell>
          <cell r="G500" t="e">
            <v>#N/A</v>
          </cell>
        </row>
        <row r="501">
          <cell r="C501" t="e">
            <v>#N/A</v>
          </cell>
          <cell r="G501" t="e">
            <v>#N/A</v>
          </cell>
        </row>
        <row r="502">
          <cell r="C502" t="e">
            <v>#N/A</v>
          </cell>
          <cell r="G502" t="e">
            <v>#N/A</v>
          </cell>
        </row>
        <row r="503">
          <cell r="C503" t="e">
            <v>#N/A</v>
          </cell>
          <cell r="G503" t="e">
            <v>#N/A</v>
          </cell>
        </row>
        <row r="504">
          <cell r="C504" t="e">
            <v>#N/A</v>
          </cell>
          <cell r="G504" t="e">
            <v>#N/A</v>
          </cell>
        </row>
        <row r="505">
          <cell r="C505" t="e">
            <v>#N/A</v>
          </cell>
          <cell r="G505" t="e">
            <v>#N/A</v>
          </cell>
        </row>
        <row r="506">
          <cell r="C506" t="e">
            <v>#N/A</v>
          </cell>
          <cell r="G506" t="e">
            <v>#N/A</v>
          </cell>
        </row>
        <row r="507">
          <cell r="C507" t="e">
            <v>#N/A</v>
          </cell>
          <cell r="G507" t="e">
            <v>#N/A</v>
          </cell>
        </row>
        <row r="508">
          <cell r="C508" t="e">
            <v>#N/A</v>
          </cell>
          <cell r="G508" t="e">
            <v>#N/A</v>
          </cell>
        </row>
        <row r="509">
          <cell r="C509" t="e">
            <v>#N/A</v>
          </cell>
          <cell r="G509" t="e">
            <v>#N/A</v>
          </cell>
        </row>
        <row r="510">
          <cell r="C510" t="e">
            <v>#N/A</v>
          </cell>
          <cell r="G510" t="e">
            <v>#N/A</v>
          </cell>
        </row>
        <row r="511">
          <cell r="C511" t="e">
            <v>#N/A</v>
          </cell>
          <cell r="G511" t="e">
            <v>#N/A</v>
          </cell>
        </row>
        <row r="512">
          <cell r="C512" t="e">
            <v>#N/A</v>
          </cell>
          <cell r="G512" t="e">
            <v>#N/A</v>
          </cell>
        </row>
        <row r="513">
          <cell r="C513" t="e">
            <v>#N/A</v>
          </cell>
          <cell r="G513" t="e">
            <v>#N/A</v>
          </cell>
        </row>
        <row r="514">
          <cell r="C514" t="e">
            <v>#N/A</v>
          </cell>
          <cell r="G514" t="e">
            <v>#N/A</v>
          </cell>
        </row>
        <row r="515">
          <cell r="C515" t="e">
            <v>#N/A</v>
          </cell>
          <cell r="G515" t="e">
            <v>#N/A</v>
          </cell>
        </row>
        <row r="516">
          <cell r="C516" t="e">
            <v>#N/A</v>
          </cell>
          <cell r="G516" t="e">
            <v>#N/A</v>
          </cell>
        </row>
        <row r="517">
          <cell r="C517" t="e">
            <v>#N/A</v>
          </cell>
          <cell r="G517" t="e">
            <v>#N/A</v>
          </cell>
        </row>
        <row r="518">
          <cell r="C518" t="e">
            <v>#N/A</v>
          </cell>
          <cell r="G518" t="e">
            <v>#N/A</v>
          </cell>
        </row>
        <row r="519">
          <cell r="C519" t="e">
            <v>#N/A</v>
          </cell>
          <cell r="G519" t="e">
            <v>#N/A</v>
          </cell>
        </row>
        <row r="520">
          <cell r="C520" t="e">
            <v>#N/A</v>
          </cell>
          <cell r="G520" t="e">
            <v>#N/A</v>
          </cell>
        </row>
        <row r="521">
          <cell r="C521" t="e">
            <v>#N/A</v>
          </cell>
          <cell r="G521" t="e">
            <v>#N/A</v>
          </cell>
        </row>
        <row r="522">
          <cell r="C522" t="e">
            <v>#N/A</v>
          </cell>
          <cell r="G522" t="e">
            <v>#N/A</v>
          </cell>
        </row>
        <row r="523">
          <cell r="C523" t="e">
            <v>#N/A</v>
          </cell>
          <cell r="G523" t="e">
            <v>#N/A</v>
          </cell>
        </row>
        <row r="524">
          <cell r="C524" t="e">
            <v>#N/A</v>
          </cell>
          <cell r="G524" t="e">
            <v>#N/A</v>
          </cell>
        </row>
        <row r="525">
          <cell r="C525" t="e">
            <v>#N/A</v>
          </cell>
          <cell r="G525" t="e">
            <v>#N/A</v>
          </cell>
        </row>
        <row r="526">
          <cell r="C526" t="e">
            <v>#N/A</v>
          </cell>
          <cell r="G526" t="e">
            <v>#N/A</v>
          </cell>
        </row>
        <row r="527">
          <cell r="C527" t="e">
            <v>#N/A</v>
          </cell>
          <cell r="G527" t="e">
            <v>#N/A</v>
          </cell>
        </row>
        <row r="528">
          <cell r="C528" t="e">
            <v>#N/A</v>
          </cell>
          <cell r="G528" t="e">
            <v>#N/A</v>
          </cell>
        </row>
        <row r="529">
          <cell r="C529" t="e">
            <v>#N/A</v>
          </cell>
          <cell r="G529" t="e">
            <v>#N/A</v>
          </cell>
        </row>
        <row r="530">
          <cell r="C530" t="e">
            <v>#N/A</v>
          </cell>
          <cell r="G530" t="e">
            <v>#N/A</v>
          </cell>
        </row>
        <row r="531">
          <cell r="C531" t="e">
            <v>#N/A</v>
          </cell>
          <cell r="G531" t="e">
            <v>#N/A</v>
          </cell>
        </row>
        <row r="532">
          <cell r="C532" t="e">
            <v>#N/A</v>
          </cell>
          <cell r="G532" t="e">
            <v>#N/A</v>
          </cell>
        </row>
        <row r="533">
          <cell r="C533" t="e">
            <v>#N/A</v>
          </cell>
          <cell r="G533" t="e">
            <v>#N/A</v>
          </cell>
        </row>
        <row r="534">
          <cell r="C534" t="e">
            <v>#N/A</v>
          </cell>
          <cell r="G534" t="e">
            <v>#N/A</v>
          </cell>
        </row>
        <row r="535">
          <cell r="C535" t="e">
            <v>#N/A</v>
          </cell>
          <cell r="G535" t="e">
            <v>#N/A</v>
          </cell>
        </row>
        <row r="536">
          <cell r="C536" t="e">
            <v>#N/A</v>
          </cell>
          <cell r="G536" t="e">
            <v>#N/A</v>
          </cell>
        </row>
        <row r="537">
          <cell r="C537" t="e">
            <v>#N/A</v>
          </cell>
          <cell r="G537" t="e">
            <v>#N/A</v>
          </cell>
        </row>
        <row r="538">
          <cell r="C538" t="e">
            <v>#N/A</v>
          </cell>
          <cell r="G538" t="e">
            <v>#N/A</v>
          </cell>
        </row>
        <row r="539">
          <cell r="C539" t="e">
            <v>#N/A</v>
          </cell>
          <cell r="G539" t="e">
            <v>#N/A</v>
          </cell>
        </row>
        <row r="540">
          <cell r="C540" t="e">
            <v>#N/A</v>
          </cell>
          <cell r="G540" t="e">
            <v>#N/A</v>
          </cell>
        </row>
        <row r="541">
          <cell r="C541" t="e">
            <v>#N/A</v>
          </cell>
          <cell r="G541" t="e">
            <v>#N/A</v>
          </cell>
        </row>
        <row r="542">
          <cell r="C542" t="e">
            <v>#N/A</v>
          </cell>
          <cell r="G542" t="e">
            <v>#N/A</v>
          </cell>
        </row>
        <row r="543">
          <cell r="C543" t="e">
            <v>#N/A</v>
          </cell>
          <cell r="G543" t="e">
            <v>#N/A</v>
          </cell>
        </row>
        <row r="544">
          <cell r="C544" t="e">
            <v>#N/A</v>
          </cell>
          <cell r="G544" t="e">
            <v>#N/A</v>
          </cell>
        </row>
        <row r="545">
          <cell r="C545" t="e">
            <v>#N/A</v>
          </cell>
          <cell r="G545" t="e">
            <v>#N/A</v>
          </cell>
        </row>
        <row r="546">
          <cell r="C546" t="e">
            <v>#N/A</v>
          </cell>
          <cell r="G546" t="e">
            <v>#N/A</v>
          </cell>
        </row>
        <row r="547">
          <cell r="C547" t="e">
            <v>#N/A</v>
          </cell>
          <cell r="G547" t="e">
            <v>#N/A</v>
          </cell>
        </row>
        <row r="548">
          <cell r="C548" t="e">
            <v>#N/A</v>
          </cell>
          <cell r="G548" t="e">
            <v>#N/A</v>
          </cell>
        </row>
        <row r="549">
          <cell r="C549" t="e">
            <v>#N/A</v>
          </cell>
          <cell r="G549" t="e">
            <v>#N/A</v>
          </cell>
        </row>
        <row r="550">
          <cell r="C550" t="e">
            <v>#N/A</v>
          </cell>
          <cell r="G550" t="e">
            <v>#N/A</v>
          </cell>
        </row>
        <row r="551">
          <cell r="C551" t="e">
            <v>#N/A</v>
          </cell>
          <cell r="G551" t="e">
            <v>#N/A</v>
          </cell>
        </row>
        <row r="552">
          <cell r="C552" t="e">
            <v>#N/A</v>
          </cell>
          <cell r="G552" t="e">
            <v>#N/A</v>
          </cell>
        </row>
        <row r="553">
          <cell r="C553" t="e">
            <v>#N/A</v>
          </cell>
          <cell r="G553" t="e">
            <v>#N/A</v>
          </cell>
        </row>
        <row r="554">
          <cell r="C554" t="e">
            <v>#N/A</v>
          </cell>
          <cell r="G554" t="e">
            <v>#N/A</v>
          </cell>
        </row>
        <row r="555">
          <cell r="C555" t="e">
            <v>#N/A</v>
          </cell>
          <cell r="G555" t="e">
            <v>#N/A</v>
          </cell>
        </row>
        <row r="556">
          <cell r="C556" t="e">
            <v>#N/A</v>
          </cell>
          <cell r="G556" t="e">
            <v>#N/A</v>
          </cell>
        </row>
        <row r="557">
          <cell r="C557" t="e">
            <v>#N/A</v>
          </cell>
          <cell r="G557" t="e">
            <v>#N/A</v>
          </cell>
        </row>
        <row r="558">
          <cell r="C558" t="e">
            <v>#N/A</v>
          </cell>
          <cell r="G558" t="e">
            <v>#N/A</v>
          </cell>
        </row>
        <row r="559">
          <cell r="C559" t="e">
            <v>#N/A</v>
          </cell>
          <cell r="G559" t="e">
            <v>#N/A</v>
          </cell>
        </row>
        <row r="560">
          <cell r="C560" t="e">
            <v>#N/A</v>
          </cell>
          <cell r="G560" t="e">
            <v>#N/A</v>
          </cell>
        </row>
        <row r="561">
          <cell r="C561" t="e">
            <v>#N/A</v>
          </cell>
          <cell r="G561" t="e">
            <v>#N/A</v>
          </cell>
        </row>
        <row r="562">
          <cell r="C562" t="e">
            <v>#N/A</v>
          </cell>
          <cell r="G562" t="e">
            <v>#N/A</v>
          </cell>
        </row>
        <row r="563">
          <cell r="C563" t="e">
            <v>#N/A</v>
          </cell>
          <cell r="G563" t="e">
            <v>#N/A</v>
          </cell>
        </row>
        <row r="564">
          <cell r="C564" t="e">
            <v>#N/A</v>
          </cell>
          <cell r="G564" t="e">
            <v>#N/A</v>
          </cell>
        </row>
        <row r="565">
          <cell r="C565" t="e">
            <v>#N/A</v>
          </cell>
          <cell r="G565" t="e">
            <v>#N/A</v>
          </cell>
        </row>
        <row r="566">
          <cell r="C566" t="e">
            <v>#N/A</v>
          </cell>
          <cell r="G566" t="e">
            <v>#N/A</v>
          </cell>
        </row>
        <row r="567">
          <cell r="C567" t="e">
            <v>#N/A</v>
          </cell>
          <cell r="G567" t="e">
            <v>#N/A</v>
          </cell>
        </row>
        <row r="568">
          <cell r="C568" t="e">
            <v>#N/A</v>
          </cell>
          <cell r="G568" t="e">
            <v>#N/A</v>
          </cell>
        </row>
        <row r="569">
          <cell r="C569" t="e">
            <v>#N/A</v>
          </cell>
          <cell r="G569" t="e">
            <v>#N/A</v>
          </cell>
        </row>
        <row r="570">
          <cell r="C570" t="e">
            <v>#N/A</v>
          </cell>
          <cell r="G570" t="e">
            <v>#N/A</v>
          </cell>
        </row>
        <row r="571">
          <cell r="C571" t="e">
            <v>#N/A</v>
          </cell>
          <cell r="G571" t="e">
            <v>#N/A</v>
          </cell>
        </row>
        <row r="572">
          <cell r="C572" t="e">
            <v>#N/A</v>
          </cell>
          <cell r="G572" t="e">
            <v>#N/A</v>
          </cell>
        </row>
        <row r="573">
          <cell r="C573" t="e">
            <v>#N/A</v>
          </cell>
          <cell r="G573" t="e">
            <v>#N/A</v>
          </cell>
        </row>
        <row r="574">
          <cell r="C574" t="e">
            <v>#N/A</v>
          </cell>
          <cell r="G574" t="e">
            <v>#N/A</v>
          </cell>
        </row>
        <row r="575">
          <cell r="C575" t="e">
            <v>#N/A</v>
          </cell>
          <cell r="G575" t="e">
            <v>#N/A</v>
          </cell>
        </row>
        <row r="576">
          <cell r="C576" t="e">
            <v>#N/A</v>
          </cell>
          <cell r="G576" t="e">
            <v>#N/A</v>
          </cell>
        </row>
        <row r="577">
          <cell r="C577" t="e">
            <v>#N/A</v>
          </cell>
          <cell r="G577" t="e">
            <v>#N/A</v>
          </cell>
        </row>
        <row r="578">
          <cell r="C578" t="e">
            <v>#N/A</v>
          </cell>
          <cell r="G578" t="e">
            <v>#N/A</v>
          </cell>
        </row>
        <row r="579">
          <cell r="C579" t="e">
            <v>#N/A</v>
          </cell>
          <cell r="G579" t="e">
            <v>#N/A</v>
          </cell>
        </row>
        <row r="580">
          <cell r="C580" t="e">
            <v>#N/A</v>
          </cell>
          <cell r="G580" t="e">
            <v>#N/A</v>
          </cell>
        </row>
        <row r="581">
          <cell r="C581" t="e">
            <v>#N/A</v>
          </cell>
          <cell r="G581" t="e">
            <v>#N/A</v>
          </cell>
        </row>
        <row r="582">
          <cell r="C582" t="e">
            <v>#N/A</v>
          </cell>
          <cell r="G582" t="e">
            <v>#N/A</v>
          </cell>
        </row>
        <row r="583">
          <cell r="C583" t="e">
            <v>#N/A</v>
          </cell>
          <cell r="G583" t="e">
            <v>#N/A</v>
          </cell>
        </row>
        <row r="584">
          <cell r="C584" t="e">
            <v>#N/A</v>
          </cell>
          <cell r="G584" t="e">
            <v>#N/A</v>
          </cell>
        </row>
        <row r="585">
          <cell r="C585" t="e">
            <v>#N/A</v>
          </cell>
          <cell r="G585" t="e">
            <v>#N/A</v>
          </cell>
        </row>
        <row r="586">
          <cell r="C586" t="e">
            <v>#N/A</v>
          </cell>
          <cell r="G586" t="e">
            <v>#N/A</v>
          </cell>
        </row>
        <row r="587">
          <cell r="C587" t="e">
            <v>#N/A</v>
          </cell>
          <cell r="G587" t="e">
            <v>#N/A</v>
          </cell>
        </row>
        <row r="588">
          <cell r="C588" t="e">
            <v>#N/A</v>
          </cell>
          <cell r="G588" t="e">
            <v>#N/A</v>
          </cell>
        </row>
        <row r="589">
          <cell r="C589" t="e">
            <v>#N/A</v>
          </cell>
          <cell r="G589" t="e">
            <v>#N/A</v>
          </cell>
        </row>
        <row r="590">
          <cell r="C590" t="e">
            <v>#N/A</v>
          </cell>
          <cell r="G590" t="e">
            <v>#N/A</v>
          </cell>
        </row>
        <row r="591">
          <cell r="C591" t="e">
            <v>#N/A</v>
          </cell>
          <cell r="G591" t="e">
            <v>#N/A</v>
          </cell>
        </row>
        <row r="592">
          <cell r="C592" t="e">
            <v>#N/A</v>
          </cell>
          <cell r="G592" t="e">
            <v>#N/A</v>
          </cell>
        </row>
        <row r="593">
          <cell r="C593" t="e">
            <v>#N/A</v>
          </cell>
          <cell r="G593" t="e">
            <v>#N/A</v>
          </cell>
        </row>
        <row r="594">
          <cell r="C594" t="e">
            <v>#N/A</v>
          </cell>
          <cell r="G594" t="e">
            <v>#N/A</v>
          </cell>
        </row>
        <row r="595">
          <cell r="C595" t="e">
            <v>#N/A</v>
          </cell>
          <cell r="G595" t="e">
            <v>#N/A</v>
          </cell>
        </row>
        <row r="596">
          <cell r="C596" t="e">
            <v>#N/A</v>
          </cell>
          <cell r="G596" t="e">
            <v>#N/A</v>
          </cell>
        </row>
        <row r="597">
          <cell r="C597" t="e">
            <v>#N/A</v>
          </cell>
          <cell r="G597" t="e">
            <v>#N/A</v>
          </cell>
        </row>
        <row r="598">
          <cell r="C598" t="e">
            <v>#N/A</v>
          </cell>
          <cell r="G598" t="e">
            <v>#N/A</v>
          </cell>
        </row>
        <row r="599">
          <cell r="C599" t="e">
            <v>#N/A</v>
          </cell>
          <cell r="G599" t="e">
            <v>#N/A</v>
          </cell>
        </row>
        <row r="600">
          <cell r="C600" t="e">
            <v>#N/A</v>
          </cell>
          <cell r="G600" t="e">
            <v>#N/A</v>
          </cell>
        </row>
        <row r="601">
          <cell r="C601" t="e">
            <v>#N/A</v>
          </cell>
          <cell r="G601" t="e">
            <v>#N/A</v>
          </cell>
        </row>
        <row r="602">
          <cell r="C602" t="e">
            <v>#N/A</v>
          </cell>
          <cell r="G602" t="e">
            <v>#N/A</v>
          </cell>
        </row>
        <row r="603">
          <cell r="C603" t="e">
            <v>#N/A</v>
          </cell>
          <cell r="G603" t="e">
            <v>#N/A</v>
          </cell>
        </row>
        <row r="604">
          <cell r="C604" t="e">
            <v>#N/A</v>
          </cell>
          <cell r="G604" t="e">
            <v>#N/A</v>
          </cell>
        </row>
        <row r="605">
          <cell r="C605" t="e">
            <v>#N/A</v>
          </cell>
          <cell r="G605" t="e">
            <v>#N/A</v>
          </cell>
        </row>
        <row r="606">
          <cell r="C606" t="e">
            <v>#N/A</v>
          </cell>
          <cell r="G606" t="e">
            <v>#N/A</v>
          </cell>
        </row>
        <row r="607">
          <cell r="C607" t="e">
            <v>#N/A</v>
          </cell>
          <cell r="G607" t="e">
            <v>#N/A</v>
          </cell>
        </row>
        <row r="608">
          <cell r="C608" t="e">
            <v>#N/A</v>
          </cell>
          <cell r="G608" t="e">
            <v>#N/A</v>
          </cell>
        </row>
        <row r="609">
          <cell r="C609" t="e">
            <v>#N/A</v>
          </cell>
          <cell r="G609" t="e">
            <v>#N/A</v>
          </cell>
        </row>
        <row r="610">
          <cell r="C610" t="e">
            <v>#N/A</v>
          </cell>
          <cell r="G610" t="e">
            <v>#N/A</v>
          </cell>
        </row>
        <row r="611">
          <cell r="C611" t="e">
            <v>#N/A</v>
          </cell>
          <cell r="G611" t="e">
            <v>#N/A</v>
          </cell>
        </row>
        <row r="612">
          <cell r="C612" t="e">
            <v>#N/A</v>
          </cell>
          <cell r="G612" t="e">
            <v>#N/A</v>
          </cell>
        </row>
        <row r="613">
          <cell r="C613" t="e">
            <v>#N/A</v>
          </cell>
          <cell r="G613" t="e">
            <v>#N/A</v>
          </cell>
        </row>
        <row r="614">
          <cell r="C614" t="e">
            <v>#N/A</v>
          </cell>
          <cell r="G614" t="e">
            <v>#N/A</v>
          </cell>
        </row>
        <row r="615">
          <cell r="C615" t="e">
            <v>#N/A</v>
          </cell>
          <cell r="G615" t="e">
            <v>#N/A</v>
          </cell>
        </row>
        <row r="616">
          <cell r="C616" t="e">
            <v>#N/A</v>
          </cell>
          <cell r="G616" t="e">
            <v>#N/A</v>
          </cell>
        </row>
        <row r="617">
          <cell r="C617" t="e">
            <v>#N/A</v>
          </cell>
          <cell r="G617" t="e">
            <v>#N/A</v>
          </cell>
        </row>
        <row r="618">
          <cell r="C618" t="e">
            <v>#N/A</v>
          </cell>
          <cell r="G618" t="e">
            <v>#N/A</v>
          </cell>
        </row>
        <row r="619">
          <cell r="C619" t="e">
            <v>#N/A</v>
          </cell>
          <cell r="G619" t="e">
            <v>#N/A</v>
          </cell>
        </row>
        <row r="620">
          <cell r="C620" t="e">
            <v>#N/A</v>
          </cell>
          <cell r="G620" t="e">
            <v>#N/A</v>
          </cell>
        </row>
        <row r="621">
          <cell r="C621" t="e">
            <v>#N/A</v>
          </cell>
          <cell r="G621" t="e">
            <v>#N/A</v>
          </cell>
        </row>
        <row r="622">
          <cell r="C622" t="e">
            <v>#N/A</v>
          </cell>
          <cell r="G622" t="e">
            <v>#N/A</v>
          </cell>
        </row>
        <row r="623">
          <cell r="C623" t="e">
            <v>#N/A</v>
          </cell>
          <cell r="G623" t="e">
            <v>#N/A</v>
          </cell>
        </row>
        <row r="624">
          <cell r="C624" t="e">
            <v>#N/A</v>
          </cell>
          <cell r="G624" t="e">
            <v>#N/A</v>
          </cell>
        </row>
        <row r="625">
          <cell r="C625" t="e">
            <v>#N/A</v>
          </cell>
          <cell r="G625" t="e">
            <v>#N/A</v>
          </cell>
        </row>
        <row r="626">
          <cell r="C626" t="e">
            <v>#N/A</v>
          </cell>
          <cell r="G626" t="e">
            <v>#N/A</v>
          </cell>
        </row>
        <row r="627">
          <cell r="C627" t="e">
            <v>#N/A</v>
          </cell>
          <cell r="G627" t="e">
            <v>#N/A</v>
          </cell>
        </row>
        <row r="628">
          <cell r="C628" t="e">
            <v>#N/A</v>
          </cell>
          <cell r="G628" t="e">
            <v>#N/A</v>
          </cell>
        </row>
        <row r="629">
          <cell r="C629" t="e">
            <v>#N/A</v>
          </cell>
          <cell r="G629" t="e">
            <v>#N/A</v>
          </cell>
        </row>
        <row r="630">
          <cell r="C630" t="e">
            <v>#N/A</v>
          </cell>
          <cell r="G630" t="e">
            <v>#N/A</v>
          </cell>
        </row>
        <row r="631">
          <cell r="C631" t="e">
            <v>#N/A</v>
          </cell>
          <cell r="G631" t="e">
            <v>#N/A</v>
          </cell>
        </row>
        <row r="632">
          <cell r="C632" t="e">
            <v>#N/A</v>
          </cell>
          <cell r="G632" t="e">
            <v>#N/A</v>
          </cell>
        </row>
        <row r="633">
          <cell r="C633" t="e">
            <v>#N/A</v>
          </cell>
          <cell r="G633" t="e">
            <v>#N/A</v>
          </cell>
        </row>
        <row r="634">
          <cell r="C634" t="e">
            <v>#N/A</v>
          </cell>
          <cell r="G634" t="e">
            <v>#N/A</v>
          </cell>
        </row>
        <row r="635">
          <cell r="C635" t="e">
            <v>#N/A</v>
          </cell>
          <cell r="G635" t="e">
            <v>#N/A</v>
          </cell>
        </row>
        <row r="636">
          <cell r="C636" t="e">
            <v>#N/A</v>
          </cell>
          <cell r="G636" t="e">
            <v>#N/A</v>
          </cell>
        </row>
        <row r="637">
          <cell r="C637" t="e">
            <v>#N/A</v>
          </cell>
          <cell r="G637" t="e">
            <v>#N/A</v>
          </cell>
        </row>
        <row r="638">
          <cell r="C638" t="e">
            <v>#N/A</v>
          </cell>
          <cell r="G638" t="e">
            <v>#N/A</v>
          </cell>
        </row>
        <row r="639">
          <cell r="C639" t="e">
            <v>#N/A</v>
          </cell>
          <cell r="G639" t="e">
            <v>#N/A</v>
          </cell>
        </row>
        <row r="640">
          <cell r="C640" t="e">
            <v>#N/A</v>
          </cell>
          <cell r="G640" t="e">
            <v>#N/A</v>
          </cell>
        </row>
        <row r="641">
          <cell r="C641" t="e">
            <v>#N/A</v>
          </cell>
          <cell r="G641" t="e">
            <v>#N/A</v>
          </cell>
        </row>
        <row r="642">
          <cell r="C642" t="e">
            <v>#N/A</v>
          </cell>
          <cell r="G642" t="e">
            <v>#N/A</v>
          </cell>
        </row>
        <row r="643">
          <cell r="C643" t="e">
            <v>#N/A</v>
          </cell>
          <cell r="G643" t="e">
            <v>#N/A</v>
          </cell>
        </row>
        <row r="644">
          <cell r="C644" t="e">
            <v>#N/A</v>
          </cell>
          <cell r="G644" t="e">
            <v>#N/A</v>
          </cell>
        </row>
        <row r="645">
          <cell r="C645" t="e">
            <v>#N/A</v>
          </cell>
          <cell r="G645" t="e">
            <v>#N/A</v>
          </cell>
        </row>
        <row r="646">
          <cell r="C646" t="e">
            <v>#N/A</v>
          </cell>
          <cell r="G646" t="e">
            <v>#N/A</v>
          </cell>
        </row>
        <row r="647">
          <cell r="C647" t="e">
            <v>#N/A</v>
          </cell>
          <cell r="G647" t="e">
            <v>#N/A</v>
          </cell>
        </row>
        <row r="648">
          <cell r="C648" t="e">
            <v>#N/A</v>
          </cell>
          <cell r="G648" t="e">
            <v>#N/A</v>
          </cell>
        </row>
        <row r="649">
          <cell r="C649" t="e">
            <v>#N/A</v>
          </cell>
          <cell r="G649" t="e">
            <v>#N/A</v>
          </cell>
        </row>
        <row r="650">
          <cell r="C650" t="e">
            <v>#N/A</v>
          </cell>
          <cell r="G650" t="e">
            <v>#N/A</v>
          </cell>
        </row>
        <row r="651">
          <cell r="C651" t="e">
            <v>#N/A</v>
          </cell>
          <cell r="G651" t="e">
            <v>#N/A</v>
          </cell>
        </row>
        <row r="652">
          <cell r="C652" t="e">
            <v>#N/A</v>
          </cell>
          <cell r="G652" t="e">
            <v>#N/A</v>
          </cell>
        </row>
        <row r="653">
          <cell r="C653" t="e">
            <v>#N/A</v>
          </cell>
          <cell r="G653" t="e">
            <v>#N/A</v>
          </cell>
        </row>
        <row r="654">
          <cell r="C654" t="e">
            <v>#N/A</v>
          </cell>
          <cell r="G654" t="e">
            <v>#N/A</v>
          </cell>
        </row>
        <row r="655">
          <cell r="C655" t="e">
            <v>#N/A</v>
          </cell>
          <cell r="G655" t="e">
            <v>#N/A</v>
          </cell>
        </row>
        <row r="656">
          <cell r="C656" t="e">
            <v>#N/A</v>
          </cell>
          <cell r="G656" t="e">
            <v>#N/A</v>
          </cell>
        </row>
        <row r="657">
          <cell r="C657" t="e">
            <v>#N/A</v>
          </cell>
          <cell r="G657" t="e">
            <v>#N/A</v>
          </cell>
        </row>
        <row r="658">
          <cell r="C658" t="e">
            <v>#N/A</v>
          </cell>
          <cell r="G658" t="e">
            <v>#N/A</v>
          </cell>
        </row>
        <row r="659">
          <cell r="C659" t="e">
            <v>#N/A</v>
          </cell>
          <cell r="G659" t="e">
            <v>#N/A</v>
          </cell>
        </row>
        <row r="660">
          <cell r="C660" t="e">
            <v>#N/A</v>
          </cell>
          <cell r="G660" t="e">
            <v>#N/A</v>
          </cell>
        </row>
        <row r="661">
          <cell r="C661" t="e">
            <v>#N/A</v>
          </cell>
          <cell r="G661" t="e">
            <v>#N/A</v>
          </cell>
        </row>
        <row r="662">
          <cell r="C662" t="e">
            <v>#N/A</v>
          </cell>
          <cell r="G662" t="e">
            <v>#N/A</v>
          </cell>
        </row>
        <row r="663">
          <cell r="C663" t="e">
            <v>#N/A</v>
          </cell>
          <cell r="G663" t="e">
            <v>#N/A</v>
          </cell>
        </row>
        <row r="664">
          <cell r="C664" t="e">
            <v>#N/A</v>
          </cell>
          <cell r="G664" t="e">
            <v>#N/A</v>
          </cell>
        </row>
        <row r="665">
          <cell r="C665" t="e">
            <v>#N/A</v>
          </cell>
          <cell r="G665" t="e">
            <v>#N/A</v>
          </cell>
        </row>
        <row r="666">
          <cell r="C666" t="e">
            <v>#N/A</v>
          </cell>
          <cell r="G666" t="e">
            <v>#N/A</v>
          </cell>
        </row>
        <row r="667">
          <cell r="C667" t="e">
            <v>#N/A</v>
          </cell>
          <cell r="G667" t="e">
            <v>#N/A</v>
          </cell>
        </row>
        <row r="668">
          <cell r="C668" t="e">
            <v>#N/A</v>
          </cell>
          <cell r="G668" t="e">
            <v>#N/A</v>
          </cell>
        </row>
        <row r="669">
          <cell r="C669" t="e">
            <v>#N/A</v>
          </cell>
          <cell r="G669" t="e">
            <v>#N/A</v>
          </cell>
        </row>
        <row r="670">
          <cell r="C670" t="e">
            <v>#N/A</v>
          </cell>
          <cell r="G670" t="e">
            <v>#N/A</v>
          </cell>
        </row>
        <row r="671">
          <cell r="C671" t="e">
            <v>#N/A</v>
          </cell>
          <cell r="G671" t="e">
            <v>#N/A</v>
          </cell>
        </row>
        <row r="672">
          <cell r="C672" t="e">
            <v>#N/A</v>
          </cell>
          <cell r="G672" t="e">
            <v>#N/A</v>
          </cell>
        </row>
        <row r="673">
          <cell r="C673" t="e">
            <v>#N/A</v>
          </cell>
          <cell r="G673" t="e">
            <v>#N/A</v>
          </cell>
        </row>
        <row r="674">
          <cell r="C674" t="e">
            <v>#N/A</v>
          </cell>
          <cell r="G674" t="e">
            <v>#N/A</v>
          </cell>
        </row>
        <row r="675">
          <cell r="C675" t="e">
            <v>#N/A</v>
          </cell>
          <cell r="G675" t="e">
            <v>#N/A</v>
          </cell>
        </row>
        <row r="676">
          <cell r="C676" t="e">
            <v>#N/A</v>
          </cell>
          <cell r="G676" t="e">
            <v>#N/A</v>
          </cell>
        </row>
        <row r="677">
          <cell r="C677" t="e">
            <v>#N/A</v>
          </cell>
          <cell r="G677" t="e">
            <v>#N/A</v>
          </cell>
        </row>
        <row r="678">
          <cell r="C678" t="e">
            <v>#N/A</v>
          </cell>
          <cell r="G678" t="e">
            <v>#N/A</v>
          </cell>
        </row>
        <row r="679">
          <cell r="C679" t="e">
            <v>#N/A</v>
          </cell>
          <cell r="G679" t="e">
            <v>#N/A</v>
          </cell>
        </row>
        <row r="680">
          <cell r="C680" t="e">
            <v>#N/A</v>
          </cell>
          <cell r="G680" t="e">
            <v>#N/A</v>
          </cell>
        </row>
        <row r="681">
          <cell r="C681" t="e">
            <v>#N/A</v>
          </cell>
          <cell r="G681" t="e">
            <v>#N/A</v>
          </cell>
        </row>
        <row r="682">
          <cell r="C682" t="e">
            <v>#N/A</v>
          </cell>
          <cell r="G682" t="e">
            <v>#N/A</v>
          </cell>
        </row>
        <row r="683">
          <cell r="C683" t="e">
            <v>#N/A</v>
          </cell>
          <cell r="G683" t="e">
            <v>#N/A</v>
          </cell>
        </row>
        <row r="684">
          <cell r="C684" t="e">
            <v>#N/A</v>
          </cell>
          <cell r="G684" t="e">
            <v>#N/A</v>
          </cell>
        </row>
        <row r="685">
          <cell r="C685" t="e">
            <v>#N/A</v>
          </cell>
          <cell r="G685" t="e">
            <v>#N/A</v>
          </cell>
        </row>
        <row r="686">
          <cell r="C686" t="e">
            <v>#N/A</v>
          </cell>
          <cell r="G686" t="e">
            <v>#N/A</v>
          </cell>
        </row>
        <row r="687">
          <cell r="C687" t="e">
            <v>#N/A</v>
          </cell>
          <cell r="G687" t="e">
            <v>#N/A</v>
          </cell>
        </row>
        <row r="688">
          <cell r="C688" t="e">
            <v>#N/A</v>
          </cell>
          <cell r="G688" t="e">
            <v>#N/A</v>
          </cell>
        </row>
        <row r="689">
          <cell r="C689" t="e">
            <v>#N/A</v>
          </cell>
          <cell r="G689" t="e">
            <v>#N/A</v>
          </cell>
        </row>
        <row r="690">
          <cell r="C690" t="e">
            <v>#N/A</v>
          </cell>
          <cell r="G690" t="e">
            <v>#N/A</v>
          </cell>
        </row>
        <row r="691">
          <cell r="C691" t="e">
            <v>#N/A</v>
          </cell>
          <cell r="G691" t="e">
            <v>#N/A</v>
          </cell>
        </row>
        <row r="692">
          <cell r="C692" t="e">
            <v>#N/A</v>
          </cell>
          <cell r="G692" t="e">
            <v>#N/A</v>
          </cell>
        </row>
        <row r="693">
          <cell r="C693" t="e">
            <v>#N/A</v>
          </cell>
          <cell r="G693" t="e">
            <v>#N/A</v>
          </cell>
        </row>
        <row r="694">
          <cell r="C694" t="e">
            <v>#N/A</v>
          </cell>
          <cell r="G694" t="e">
            <v>#N/A</v>
          </cell>
        </row>
        <row r="695">
          <cell r="C695" t="e">
            <v>#N/A</v>
          </cell>
          <cell r="G695" t="e">
            <v>#N/A</v>
          </cell>
        </row>
        <row r="696">
          <cell r="C696" t="e">
            <v>#N/A</v>
          </cell>
          <cell r="G696" t="e">
            <v>#N/A</v>
          </cell>
        </row>
        <row r="697">
          <cell r="C697" t="e">
            <v>#N/A</v>
          </cell>
          <cell r="G697" t="e">
            <v>#N/A</v>
          </cell>
        </row>
        <row r="698">
          <cell r="C698" t="e">
            <v>#N/A</v>
          </cell>
          <cell r="G698" t="e">
            <v>#N/A</v>
          </cell>
        </row>
        <row r="699">
          <cell r="C699" t="e">
            <v>#N/A</v>
          </cell>
          <cell r="G699" t="e">
            <v>#N/A</v>
          </cell>
        </row>
        <row r="700">
          <cell r="C700" t="e">
            <v>#N/A</v>
          </cell>
          <cell r="G700" t="e">
            <v>#N/A</v>
          </cell>
        </row>
        <row r="701">
          <cell r="C701" t="e">
            <v>#N/A</v>
          </cell>
          <cell r="G701" t="e">
            <v>#N/A</v>
          </cell>
        </row>
        <row r="702">
          <cell r="C702" t="e">
            <v>#N/A</v>
          </cell>
          <cell r="G702" t="e">
            <v>#N/A</v>
          </cell>
        </row>
        <row r="703">
          <cell r="C703" t="e">
            <v>#N/A</v>
          </cell>
          <cell r="G703" t="e">
            <v>#N/A</v>
          </cell>
        </row>
        <row r="704">
          <cell r="C704" t="e">
            <v>#N/A</v>
          </cell>
          <cell r="G704" t="e">
            <v>#N/A</v>
          </cell>
        </row>
        <row r="705">
          <cell r="C705" t="e">
            <v>#N/A</v>
          </cell>
          <cell r="G705" t="e">
            <v>#N/A</v>
          </cell>
        </row>
        <row r="706">
          <cell r="C706" t="e">
            <v>#N/A</v>
          </cell>
          <cell r="G706" t="e">
            <v>#N/A</v>
          </cell>
        </row>
        <row r="707">
          <cell r="C707" t="e">
            <v>#N/A</v>
          </cell>
          <cell r="G707" t="e">
            <v>#N/A</v>
          </cell>
        </row>
        <row r="708">
          <cell r="C708" t="e">
            <v>#N/A</v>
          </cell>
          <cell r="G708" t="e">
            <v>#N/A</v>
          </cell>
        </row>
        <row r="709">
          <cell r="C709" t="e">
            <v>#N/A</v>
          </cell>
          <cell r="G709" t="e">
            <v>#N/A</v>
          </cell>
        </row>
        <row r="710">
          <cell r="C710" t="e">
            <v>#N/A</v>
          </cell>
          <cell r="G710" t="e">
            <v>#N/A</v>
          </cell>
        </row>
        <row r="711">
          <cell r="C711" t="e">
            <v>#N/A</v>
          </cell>
          <cell r="G711" t="e">
            <v>#N/A</v>
          </cell>
        </row>
        <row r="712">
          <cell r="C712" t="e">
            <v>#N/A</v>
          </cell>
          <cell r="G712" t="e">
            <v>#N/A</v>
          </cell>
        </row>
        <row r="713">
          <cell r="C713" t="e">
            <v>#N/A</v>
          </cell>
          <cell r="G713" t="e">
            <v>#N/A</v>
          </cell>
        </row>
        <row r="714">
          <cell r="C714" t="e">
            <v>#N/A</v>
          </cell>
          <cell r="G714" t="e">
            <v>#N/A</v>
          </cell>
        </row>
        <row r="715">
          <cell r="C715" t="e">
            <v>#N/A</v>
          </cell>
          <cell r="G715" t="e">
            <v>#N/A</v>
          </cell>
        </row>
        <row r="716">
          <cell r="C716" t="e">
            <v>#N/A</v>
          </cell>
          <cell r="G716" t="e">
            <v>#N/A</v>
          </cell>
        </row>
        <row r="717">
          <cell r="C717" t="e">
            <v>#N/A</v>
          </cell>
          <cell r="G717" t="e">
            <v>#N/A</v>
          </cell>
        </row>
        <row r="718">
          <cell r="C718" t="e">
            <v>#N/A</v>
          </cell>
          <cell r="G718" t="e">
            <v>#N/A</v>
          </cell>
        </row>
        <row r="719">
          <cell r="C719" t="e">
            <v>#N/A</v>
          </cell>
          <cell r="G719" t="e">
            <v>#N/A</v>
          </cell>
        </row>
        <row r="720">
          <cell r="C720" t="e">
            <v>#N/A</v>
          </cell>
          <cell r="G720" t="e">
            <v>#N/A</v>
          </cell>
        </row>
        <row r="721">
          <cell r="C721" t="e">
            <v>#N/A</v>
          </cell>
          <cell r="G721" t="e">
            <v>#N/A</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gue Inputs"/>
      <sheetName val="Projected 2019-2020"/>
      <sheetName val="Player Comparison"/>
      <sheetName val="Sheet3"/>
      <sheetName val="Sheet2"/>
      <sheetName val="Master Sheet"/>
      <sheetName val="2017-2018"/>
      <sheetName val="2018-2019"/>
      <sheetName val="x"/>
    </sheetNames>
    <sheetDataSet>
      <sheetData sheetId="0"/>
      <sheetData sheetId="1"/>
      <sheetData sheetId="2">
        <row r="3">
          <cell r="I3" t="str">
            <v>G/GP</v>
          </cell>
          <cell r="X3" t="str">
            <v>Tomas Hertl</v>
          </cell>
          <cell r="AB3" t="str">
            <v>John Carlson</v>
          </cell>
        </row>
        <row r="4">
          <cell r="X4" t="e">
            <v>#N/A</v>
          </cell>
          <cell r="AB4" t="e">
            <v>#N/A</v>
          </cell>
        </row>
        <row r="5">
          <cell r="X5" t="e">
            <v>#N/A</v>
          </cell>
          <cell r="AB5" t="e">
            <v>#N/A</v>
          </cell>
        </row>
        <row r="6">
          <cell r="X6" t="e">
            <v>#N/A</v>
          </cell>
          <cell r="AB6" t="e">
            <v>#N/A</v>
          </cell>
        </row>
        <row r="7">
          <cell r="X7" t="e">
            <v>#N/A</v>
          </cell>
          <cell r="AB7" t="e">
            <v>#N/A</v>
          </cell>
        </row>
        <row r="8">
          <cell r="X8" t="e">
            <v>#N/A</v>
          </cell>
          <cell r="AB8" t="e">
            <v>#N/A</v>
          </cell>
        </row>
        <row r="9">
          <cell r="X9" t="e">
            <v>#N/A</v>
          </cell>
          <cell r="AB9" t="e">
            <v>#N/A</v>
          </cell>
        </row>
        <row r="10">
          <cell r="X10" t="e">
            <v>#N/A</v>
          </cell>
          <cell r="AB10" t="e">
            <v>#N/A</v>
          </cell>
        </row>
        <row r="11">
          <cell r="X11" t="e">
            <v>#N/A</v>
          </cell>
          <cell r="AB11" t="e">
            <v>#N/A</v>
          </cell>
        </row>
        <row r="12">
          <cell r="X12" t="e">
            <v>#N/A</v>
          </cell>
          <cell r="AB12" t="e">
            <v>#N/A</v>
          </cell>
        </row>
        <row r="13">
          <cell r="X13" t="e">
            <v>#N/A</v>
          </cell>
          <cell r="AB13" t="e">
            <v>#N/A</v>
          </cell>
        </row>
        <row r="14">
          <cell r="X14" t="e">
            <v>#N/A</v>
          </cell>
          <cell r="AB14" t="e">
            <v>#N/A</v>
          </cell>
        </row>
        <row r="15">
          <cell r="X15" t="e">
            <v>#N/A</v>
          </cell>
          <cell r="AB15" t="e">
            <v>#N/A</v>
          </cell>
        </row>
        <row r="16">
          <cell r="X16" t="e">
            <v>#N/A</v>
          </cell>
          <cell r="AB16" t="e">
            <v>#N/A</v>
          </cell>
        </row>
        <row r="17">
          <cell r="X17" t="e">
            <v>#N/A</v>
          </cell>
          <cell r="AB17" t="e">
            <v>#N/A</v>
          </cell>
        </row>
        <row r="18">
          <cell r="X18" t="e">
            <v>#N/A</v>
          </cell>
          <cell r="AB18" t="e">
            <v>#N/A</v>
          </cell>
        </row>
        <row r="19">
          <cell r="X19" t="e">
            <v>#N/A</v>
          </cell>
          <cell r="AB19" t="e">
            <v>#N/A</v>
          </cell>
        </row>
        <row r="20">
          <cell r="X20" t="e">
            <v>#N/A</v>
          </cell>
          <cell r="AB20" t="e">
            <v>#N/A</v>
          </cell>
        </row>
        <row r="21">
          <cell r="X21" t="e">
            <v>#N/A</v>
          </cell>
          <cell r="AB21" t="e">
            <v>#N/A</v>
          </cell>
        </row>
        <row r="22">
          <cell r="X22" t="e">
            <v>#N/A</v>
          </cell>
          <cell r="AB22" t="e">
            <v>#N/A</v>
          </cell>
        </row>
        <row r="23">
          <cell r="X23" t="e">
            <v>#N/A</v>
          </cell>
          <cell r="AB23" t="e">
            <v>#N/A</v>
          </cell>
        </row>
        <row r="24">
          <cell r="X24" t="e">
            <v>#N/A</v>
          </cell>
          <cell r="AB24" t="e">
            <v>#N/A</v>
          </cell>
        </row>
        <row r="25">
          <cell r="X25" t="e">
            <v>#N/A</v>
          </cell>
          <cell r="AB25" t="e">
            <v>#N/A</v>
          </cell>
        </row>
        <row r="26">
          <cell r="X26" t="e">
            <v>#N/A</v>
          </cell>
          <cell r="AB26" t="e">
            <v>#N/A</v>
          </cell>
        </row>
        <row r="27">
          <cell r="X27" t="e">
            <v>#N/A</v>
          </cell>
          <cell r="AB27" t="e">
            <v>#N/A</v>
          </cell>
        </row>
        <row r="28">
          <cell r="X28" t="e">
            <v>#N/A</v>
          </cell>
          <cell r="AB28" t="e">
            <v>#N/A</v>
          </cell>
        </row>
        <row r="29">
          <cell r="X29" t="e">
            <v>#N/A</v>
          </cell>
          <cell r="AB29" t="e">
            <v>#N/A</v>
          </cell>
        </row>
        <row r="30">
          <cell r="X30" t="e">
            <v>#N/A</v>
          </cell>
          <cell r="AB30" t="e">
            <v>#N/A</v>
          </cell>
        </row>
        <row r="31">
          <cell r="X31" t="e">
            <v>#N/A</v>
          </cell>
          <cell r="AB31" t="e">
            <v>#N/A</v>
          </cell>
        </row>
        <row r="32">
          <cell r="X32" t="e">
            <v>#N/A</v>
          </cell>
          <cell r="AB32" t="e">
            <v>#N/A</v>
          </cell>
        </row>
        <row r="33">
          <cell r="X33" t="e">
            <v>#N/A</v>
          </cell>
          <cell r="AB33" t="e">
            <v>#N/A</v>
          </cell>
        </row>
        <row r="34">
          <cell r="X34" t="e">
            <v>#N/A</v>
          </cell>
          <cell r="AB34" t="e">
            <v>#N/A</v>
          </cell>
        </row>
        <row r="35">
          <cell r="X35" t="e">
            <v>#N/A</v>
          </cell>
          <cell r="AB35" t="e">
            <v>#N/A</v>
          </cell>
        </row>
        <row r="36">
          <cell r="X36" t="e">
            <v>#N/A</v>
          </cell>
          <cell r="AB36" t="e">
            <v>#N/A</v>
          </cell>
        </row>
        <row r="37">
          <cell r="X37" t="e">
            <v>#N/A</v>
          </cell>
          <cell r="AB37" t="e">
            <v>#N/A</v>
          </cell>
        </row>
        <row r="38">
          <cell r="X38" t="e">
            <v>#N/A</v>
          </cell>
          <cell r="AB38" t="e">
            <v>#N/A</v>
          </cell>
        </row>
        <row r="39">
          <cell r="X39" t="e">
            <v>#N/A</v>
          </cell>
          <cell r="AB39" t="e">
            <v>#N/A</v>
          </cell>
        </row>
        <row r="40">
          <cell r="X40" t="e">
            <v>#N/A</v>
          </cell>
          <cell r="AB40" t="e">
            <v>#N/A</v>
          </cell>
        </row>
        <row r="41">
          <cell r="X41" t="e">
            <v>#N/A</v>
          </cell>
          <cell r="AB41" t="e">
            <v>#N/A</v>
          </cell>
        </row>
        <row r="42">
          <cell r="X42" t="e">
            <v>#N/A</v>
          </cell>
          <cell r="AB42" t="e">
            <v>#N/A</v>
          </cell>
        </row>
        <row r="43">
          <cell r="X43" t="e">
            <v>#N/A</v>
          </cell>
          <cell r="AB43" t="e">
            <v>#N/A</v>
          </cell>
        </row>
        <row r="44">
          <cell r="X44" t="e">
            <v>#N/A</v>
          </cell>
          <cell r="AB44" t="e">
            <v>#N/A</v>
          </cell>
        </row>
        <row r="45">
          <cell r="X45" t="e">
            <v>#N/A</v>
          </cell>
          <cell r="AB45" t="e">
            <v>#N/A</v>
          </cell>
        </row>
        <row r="46">
          <cell r="X46" t="e">
            <v>#N/A</v>
          </cell>
          <cell r="AB46" t="e">
            <v>#N/A</v>
          </cell>
        </row>
        <row r="47">
          <cell r="X47" t="e">
            <v>#N/A</v>
          </cell>
          <cell r="AB47" t="e">
            <v>#N/A</v>
          </cell>
        </row>
        <row r="48">
          <cell r="X48" t="e">
            <v>#N/A</v>
          </cell>
          <cell r="AB48" t="e">
            <v>#N/A</v>
          </cell>
        </row>
        <row r="49">
          <cell r="X49" t="e">
            <v>#N/A</v>
          </cell>
          <cell r="AB49" t="e">
            <v>#N/A</v>
          </cell>
        </row>
        <row r="50">
          <cell r="X50" t="e">
            <v>#N/A</v>
          </cell>
          <cell r="AB50" t="e">
            <v>#N/A</v>
          </cell>
        </row>
        <row r="51">
          <cell r="X51" t="e">
            <v>#N/A</v>
          </cell>
          <cell r="AB51" t="e">
            <v>#N/A</v>
          </cell>
        </row>
        <row r="52">
          <cell r="X52" t="e">
            <v>#N/A</v>
          </cell>
          <cell r="AB52" t="e">
            <v>#N/A</v>
          </cell>
        </row>
        <row r="53">
          <cell r="X53" t="e">
            <v>#N/A</v>
          </cell>
          <cell r="AB53" t="e">
            <v>#N/A</v>
          </cell>
        </row>
        <row r="54">
          <cell r="X54" t="e">
            <v>#N/A</v>
          </cell>
          <cell r="AB54" t="e">
            <v>#N/A</v>
          </cell>
        </row>
        <row r="55">
          <cell r="X55" t="e">
            <v>#N/A</v>
          </cell>
          <cell r="AB55" t="e">
            <v>#N/A</v>
          </cell>
        </row>
        <row r="56">
          <cell r="X56" t="e">
            <v>#N/A</v>
          </cell>
          <cell r="AB56" t="e">
            <v>#N/A</v>
          </cell>
        </row>
        <row r="57">
          <cell r="X57" t="e">
            <v>#N/A</v>
          </cell>
          <cell r="AB57" t="e">
            <v>#N/A</v>
          </cell>
        </row>
        <row r="58">
          <cell r="X58" t="e">
            <v>#N/A</v>
          </cell>
          <cell r="AB58" t="e">
            <v>#N/A</v>
          </cell>
        </row>
        <row r="59">
          <cell r="X59" t="e">
            <v>#N/A</v>
          </cell>
          <cell r="AB59" t="e">
            <v>#N/A</v>
          </cell>
        </row>
        <row r="60">
          <cell r="X60" t="e">
            <v>#N/A</v>
          </cell>
          <cell r="AB60" t="e">
            <v>#N/A</v>
          </cell>
        </row>
        <row r="61">
          <cell r="X61" t="e">
            <v>#N/A</v>
          </cell>
          <cell r="AB61" t="e">
            <v>#N/A</v>
          </cell>
        </row>
        <row r="62">
          <cell r="X62" t="e">
            <v>#N/A</v>
          </cell>
          <cell r="AB62" t="e">
            <v>#N/A</v>
          </cell>
        </row>
        <row r="63">
          <cell r="X63" t="e">
            <v>#N/A</v>
          </cell>
          <cell r="AB63" t="e">
            <v>#N/A</v>
          </cell>
        </row>
        <row r="64">
          <cell r="X64" t="e">
            <v>#N/A</v>
          </cell>
          <cell r="AB64" t="e">
            <v>#N/A</v>
          </cell>
        </row>
        <row r="65">
          <cell r="X65" t="e">
            <v>#N/A</v>
          </cell>
          <cell r="AB65" t="e">
            <v>#N/A</v>
          </cell>
        </row>
        <row r="66">
          <cell r="X66" t="e">
            <v>#N/A</v>
          </cell>
          <cell r="AB66" t="e">
            <v>#N/A</v>
          </cell>
        </row>
        <row r="67">
          <cell r="X67" t="e">
            <v>#N/A</v>
          </cell>
          <cell r="AB67" t="e">
            <v>#N/A</v>
          </cell>
        </row>
        <row r="68">
          <cell r="X68" t="e">
            <v>#N/A</v>
          </cell>
          <cell r="AB68" t="e">
            <v>#N/A</v>
          </cell>
        </row>
        <row r="69">
          <cell r="X69" t="e">
            <v>#N/A</v>
          </cell>
          <cell r="AB69" t="e">
            <v>#N/A</v>
          </cell>
        </row>
        <row r="70">
          <cell r="X70" t="e">
            <v>#N/A</v>
          </cell>
          <cell r="AB70" t="e">
            <v>#N/A</v>
          </cell>
        </row>
        <row r="71">
          <cell r="X71" t="e">
            <v>#N/A</v>
          </cell>
          <cell r="AB71" t="e">
            <v>#N/A</v>
          </cell>
        </row>
        <row r="72">
          <cell r="X72" t="e">
            <v>#N/A</v>
          </cell>
          <cell r="AB72" t="e">
            <v>#N/A</v>
          </cell>
        </row>
        <row r="73">
          <cell r="X73" t="e">
            <v>#N/A</v>
          </cell>
          <cell r="AB73" t="e">
            <v>#N/A</v>
          </cell>
        </row>
        <row r="74">
          <cell r="X74" t="e">
            <v>#N/A</v>
          </cell>
          <cell r="AB74" t="e">
            <v>#N/A</v>
          </cell>
        </row>
        <row r="75">
          <cell r="X75" t="e">
            <v>#N/A</v>
          </cell>
          <cell r="AB75" t="e">
            <v>#N/A</v>
          </cell>
        </row>
        <row r="76">
          <cell r="X76" t="e">
            <v>#N/A</v>
          </cell>
          <cell r="AB76" t="e">
            <v>#N/A</v>
          </cell>
        </row>
        <row r="77">
          <cell r="X77" t="e">
            <v>#N/A</v>
          </cell>
          <cell r="AB77" t="e">
            <v>#N/A</v>
          </cell>
        </row>
        <row r="78">
          <cell r="X78" t="e">
            <v>#N/A</v>
          </cell>
          <cell r="AB78" t="e">
            <v>#N/A</v>
          </cell>
        </row>
        <row r="79">
          <cell r="X79" t="e">
            <v>#N/A</v>
          </cell>
          <cell r="AB79" t="e">
            <v>#N/A</v>
          </cell>
        </row>
        <row r="80">
          <cell r="X80" t="e">
            <v>#N/A</v>
          </cell>
          <cell r="AB80" t="e">
            <v>#N/A</v>
          </cell>
        </row>
        <row r="81">
          <cell r="X81" t="e">
            <v>#N/A</v>
          </cell>
          <cell r="AB81" t="e">
            <v>#N/A</v>
          </cell>
        </row>
        <row r="82">
          <cell r="X82" t="e">
            <v>#N/A</v>
          </cell>
          <cell r="AB82" t="e">
            <v>#N/A</v>
          </cell>
        </row>
        <row r="83">
          <cell r="X83" t="e">
            <v>#N/A</v>
          </cell>
          <cell r="AB83" t="e">
            <v>#N/A</v>
          </cell>
        </row>
        <row r="84">
          <cell r="X84" t="e">
            <v>#N/A</v>
          </cell>
          <cell r="AB84" t="e">
            <v>#N/A</v>
          </cell>
        </row>
        <row r="85">
          <cell r="X85" t="e">
            <v>#N/A</v>
          </cell>
          <cell r="AB85" t="e">
            <v>#N/A</v>
          </cell>
        </row>
        <row r="86">
          <cell r="X86" t="e">
            <v>#N/A</v>
          </cell>
          <cell r="AB86" t="e">
            <v>#N/A</v>
          </cell>
        </row>
        <row r="87">
          <cell r="X87" t="e">
            <v>#N/A</v>
          </cell>
          <cell r="AB87" t="e">
            <v>#N/A</v>
          </cell>
        </row>
        <row r="88">
          <cell r="X88" t="e">
            <v>#N/A</v>
          </cell>
          <cell r="AB88" t="e">
            <v>#N/A</v>
          </cell>
        </row>
        <row r="89">
          <cell r="X89" t="e">
            <v>#N/A</v>
          </cell>
          <cell r="AB89" t="e">
            <v>#N/A</v>
          </cell>
        </row>
        <row r="90">
          <cell r="X90" t="e">
            <v>#N/A</v>
          </cell>
          <cell r="AB90" t="e">
            <v>#N/A</v>
          </cell>
        </row>
        <row r="91">
          <cell r="X91" t="e">
            <v>#N/A</v>
          </cell>
          <cell r="AB91" t="e">
            <v>#N/A</v>
          </cell>
        </row>
        <row r="92">
          <cell r="X92" t="e">
            <v>#N/A</v>
          </cell>
          <cell r="AB92" t="e">
            <v>#N/A</v>
          </cell>
        </row>
        <row r="93">
          <cell r="X93" t="e">
            <v>#N/A</v>
          </cell>
          <cell r="AB93" t="e">
            <v>#N/A</v>
          </cell>
        </row>
        <row r="94">
          <cell r="X94" t="e">
            <v>#N/A</v>
          </cell>
          <cell r="AB94" t="e">
            <v>#N/A</v>
          </cell>
        </row>
        <row r="95">
          <cell r="X95" t="e">
            <v>#N/A</v>
          </cell>
          <cell r="AB95" t="e">
            <v>#N/A</v>
          </cell>
        </row>
        <row r="96">
          <cell r="X96" t="e">
            <v>#N/A</v>
          </cell>
          <cell r="AB96" t="e">
            <v>#N/A</v>
          </cell>
        </row>
        <row r="97">
          <cell r="X97" t="e">
            <v>#N/A</v>
          </cell>
          <cell r="AB97" t="e">
            <v>#N/A</v>
          </cell>
        </row>
        <row r="98">
          <cell r="X98" t="e">
            <v>#N/A</v>
          </cell>
          <cell r="AB98" t="e">
            <v>#N/A</v>
          </cell>
        </row>
        <row r="99">
          <cell r="X99" t="e">
            <v>#N/A</v>
          </cell>
          <cell r="AB99" t="e">
            <v>#N/A</v>
          </cell>
        </row>
        <row r="100">
          <cell r="X100" t="e">
            <v>#N/A</v>
          </cell>
          <cell r="AB100" t="e">
            <v>#N/A</v>
          </cell>
        </row>
        <row r="101">
          <cell r="X101" t="e">
            <v>#N/A</v>
          </cell>
          <cell r="AB101" t="e">
            <v>#N/A</v>
          </cell>
        </row>
        <row r="102">
          <cell r="X102" t="e">
            <v>#N/A</v>
          </cell>
          <cell r="AB102" t="e">
            <v>#N/A</v>
          </cell>
        </row>
        <row r="103">
          <cell r="X103" t="e">
            <v>#N/A</v>
          </cell>
          <cell r="AB103" t="e">
            <v>#N/A</v>
          </cell>
        </row>
        <row r="104">
          <cell r="X104" t="e">
            <v>#N/A</v>
          </cell>
          <cell r="AB104" t="e">
            <v>#N/A</v>
          </cell>
        </row>
        <row r="105">
          <cell r="X105" t="e">
            <v>#N/A</v>
          </cell>
          <cell r="AB105" t="e">
            <v>#N/A</v>
          </cell>
        </row>
        <row r="106">
          <cell r="X106" t="e">
            <v>#N/A</v>
          </cell>
          <cell r="AB106" t="e">
            <v>#N/A</v>
          </cell>
        </row>
        <row r="107">
          <cell r="X107" t="e">
            <v>#N/A</v>
          </cell>
          <cell r="AB107" t="e">
            <v>#N/A</v>
          </cell>
        </row>
        <row r="108">
          <cell r="X108" t="e">
            <v>#N/A</v>
          </cell>
          <cell r="AB108" t="e">
            <v>#N/A</v>
          </cell>
        </row>
        <row r="109">
          <cell r="X109" t="e">
            <v>#N/A</v>
          </cell>
          <cell r="AB109" t="e">
            <v>#N/A</v>
          </cell>
        </row>
        <row r="110">
          <cell r="X110" t="e">
            <v>#N/A</v>
          </cell>
          <cell r="AB110" t="e">
            <v>#N/A</v>
          </cell>
        </row>
        <row r="111">
          <cell r="X111" t="e">
            <v>#N/A</v>
          </cell>
          <cell r="AB111" t="e">
            <v>#N/A</v>
          </cell>
        </row>
        <row r="112">
          <cell r="X112" t="e">
            <v>#N/A</v>
          </cell>
          <cell r="AB112" t="e">
            <v>#N/A</v>
          </cell>
        </row>
        <row r="113">
          <cell r="X113" t="e">
            <v>#N/A</v>
          </cell>
          <cell r="AB113" t="e">
            <v>#N/A</v>
          </cell>
        </row>
        <row r="114">
          <cell r="X114" t="e">
            <v>#N/A</v>
          </cell>
          <cell r="AB114" t="e">
            <v>#N/A</v>
          </cell>
        </row>
        <row r="115">
          <cell r="X115" t="e">
            <v>#N/A</v>
          </cell>
          <cell r="AB115" t="e">
            <v>#N/A</v>
          </cell>
        </row>
        <row r="116">
          <cell r="X116" t="e">
            <v>#N/A</v>
          </cell>
          <cell r="AB116" t="e">
            <v>#N/A</v>
          </cell>
        </row>
        <row r="117">
          <cell r="X117" t="e">
            <v>#N/A</v>
          </cell>
          <cell r="AB117" t="e">
            <v>#N/A</v>
          </cell>
        </row>
        <row r="118">
          <cell r="X118" t="e">
            <v>#N/A</v>
          </cell>
          <cell r="AB118" t="e">
            <v>#N/A</v>
          </cell>
        </row>
        <row r="119">
          <cell r="X119" t="e">
            <v>#N/A</v>
          </cell>
          <cell r="AB119" t="e">
            <v>#N/A</v>
          </cell>
        </row>
        <row r="120">
          <cell r="X120" t="e">
            <v>#N/A</v>
          </cell>
          <cell r="AB120" t="e">
            <v>#N/A</v>
          </cell>
        </row>
        <row r="121">
          <cell r="X121" t="e">
            <v>#N/A</v>
          </cell>
          <cell r="AB121" t="e">
            <v>#N/A</v>
          </cell>
        </row>
        <row r="122">
          <cell r="X122" t="e">
            <v>#N/A</v>
          </cell>
          <cell r="AB122" t="e">
            <v>#N/A</v>
          </cell>
        </row>
        <row r="123">
          <cell r="X123" t="e">
            <v>#N/A</v>
          </cell>
          <cell r="AB123" t="e">
            <v>#N/A</v>
          </cell>
        </row>
        <row r="124">
          <cell r="X124" t="e">
            <v>#N/A</v>
          </cell>
          <cell r="AB124" t="e">
            <v>#N/A</v>
          </cell>
        </row>
        <row r="125">
          <cell r="X125" t="e">
            <v>#N/A</v>
          </cell>
          <cell r="AB125" t="e">
            <v>#N/A</v>
          </cell>
        </row>
        <row r="126">
          <cell r="X126" t="e">
            <v>#N/A</v>
          </cell>
          <cell r="AB126" t="e">
            <v>#N/A</v>
          </cell>
        </row>
        <row r="127">
          <cell r="X127" t="e">
            <v>#N/A</v>
          </cell>
          <cell r="AB127" t="e">
            <v>#N/A</v>
          </cell>
        </row>
        <row r="128">
          <cell r="X128" t="e">
            <v>#N/A</v>
          </cell>
          <cell r="AB128" t="e">
            <v>#N/A</v>
          </cell>
        </row>
        <row r="129">
          <cell r="X129" t="e">
            <v>#N/A</v>
          </cell>
          <cell r="AB129" t="e">
            <v>#N/A</v>
          </cell>
        </row>
        <row r="130">
          <cell r="X130" t="e">
            <v>#N/A</v>
          </cell>
          <cell r="AB130" t="e">
            <v>#N/A</v>
          </cell>
        </row>
        <row r="131">
          <cell r="X131" t="e">
            <v>#N/A</v>
          </cell>
          <cell r="AB131" t="e">
            <v>#N/A</v>
          </cell>
        </row>
        <row r="132">
          <cell r="X132" t="e">
            <v>#N/A</v>
          </cell>
          <cell r="AB132" t="e">
            <v>#N/A</v>
          </cell>
        </row>
        <row r="133">
          <cell r="X133" t="e">
            <v>#N/A</v>
          </cell>
          <cell r="AB133" t="e">
            <v>#N/A</v>
          </cell>
        </row>
        <row r="134">
          <cell r="X134" t="e">
            <v>#N/A</v>
          </cell>
          <cell r="AB134" t="e">
            <v>#N/A</v>
          </cell>
        </row>
        <row r="135">
          <cell r="X135" t="e">
            <v>#N/A</v>
          </cell>
          <cell r="AB135" t="e">
            <v>#N/A</v>
          </cell>
        </row>
        <row r="136">
          <cell r="X136" t="e">
            <v>#N/A</v>
          </cell>
          <cell r="AB136" t="e">
            <v>#N/A</v>
          </cell>
        </row>
        <row r="137">
          <cell r="X137" t="e">
            <v>#N/A</v>
          </cell>
          <cell r="AB137" t="e">
            <v>#N/A</v>
          </cell>
        </row>
        <row r="138">
          <cell r="X138" t="e">
            <v>#N/A</v>
          </cell>
          <cell r="AB138" t="e">
            <v>#N/A</v>
          </cell>
        </row>
        <row r="139">
          <cell r="X139" t="e">
            <v>#N/A</v>
          </cell>
          <cell r="AB139" t="e">
            <v>#N/A</v>
          </cell>
        </row>
        <row r="140">
          <cell r="X140" t="e">
            <v>#N/A</v>
          </cell>
          <cell r="AB140" t="e">
            <v>#N/A</v>
          </cell>
        </row>
        <row r="141">
          <cell r="X141" t="e">
            <v>#N/A</v>
          </cell>
          <cell r="AB141" t="e">
            <v>#N/A</v>
          </cell>
        </row>
        <row r="142">
          <cell r="X142" t="e">
            <v>#N/A</v>
          </cell>
          <cell r="AB142" t="e">
            <v>#N/A</v>
          </cell>
        </row>
        <row r="143">
          <cell r="X143" t="e">
            <v>#N/A</v>
          </cell>
          <cell r="AB143" t="e">
            <v>#N/A</v>
          </cell>
        </row>
        <row r="144">
          <cell r="X144" t="e">
            <v>#N/A</v>
          </cell>
          <cell r="AB144" t="e">
            <v>#N/A</v>
          </cell>
        </row>
        <row r="145">
          <cell r="X145" t="e">
            <v>#N/A</v>
          </cell>
          <cell r="AB145" t="e">
            <v>#N/A</v>
          </cell>
        </row>
        <row r="146">
          <cell r="X146" t="e">
            <v>#N/A</v>
          </cell>
          <cell r="AB146" t="e">
            <v>#N/A</v>
          </cell>
        </row>
        <row r="147">
          <cell r="X147" t="e">
            <v>#N/A</v>
          </cell>
          <cell r="AB147" t="e">
            <v>#N/A</v>
          </cell>
        </row>
        <row r="148">
          <cell r="X148" t="e">
            <v>#N/A</v>
          </cell>
          <cell r="AB148" t="e">
            <v>#N/A</v>
          </cell>
        </row>
        <row r="149">
          <cell r="X149" t="e">
            <v>#N/A</v>
          </cell>
          <cell r="AB149" t="e">
            <v>#N/A</v>
          </cell>
        </row>
        <row r="150">
          <cell r="X150" t="e">
            <v>#N/A</v>
          </cell>
          <cell r="AB150" t="e">
            <v>#N/A</v>
          </cell>
        </row>
        <row r="151">
          <cell r="X151" t="e">
            <v>#N/A</v>
          </cell>
          <cell r="AB151" t="e">
            <v>#N/A</v>
          </cell>
        </row>
        <row r="152">
          <cell r="X152" t="e">
            <v>#N/A</v>
          </cell>
          <cell r="AB152" t="e">
            <v>#N/A</v>
          </cell>
        </row>
        <row r="153">
          <cell r="X153" t="e">
            <v>#N/A</v>
          </cell>
          <cell r="AB153" t="e">
            <v>#N/A</v>
          </cell>
        </row>
        <row r="154">
          <cell r="X154" t="e">
            <v>#N/A</v>
          </cell>
          <cell r="AB154" t="e">
            <v>#N/A</v>
          </cell>
        </row>
        <row r="155">
          <cell r="X155" t="e">
            <v>#N/A</v>
          </cell>
          <cell r="AB155" t="e">
            <v>#N/A</v>
          </cell>
        </row>
        <row r="156">
          <cell r="X156" t="e">
            <v>#N/A</v>
          </cell>
          <cell r="AB156" t="e">
            <v>#N/A</v>
          </cell>
        </row>
        <row r="157">
          <cell r="X157" t="e">
            <v>#N/A</v>
          </cell>
          <cell r="AB157" t="e">
            <v>#N/A</v>
          </cell>
        </row>
        <row r="158">
          <cell r="X158" t="e">
            <v>#N/A</v>
          </cell>
          <cell r="AB158" t="e">
            <v>#N/A</v>
          </cell>
        </row>
        <row r="159">
          <cell r="X159" t="e">
            <v>#N/A</v>
          </cell>
          <cell r="AB159" t="e">
            <v>#N/A</v>
          </cell>
        </row>
        <row r="160">
          <cell r="X160" t="e">
            <v>#N/A</v>
          </cell>
          <cell r="AB160" t="e">
            <v>#N/A</v>
          </cell>
        </row>
        <row r="161">
          <cell r="X161" t="e">
            <v>#N/A</v>
          </cell>
          <cell r="AB161" t="e">
            <v>#N/A</v>
          </cell>
        </row>
        <row r="162">
          <cell r="X162" t="e">
            <v>#N/A</v>
          </cell>
          <cell r="AB162" t="e">
            <v>#N/A</v>
          </cell>
        </row>
        <row r="163">
          <cell r="X163" t="e">
            <v>#N/A</v>
          </cell>
          <cell r="AB163" t="e">
            <v>#N/A</v>
          </cell>
        </row>
        <row r="164">
          <cell r="X164" t="e">
            <v>#N/A</v>
          </cell>
          <cell r="AB164" t="e">
            <v>#N/A</v>
          </cell>
        </row>
        <row r="165">
          <cell r="X165" t="e">
            <v>#N/A</v>
          </cell>
          <cell r="AB165" t="e">
            <v>#N/A</v>
          </cell>
        </row>
        <row r="166">
          <cell r="X166" t="e">
            <v>#N/A</v>
          </cell>
          <cell r="AB166" t="e">
            <v>#N/A</v>
          </cell>
        </row>
        <row r="167">
          <cell r="X167" t="e">
            <v>#N/A</v>
          </cell>
          <cell r="AB167" t="e">
            <v>#N/A</v>
          </cell>
        </row>
        <row r="168">
          <cell r="X168" t="e">
            <v>#N/A</v>
          </cell>
          <cell r="AB168" t="e">
            <v>#N/A</v>
          </cell>
        </row>
        <row r="169">
          <cell r="X169" t="e">
            <v>#N/A</v>
          </cell>
          <cell r="AB169" t="e">
            <v>#N/A</v>
          </cell>
        </row>
        <row r="170">
          <cell r="X170" t="e">
            <v>#N/A</v>
          </cell>
          <cell r="AB170" t="e">
            <v>#N/A</v>
          </cell>
        </row>
        <row r="171">
          <cell r="X171" t="e">
            <v>#N/A</v>
          </cell>
          <cell r="AB171" t="e">
            <v>#N/A</v>
          </cell>
        </row>
        <row r="172">
          <cell r="X172" t="e">
            <v>#N/A</v>
          </cell>
          <cell r="AB172" t="e">
            <v>#N/A</v>
          </cell>
        </row>
        <row r="173">
          <cell r="X173" t="e">
            <v>#N/A</v>
          </cell>
          <cell r="AB173" t="e">
            <v>#N/A</v>
          </cell>
        </row>
        <row r="174">
          <cell r="X174" t="e">
            <v>#N/A</v>
          </cell>
          <cell r="AB174" t="e">
            <v>#N/A</v>
          </cell>
        </row>
        <row r="175">
          <cell r="X175" t="e">
            <v>#N/A</v>
          </cell>
          <cell r="AB175" t="e">
            <v>#N/A</v>
          </cell>
        </row>
        <row r="176">
          <cell r="X176" t="e">
            <v>#N/A</v>
          </cell>
          <cell r="AB176" t="e">
            <v>#N/A</v>
          </cell>
        </row>
        <row r="177">
          <cell r="X177" t="e">
            <v>#N/A</v>
          </cell>
          <cell r="AB177" t="e">
            <v>#N/A</v>
          </cell>
        </row>
        <row r="178">
          <cell r="X178" t="e">
            <v>#N/A</v>
          </cell>
          <cell r="AB178" t="e">
            <v>#N/A</v>
          </cell>
        </row>
        <row r="179">
          <cell r="X179" t="e">
            <v>#N/A</v>
          </cell>
          <cell r="AB179" t="e">
            <v>#N/A</v>
          </cell>
        </row>
        <row r="180">
          <cell r="X180" t="e">
            <v>#N/A</v>
          </cell>
          <cell r="AB180" t="e">
            <v>#N/A</v>
          </cell>
        </row>
        <row r="181">
          <cell r="X181" t="e">
            <v>#N/A</v>
          </cell>
          <cell r="AB181" t="e">
            <v>#N/A</v>
          </cell>
        </row>
        <row r="182">
          <cell r="X182" t="e">
            <v>#N/A</v>
          </cell>
          <cell r="AB182" t="e">
            <v>#N/A</v>
          </cell>
        </row>
        <row r="183">
          <cell r="X183" t="e">
            <v>#N/A</v>
          </cell>
          <cell r="AB183" t="e">
            <v>#N/A</v>
          </cell>
        </row>
        <row r="184">
          <cell r="X184" t="e">
            <v>#N/A</v>
          </cell>
          <cell r="AB184" t="e">
            <v>#N/A</v>
          </cell>
        </row>
        <row r="185">
          <cell r="X185" t="e">
            <v>#N/A</v>
          </cell>
          <cell r="AB185" t="e">
            <v>#N/A</v>
          </cell>
        </row>
        <row r="186">
          <cell r="X186" t="e">
            <v>#N/A</v>
          </cell>
          <cell r="AB186" t="e">
            <v>#N/A</v>
          </cell>
        </row>
        <row r="187">
          <cell r="X187" t="e">
            <v>#N/A</v>
          </cell>
          <cell r="AB187" t="e">
            <v>#N/A</v>
          </cell>
        </row>
        <row r="188">
          <cell r="X188" t="e">
            <v>#N/A</v>
          </cell>
          <cell r="AB188" t="e">
            <v>#N/A</v>
          </cell>
        </row>
        <row r="189">
          <cell r="X189" t="e">
            <v>#N/A</v>
          </cell>
          <cell r="AB189" t="e">
            <v>#N/A</v>
          </cell>
        </row>
        <row r="190">
          <cell r="X190" t="e">
            <v>#N/A</v>
          </cell>
          <cell r="AB190" t="e">
            <v>#N/A</v>
          </cell>
        </row>
        <row r="191">
          <cell r="X191" t="e">
            <v>#N/A</v>
          </cell>
          <cell r="AB191" t="e">
            <v>#N/A</v>
          </cell>
        </row>
        <row r="192">
          <cell r="X192" t="e">
            <v>#N/A</v>
          </cell>
          <cell r="AB192" t="e">
            <v>#N/A</v>
          </cell>
        </row>
        <row r="193">
          <cell r="X193" t="e">
            <v>#N/A</v>
          </cell>
          <cell r="AB193" t="e">
            <v>#N/A</v>
          </cell>
        </row>
        <row r="194">
          <cell r="X194" t="e">
            <v>#N/A</v>
          </cell>
          <cell r="AB194" t="e">
            <v>#N/A</v>
          </cell>
        </row>
        <row r="195">
          <cell r="X195" t="e">
            <v>#N/A</v>
          </cell>
          <cell r="AB195" t="e">
            <v>#N/A</v>
          </cell>
        </row>
        <row r="196">
          <cell r="X196" t="e">
            <v>#N/A</v>
          </cell>
          <cell r="AB196" t="e">
            <v>#N/A</v>
          </cell>
        </row>
        <row r="197">
          <cell r="X197" t="e">
            <v>#N/A</v>
          </cell>
          <cell r="AB197" t="e">
            <v>#N/A</v>
          </cell>
        </row>
        <row r="198">
          <cell r="X198" t="e">
            <v>#N/A</v>
          </cell>
          <cell r="AB198" t="e">
            <v>#N/A</v>
          </cell>
        </row>
        <row r="199">
          <cell r="X199" t="e">
            <v>#N/A</v>
          </cell>
          <cell r="AB199" t="e">
            <v>#N/A</v>
          </cell>
        </row>
        <row r="200">
          <cell r="X200" t="e">
            <v>#N/A</v>
          </cell>
          <cell r="AB200" t="e">
            <v>#N/A</v>
          </cell>
        </row>
        <row r="201">
          <cell r="X201" t="e">
            <v>#N/A</v>
          </cell>
          <cell r="AB201" t="e">
            <v>#N/A</v>
          </cell>
        </row>
        <row r="202">
          <cell r="X202" t="e">
            <v>#N/A</v>
          </cell>
          <cell r="AB202" t="e">
            <v>#N/A</v>
          </cell>
        </row>
        <row r="203">
          <cell r="X203" t="e">
            <v>#N/A</v>
          </cell>
          <cell r="AB203" t="e">
            <v>#N/A</v>
          </cell>
        </row>
        <row r="204">
          <cell r="X204" t="e">
            <v>#N/A</v>
          </cell>
          <cell r="AB204" t="e">
            <v>#N/A</v>
          </cell>
        </row>
        <row r="205">
          <cell r="X205" t="e">
            <v>#N/A</v>
          </cell>
          <cell r="AB205" t="e">
            <v>#N/A</v>
          </cell>
        </row>
        <row r="206">
          <cell r="X206" t="e">
            <v>#N/A</v>
          </cell>
          <cell r="AB206" t="e">
            <v>#N/A</v>
          </cell>
        </row>
        <row r="207">
          <cell r="X207" t="e">
            <v>#N/A</v>
          </cell>
          <cell r="AB207" t="e">
            <v>#N/A</v>
          </cell>
        </row>
        <row r="208">
          <cell r="X208" t="e">
            <v>#N/A</v>
          </cell>
          <cell r="AB208" t="e">
            <v>#N/A</v>
          </cell>
        </row>
        <row r="209">
          <cell r="X209" t="e">
            <v>#N/A</v>
          </cell>
          <cell r="AB209" t="e">
            <v>#N/A</v>
          </cell>
        </row>
        <row r="210">
          <cell r="X210" t="e">
            <v>#N/A</v>
          </cell>
          <cell r="AB210" t="e">
            <v>#N/A</v>
          </cell>
        </row>
        <row r="211">
          <cell r="X211" t="e">
            <v>#N/A</v>
          </cell>
          <cell r="AB211" t="e">
            <v>#N/A</v>
          </cell>
        </row>
        <row r="212">
          <cell r="X212" t="e">
            <v>#N/A</v>
          </cell>
          <cell r="AB212" t="e">
            <v>#N/A</v>
          </cell>
        </row>
        <row r="213">
          <cell r="X213" t="e">
            <v>#N/A</v>
          </cell>
          <cell r="AB213" t="e">
            <v>#N/A</v>
          </cell>
        </row>
        <row r="214">
          <cell r="X214" t="e">
            <v>#N/A</v>
          </cell>
          <cell r="AB214" t="e">
            <v>#N/A</v>
          </cell>
        </row>
        <row r="215">
          <cell r="X215" t="e">
            <v>#N/A</v>
          </cell>
          <cell r="AB215" t="e">
            <v>#N/A</v>
          </cell>
        </row>
        <row r="216">
          <cell r="X216" t="e">
            <v>#N/A</v>
          </cell>
          <cell r="AB216" t="e">
            <v>#N/A</v>
          </cell>
        </row>
        <row r="217">
          <cell r="X217" t="e">
            <v>#N/A</v>
          </cell>
          <cell r="AB217" t="e">
            <v>#N/A</v>
          </cell>
        </row>
        <row r="218">
          <cell r="X218" t="e">
            <v>#N/A</v>
          </cell>
          <cell r="AB218" t="e">
            <v>#N/A</v>
          </cell>
        </row>
        <row r="219">
          <cell r="X219" t="e">
            <v>#N/A</v>
          </cell>
          <cell r="AB219" t="e">
            <v>#N/A</v>
          </cell>
        </row>
        <row r="220">
          <cell r="X220" t="e">
            <v>#N/A</v>
          </cell>
          <cell r="AB220" t="e">
            <v>#N/A</v>
          </cell>
        </row>
        <row r="221">
          <cell r="X221" t="e">
            <v>#N/A</v>
          </cell>
          <cell r="AB221" t="e">
            <v>#N/A</v>
          </cell>
        </row>
        <row r="222">
          <cell r="X222" t="e">
            <v>#N/A</v>
          </cell>
          <cell r="AB222" t="e">
            <v>#N/A</v>
          </cell>
        </row>
        <row r="223">
          <cell r="X223" t="e">
            <v>#N/A</v>
          </cell>
          <cell r="AB223" t="e">
            <v>#N/A</v>
          </cell>
        </row>
        <row r="224">
          <cell r="X224" t="e">
            <v>#N/A</v>
          </cell>
          <cell r="AB224" t="e">
            <v>#N/A</v>
          </cell>
        </row>
        <row r="225">
          <cell r="X225" t="e">
            <v>#N/A</v>
          </cell>
          <cell r="AB225" t="e">
            <v>#N/A</v>
          </cell>
        </row>
        <row r="226">
          <cell r="X226" t="e">
            <v>#N/A</v>
          </cell>
          <cell r="AB226" t="e">
            <v>#N/A</v>
          </cell>
        </row>
        <row r="227">
          <cell r="X227" t="e">
            <v>#N/A</v>
          </cell>
          <cell r="AB227" t="e">
            <v>#N/A</v>
          </cell>
        </row>
        <row r="228">
          <cell r="X228" t="e">
            <v>#N/A</v>
          </cell>
          <cell r="AB228" t="e">
            <v>#N/A</v>
          </cell>
        </row>
        <row r="229">
          <cell r="X229" t="e">
            <v>#N/A</v>
          </cell>
          <cell r="AB229" t="e">
            <v>#N/A</v>
          </cell>
        </row>
        <row r="230">
          <cell r="X230" t="e">
            <v>#N/A</v>
          </cell>
          <cell r="AB230" t="e">
            <v>#N/A</v>
          </cell>
        </row>
        <row r="231">
          <cell r="X231" t="e">
            <v>#N/A</v>
          </cell>
          <cell r="AB231" t="e">
            <v>#N/A</v>
          </cell>
        </row>
        <row r="232">
          <cell r="X232" t="e">
            <v>#N/A</v>
          </cell>
          <cell r="AB232" t="e">
            <v>#N/A</v>
          </cell>
        </row>
        <row r="233">
          <cell r="X233" t="e">
            <v>#N/A</v>
          </cell>
          <cell r="AB233" t="e">
            <v>#N/A</v>
          </cell>
        </row>
        <row r="234">
          <cell r="X234" t="e">
            <v>#N/A</v>
          </cell>
          <cell r="AB234" t="e">
            <v>#N/A</v>
          </cell>
        </row>
        <row r="235">
          <cell r="X235" t="e">
            <v>#N/A</v>
          </cell>
          <cell r="AB235" t="e">
            <v>#N/A</v>
          </cell>
        </row>
        <row r="236">
          <cell r="X236" t="e">
            <v>#N/A</v>
          </cell>
          <cell r="AB236" t="e">
            <v>#N/A</v>
          </cell>
        </row>
        <row r="237">
          <cell r="X237" t="e">
            <v>#N/A</v>
          </cell>
          <cell r="AB237" t="e">
            <v>#N/A</v>
          </cell>
        </row>
        <row r="238">
          <cell r="X238" t="e">
            <v>#N/A</v>
          </cell>
          <cell r="AB238" t="e">
            <v>#N/A</v>
          </cell>
        </row>
        <row r="239">
          <cell r="X239" t="e">
            <v>#N/A</v>
          </cell>
          <cell r="AB239" t="e">
            <v>#N/A</v>
          </cell>
        </row>
        <row r="240">
          <cell r="X240" t="e">
            <v>#N/A</v>
          </cell>
          <cell r="AB240" t="e">
            <v>#N/A</v>
          </cell>
        </row>
        <row r="241">
          <cell r="X241" t="e">
            <v>#N/A</v>
          </cell>
          <cell r="AB241" t="e">
            <v>#N/A</v>
          </cell>
        </row>
        <row r="242">
          <cell r="X242" t="e">
            <v>#N/A</v>
          </cell>
          <cell r="AB242" t="e">
            <v>#N/A</v>
          </cell>
        </row>
        <row r="243">
          <cell r="X243" t="e">
            <v>#N/A</v>
          </cell>
          <cell r="AB243" t="e">
            <v>#N/A</v>
          </cell>
        </row>
        <row r="244">
          <cell r="X244" t="e">
            <v>#N/A</v>
          </cell>
          <cell r="AB244" t="e">
            <v>#N/A</v>
          </cell>
        </row>
        <row r="245">
          <cell r="X245" t="e">
            <v>#N/A</v>
          </cell>
          <cell r="AB245" t="e">
            <v>#N/A</v>
          </cell>
        </row>
        <row r="246">
          <cell r="X246" t="e">
            <v>#N/A</v>
          </cell>
          <cell r="AB246" t="e">
            <v>#N/A</v>
          </cell>
        </row>
        <row r="247">
          <cell r="X247" t="e">
            <v>#N/A</v>
          </cell>
          <cell r="AB247" t="e">
            <v>#N/A</v>
          </cell>
        </row>
        <row r="248">
          <cell r="X248" t="e">
            <v>#N/A</v>
          </cell>
          <cell r="AB248" t="e">
            <v>#N/A</v>
          </cell>
        </row>
        <row r="249">
          <cell r="X249" t="e">
            <v>#N/A</v>
          </cell>
          <cell r="AB249" t="e">
            <v>#N/A</v>
          </cell>
        </row>
        <row r="250">
          <cell r="X250" t="e">
            <v>#N/A</v>
          </cell>
          <cell r="AB250" t="e">
            <v>#N/A</v>
          </cell>
        </row>
        <row r="251">
          <cell r="X251" t="e">
            <v>#N/A</v>
          </cell>
          <cell r="AB251" t="e">
            <v>#N/A</v>
          </cell>
        </row>
        <row r="252">
          <cell r="X252" t="e">
            <v>#N/A</v>
          </cell>
          <cell r="AB252" t="e">
            <v>#N/A</v>
          </cell>
        </row>
        <row r="253">
          <cell r="X253" t="e">
            <v>#N/A</v>
          </cell>
          <cell r="AB253" t="e">
            <v>#N/A</v>
          </cell>
        </row>
        <row r="254">
          <cell r="X254" t="e">
            <v>#N/A</v>
          </cell>
          <cell r="AB254" t="e">
            <v>#N/A</v>
          </cell>
        </row>
        <row r="255">
          <cell r="X255" t="e">
            <v>#N/A</v>
          </cell>
          <cell r="AB255" t="e">
            <v>#N/A</v>
          </cell>
        </row>
        <row r="256">
          <cell r="X256" t="e">
            <v>#N/A</v>
          </cell>
          <cell r="AB256" t="e">
            <v>#N/A</v>
          </cell>
        </row>
        <row r="257">
          <cell r="X257" t="e">
            <v>#N/A</v>
          </cell>
          <cell r="AB257" t="e">
            <v>#N/A</v>
          </cell>
        </row>
        <row r="258">
          <cell r="X258" t="e">
            <v>#N/A</v>
          </cell>
          <cell r="AB258" t="e">
            <v>#N/A</v>
          </cell>
        </row>
        <row r="259">
          <cell r="X259" t="e">
            <v>#N/A</v>
          </cell>
          <cell r="AB259" t="e">
            <v>#N/A</v>
          </cell>
        </row>
        <row r="260">
          <cell r="X260" t="e">
            <v>#N/A</v>
          </cell>
          <cell r="AB260" t="e">
            <v>#N/A</v>
          </cell>
        </row>
        <row r="261">
          <cell r="X261" t="e">
            <v>#N/A</v>
          </cell>
          <cell r="AB261" t="e">
            <v>#N/A</v>
          </cell>
        </row>
        <row r="262">
          <cell r="X262" t="e">
            <v>#N/A</v>
          </cell>
          <cell r="AB262" t="e">
            <v>#N/A</v>
          </cell>
        </row>
        <row r="263">
          <cell r="X263" t="e">
            <v>#N/A</v>
          </cell>
          <cell r="AB263" t="e">
            <v>#N/A</v>
          </cell>
        </row>
        <row r="264">
          <cell r="X264" t="e">
            <v>#N/A</v>
          </cell>
          <cell r="AB264" t="e">
            <v>#N/A</v>
          </cell>
        </row>
        <row r="265">
          <cell r="X265" t="e">
            <v>#N/A</v>
          </cell>
          <cell r="AB265" t="e">
            <v>#N/A</v>
          </cell>
        </row>
        <row r="266">
          <cell r="X266" t="e">
            <v>#N/A</v>
          </cell>
          <cell r="AB266" t="e">
            <v>#N/A</v>
          </cell>
        </row>
        <row r="267">
          <cell r="X267" t="e">
            <v>#N/A</v>
          </cell>
          <cell r="AB267" t="e">
            <v>#N/A</v>
          </cell>
        </row>
        <row r="268">
          <cell r="X268" t="e">
            <v>#N/A</v>
          </cell>
          <cell r="AB268" t="e">
            <v>#N/A</v>
          </cell>
        </row>
        <row r="269">
          <cell r="X269" t="e">
            <v>#N/A</v>
          </cell>
          <cell r="AB269" t="e">
            <v>#N/A</v>
          </cell>
        </row>
        <row r="270">
          <cell r="X270" t="e">
            <v>#N/A</v>
          </cell>
          <cell r="AB270" t="e">
            <v>#N/A</v>
          </cell>
        </row>
        <row r="271">
          <cell r="X271" t="e">
            <v>#N/A</v>
          </cell>
          <cell r="AB271" t="e">
            <v>#N/A</v>
          </cell>
        </row>
        <row r="272">
          <cell r="X272" t="e">
            <v>#N/A</v>
          </cell>
          <cell r="AB272" t="e">
            <v>#N/A</v>
          </cell>
        </row>
        <row r="273">
          <cell r="X273" t="e">
            <v>#N/A</v>
          </cell>
          <cell r="AB273" t="e">
            <v>#N/A</v>
          </cell>
        </row>
        <row r="274">
          <cell r="X274" t="e">
            <v>#N/A</v>
          </cell>
          <cell r="AB274" t="e">
            <v>#N/A</v>
          </cell>
        </row>
        <row r="275">
          <cell r="X275" t="e">
            <v>#N/A</v>
          </cell>
          <cell r="AB275" t="e">
            <v>#N/A</v>
          </cell>
        </row>
        <row r="276">
          <cell r="X276" t="e">
            <v>#N/A</v>
          </cell>
          <cell r="AB276" t="e">
            <v>#N/A</v>
          </cell>
        </row>
        <row r="277">
          <cell r="X277" t="e">
            <v>#N/A</v>
          </cell>
          <cell r="AB277" t="e">
            <v>#N/A</v>
          </cell>
        </row>
        <row r="278">
          <cell r="X278" t="e">
            <v>#N/A</v>
          </cell>
          <cell r="AB278" t="e">
            <v>#N/A</v>
          </cell>
        </row>
        <row r="279">
          <cell r="X279" t="e">
            <v>#N/A</v>
          </cell>
          <cell r="AB279" t="e">
            <v>#N/A</v>
          </cell>
        </row>
        <row r="280">
          <cell r="X280" t="e">
            <v>#N/A</v>
          </cell>
          <cell r="AB280" t="e">
            <v>#N/A</v>
          </cell>
        </row>
        <row r="281">
          <cell r="X281" t="e">
            <v>#N/A</v>
          </cell>
          <cell r="AB281" t="e">
            <v>#N/A</v>
          </cell>
        </row>
        <row r="282">
          <cell r="X282" t="e">
            <v>#N/A</v>
          </cell>
          <cell r="AB282" t="e">
            <v>#N/A</v>
          </cell>
        </row>
        <row r="283">
          <cell r="X283" t="e">
            <v>#N/A</v>
          </cell>
          <cell r="AB283" t="e">
            <v>#N/A</v>
          </cell>
        </row>
        <row r="284">
          <cell r="X284" t="e">
            <v>#N/A</v>
          </cell>
          <cell r="AB284" t="e">
            <v>#N/A</v>
          </cell>
        </row>
        <row r="285">
          <cell r="X285" t="e">
            <v>#N/A</v>
          </cell>
          <cell r="AB285" t="e">
            <v>#N/A</v>
          </cell>
        </row>
        <row r="286">
          <cell r="X286" t="e">
            <v>#N/A</v>
          </cell>
          <cell r="AB286" t="e">
            <v>#N/A</v>
          </cell>
        </row>
        <row r="287">
          <cell r="X287" t="e">
            <v>#N/A</v>
          </cell>
          <cell r="AB287" t="e">
            <v>#N/A</v>
          </cell>
        </row>
        <row r="288">
          <cell r="X288" t="e">
            <v>#N/A</v>
          </cell>
          <cell r="AB288" t="e">
            <v>#N/A</v>
          </cell>
        </row>
        <row r="289">
          <cell r="X289" t="e">
            <v>#N/A</v>
          </cell>
          <cell r="AB289" t="e">
            <v>#N/A</v>
          </cell>
        </row>
        <row r="290">
          <cell r="X290" t="e">
            <v>#N/A</v>
          </cell>
          <cell r="AB290" t="e">
            <v>#N/A</v>
          </cell>
        </row>
        <row r="291">
          <cell r="X291" t="e">
            <v>#N/A</v>
          </cell>
          <cell r="AB291" t="e">
            <v>#N/A</v>
          </cell>
        </row>
        <row r="292">
          <cell r="X292" t="e">
            <v>#N/A</v>
          </cell>
          <cell r="AB292" t="e">
            <v>#N/A</v>
          </cell>
        </row>
        <row r="293">
          <cell r="X293" t="e">
            <v>#N/A</v>
          </cell>
          <cell r="AB293" t="e">
            <v>#N/A</v>
          </cell>
        </row>
        <row r="294">
          <cell r="X294" t="e">
            <v>#N/A</v>
          </cell>
          <cell r="AB294" t="e">
            <v>#N/A</v>
          </cell>
        </row>
        <row r="295">
          <cell r="X295" t="e">
            <v>#N/A</v>
          </cell>
          <cell r="AB295" t="e">
            <v>#N/A</v>
          </cell>
        </row>
        <row r="296">
          <cell r="X296" t="e">
            <v>#N/A</v>
          </cell>
          <cell r="AB296" t="e">
            <v>#N/A</v>
          </cell>
        </row>
        <row r="297">
          <cell r="X297" t="e">
            <v>#N/A</v>
          </cell>
          <cell r="AB297" t="e">
            <v>#N/A</v>
          </cell>
        </row>
        <row r="298">
          <cell r="X298" t="e">
            <v>#N/A</v>
          </cell>
          <cell r="AB298" t="e">
            <v>#N/A</v>
          </cell>
        </row>
        <row r="299">
          <cell r="X299" t="e">
            <v>#N/A</v>
          </cell>
          <cell r="AB299" t="e">
            <v>#N/A</v>
          </cell>
        </row>
        <row r="300">
          <cell r="X300" t="e">
            <v>#N/A</v>
          </cell>
          <cell r="AB300" t="e">
            <v>#N/A</v>
          </cell>
        </row>
        <row r="301">
          <cell r="X301" t="e">
            <v>#N/A</v>
          </cell>
          <cell r="AB301" t="e">
            <v>#N/A</v>
          </cell>
        </row>
        <row r="302">
          <cell r="X302" t="e">
            <v>#N/A</v>
          </cell>
          <cell r="AB302" t="e">
            <v>#N/A</v>
          </cell>
        </row>
        <row r="303">
          <cell r="X303" t="e">
            <v>#N/A</v>
          </cell>
          <cell r="AB303" t="e">
            <v>#N/A</v>
          </cell>
        </row>
        <row r="304">
          <cell r="X304" t="e">
            <v>#N/A</v>
          </cell>
          <cell r="AB304" t="e">
            <v>#N/A</v>
          </cell>
        </row>
        <row r="305">
          <cell r="X305" t="e">
            <v>#N/A</v>
          </cell>
          <cell r="AB305" t="e">
            <v>#N/A</v>
          </cell>
        </row>
        <row r="306">
          <cell r="X306" t="e">
            <v>#N/A</v>
          </cell>
          <cell r="AB306" t="e">
            <v>#N/A</v>
          </cell>
        </row>
        <row r="307">
          <cell r="X307" t="e">
            <v>#N/A</v>
          </cell>
          <cell r="AB307" t="e">
            <v>#N/A</v>
          </cell>
        </row>
        <row r="308">
          <cell r="X308" t="e">
            <v>#N/A</v>
          </cell>
          <cell r="AB308" t="e">
            <v>#N/A</v>
          </cell>
        </row>
        <row r="309">
          <cell r="X309" t="e">
            <v>#N/A</v>
          </cell>
          <cell r="AB309" t="e">
            <v>#N/A</v>
          </cell>
        </row>
        <row r="310">
          <cell r="X310" t="e">
            <v>#N/A</v>
          </cell>
          <cell r="AB310" t="e">
            <v>#N/A</v>
          </cell>
        </row>
        <row r="311">
          <cell r="X311" t="e">
            <v>#N/A</v>
          </cell>
          <cell r="AB311" t="e">
            <v>#N/A</v>
          </cell>
        </row>
        <row r="312">
          <cell r="X312" t="e">
            <v>#N/A</v>
          </cell>
          <cell r="AB312" t="e">
            <v>#N/A</v>
          </cell>
        </row>
        <row r="313">
          <cell r="X313" t="e">
            <v>#N/A</v>
          </cell>
          <cell r="AB313" t="e">
            <v>#N/A</v>
          </cell>
        </row>
        <row r="314">
          <cell r="X314" t="e">
            <v>#N/A</v>
          </cell>
          <cell r="AB314" t="e">
            <v>#N/A</v>
          </cell>
        </row>
        <row r="315">
          <cell r="X315" t="e">
            <v>#N/A</v>
          </cell>
          <cell r="AB315" t="e">
            <v>#N/A</v>
          </cell>
        </row>
        <row r="316">
          <cell r="X316" t="e">
            <v>#N/A</v>
          </cell>
          <cell r="AB316" t="e">
            <v>#N/A</v>
          </cell>
        </row>
        <row r="317">
          <cell r="X317" t="e">
            <v>#N/A</v>
          </cell>
          <cell r="AB317" t="e">
            <v>#N/A</v>
          </cell>
        </row>
        <row r="318">
          <cell r="X318" t="e">
            <v>#N/A</v>
          </cell>
          <cell r="AB318" t="e">
            <v>#N/A</v>
          </cell>
        </row>
        <row r="319">
          <cell r="X319" t="e">
            <v>#N/A</v>
          </cell>
          <cell r="AB319" t="e">
            <v>#N/A</v>
          </cell>
        </row>
        <row r="320">
          <cell r="X320" t="e">
            <v>#N/A</v>
          </cell>
          <cell r="AB320" t="e">
            <v>#N/A</v>
          </cell>
        </row>
        <row r="321">
          <cell r="X321" t="e">
            <v>#N/A</v>
          </cell>
          <cell r="AB321" t="e">
            <v>#N/A</v>
          </cell>
        </row>
        <row r="322">
          <cell r="X322" t="e">
            <v>#N/A</v>
          </cell>
          <cell r="AB322" t="e">
            <v>#N/A</v>
          </cell>
        </row>
        <row r="323">
          <cell r="X323" t="e">
            <v>#N/A</v>
          </cell>
          <cell r="AB323" t="e">
            <v>#N/A</v>
          </cell>
        </row>
        <row r="324">
          <cell r="X324" t="e">
            <v>#N/A</v>
          </cell>
          <cell r="AB324" t="e">
            <v>#N/A</v>
          </cell>
        </row>
        <row r="325">
          <cell r="X325" t="e">
            <v>#N/A</v>
          </cell>
          <cell r="AB325" t="e">
            <v>#N/A</v>
          </cell>
        </row>
        <row r="326">
          <cell r="X326" t="e">
            <v>#N/A</v>
          </cell>
          <cell r="AB326" t="e">
            <v>#N/A</v>
          </cell>
        </row>
        <row r="327">
          <cell r="X327" t="e">
            <v>#N/A</v>
          </cell>
          <cell r="AB327" t="e">
            <v>#N/A</v>
          </cell>
        </row>
        <row r="328">
          <cell r="X328" t="e">
            <v>#N/A</v>
          </cell>
          <cell r="AB328" t="e">
            <v>#N/A</v>
          </cell>
        </row>
        <row r="329">
          <cell r="X329" t="e">
            <v>#N/A</v>
          </cell>
          <cell r="AB329" t="e">
            <v>#N/A</v>
          </cell>
        </row>
        <row r="330">
          <cell r="X330" t="e">
            <v>#N/A</v>
          </cell>
          <cell r="AB330" t="e">
            <v>#N/A</v>
          </cell>
        </row>
        <row r="331">
          <cell r="X331" t="e">
            <v>#N/A</v>
          </cell>
          <cell r="AB331" t="e">
            <v>#N/A</v>
          </cell>
        </row>
        <row r="332">
          <cell r="X332" t="e">
            <v>#N/A</v>
          </cell>
          <cell r="AB332" t="e">
            <v>#N/A</v>
          </cell>
        </row>
        <row r="333">
          <cell r="X333" t="e">
            <v>#N/A</v>
          </cell>
          <cell r="AB333" t="e">
            <v>#N/A</v>
          </cell>
        </row>
        <row r="334">
          <cell r="X334" t="e">
            <v>#N/A</v>
          </cell>
          <cell r="AB334" t="e">
            <v>#N/A</v>
          </cell>
        </row>
        <row r="335">
          <cell r="X335" t="e">
            <v>#N/A</v>
          </cell>
          <cell r="AB335" t="e">
            <v>#N/A</v>
          </cell>
        </row>
        <row r="336">
          <cell r="X336" t="e">
            <v>#N/A</v>
          </cell>
          <cell r="AB336" t="e">
            <v>#N/A</v>
          </cell>
        </row>
        <row r="337">
          <cell r="X337" t="e">
            <v>#N/A</v>
          </cell>
          <cell r="AB337" t="e">
            <v>#N/A</v>
          </cell>
        </row>
        <row r="338">
          <cell r="X338" t="e">
            <v>#N/A</v>
          </cell>
          <cell r="AB338" t="e">
            <v>#N/A</v>
          </cell>
        </row>
        <row r="339">
          <cell r="X339" t="e">
            <v>#N/A</v>
          </cell>
          <cell r="AB339" t="e">
            <v>#N/A</v>
          </cell>
        </row>
        <row r="340">
          <cell r="X340" t="e">
            <v>#N/A</v>
          </cell>
          <cell r="AB340" t="e">
            <v>#N/A</v>
          </cell>
        </row>
        <row r="341">
          <cell r="X341" t="e">
            <v>#N/A</v>
          </cell>
          <cell r="AB341" t="e">
            <v>#N/A</v>
          </cell>
        </row>
        <row r="342">
          <cell r="X342" t="e">
            <v>#N/A</v>
          </cell>
          <cell r="AB342" t="e">
            <v>#N/A</v>
          </cell>
        </row>
        <row r="343">
          <cell r="X343" t="e">
            <v>#N/A</v>
          </cell>
          <cell r="AB343" t="e">
            <v>#N/A</v>
          </cell>
        </row>
        <row r="344">
          <cell r="X344" t="e">
            <v>#N/A</v>
          </cell>
          <cell r="AB344" t="e">
            <v>#N/A</v>
          </cell>
        </row>
        <row r="345">
          <cell r="X345" t="e">
            <v>#N/A</v>
          </cell>
          <cell r="AB345" t="e">
            <v>#N/A</v>
          </cell>
        </row>
        <row r="346">
          <cell r="X346" t="e">
            <v>#N/A</v>
          </cell>
          <cell r="AB346" t="e">
            <v>#N/A</v>
          </cell>
        </row>
        <row r="347">
          <cell r="X347" t="e">
            <v>#N/A</v>
          </cell>
          <cell r="AB347" t="e">
            <v>#N/A</v>
          </cell>
        </row>
        <row r="348">
          <cell r="X348" t="e">
            <v>#N/A</v>
          </cell>
          <cell r="AB348" t="e">
            <v>#N/A</v>
          </cell>
        </row>
        <row r="349">
          <cell r="X349" t="e">
            <v>#N/A</v>
          </cell>
          <cell r="AB349" t="e">
            <v>#N/A</v>
          </cell>
        </row>
        <row r="350">
          <cell r="X350" t="e">
            <v>#N/A</v>
          </cell>
          <cell r="AB350" t="e">
            <v>#N/A</v>
          </cell>
        </row>
        <row r="351">
          <cell r="X351" t="e">
            <v>#N/A</v>
          </cell>
          <cell r="AB351" t="e">
            <v>#N/A</v>
          </cell>
        </row>
        <row r="352">
          <cell r="X352" t="e">
            <v>#N/A</v>
          </cell>
          <cell r="AB352" t="e">
            <v>#N/A</v>
          </cell>
        </row>
        <row r="353">
          <cell r="X353" t="e">
            <v>#N/A</v>
          </cell>
          <cell r="AB353" t="e">
            <v>#N/A</v>
          </cell>
        </row>
        <row r="354">
          <cell r="X354" t="e">
            <v>#N/A</v>
          </cell>
          <cell r="AB354" t="e">
            <v>#N/A</v>
          </cell>
        </row>
        <row r="355">
          <cell r="X355" t="e">
            <v>#N/A</v>
          </cell>
          <cell r="AB355" t="e">
            <v>#N/A</v>
          </cell>
        </row>
        <row r="356">
          <cell r="X356" t="e">
            <v>#N/A</v>
          </cell>
          <cell r="AB356" t="e">
            <v>#N/A</v>
          </cell>
        </row>
        <row r="357">
          <cell r="X357" t="e">
            <v>#N/A</v>
          </cell>
          <cell r="AB357" t="e">
            <v>#N/A</v>
          </cell>
        </row>
        <row r="358">
          <cell r="X358" t="e">
            <v>#N/A</v>
          </cell>
          <cell r="AB358" t="e">
            <v>#N/A</v>
          </cell>
        </row>
        <row r="359">
          <cell r="X359" t="e">
            <v>#N/A</v>
          </cell>
          <cell r="AB359" t="e">
            <v>#N/A</v>
          </cell>
        </row>
        <row r="360">
          <cell r="X360" t="e">
            <v>#N/A</v>
          </cell>
          <cell r="AB360" t="e">
            <v>#N/A</v>
          </cell>
        </row>
        <row r="361">
          <cell r="X361" t="e">
            <v>#N/A</v>
          </cell>
          <cell r="AB361" t="e">
            <v>#N/A</v>
          </cell>
        </row>
        <row r="362">
          <cell r="X362" t="e">
            <v>#N/A</v>
          </cell>
          <cell r="AB362" t="e">
            <v>#N/A</v>
          </cell>
        </row>
        <row r="363">
          <cell r="X363" t="e">
            <v>#N/A</v>
          </cell>
          <cell r="AB363" t="e">
            <v>#N/A</v>
          </cell>
        </row>
        <row r="364">
          <cell r="X364" t="e">
            <v>#N/A</v>
          </cell>
          <cell r="AB364" t="e">
            <v>#N/A</v>
          </cell>
        </row>
        <row r="365">
          <cell r="X365" t="e">
            <v>#N/A</v>
          </cell>
          <cell r="AB365" t="e">
            <v>#N/A</v>
          </cell>
        </row>
        <row r="366">
          <cell r="X366" t="e">
            <v>#N/A</v>
          </cell>
          <cell r="AB366" t="e">
            <v>#N/A</v>
          </cell>
        </row>
        <row r="367">
          <cell r="X367" t="e">
            <v>#N/A</v>
          </cell>
          <cell r="AB367" t="e">
            <v>#N/A</v>
          </cell>
        </row>
        <row r="368">
          <cell r="X368" t="e">
            <v>#N/A</v>
          </cell>
          <cell r="AB368" t="e">
            <v>#N/A</v>
          </cell>
        </row>
        <row r="369">
          <cell r="X369" t="e">
            <v>#N/A</v>
          </cell>
          <cell r="AB369" t="e">
            <v>#N/A</v>
          </cell>
        </row>
        <row r="370">
          <cell r="X370" t="e">
            <v>#N/A</v>
          </cell>
          <cell r="AB370" t="e">
            <v>#N/A</v>
          </cell>
        </row>
        <row r="371">
          <cell r="X371" t="e">
            <v>#N/A</v>
          </cell>
          <cell r="AB371" t="e">
            <v>#N/A</v>
          </cell>
        </row>
        <row r="372">
          <cell r="X372" t="e">
            <v>#N/A</v>
          </cell>
          <cell r="AB372" t="e">
            <v>#N/A</v>
          </cell>
        </row>
        <row r="373">
          <cell r="X373" t="e">
            <v>#N/A</v>
          </cell>
          <cell r="AB373" t="e">
            <v>#N/A</v>
          </cell>
        </row>
        <row r="374">
          <cell r="X374" t="e">
            <v>#N/A</v>
          </cell>
          <cell r="AB374" t="e">
            <v>#N/A</v>
          </cell>
        </row>
        <row r="375">
          <cell r="X375" t="e">
            <v>#N/A</v>
          </cell>
          <cell r="AB375" t="e">
            <v>#N/A</v>
          </cell>
        </row>
        <row r="376">
          <cell r="X376" t="e">
            <v>#N/A</v>
          </cell>
          <cell r="AB376" t="e">
            <v>#N/A</v>
          </cell>
        </row>
        <row r="377">
          <cell r="X377" t="e">
            <v>#N/A</v>
          </cell>
          <cell r="AB377" t="e">
            <v>#N/A</v>
          </cell>
        </row>
        <row r="378">
          <cell r="X378" t="e">
            <v>#N/A</v>
          </cell>
          <cell r="AB378" t="e">
            <v>#N/A</v>
          </cell>
        </row>
        <row r="379">
          <cell r="X379" t="e">
            <v>#N/A</v>
          </cell>
          <cell r="AB379" t="e">
            <v>#N/A</v>
          </cell>
        </row>
        <row r="380">
          <cell r="X380" t="e">
            <v>#N/A</v>
          </cell>
          <cell r="AB380" t="e">
            <v>#N/A</v>
          </cell>
        </row>
        <row r="381">
          <cell r="X381" t="e">
            <v>#N/A</v>
          </cell>
          <cell r="AB381" t="e">
            <v>#N/A</v>
          </cell>
        </row>
        <row r="382">
          <cell r="X382" t="e">
            <v>#N/A</v>
          </cell>
          <cell r="AB382" t="e">
            <v>#N/A</v>
          </cell>
        </row>
        <row r="383">
          <cell r="X383" t="e">
            <v>#N/A</v>
          </cell>
          <cell r="AB383" t="e">
            <v>#N/A</v>
          </cell>
        </row>
        <row r="384">
          <cell r="X384" t="e">
            <v>#N/A</v>
          </cell>
          <cell r="AB384" t="e">
            <v>#N/A</v>
          </cell>
        </row>
        <row r="385">
          <cell r="X385" t="e">
            <v>#N/A</v>
          </cell>
          <cell r="AB385" t="e">
            <v>#N/A</v>
          </cell>
        </row>
        <row r="386">
          <cell r="X386" t="e">
            <v>#N/A</v>
          </cell>
          <cell r="AB386" t="e">
            <v>#N/A</v>
          </cell>
        </row>
        <row r="387">
          <cell r="X387" t="e">
            <v>#N/A</v>
          </cell>
          <cell r="AB387" t="e">
            <v>#N/A</v>
          </cell>
        </row>
        <row r="388">
          <cell r="X388" t="e">
            <v>#N/A</v>
          </cell>
          <cell r="AB388" t="e">
            <v>#N/A</v>
          </cell>
        </row>
        <row r="389">
          <cell r="X389" t="e">
            <v>#N/A</v>
          </cell>
          <cell r="AB389" t="e">
            <v>#N/A</v>
          </cell>
        </row>
        <row r="390">
          <cell r="X390" t="e">
            <v>#N/A</v>
          </cell>
          <cell r="AB390" t="e">
            <v>#N/A</v>
          </cell>
        </row>
        <row r="391">
          <cell r="X391" t="e">
            <v>#N/A</v>
          </cell>
          <cell r="AB391" t="e">
            <v>#N/A</v>
          </cell>
        </row>
        <row r="392">
          <cell r="X392" t="e">
            <v>#N/A</v>
          </cell>
          <cell r="AB392" t="e">
            <v>#N/A</v>
          </cell>
        </row>
        <row r="393">
          <cell r="X393" t="e">
            <v>#N/A</v>
          </cell>
          <cell r="AB393" t="e">
            <v>#N/A</v>
          </cell>
        </row>
        <row r="394">
          <cell r="X394" t="e">
            <v>#N/A</v>
          </cell>
          <cell r="AB394" t="e">
            <v>#N/A</v>
          </cell>
        </row>
        <row r="395">
          <cell r="X395" t="e">
            <v>#N/A</v>
          </cell>
          <cell r="AB395" t="e">
            <v>#N/A</v>
          </cell>
        </row>
        <row r="396">
          <cell r="X396" t="e">
            <v>#N/A</v>
          </cell>
          <cell r="AB396" t="e">
            <v>#N/A</v>
          </cell>
        </row>
        <row r="397">
          <cell r="X397" t="e">
            <v>#N/A</v>
          </cell>
          <cell r="AB397" t="e">
            <v>#N/A</v>
          </cell>
        </row>
        <row r="398">
          <cell r="X398" t="e">
            <v>#N/A</v>
          </cell>
          <cell r="AB398" t="e">
            <v>#N/A</v>
          </cell>
        </row>
        <row r="399">
          <cell r="X399" t="e">
            <v>#N/A</v>
          </cell>
          <cell r="AB399" t="e">
            <v>#N/A</v>
          </cell>
        </row>
        <row r="400">
          <cell r="X400" t="e">
            <v>#N/A</v>
          </cell>
          <cell r="AB400" t="e">
            <v>#N/A</v>
          </cell>
        </row>
        <row r="401">
          <cell r="X401" t="e">
            <v>#N/A</v>
          </cell>
          <cell r="AB401" t="e">
            <v>#N/A</v>
          </cell>
        </row>
        <row r="402">
          <cell r="X402" t="e">
            <v>#N/A</v>
          </cell>
          <cell r="AB402" t="e">
            <v>#N/A</v>
          </cell>
        </row>
        <row r="403">
          <cell r="X403" t="e">
            <v>#N/A</v>
          </cell>
          <cell r="AB403" t="e">
            <v>#N/A</v>
          </cell>
        </row>
        <row r="404">
          <cell r="X404" t="e">
            <v>#N/A</v>
          </cell>
          <cell r="AB404" t="e">
            <v>#N/A</v>
          </cell>
        </row>
        <row r="405">
          <cell r="X405" t="e">
            <v>#N/A</v>
          </cell>
          <cell r="AB405" t="e">
            <v>#N/A</v>
          </cell>
        </row>
        <row r="406">
          <cell r="X406" t="e">
            <v>#N/A</v>
          </cell>
          <cell r="AB406" t="e">
            <v>#N/A</v>
          </cell>
        </row>
        <row r="407">
          <cell r="X407" t="e">
            <v>#N/A</v>
          </cell>
          <cell r="AB407" t="e">
            <v>#N/A</v>
          </cell>
        </row>
        <row r="408">
          <cell r="X408" t="e">
            <v>#N/A</v>
          </cell>
          <cell r="AB408" t="e">
            <v>#N/A</v>
          </cell>
        </row>
        <row r="409">
          <cell r="X409" t="e">
            <v>#N/A</v>
          </cell>
          <cell r="AB409" t="e">
            <v>#N/A</v>
          </cell>
        </row>
        <row r="410">
          <cell r="X410" t="e">
            <v>#N/A</v>
          </cell>
          <cell r="AB410" t="e">
            <v>#N/A</v>
          </cell>
        </row>
        <row r="411">
          <cell r="X411" t="e">
            <v>#N/A</v>
          </cell>
          <cell r="AB411" t="e">
            <v>#N/A</v>
          </cell>
        </row>
        <row r="412">
          <cell r="X412" t="e">
            <v>#N/A</v>
          </cell>
          <cell r="AB412" t="e">
            <v>#N/A</v>
          </cell>
        </row>
        <row r="413">
          <cell r="X413" t="e">
            <v>#N/A</v>
          </cell>
          <cell r="AB413" t="e">
            <v>#N/A</v>
          </cell>
        </row>
        <row r="414">
          <cell r="X414" t="e">
            <v>#N/A</v>
          </cell>
          <cell r="AB414" t="e">
            <v>#N/A</v>
          </cell>
        </row>
        <row r="415">
          <cell r="X415" t="e">
            <v>#N/A</v>
          </cell>
          <cell r="AB415" t="e">
            <v>#N/A</v>
          </cell>
        </row>
        <row r="416">
          <cell r="X416" t="e">
            <v>#N/A</v>
          </cell>
          <cell r="AB416" t="e">
            <v>#N/A</v>
          </cell>
        </row>
        <row r="417">
          <cell r="X417" t="e">
            <v>#N/A</v>
          </cell>
          <cell r="AB417" t="e">
            <v>#N/A</v>
          </cell>
        </row>
        <row r="418">
          <cell r="X418" t="e">
            <v>#N/A</v>
          </cell>
          <cell r="AB418" t="e">
            <v>#N/A</v>
          </cell>
        </row>
        <row r="419">
          <cell r="X419" t="e">
            <v>#N/A</v>
          </cell>
          <cell r="AB419" t="e">
            <v>#N/A</v>
          </cell>
        </row>
        <row r="420">
          <cell r="X420" t="e">
            <v>#N/A</v>
          </cell>
          <cell r="AB420" t="e">
            <v>#N/A</v>
          </cell>
        </row>
        <row r="421">
          <cell r="X421" t="e">
            <v>#N/A</v>
          </cell>
          <cell r="AB421" t="e">
            <v>#N/A</v>
          </cell>
        </row>
        <row r="422">
          <cell r="X422" t="e">
            <v>#N/A</v>
          </cell>
          <cell r="AB422" t="e">
            <v>#N/A</v>
          </cell>
        </row>
        <row r="423">
          <cell r="X423" t="e">
            <v>#N/A</v>
          </cell>
          <cell r="AB423" t="e">
            <v>#N/A</v>
          </cell>
        </row>
        <row r="424">
          <cell r="X424" t="e">
            <v>#N/A</v>
          </cell>
          <cell r="AB424" t="e">
            <v>#N/A</v>
          </cell>
        </row>
        <row r="425">
          <cell r="X425" t="e">
            <v>#N/A</v>
          </cell>
          <cell r="AB425" t="e">
            <v>#N/A</v>
          </cell>
        </row>
        <row r="426">
          <cell r="X426" t="e">
            <v>#N/A</v>
          </cell>
          <cell r="AB426" t="e">
            <v>#N/A</v>
          </cell>
        </row>
        <row r="427">
          <cell r="X427" t="e">
            <v>#N/A</v>
          </cell>
          <cell r="AB427" t="e">
            <v>#N/A</v>
          </cell>
        </row>
        <row r="428">
          <cell r="X428" t="e">
            <v>#N/A</v>
          </cell>
          <cell r="AB428" t="e">
            <v>#N/A</v>
          </cell>
        </row>
        <row r="429">
          <cell r="X429" t="e">
            <v>#N/A</v>
          </cell>
          <cell r="AB429" t="e">
            <v>#N/A</v>
          </cell>
        </row>
        <row r="430">
          <cell r="X430" t="e">
            <v>#N/A</v>
          </cell>
          <cell r="AB430" t="e">
            <v>#N/A</v>
          </cell>
        </row>
        <row r="431">
          <cell r="X431" t="e">
            <v>#N/A</v>
          </cell>
          <cell r="AB431" t="e">
            <v>#N/A</v>
          </cell>
        </row>
        <row r="432">
          <cell r="X432" t="e">
            <v>#N/A</v>
          </cell>
          <cell r="AB432" t="e">
            <v>#N/A</v>
          </cell>
        </row>
        <row r="433">
          <cell r="X433" t="e">
            <v>#N/A</v>
          </cell>
          <cell r="AB433" t="e">
            <v>#N/A</v>
          </cell>
        </row>
        <row r="434">
          <cell r="X434" t="e">
            <v>#N/A</v>
          </cell>
          <cell r="AB434" t="e">
            <v>#N/A</v>
          </cell>
        </row>
        <row r="435">
          <cell r="X435" t="e">
            <v>#N/A</v>
          </cell>
          <cell r="AB435" t="e">
            <v>#N/A</v>
          </cell>
        </row>
        <row r="436">
          <cell r="X436" t="e">
            <v>#N/A</v>
          </cell>
          <cell r="AB436" t="e">
            <v>#N/A</v>
          </cell>
        </row>
        <row r="437">
          <cell r="X437" t="e">
            <v>#N/A</v>
          </cell>
          <cell r="AB437" t="e">
            <v>#N/A</v>
          </cell>
        </row>
        <row r="438">
          <cell r="X438" t="e">
            <v>#N/A</v>
          </cell>
          <cell r="AB438" t="e">
            <v>#N/A</v>
          </cell>
        </row>
        <row r="439">
          <cell r="X439" t="e">
            <v>#N/A</v>
          </cell>
          <cell r="AB439" t="e">
            <v>#N/A</v>
          </cell>
        </row>
        <row r="440">
          <cell r="X440" t="e">
            <v>#N/A</v>
          </cell>
          <cell r="AB440" t="e">
            <v>#N/A</v>
          </cell>
        </row>
        <row r="441">
          <cell r="X441" t="e">
            <v>#N/A</v>
          </cell>
          <cell r="AB441" t="e">
            <v>#N/A</v>
          </cell>
        </row>
        <row r="442">
          <cell r="X442" t="e">
            <v>#N/A</v>
          </cell>
          <cell r="AB442" t="e">
            <v>#N/A</v>
          </cell>
        </row>
        <row r="443">
          <cell r="X443" t="e">
            <v>#N/A</v>
          </cell>
          <cell r="AB443" t="e">
            <v>#N/A</v>
          </cell>
        </row>
        <row r="444">
          <cell r="X444" t="e">
            <v>#N/A</v>
          </cell>
          <cell r="AB444" t="e">
            <v>#N/A</v>
          </cell>
        </row>
        <row r="445">
          <cell r="X445" t="e">
            <v>#N/A</v>
          </cell>
          <cell r="AB445" t="e">
            <v>#N/A</v>
          </cell>
        </row>
        <row r="446">
          <cell r="X446" t="e">
            <v>#N/A</v>
          </cell>
          <cell r="AB446" t="e">
            <v>#N/A</v>
          </cell>
        </row>
        <row r="447">
          <cell r="X447" t="e">
            <v>#N/A</v>
          </cell>
          <cell r="AB447" t="e">
            <v>#N/A</v>
          </cell>
        </row>
        <row r="448">
          <cell r="X448" t="e">
            <v>#N/A</v>
          </cell>
          <cell r="AB448" t="e">
            <v>#N/A</v>
          </cell>
        </row>
        <row r="449">
          <cell r="X449" t="e">
            <v>#N/A</v>
          </cell>
          <cell r="AB449" t="e">
            <v>#N/A</v>
          </cell>
        </row>
        <row r="450">
          <cell r="X450" t="e">
            <v>#N/A</v>
          </cell>
          <cell r="AB450" t="e">
            <v>#N/A</v>
          </cell>
        </row>
        <row r="451">
          <cell r="X451" t="e">
            <v>#N/A</v>
          </cell>
          <cell r="AB451" t="e">
            <v>#N/A</v>
          </cell>
        </row>
        <row r="452">
          <cell r="X452" t="e">
            <v>#N/A</v>
          </cell>
          <cell r="AB452" t="e">
            <v>#N/A</v>
          </cell>
        </row>
        <row r="453">
          <cell r="X453" t="e">
            <v>#N/A</v>
          </cell>
          <cell r="AB453" t="e">
            <v>#N/A</v>
          </cell>
        </row>
        <row r="454">
          <cell r="X454" t="e">
            <v>#N/A</v>
          </cell>
          <cell r="AB454" t="e">
            <v>#N/A</v>
          </cell>
        </row>
        <row r="455">
          <cell r="X455" t="e">
            <v>#N/A</v>
          </cell>
          <cell r="AB455" t="e">
            <v>#N/A</v>
          </cell>
        </row>
        <row r="456">
          <cell r="X456" t="e">
            <v>#N/A</v>
          </cell>
          <cell r="AB456" t="e">
            <v>#N/A</v>
          </cell>
        </row>
        <row r="457">
          <cell r="X457" t="e">
            <v>#N/A</v>
          </cell>
          <cell r="AB457" t="e">
            <v>#N/A</v>
          </cell>
        </row>
        <row r="458">
          <cell r="X458" t="e">
            <v>#N/A</v>
          </cell>
          <cell r="AB458" t="e">
            <v>#N/A</v>
          </cell>
        </row>
        <row r="459">
          <cell r="X459" t="e">
            <v>#N/A</v>
          </cell>
          <cell r="AB459" t="e">
            <v>#N/A</v>
          </cell>
        </row>
        <row r="460">
          <cell r="X460" t="e">
            <v>#N/A</v>
          </cell>
          <cell r="AB460" t="e">
            <v>#N/A</v>
          </cell>
        </row>
        <row r="461">
          <cell r="X461" t="e">
            <v>#N/A</v>
          </cell>
          <cell r="AB461" t="e">
            <v>#N/A</v>
          </cell>
        </row>
        <row r="462">
          <cell r="X462" t="e">
            <v>#N/A</v>
          </cell>
          <cell r="AB462" t="e">
            <v>#N/A</v>
          </cell>
        </row>
        <row r="463">
          <cell r="X463" t="e">
            <v>#N/A</v>
          </cell>
          <cell r="AB463" t="e">
            <v>#N/A</v>
          </cell>
        </row>
        <row r="464">
          <cell r="X464" t="e">
            <v>#N/A</v>
          </cell>
          <cell r="AB464" t="e">
            <v>#N/A</v>
          </cell>
        </row>
        <row r="465">
          <cell r="X465" t="e">
            <v>#N/A</v>
          </cell>
          <cell r="AB465" t="e">
            <v>#N/A</v>
          </cell>
        </row>
        <row r="466">
          <cell r="X466" t="e">
            <v>#N/A</v>
          </cell>
          <cell r="AB466" t="e">
            <v>#N/A</v>
          </cell>
        </row>
        <row r="467">
          <cell r="X467" t="e">
            <v>#N/A</v>
          </cell>
          <cell r="AB467" t="e">
            <v>#N/A</v>
          </cell>
        </row>
        <row r="468">
          <cell r="X468" t="e">
            <v>#N/A</v>
          </cell>
          <cell r="AB468" t="e">
            <v>#N/A</v>
          </cell>
        </row>
        <row r="469">
          <cell r="X469" t="e">
            <v>#N/A</v>
          </cell>
          <cell r="AB469" t="e">
            <v>#N/A</v>
          </cell>
        </row>
        <row r="470">
          <cell r="X470" t="e">
            <v>#N/A</v>
          </cell>
          <cell r="AB470" t="e">
            <v>#N/A</v>
          </cell>
        </row>
        <row r="471">
          <cell r="X471" t="e">
            <v>#N/A</v>
          </cell>
          <cell r="AB471" t="e">
            <v>#N/A</v>
          </cell>
        </row>
        <row r="472">
          <cell r="X472" t="e">
            <v>#N/A</v>
          </cell>
          <cell r="AB472" t="e">
            <v>#N/A</v>
          </cell>
        </row>
        <row r="473">
          <cell r="X473" t="e">
            <v>#N/A</v>
          </cell>
          <cell r="AB473" t="e">
            <v>#N/A</v>
          </cell>
        </row>
        <row r="474">
          <cell r="X474" t="e">
            <v>#N/A</v>
          </cell>
          <cell r="AB474" t="e">
            <v>#N/A</v>
          </cell>
        </row>
        <row r="475">
          <cell r="X475" t="e">
            <v>#N/A</v>
          </cell>
          <cell r="AB475" t="e">
            <v>#N/A</v>
          </cell>
        </row>
        <row r="476">
          <cell r="X476" t="e">
            <v>#N/A</v>
          </cell>
          <cell r="AB476" t="e">
            <v>#N/A</v>
          </cell>
        </row>
        <row r="477">
          <cell r="X477" t="e">
            <v>#N/A</v>
          </cell>
          <cell r="AB477" t="e">
            <v>#N/A</v>
          </cell>
        </row>
        <row r="478">
          <cell r="X478" t="e">
            <v>#N/A</v>
          </cell>
          <cell r="AB478" t="e">
            <v>#N/A</v>
          </cell>
        </row>
        <row r="479">
          <cell r="X479" t="e">
            <v>#N/A</v>
          </cell>
          <cell r="AB479" t="e">
            <v>#N/A</v>
          </cell>
        </row>
        <row r="480">
          <cell r="X480" t="e">
            <v>#N/A</v>
          </cell>
          <cell r="AB480" t="e">
            <v>#N/A</v>
          </cell>
        </row>
        <row r="481">
          <cell r="X481" t="e">
            <v>#N/A</v>
          </cell>
          <cell r="AB481" t="e">
            <v>#N/A</v>
          </cell>
        </row>
        <row r="482">
          <cell r="X482" t="e">
            <v>#N/A</v>
          </cell>
          <cell r="AB482" t="e">
            <v>#N/A</v>
          </cell>
        </row>
        <row r="483">
          <cell r="X483" t="e">
            <v>#N/A</v>
          </cell>
          <cell r="AB483" t="e">
            <v>#N/A</v>
          </cell>
        </row>
        <row r="484">
          <cell r="X484" t="e">
            <v>#N/A</v>
          </cell>
          <cell r="AB484" t="e">
            <v>#N/A</v>
          </cell>
        </row>
        <row r="485">
          <cell r="X485" t="e">
            <v>#N/A</v>
          </cell>
          <cell r="AB485" t="e">
            <v>#N/A</v>
          </cell>
        </row>
        <row r="486">
          <cell r="X486" t="e">
            <v>#N/A</v>
          </cell>
          <cell r="AB486" t="e">
            <v>#N/A</v>
          </cell>
        </row>
        <row r="487">
          <cell r="X487" t="e">
            <v>#N/A</v>
          </cell>
          <cell r="AB487" t="e">
            <v>#N/A</v>
          </cell>
        </row>
        <row r="488">
          <cell r="X488" t="e">
            <v>#N/A</v>
          </cell>
          <cell r="AB488" t="e">
            <v>#N/A</v>
          </cell>
        </row>
        <row r="489">
          <cell r="X489" t="e">
            <v>#N/A</v>
          </cell>
          <cell r="AB489" t="e">
            <v>#N/A</v>
          </cell>
        </row>
        <row r="490">
          <cell r="X490" t="e">
            <v>#N/A</v>
          </cell>
          <cell r="AB490" t="e">
            <v>#N/A</v>
          </cell>
        </row>
        <row r="491">
          <cell r="X491" t="e">
            <v>#N/A</v>
          </cell>
          <cell r="AB491" t="e">
            <v>#N/A</v>
          </cell>
        </row>
        <row r="492">
          <cell r="X492" t="e">
            <v>#N/A</v>
          </cell>
          <cell r="AB492" t="e">
            <v>#N/A</v>
          </cell>
        </row>
        <row r="493">
          <cell r="X493" t="e">
            <v>#N/A</v>
          </cell>
          <cell r="AB493" t="e">
            <v>#N/A</v>
          </cell>
        </row>
        <row r="494">
          <cell r="X494" t="e">
            <v>#N/A</v>
          </cell>
          <cell r="AB494" t="e">
            <v>#N/A</v>
          </cell>
        </row>
        <row r="495">
          <cell r="X495" t="e">
            <v>#N/A</v>
          </cell>
          <cell r="AB495" t="e">
            <v>#N/A</v>
          </cell>
        </row>
        <row r="496">
          <cell r="X496" t="e">
            <v>#N/A</v>
          </cell>
          <cell r="AB496" t="e">
            <v>#N/A</v>
          </cell>
        </row>
        <row r="497">
          <cell r="X497" t="e">
            <v>#N/A</v>
          </cell>
          <cell r="AB497" t="e">
            <v>#N/A</v>
          </cell>
        </row>
        <row r="498">
          <cell r="X498" t="e">
            <v>#N/A</v>
          </cell>
          <cell r="AB498" t="e">
            <v>#N/A</v>
          </cell>
        </row>
        <row r="499">
          <cell r="X499" t="e">
            <v>#N/A</v>
          </cell>
          <cell r="AB499" t="e">
            <v>#N/A</v>
          </cell>
        </row>
        <row r="500">
          <cell r="X500" t="e">
            <v>#N/A</v>
          </cell>
          <cell r="AB500" t="e">
            <v>#N/A</v>
          </cell>
        </row>
        <row r="501">
          <cell r="X501" t="e">
            <v>#N/A</v>
          </cell>
          <cell r="AB501" t="e">
            <v>#N/A</v>
          </cell>
        </row>
        <row r="502">
          <cell r="X502" t="e">
            <v>#N/A</v>
          </cell>
          <cell r="AB502" t="e">
            <v>#N/A</v>
          </cell>
        </row>
        <row r="503">
          <cell r="X503" t="e">
            <v>#N/A</v>
          </cell>
          <cell r="AB503" t="e">
            <v>#N/A</v>
          </cell>
        </row>
        <row r="504">
          <cell r="X504" t="e">
            <v>#N/A</v>
          </cell>
          <cell r="AB504" t="e">
            <v>#N/A</v>
          </cell>
        </row>
        <row r="505">
          <cell r="X505" t="e">
            <v>#N/A</v>
          </cell>
          <cell r="AB505" t="e">
            <v>#N/A</v>
          </cell>
        </row>
        <row r="506">
          <cell r="X506" t="e">
            <v>#N/A</v>
          </cell>
          <cell r="AB506" t="e">
            <v>#N/A</v>
          </cell>
        </row>
        <row r="507">
          <cell r="X507" t="e">
            <v>#N/A</v>
          </cell>
          <cell r="AB507" t="e">
            <v>#N/A</v>
          </cell>
        </row>
        <row r="508">
          <cell r="X508" t="e">
            <v>#N/A</v>
          </cell>
          <cell r="AB508" t="e">
            <v>#N/A</v>
          </cell>
        </row>
        <row r="509">
          <cell r="X509" t="e">
            <v>#N/A</v>
          </cell>
          <cell r="AB509" t="e">
            <v>#N/A</v>
          </cell>
        </row>
        <row r="510">
          <cell r="X510" t="e">
            <v>#N/A</v>
          </cell>
          <cell r="AB510" t="e">
            <v>#N/A</v>
          </cell>
        </row>
        <row r="511">
          <cell r="X511" t="e">
            <v>#N/A</v>
          </cell>
          <cell r="AB511" t="e">
            <v>#N/A</v>
          </cell>
        </row>
        <row r="512">
          <cell r="X512" t="e">
            <v>#N/A</v>
          </cell>
          <cell r="AB512" t="e">
            <v>#N/A</v>
          </cell>
        </row>
        <row r="513">
          <cell r="X513" t="e">
            <v>#N/A</v>
          </cell>
          <cell r="AB513" t="e">
            <v>#N/A</v>
          </cell>
        </row>
        <row r="514">
          <cell r="X514" t="e">
            <v>#N/A</v>
          </cell>
          <cell r="AB514" t="e">
            <v>#N/A</v>
          </cell>
        </row>
        <row r="515">
          <cell r="X515" t="e">
            <v>#N/A</v>
          </cell>
          <cell r="AB515" t="e">
            <v>#N/A</v>
          </cell>
        </row>
        <row r="516">
          <cell r="X516" t="e">
            <v>#N/A</v>
          </cell>
          <cell r="AB516" t="e">
            <v>#N/A</v>
          </cell>
        </row>
        <row r="517">
          <cell r="X517" t="e">
            <v>#N/A</v>
          </cell>
          <cell r="AB517" t="e">
            <v>#N/A</v>
          </cell>
        </row>
        <row r="518">
          <cell r="X518" t="e">
            <v>#N/A</v>
          </cell>
          <cell r="AB518" t="e">
            <v>#N/A</v>
          </cell>
        </row>
        <row r="519">
          <cell r="X519" t="e">
            <v>#N/A</v>
          </cell>
          <cell r="AB519" t="e">
            <v>#N/A</v>
          </cell>
        </row>
        <row r="520">
          <cell r="X520" t="e">
            <v>#N/A</v>
          </cell>
          <cell r="AB520" t="e">
            <v>#N/A</v>
          </cell>
        </row>
        <row r="521">
          <cell r="X521" t="e">
            <v>#N/A</v>
          </cell>
          <cell r="AB521" t="e">
            <v>#N/A</v>
          </cell>
        </row>
        <row r="522">
          <cell r="X522" t="e">
            <v>#N/A</v>
          </cell>
          <cell r="AB522" t="e">
            <v>#N/A</v>
          </cell>
        </row>
        <row r="523">
          <cell r="X523" t="e">
            <v>#N/A</v>
          </cell>
          <cell r="AB523" t="e">
            <v>#N/A</v>
          </cell>
        </row>
        <row r="524">
          <cell r="X524" t="e">
            <v>#N/A</v>
          </cell>
          <cell r="AB524" t="e">
            <v>#N/A</v>
          </cell>
        </row>
        <row r="525">
          <cell r="X525" t="e">
            <v>#N/A</v>
          </cell>
          <cell r="AB525" t="e">
            <v>#N/A</v>
          </cell>
        </row>
        <row r="526">
          <cell r="X526" t="e">
            <v>#N/A</v>
          </cell>
          <cell r="AB526" t="e">
            <v>#N/A</v>
          </cell>
        </row>
        <row r="527">
          <cell r="X527" t="e">
            <v>#N/A</v>
          </cell>
          <cell r="AB527" t="e">
            <v>#N/A</v>
          </cell>
        </row>
        <row r="528">
          <cell r="X528" t="e">
            <v>#N/A</v>
          </cell>
          <cell r="AB528" t="e">
            <v>#N/A</v>
          </cell>
        </row>
        <row r="529">
          <cell r="X529" t="e">
            <v>#N/A</v>
          </cell>
          <cell r="AB529" t="e">
            <v>#N/A</v>
          </cell>
        </row>
        <row r="530">
          <cell r="X530" t="e">
            <v>#N/A</v>
          </cell>
          <cell r="AB530" t="e">
            <v>#N/A</v>
          </cell>
        </row>
        <row r="531">
          <cell r="X531" t="e">
            <v>#N/A</v>
          </cell>
          <cell r="AB531" t="e">
            <v>#N/A</v>
          </cell>
        </row>
        <row r="532">
          <cell r="X532" t="e">
            <v>#N/A</v>
          </cell>
          <cell r="AB532" t="e">
            <v>#N/A</v>
          </cell>
        </row>
        <row r="533">
          <cell r="X533" t="e">
            <v>#N/A</v>
          </cell>
          <cell r="AB533" t="e">
            <v>#N/A</v>
          </cell>
        </row>
        <row r="534">
          <cell r="X534" t="e">
            <v>#N/A</v>
          </cell>
          <cell r="AB534" t="e">
            <v>#N/A</v>
          </cell>
        </row>
        <row r="535">
          <cell r="X535" t="e">
            <v>#N/A</v>
          </cell>
          <cell r="AB535" t="e">
            <v>#N/A</v>
          </cell>
        </row>
        <row r="536">
          <cell r="X536" t="e">
            <v>#N/A</v>
          </cell>
          <cell r="AB536" t="e">
            <v>#N/A</v>
          </cell>
        </row>
        <row r="537">
          <cell r="X537" t="e">
            <v>#N/A</v>
          </cell>
          <cell r="AB537" t="e">
            <v>#N/A</v>
          </cell>
        </row>
        <row r="538">
          <cell r="X538" t="e">
            <v>#N/A</v>
          </cell>
          <cell r="AB538" t="e">
            <v>#N/A</v>
          </cell>
        </row>
        <row r="539">
          <cell r="X539" t="e">
            <v>#N/A</v>
          </cell>
          <cell r="AB539" t="e">
            <v>#N/A</v>
          </cell>
        </row>
        <row r="540">
          <cell r="X540" t="e">
            <v>#N/A</v>
          </cell>
          <cell r="AB540" t="e">
            <v>#N/A</v>
          </cell>
        </row>
        <row r="541">
          <cell r="X541" t="e">
            <v>#N/A</v>
          </cell>
          <cell r="AB541" t="e">
            <v>#N/A</v>
          </cell>
        </row>
        <row r="542">
          <cell r="X542" t="e">
            <v>#N/A</v>
          </cell>
          <cell r="AB542" t="e">
            <v>#N/A</v>
          </cell>
        </row>
        <row r="543">
          <cell r="X543" t="e">
            <v>#N/A</v>
          </cell>
          <cell r="AB543" t="e">
            <v>#N/A</v>
          </cell>
        </row>
        <row r="544">
          <cell r="X544" t="e">
            <v>#N/A</v>
          </cell>
          <cell r="AB544" t="e">
            <v>#N/A</v>
          </cell>
        </row>
        <row r="545">
          <cell r="X545" t="e">
            <v>#N/A</v>
          </cell>
          <cell r="AB545" t="e">
            <v>#N/A</v>
          </cell>
        </row>
        <row r="546">
          <cell r="X546" t="e">
            <v>#N/A</v>
          </cell>
          <cell r="AB546" t="e">
            <v>#N/A</v>
          </cell>
        </row>
        <row r="547">
          <cell r="X547" t="e">
            <v>#N/A</v>
          </cell>
          <cell r="AB547" t="e">
            <v>#N/A</v>
          </cell>
        </row>
        <row r="548">
          <cell r="X548" t="e">
            <v>#N/A</v>
          </cell>
          <cell r="AB548" t="e">
            <v>#N/A</v>
          </cell>
        </row>
        <row r="549">
          <cell r="X549" t="e">
            <v>#N/A</v>
          </cell>
          <cell r="AB549" t="e">
            <v>#N/A</v>
          </cell>
        </row>
        <row r="550">
          <cell r="X550" t="e">
            <v>#N/A</v>
          </cell>
          <cell r="AB550" t="e">
            <v>#N/A</v>
          </cell>
        </row>
        <row r="551">
          <cell r="X551" t="e">
            <v>#N/A</v>
          </cell>
          <cell r="AB551" t="e">
            <v>#N/A</v>
          </cell>
        </row>
        <row r="552">
          <cell r="X552" t="e">
            <v>#N/A</v>
          </cell>
          <cell r="AB552" t="e">
            <v>#N/A</v>
          </cell>
        </row>
        <row r="553">
          <cell r="X553" t="e">
            <v>#N/A</v>
          </cell>
          <cell r="AB553" t="e">
            <v>#N/A</v>
          </cell>
        </row>
        <row r="554">
          <cell r="X554" t="e">
            <v>#N/A</v>
          </cell>
          <cell r="AB554" t="e">
            <v>#N/A</v>
          </cell>
        </row>
        <row r="555">
          <cell r="X555" t="e">
            <v>#N/A</v>
          </cell>
          <cell r="AB555" t="e">
            <v>#N/A</v>
          </cell>
        </row>
        <row r="556">
          <cell r="X556" t="e">
            <v>#N/A</v>
          </cell>
          <cell r="AB556" t="e">
            <v>#N/A</v>
          </cell>
        </row>
        <row r="557">
          <cell r="X557" t="e">
            <v>#N/A</v>
          </cell>
          <cell r="AB557" t="e">
            <v>#N/A</v>
          </cell>
        </row>
        <row r="558">
          <cell r="X558" t="e">
            <v>#N/A</v>
          </cell>
          <cell r="AB558" t="e">
            <v>#N/A</v>
          </cell>
        </row>
        <row r="559">
          <cell r="X559" t="e">
            <v>#N/A</v>
          </cell>
          <cell r="AB559" t="e">
            <v>#N/A</v>
          </cell>
        </row>
        <row r="560">
          <cell r="X560" t="e">
            <v>#N/A</v>
          </cell>
          <cell r="AB560" t="e">
            <v>#N/A</v>
          </cell>
        </row>
        <row r="561">
          <cell r="X561" t="e">
            <v>#N/A</v>
          </cell>
          <cell r="AB561" t="e">
            <v>#N/A</v>
          </cell>
        </row>
        <row r="562">
          <cell r="X562" t="e">
            <v>#N/A</v>
          </cell>
          <cell r="AB562" t="e">
            <v>#N/A</v>
          </cell>
        </row>
        <row r="563">
          <cell r="X563" t="e">
            <v>#N/A</v>
          </cell>
          <cell r="AB563" t="e">
            <v>#N/A</v>
          </cell>
        </row>
        <row r="564">
          <cell r="X564" t="e">
            <v>#N/A</v>
          </cell>
          <cell r="AB564" t="e">
            <v>#N/A</v>
          </cell>
        </row>
        <row r="565">
          <cell r="X565" t="e">
            <v>#N/A</v>
          </cell>
          <cell r="AB565" t="e">
            <v>#N/A</v>
          </cell>
        </row>
        <row r="566">
          <cell r="X566" t="e">
            <v>#N/A</v>
          </cell>
          <cell r="AB566" t="e">
            <v>#N/A</v>
          </cell>
        </row>
        <row r="567">
          <cell r="X567" t="e">
            <v>#N/A</v>
          </cell>
          <cell r="AB567" t="e">
            <v>#N/A</v>
          </cell>
        </row>
        <row r="568">
          <cell r="X568" t="e">
            <v>#N/A</v>
          </cell>
          <cell r="AB568" t="e">
            <v>#N/A</v>
          </cell>
        </row>
        <row r="569">
          <cell r="X569" t="e">
            <v>#N/A</v>
          </cell>
          <cell r="AB569" t="e">
            <v>#N/A</v>
          </cell>
        </row>
        <row r="570">
          <cell r="X570" t="e">
            <v>#N/A</v>
          </cell>
          <cell r="AB570" t="e">
            <v>#N/A</v>
          </cell>
        </row>
        <row r="571">
          <cell r="X571" t="e">
            <v>#N/A</v>
          </cell>
          <cell r="AB571" t="e">
            <v>#N/A</v>
          </cell>
        </row>
        <row r="572">
          <cell r="X572" t="e">
            <v>#N/A</v>
          </cell>
          <cell r="AB572" t="e">
            <v>#N/A</v>
          </cell>
        </row>
        <row r="573">
          <cell r="X573" t="e">
            <v>#N/A</v>
          </cell>
          <cell r="AB573" t="e">
            <v>#N/A</v>
          </cell>
        </row>
        <row r="574">
          <cell r="X574" t="e">
            <v>#N/A</v>
          </cell>
          <cell r="AB574" t="e">
            <v>#N/A</v>
          </cell>
        </row>
        <row r="575">
          <cell r="X575" t="e">
            <v>#N/A</v>
          </cell>
          <cell r="AB575" t="e">
            <v>#N/A</v>
          </cell>
        </row>
        <row r="576">
          <cell r="X576" t="e">
            <v>#N/A</v>
          </cell>
          <cell r="AB576" t="e">
            <v>#N/A</v>
          </cell>
        </row>
        <row r="577">
          <cell r="X577" t="e">
            <v>#N/A</v>
          </cell>
          <cell r="AB577" t="e">
            <v>#N/A</v>
          </cell>
        </row>
        <row r="578">
          <cell r="X578" t="e">
            <v>#N/A</v>
          </cell>
          <cell r="AB578" t="e">
            <v>#N/A</v>
          </cell>
        </row>
        <row r="579">
          <cell r="X579" t="e">
            <v>#N/A</v>
          </cell>
          <cell r="AB579" t="e">
            <v>#N/A</v>
          </cell>
        </row>
        <row r="580">
          <cell r="X580" t="e">
            <v>#N/A</v>
          </cell>
          <cell r="AB580" t="e">
            <v>#N/A</v>
          </cell>
        </row>
        <row r="581">
          <cell r="X581" t="e">
            <v>#N/A</v>
          </cell>
          <cell r="AB581" t="e">
            <v>#N/A</v>
          </cell>
        </row>
        <row r="582">
          <cell r="X582" t="e">
            <v>#N/A</v>
          </cell>
          <cell r="AB582" t="e">
            <v>#N/A</v>
          </cell>
        </row>
        <row r="583">
          <cell r="X583" t="e">
            <v>#N/A</v>
          </cell>
          <cell r="AB583" t="e">
            <v>#N/A</v>
          </cell>
        </row>
        <row r="584">
          <cell r="X584" t="e">
            <v>#N/A</v>
          </cell>
          <cell r="AB584" t="e">
            <v>#N/A</v>
          </cell>
        </row>
        <row r="585">
          <cell r="X585" t="e">
            <v>#N/A</v>
          </cell>
          <cell r="AB585" t="e">
            <v>#N/A</v>
          </cell>
        </row>
        <row r="586">
          <cell r="X586" t="e">
            <v>#N/A</v>
          </cell>
          <cell r="AB586" t="e">
            <v>#N/A</v>
          </cell>
        </row>
      </sheetData>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U523" totalsRowShown="0">
  <autoFilter ref="A1:U523" xr:uid="{00000000-0009-0000-0100-000002000000}"/>
  <sortState xmlns:xlrd2="http://schemas.microsoft.com/office/spreadsheetml/2017/richdata2" ref="A2:U521">
    <sortCondition descending="1" ref="G1:G521"/>
  </sortState>
  <tableColumns count="21">
    <tableColumn id="1" xr3:uid="{00000000-0010-0000-0100-000001000000}" name="Player"/>
    <tableColumn id="2" xr3:uid="{00000000-0010-0000-0100-000002000000}" name="Pos"/>
    <tableColumn id="3" xr3:uid="{00000000-0010-0000-0100-000003000000}" name="Age"/>
    <tableColumn id="20" xr3:uid="{00000000-0010-0000-0100-000014000000}" name="Column1"/>
    <tableColumn id="4" xr3:uid="{00000000-0010-0000-0100-000004000000}" name="Toi"/>
    <tableColumn id="5" xr3:uid="{00000000-0010-0000-0100-000005000000}" name="Goals"/>
    <tableColumn id="6" xr3:uid="{00000000-0010-0000-0100-000006000000}" name="Assists"/>
    <tableColumn id="7" xr3:uid="{00000000-0010-0000-0100-000007000000}" name="sog"/>
    <tableColumn id="8" xr3:uid="{00000000-0010-0000-0100-000008000000}" name="sh.p"/>
    <tableColumn id="9" xr3:uid="{00000000-0010-0000-0100-000009000000}" name="G2"/>
    <tableColumn id="10" xr3:uid="{00000000-0010-0000-0100-00000A000000}" name="G3"/>
    <tableColumn id="11" xr3:uid="{00000000-0010-0000-0100-00000B000000}" name="Points"/>
    <tableColumn id="12" xr3:uid="{00000000-0010-0000-0100-00000C000000}" name="Hit"/>
    <tableColumn id="13" xr3:uid="{00000000-0010-0000-0100-00000D000000}" name="Blk" dataDxfId="150"/>
    <tableColumn id="14" xr3:uid="{00000000-0010-0000-0100-00000E000000}" name="Minor"/>
    <tableColumn id="15" xr3:uid="{00000000-0010-0000-0100-00000F000000}" name="Major"/>
    <tableColumn id="16" xr3:uid="{00000000-0010-0000-0100-000010000000}" name="Mis"/>
    <tableColumn id="17" xr3:uid="{00000000-0010-0000-0100-000011000000}" name="fow"/>
    <tableColumn id="18" xr3:uid="{00000000-0010-0000-0100-000012000000}" name="fol"/>
    <tableColumn id="19" xr3:uid="{00000000-0010-0000-0100-000013000000}" name="fo.p"/>
    <tableColumn id="21" xr3:uid="{DE158F5F-E662-46CF-9E8D-8ABF7AFFFD61}" name="Column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S618" totalsRowShown="0">
  <autoFilter ref="A1:S618" xr:uid="{00000000-0009-0000-0100-000003000000}"/>
  <sortState xmlns:xlrd2="http://schemas.microsoft.com/office/spreadsheetml/2017/richdata2" ref="A2:S517">
    <sortCondition descending="1" ref="B1:B517"/>
  </sortState>
  <tableColumns count="19">
    <tableColumn id="1" xr3:uid="{00000000-0010-0000-0200-000001000000}" name="Player"/>
    <tableColumn id="2" xr3:uid="{00000000-0010-0000-0200-000002000000}" name="Pos"/>
    <tableColumn id="3" xr3:uid="{00000000-0010-0000-0200-000003000000}" name="Age"/>
    <tableColumn id="4" xr3:uid="{00000000-0010-0000-0200-000004000000}" name="Team"/>
    <tableColumn id="5" xr3:uid="{00000000-0010-0000-0200-000005000000}" name="Toi"/>
    <tableColumn id="6" xr3:uid="{00000000-0010-0000-0200-000006000000}" name="Goals"/>
    <tableColumn id="7" xr3:uid="{00000000-0010-0000-0200-000007000000}" name="Points"/>
    <tableColumn id="8" xr3:uid="{00000000-0010-0000-0200-000008000000}" name="Assists"/>
    <tableColumn id="9" xr3:uid="{00000000-0010-0000-0200-000009000000}" name="sog"/>
    <tableColumn id="10" xr3:uid="{00000000-0010-0000-0200-00000A000000}" name="Hit"/>
    <tableColumn id="11" xr3:uid="{00000000-0010-0000-0200-00000B000000}" name="Blk"/>
    <tableColumn id="12" xr3:uid="{00000000-0010-0000-0200-00000C000000}" name="Minor"/>
    <tableColumn id="13" xr3:uid="{00000000-0010-0000-0200-00000D000000}" name="Major"/>
    <tableColumn id="14" xr3:uid="{00000000-0010-0000-0200-00000E000000}" name="Mis"/>
    <tableColumn id="15" xr3:uid="{00000000-0010-0000-0200-00000F000000}" name="PIM"/>
    <tableColumn id="16" xr3:uid="{00000000-0010-0000-0200-000010000000}" name="fow"/>
    <tableColumn id="17" xr3:uid="{00000000-0010-0000-0200-000011000000}" name="fol"/>
    <tableColumn id="18" xr3:uid="{00000000-0010-0000-0200-000012000000}" name="fo.p"/>
    <tableColumn id="19" xr3:uid="{CE9FE062-3438-4921-9D26-A8B83E17CC1D}"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U869" totalsRowShown="0">
  <autoFilter ref="A1:U869" xr:uid="{00000000-0009-0000-0100-000001000000}"/>
  <sortState xmlns:xlrd2="http://schemas.microsoft.com/office/spreadsheetml/2017/richdata2" ref="A2:U868">
    <sortCondition ref="C1:C868"/>
  </sortState>
  <tableColumns count="21">
    <tableColumn id="1" xr3:uid="{00000000-0010-0000-0000-000001000000}" name="Player"/>
    <tableColumn id="2" xr3:uid="{00000000-0010-0000-0000-000002000000}" name="Pos"/>
    <tableColumn id="3" xr3:uid="{00000000-0010-0000-0000-000003000000}" name="Age"/>
    <tableColumn id="4" xr3:uid="{00000000-0010-0000-0000-000004000000}" name="Team"/>
    <tableColumn id="5" xr3:uid="{00000000-0010-0000-0000-000005000000}" name="Toi"/>
    <tableColumn id="6" xr3:uid="{00000000-0010-0000-0000-000006000000}" name="Goals"/>
    <tableColumn id="7" xr3:uid="{00000000-0010-0000-0000-000007000000}" name="Points"/>
    <tableColumn id="8" xr3:uid="{00000000-0010-0000-0000-000008000000}" name="sog"/>
    <tableColumn id="9" xr3:uid="{00000000-0010-0000-0000-000009000000}" name="sh.p"/>
    <tableColumn id="10" xr3:uid="{00000000-0010-0000-0000-00000A000000}" name="G2"/>
    <tableColumn id="11" xr3:uid="{00000000-0010-0000-0000-00000B000000}" name="G3"/>
    <tableColumn id="12" xr3:uid="{00000000-0010-0000-0000-00000C000000}" name="Assists"/>
    <tableColumn id="13" xr3:uid="{00000000-0010-0000-0000-00000D000000}" name="Hit"/>
    <tableColumn id="14" xr3:uid="{00000000-0010-0000-0000-00000E000000}" name="Blk"/>
    <tableColumn id="15" xr3:uid="{00000000-0010-0000-0000-00000F000000}" name="Minor"/>
    <tableColumn id="16" xr3:uid="{00000000-0010-0000-0000-000010000000}" name="Major"/>
    <tableColumn id="17" xr3:uid="{00000000-0010-0000-0000-000011000000}" name="Mis" dataDxfId="149"/>
    <tableColumn id="18" xr3:uid="{00000000-0010-0000-0000-000012000000}" name="fow"/>
    <tableColumn id="19" xr3:uid="{00000000-0010-0000-0000-000013000000}" name="fol"/>
    <tableColumn id="20" xr3:uid="{00000000-0010-0000-0000-000014000000}" name="fo.p"/>
    <tableColumn id="21" xr3:uid="{758E2EAF-3CAD-4E8B-8200-7A7709B19E73}"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Proj" displayName="Proj" ref="A1:AE756" totalsRowShown="0" headerRowBorderDxfId="148" tableBorderDxfId="147">
  <autoFilter ref="A1:AE756" xr:uid="{00000000-0009-0000-0100-000004000000}"/>
  <sortState xmlns:xlrd2="http://schemas.microsoft.com/office/spreadsheetml/2017/richdata2" ref="A2:AE756">
    <sortCondition descending="1" ref="P1:P756"/>
  </sortState>
  <tableColumns count="31">
    <tableColumn id="1" xr3:uid="{00000000-0010-0000-0300-000001000000}" name="Player" dataDxfId="146"/>
    <tableColumn id="2" xr3:uid="{00000000-0010-0000-0300-000002000000}" name="Age"/>
    <tableColumn id="3" xr3:uid="{00000000-0010-0000-0300-000003000000}" name="Pos"/>
    <tableColumn id="4" xr3:uid="{00000000-0010-0000-0300-000004000000}" name="Team"/>
    <tableColumn id="5" xr3:uid="{00000000-0010-0000-0300-000005000000}" name="TOI Org ES" dataDxfId="145">
      <calculatedColumnFormula>INDEX(Table1[],MATCH(Proj[[#This Row],[Player]],Table1[Player],0),5)</calculatedColumnFormula>
    </tableColumn>
    <tableColumn id="6" xr3:uid="{00000000-0010-0000-0300-000006000000}" name="TOI Org PP" dataDxfId="144">
      <calculatedColumnFormula>_xlfn.IFNA(INDEX(Table2[],MATCH(Proj[[#This Row],[Player]],Table2[Player],0),5),0)</calculatedColumnFormula>
    </tableColumn>
    <tableColumn id="7" xr3:uid="{00000000-0010-0000-0300-000007000000}" name="TOI Org PK" dataDxfId="143">
      <calculatedColumnFormula>_xlfn.IFNA(INDEX(Table3[],MATCH(Proj[[#This Row],[Player]],Table3[Player],0),5),0)</calculatedColumnFormula>
    </tableColumn>
    <tableColumn id="22" xr3:uid="{EB9B11D7-A8BE-472C-9E7F-97F769D0E9CC}" name="GP Org" dataDxfId="142"/>
    <tableColumn id="28" xr3:uid="{00000000-0010-0000-0300-00001C000000}" name="GP"/>
    <tableColumn id="8" xr3:uid="{00000000-0010-0000-0300-000008000000}" name="TOI ES" dataDxfId="141"/>
    <tableColumn id="9" xr3:uid="{00000000-0010-0000-0300-000009000000}" name="TOI PP" dataDxfId="140"/>
    <tableColumn id="10" xr3:uid="{00000000-0010-0000-0300-00000A000000}" name="TOI PK" dataDxfId="139"/>
    <tableColumn id="11" xr3:uid="{00000000-0010-0000-0300-00000B000000}" name="Total TOI" dataDxfId="138">
      <calculatedColumnFormula>Proj[[#This Row],[TOI ES]]+Proj[[#This Row],[TOI PP]]+Proj[[#This Row],[TOI PK]]</calculatedColumnFormula>
    </tableColumn>
    <tableColumn id="12" xr3:uid="{00000000-0010-0000-0300-00000C000000}" name="Goals" dataDxfId="137">
      <calculatedColumnFormula>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calculatedColumnFormula>
    </tableColumn>
    <tableColumn id="13" xr3:uid="{00000000-0010-0000-0300-00000D000000}" name="Assists">
      <calculatedColumnFormula>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calculatedColumnFormula>
    </tableColumn>
    <tableColumn id="14" xr3:uid="{00000000-0010-0000-0300-00000E000000}" name="Points">
      <calculatedColumnFormula>Proj[[#This Row],[Goals]]+Proj[[#This Row],[Assists]]</calculatedColumnFormula>
    </tableColumn>
    <tableColumn id="25" xr3:uid="{7DDA6498-0E87-4B3D-B183-545692D75700}" name="PPG">
      <calculatedColumnFormula>ROUND(_xlfn.IFNA(INDEX(Table2[],MATCH(Proj[[#This Row],[Player]],Table2[Player],0),11)/60,IF(Proj[[#This Row],[Pos]] = "D", 'Per 60 PP'!$K$527,'Per 60 PP'!$K$526)/60)*Proj[[#This Row],[TOI PP]]*Proj[[#This Row],[GP]],0)</calculatedColumnFormula>
    </tableColumn>
    <tableColumn id="21" xr3:uid="{816285C8-E5A2-4DCF-B7B6-CF99F94B31C8}" name="PPA">
      <calculatedColumnFormula>ROUND(_xlfn.IFNA(INDEX(Table2[],MATCH(Proj[[#This Row],[Player]],Table2[Player],0),7)/60,IF(Proj[[#This Row],[Pos]] = "D", 'Per 60 PP'!$G$527,'Per 60 PP'!$G$526)/60)*Proj[[#This Row],[TOI PP]]*Proj[[#This Row],[GP]],0)</calculatedColumnFormula>
    </tableColumn>
    <tableColumn id="15" xr3:uid="{00000000-0010-0000-0300-00000F000000}" name="PP Points">
      <calculatedColumnFormula>Proj[[#This Row],[PPG]]+Proj[[#This Row],[PPA]]</calculatedColumnFormula>
    </tableColumn>
    <tableColumn id="30" xr3:uid="{6291B5D0-29A9-42F1-8DAF-3392E2D066DB}" name="SHP">
      <calculatedColumnFormula>ROUND((_xlfn.IFNA(INDEX(Table3[],MATCH(Proj[[#This Row],[Player]],Table3[Player],0),6)/60,IF(Proj[[#This Row],[Pos]] ="D", 'Per 60 PK'!$F$623, 'Per 60 PK'!$F$622)/60)+_xlfn.IFNA(INDEX(Table3[],MATCH(Proj[[#This Row],[Player]],Table3[Player],0),8)/60,IF(Proj[[#This Row],[Pos]] ="D", 'Per 60 PK'!$H$623, 'Per 60 PK'!$H$622)/60))*Proj[[#This Row],[TOI PK]]*Proj[[#This Row],[GP]],0)</calculatedColumnFormula>
    </tableColumn>
    <tableColumn id="16" xr3:uid="{00000000-0010-0000-0300-000010000000}" name="Hits">
      <calculatedColumnFormula>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calculatedColumnFormula>
    </tableColumn>
    <tableColumn id="17" xr3:uid="{00000000-0010-0000-0300-000011000000}" name="BLK">
      <calculatedColumnFormula>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calculatedColumnFormula>
    </tableColumn>
    <tableColumn id="18" xr3:uid="{00000000-0010-0000-0300-000012000000}" name="PIM">
      <calculatedColumnFormula>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calculatedColumnFormula>
    </tableColumn>
    <tableColumn id="19" xr3:uid="{00000000-0010-0000-0300-000013000000}" name="FOW">
      <calculatedColumnFormula>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calculatedColumnFormula>
    </tableColumn>
    <tableColumn id="20" xr3:uid="{00000000-0010-0000-0300-000014000000}" name="FOL">
      <calculatedColumnFormula>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calculatedColumnFormula>
    </tableColumn>
    <tableColumn id="23" xr3:uid="{00000000-0010-0000-0300-000017000000}" name="SOG">
      <calculatedColumnFormula>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calculatedColumnFormula>
    </tableColumn>
    <tableColumn id="26" xr3:uid="{C415CF68-E5D1-4669-AAAA-FCA27D89E3E7}" name="VOR" dataDxfId="136">
      <calculatedColumnFormula>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calculatedColumnFormula>
    </tableColumn>
    <tableColumn id="29" xr3:uid="{518DC601-6C40-48F2-A439-30F29FEE8898}" name="Rk (VOR)" dataDxfId="135">
      <calculatedColumnFormula>_xlfn.RANK.EQ(Proj[[#This Row],[VOR]],Proj[VOR])</calculatedColumnFormula>
    </tableColumn>
    <tableColumn id="31" xr3:uid="{82394F65-B781-4B08-A7DD-CD693E81F393}" name="Unadj VOR" dataDxfId="134">
      <calculatedColumnFormula>INDEX(Std[],MATCH(Proj[[#This Row],[Player]],Std[Player],0),20)</calculatedColumnFormula>
    </tableColumn>
    <tableColumn id="24" xr3:uid="{53981E41-3E40-4417-B598-284FC0FB2D78}" name="Pts" dataDxfId="133">
      <calculatedColumnFormula>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calculatedColumnFormula>
    </tableColumn>
    <tableColumn id="27" xr3:uid="{00000000-0010-0000-0300-00001B000000}" name="Fantasy Team"/>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09C6620-D9B1-4420-92EE-3AF1F039889D}" name="LW" displayName="LW" ref="A1:K180" totalsRowShown="0" headerRowDxfId="132" headerRowBorderDxfId="131" tableBorderDxfId="130">
  <autoFilter ref="A1:K180" xr:uid="{F09C6620-D9B1-4420-92EE-3AF1F039889D}"/>
  <sortState xmlns:xlrd2="http://schemas.microsoft.com/office/spreadsheetml/2017/richdata2" ref="A2:K180">
    <sortCondition ref="J1:J180"/>
  </sortState>
  <tableColumns count="11">
    <tableColumn id="1" xr3:uid="{366411FD-B3A2-4700-8333-3219D7979F02}" name="Player"/>
    <tableColumn id="2" xr3:uid="{88873CD4-9F32-4089-A267-9789EC983498}" name="Age"/>
    <tableColumn id="3" xr3:uid="{365D36A3-948C-4B00-BB17-82696F7A49BD}" name="Pos"/>
    <tableColumn id="35" xr3:uid="{9350A3A0-C7A0-4B5B-97A1-22C5F1175116}" name="Pos2" dataDxfId="129"/>
    <tableColumn id="36" xr3:uid="{74107ADC-763F-4E5F-A954-A5532FF21331}" name="Pos3" dataDxfId="128"/>
    <tableColumn id="4" xr3:uid="{2F79EF5E-2B07-40C0-B777-982FEDE5C698}" name="Team" dataDxfId="127"/>
    <tableColumn id="38" xr3:uid="{CDE62787-498F-4451-9901-4FF4C6F39881}" name="P Rank"/>
    <tableColumn id="39" xr3:uid="{B73F0A39-789D-453A-B31E-E4E4C42D716A}" name="Pos P Rank"/>
    <tableColumn id="5" xr3:uid="{F97A5008-57E9-43C2-910A-E9C659220C53}" name="Value" dataDxfId="126">
      <calculatedColumnFormula>INDEX(Std[],MATCH(LW[[#This Row],[Player]],Std[Player],0),20)</calculatedColumnFormula>
    </tableColumn>
    <tableColumn id="6" xr3:uid="{657D15CD-857C-4C1F-B3F5-E3C199FA323A}" name="Value Rk">
      <calculatedColumnFormula>_xlfn.RANK.EQ(LW[[#This Row],[Value]],LW[Value])</calculatedColumnFormula>
    </tableColumn>
    <tableColumn id="7" xr3:uid="{3BECBBDE-DA6B-4462-835B-34C3BA6761A3}" name="VAA" dataDxfId="125">
      <calculatedColumnFormula>LW[[#This Row],[Value]]-_xlfn.XLOOKUP($D$185,LW[Value Rk],LW[Value],,-1)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6F84B8C-BAE4-4E78-8B58-6F157C0722C0}" name="RW" displayName="RW" ref="A1:K164" totalsRowShown="0" headerRowDxfId="124" headerRowBorderDxfId="123" tableBorderDxfId="122">
  <autoFilter ref="A1:K164" xr:uid="{F09C6620-D9B1-4420-92EE-3AF1F039889D}"/>
  <sortState xmlns:xlrd2="http://schemas.microsoft.com/office/spreadsheetml/2017/richdata2" ref="A2:K164">
    <sortCondition ref="J1:J164"/>
  </sortState>
  <tableColumns count="11">
    <tableColumn id="1" xr3:uid="{2FCD11FE-27F5-41A5-9A08-648322464034}" name="Player" dataDxfId="121"/>
    <tableColumn id="2" xr3:uid="{87026BD6-62B6-4FCC-B944-2BBBBAEBE08C}" name="Age"/>
    <tableColumn id="3" xr3:uid="{64ED6AAB-F168-4A94-81CB-0356A594BE1E}" name="Pos"/>
    <tableColumn id="35" xr3:uid="{79CBFB3B-979E-4411-9201-08D20FD1FA69}" name="Pos2" dataDxfId="120"/>
    <tableColumn id="36" xr3:uid="{626FB67E-71E8-4F1D-B3D6-80CD9BA37E0D}" name="Pos3" dataDxfId="119"/>
    <tableColumn id="4" xr3:uid="{203B6AAD-EFF9-42EC-BAE0-ADCAC47CADF7}" name="Team" dataDxfId="118"/>
    <tableColumn id="38" xr3:uid="{DEC52ADB-0CDB-48D9-9B6D-DD339DDAD780}" name="P Rank"/>
    <tableColumn id="39" xr3:uid="{E4C6371C-B871-4C76-A96A-4C39AF6D7A85}" name="Pos P Rank"/>
    <tableColumn id="5" xr3:uid="{75A86A77-6996-4FD1-AA65-D4FDA4838FEE}" name="Value" dataDxfId="117">
      <calculatedColumnFormula>INDEX(Std[],MATCH(RW[[#This Row],[Player]],Std[Player],0),20)</calculatedColumnFormula>
    </tableColumn>
    <tableColumn id="6" xr3:uid="{1F3149CB-FF86-487D-A24A-B29762C8543D}" name="Value Rk">
      <calculatedColumnFormula>_xlfn.RANK.EQ(RW[[#This Row],[Value]],RW[Value])</calculatedColumnFormula>
    </tableColumn>
    <tableColumn id="7" xr3:uid="{78C0B1A8-AF4E-4153-A20C-A2D01E613CF6}" name="VAA" dataDxfId="116">
      <calculatedColumnFormula>RW[[#This Row],[Value]]-LW!$F$185+25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853F30-BE88-4F5F-B010-42791201F1F2}" name="F" displayName="F" ref="A1:K489" totalsRowShown="0" headerRowDxfId="115" headerRowBorderDxfId="114" tableBorderDxfId="113">
  <autoFilter ref="A1:K489" xr:uid="{6A853F30-BE88-4F5F-B010-42791201F1F2}"/>
  <sortState xmlns:xlrd2="http://schemas.microsoft.com/office/spreadsheetml/2017/richdata2" ref="A2:K489">
    <sortCondition descending="1" ref="I1:I489"/>
  </sortState>
  <tableColumns count="11">
    <tableColumn id="1" xr3:uid="{A6A892CD-3015-437F-9978-864BE328AEBC}" name="Player"/>
    <tableColumn id="2" xr3:uid="{E9601DB6-8EED-49E6-A9C3-9AF451CCF85C}" name="Age"/>
    <tableColumn id="3" xr3:uid="{7779E060-E06A-410E-8D5A-C8B29C6327A6}" name="Pos"/>
    <tableColumn id="35" xr3:uid="{78C50EEA-60EB-47B1-BF4D-84B47EDC6829}" name="Pos2" dataDxfId="112"/>
    <tableColumn id="36" xr3:uid="{0034680C-BAAF-4177-B9B7-4D29E667A574}" name="Pos3" dataDxfId="111"/>
    <tableColumn id="4" xr3:uid="{2D924798-88C2-4171-9D3D-70354E7B9F54}" name="Team" dataDxfId="110"/>
    <tableColumn id="38" xr3:uid="{A63ACF10-C3B6-4808-94E8-BD789C480913}" name="P Rank"/>
    <tableColumn id="39" xr3:uid="{D17C8B23-5DEA-46E0-8B62-089A01C7309C}" name="Pos P Rank"/>
    <tableColumn id="5" xr3:uid="{FF283C09-4776-4636-9521-54A2AB1CD6D0}" name="Value" dataDxfId="109">
      <calculatedColumnFormula>INDEX(Std[],MATCH(F[[#This Row],[Player]],Std[Player],0),20)</calculatedColumnFormula>
    </tableColumn>
    <tableColumn id="6" xr3:uid="{A81A90E4-E31F-4654-9C96-5A480A1BDD66}" name="Value Rk">
      <calculatedColumnFormula>_xlfn.RANK.EQ(F[[#This Row],[Value]],F[Value])</calculatedColumnFormula>
    </tableColumn>
    <tableColumn id="7" xr3:uid="{5E9C43E3-C6A9-4AFD-9536-25CD16C9265A}" name="VAA" dataDxfId="108">
      <calculatedColumnFormula>F[[#This Row],[Value]]-_xlfn.XLOOKUP($G$497,F[Value Rk],F[Value],,-1)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2BECF75-5941-4924-860E-620866E2AF64}" name="Center" displayName="Center" ref="A1:K254" totalsRowShown="0" headerRowDxfId="107" headerRowBorderDxfId="106" tableBorderDxfId="105">
  <autoFilter ref="A1:K254" xr:uid="{F09C6620-D9B1-4420-92EE-3AF1F039889D}"/>
  <sortState xmlns:xlrd2="http://schemas.microsoft.com/office/spreadsheetml/2017/richdata2" ref="A2:K254">
    <sortCondition ref="J1:J254"/>
  </sortState>
  <tableColumns count="11">
    <tableColumn id="1" xr3:uid="{F467FDCD-53E4-480C-871C-54055E5C11C4}" name="Player" dataDxfId="104"/>
    <tableColumn id="2" xr3:uid="{E834A613-002F-4381-9B39-6514E60A66DD}" name="Age" dataDxfId="103"/>
    <tableColumn id="3" xr3:uid="{DB3FE6C1-5AE2-4CA3-A7B3-E542E890F47D}" name="Pos" dataDxfId="102"/>
    <tableColumn id="35" xr3:uid="{0AB6AAE8-54A9-4957-9C6C-1FFA1FF1999D}" name="Column1" dataDxfId="101"/>
    <tableColumn id="36" xr3:uid="{3BF8ADED-9104-487A-B694-D9EEF1ACFD16}" name="Pos3" dataDxfId="100"/>
    <tableColumn id="4" xr3:uid="{90791B3B-4D45-4844-9D66-843BA582CD9E}" name="Team" dataDxfId="99"/>
    <tableColumn id="39" xr3:uid="{F3C1C355-9E6A-4FE7-A640-CA429527092C}" name="P Rank"/>
    <tableColumn id="38" xr3:uid="{3A89BFDA-393B-404B-B3C7-5C4036373C83}" name="Pos P Rank"/>
    <tableColumn id="5" xr3:uid="{A74F7626-C5AD-467D-80FB-28F70426584B}" name="Value" dataDxfId="98">
      <calculatedColumnFormula>INDEX(Std[],MATCH(Center[[#This Row],[Player]],Std[Player],0),20)</calculatedColumnFormula>
    </tableColumn>
    <tableColumn id="6" xr3:uid="{D199705B-7819-4905-A64E-86C7490D1493}" name="Value Rk">
      <calculatedColumnFormula>_xlfn.RANK.EQ(Center[[#This Row],[Value]],Center[Value])</calculatedColumnFormula>
    </tableColumn>
    <tableColumn id="7" xr3:uid="{B2175E97-EC2B-45B5-95F8-848565EE080F}" name="VAA" dataDxfId="97">
      <calculatedColumnFormula>Center[[#This Row],[Value]]-_xlfn.XLOOKUP($D$263,Center[Value Rk],Center[Value],,-1)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8A5BE4-ABBE-4F66-A458-D79CA832B7AC}" name="Def" displayName="Def" ref="A1:K268" totalsRowShown="0" headerRowDxfId="96" headerRowBorderDxfId="95" tableBorderDxfId="94">
  <autoFilter ref="A1:K268" xr:uid="{F09C6620-D9B1-4420-92EE-3AF1F039889D}"/>
  <sortState xmlns:xlrd2="http://schemas.microsoft.com/office/spreadsheetml/2017/richdata2" ref="A2:K267">
    <sortCondition descending="1" ref="K1:K267"/>
  </sortState>
  <tableColumns count="11">
    <tableColumn id="1" xr3:uid="{79FDEB67-93D7-419A-BE1D-CCC17DA7F721}" name="Player" dataDxfId="93"/>
    <tableColumn id="2" xr3:uid="{314170C6-FF59-4589-B65E-E5399567C758}" name="Age" dataDxfId="92"/>
    <tableColumn id="3" xr3:uid="{77B5F237-F45A-4982-9BFB-0AAE3783B272}" name="Pos" dataDxfId="91"/>
    <tableColumn id="35" xr3:uid="{649C4139-599C-4761-9BAE-49E823AB5404}" name="Pos2" dataDxfId="90"/>
    <tableColumn id="36" xr3:uid="{9FA98AA0-E6A5-4A3F-9410-E5CA63CF02A9}" name="Pos3" dataDxfId="89"/>
    <tableColumn id="4" xr3:uid="{780FB8F7-142C-4572-9DB8-7D5115BE5A9F}" name="Team"/>
    <tableColumn id="39" xr3:uid="{D00E731A-A79E-4F32-95A8-7DB8FA1B93F9}" name="P Rank"/>
    <tableColumn id="38" xr3:uid="{27360AF2-9082-4133-80CB-A8CEAF5728CC}" name="Pos P Rank"/>
    <tableColumn id="5" xr3:uid="{753F164C-7153-4A19-872E-F89AF2611B66}" name="value" dataDxfId="88">
      <calculatedColumnFormula>INDEX(Std[],MATCH(Def[[#This Row],[Player]],Std[Player],0),20)</calculatedColumnFormula>
    </tableColumn>
    <tableColumn id="6" xr3:uid="{99C1C5D0-CD01-4BFD-9D49-D5C90A1F777A}" name="Value Rk">
      <calculatedColumnFormula>_xlfn.RANK.EQ(Def[[#This Row],[value]],Def[value])</calculatedColumnFormula>
    </tableColumn>
    <tableColumn id="7" xr3:uid="{890358A2-73A9-481A-846A-AE087FA0A019}" name="VAA" dataDxfId="87">
      <calculatedColumnFormula>Def[[#This Row],[value]]-_xlfn.XLOOKUP($D$282,Def[Value Rk],Def[value],,-1)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55FF46-2FC5-4EAB-8E71-4B3D0F63951D}" name="Table27" displayName="Table27" ref="A1:O79" totalsRowShown="0">
  <autoFilter ref="A1:O79" xr:uid="{DBA900F6-0857-4AD3-9BF3-8F447AE758E8}"/>
  <sortState xmlns:xlrd2="http://schemas.microsoft.com/office/spreadsheetml/2017/richdata2" ref="A2:O79">
    <sortCondition ref="E1:E79"/>
  </sortState>
  <tableColumns count="15">
    <tableColumn id="1" xr3:uid="{662E06D3-9D77-4032-9456-9508EA7632F2}" name="player"/>
    <tableColumn id="2" xr3:uid="{1BA74AAC-25BA-49DB-90B7-9337A549DDBC}" name="team"/>
    <tableColumn id="3" xr3:uid="{09583B85-B306-4D3C-B2F1-67A72D1707B9}" name="age"/>
    <tableColumn id="4" xr3:uid="{E98E12A0-4CDF-4699-A52E-838ECA94C6BE}" name="pos"/>
    <tableColumn id="6" xr3:uid="{6B56FD1A-A2DB-4EEB-A135-6D64B54B8BF2}" name="proj_gs"/>
    <tableColumn id="7" xr3:uid="{CB72D09B-2E2C-4174-92CE-E718B0C2B427}" name="proj_w"/>
    <tableColumn id="8" xr3:uid="{08B29457-0FBC-4CFB-A159-A6E267B5031D}" name="proj_l"/>
    <tableColumn id="9" xr3:uid="{85EFBCEC-5346-421B-A6A6-F087C89D745E}" name="proj_otl"/>
    <tableColumn id="11" xr3:uid="{5897767F-49F1-4C8C-AF53-B733FB608336}" name="proj_ga"/>
    <tableColumn id="12" xr3:uid="{773B510F-20AE-4538-8ADE-A66E0FC73446}" name="proj_sa"/>
    <tableColumn id="13" xr3:uid="{92924AF4-F729-4E75-9A1C-F089AB0379E1}" name="proj_sv"/>
    <tableColumn id="14" xr3:uid="{C9E9DDDE-7EFF-415A-BF31-9111864AF9DC}" name="proj_sv.p"/>
    <tableColumn id="15" xr3:uid="{81684166-AE44-42EF-A99E-850AA98D7DE3}" name="proj_so"/>
    <tableColumn id="16" xr3:uid="{A879231A-E00C-494C-B60A-263846115451}" name="proj_qs"/>
    <tableColumn id="17" xr3:uid="{4E420AC5-99BA-4793-A7E3-0E0F08802D6D}" name="proj_rb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743F3F-FC0C-4BAB-B773-2C4D7E7960B1}" name="G_Std" displayName="G_Std" ref="A1:Q78" totalsRowShown="0">
  <autoFilter ref="A1:Q78" xr:uid="{17743F3F-FC0C-4BAB-B773-2C4D7E7960B1}"/>
  <sortState xmlns:xlrd2="http://schemas.microsoft.com/office/spreadsheetml/2017/richdata2" ref="A2:P62">
    <sortCondition descending="1" ref="O1:O62"/>
  </sortState>
  <tableColumns count="17">
    <tableColumn id="1" xr3:uid="{AD5DE6A7-3841-4F3C-9832-6E26E4079EFC}" name="player"/>
    <tableColumn id="2" xr3:uid="{DD2B138A-827D-4F59-9958-9B1057F8D590}" name="team"/>
    <tableColumn id="3" xr3:uid="{4EDA8D31-AF12-4F3D-A91F-A26255B952EF}" name="age"/>
    <tableColumn id="4" xr3:uid="{9F040153-48DA-4FAE-98F9-23BF8435B180}" name="pos"/>
    <tableColumn id="6" xr3:uid="{BB2684BC-ED7C-4D63-9C26-9F3D1C8F42DF}" name="GP" dataDxfId="86"/>
    <tableColumn id="7" xr3:uid="{6CE8645B-825A-4DC7-88C9-3BBA93E06043}" name="W" dataDxfId="85">
      <calculatedColumnFormula>(INDEX(Goalie[],MATCH(G_Std[[#This Row],[player]],Goalie[player],0),6)-F$80)/F$81</calculatedColumnFormula>
    </tableColumn>
    <tableColumn id="8" xr3:uid="{BADAC5AD-C617-4EB2-9671-AD8E441E0746}" name="L" dataDxfId="84">
      <calculatedColumnFormula>(INDEX(Goalie[],MATCH(G_Std[[#This Row],[player]],Goalie[player],0),7)-G$80)/G$81</calculatedColumnFormula>
    </tableColumn>
    <tableColumn id="9" xr3:uid="{E422072B-B619-42D0-9EB3-94133B059D5F}" name="OTL" dataDxfId="83">
      <calculatedColumnFormula>(INDEX(Goalie[],MATCH(G_Std[[#This Row],[player]],Goalie[player],0),8)-H$80)/H$81</calculatedColumnFormula>
    </tableColumn>
    <tableColumn id="11" xr3:uid="{BA603979-6434-4E79-ABF0-01CB311B982C}" name="GA" dataDxfId="82">
      <calculatedColumnFormula>(INDEX(Goalie[],MATCH(G_Std[[#This Row],[player]],Goalie[player],0),9)-I$80)/I$81</calculatedColumnFormula>
    </tableColumn>
    <tableColumn id="12" xr3:uid="{025EBA81-F4C6-470D-AD34-FD3F77AC974E}" name="SA" dataDxfId="81">
      <calculatedColumnFormula>(INDEX(Goalie[],MATCH(G_Std[[#This Row],[player]],Goalie[player],0),10)-J$80)/J$81</calculatedColumnFormula>
    </tableColumn>
    <tableColumn id="13" xr3:uid="{73B9243F-3C3B-4C4E-A7EA-FD10D966882D}" name="SV" dataDxfId="80">
      <calculatedColumnFormula>(INDEX(Goalie[],MATCH(G_Std[[#This Row],[player]],Goalie[player],0),11)-K$80)/K$81</calculatedColumnFormula>
    </tableColumn>
    <tableColumn id="14" xr3:uid="{4DFAA1B5-C962-4374-AC8F-B80A0A9558EB}" name="SV%" dataDxfId="79">
      <calculatedColumnFormula>(INDEX(Goalie[],MATCH(G_Std[[#This Row],[player]],Goalie[player],0),12)-L$80)/L$81</calculatedColumnFormula>
    </tableColumn>
    <tableColumn id="18" xr3:uid="{ECECECD1-CFB1-499E-BC61-3DB276CBFF0B}" name="GAA" dataDxfId="78">
      <calculatedColumnFormula>-1*(INDEX(Goalie[],MATCH(G_Std[[#This Row],[player]],Goalie[player],0),13)-M$80)/M$81</calculatedColumnFormula>
    </tableColumn>
    <tableColumn id="15" xr3:uid="{D02D8550-20BB-40A6-8268-A1C4B645ADBC}" name="SO" dataDxfId="77">
      <calculatedColumnFormula>(INDEX(Goalie[],MATCH(G_Std[[#This Row],[player]],Goalie[player],0),14)-N$80)/N$81</calculatedColumnFormula>
    </tableColumn>
    <tableColumn id="19" xr3:uid="{9AE83BA4-2409-4D5C-9C0E-6DA867BC4F0B}" name="VAA" dataDxfId="76">
      <calculatedColumnFormula>(G_Std[[#This Row],[W]]+G_Std[[#This Row],[SV]]+G_Std[[#This Row],[SV%]]+G_Std[[#This Row],[GAA]])*100</calculatedColumnFormula>
    </tableColumn>
    <tableColumn id="20" xr3:uid="{3A7D3DF6-0757-44FF-96D1-95D1EA7282DE}" name="Value Rk" dataDxfId="75">
      <calculatedColumnFormula>_xlfn.RANK.EQ(G_Std[[#This Row],[VAA]],G_Std[VAA])</calculatedColumnFormula>
    </tableColumn>
    <tableColumn id="21" xr3:uid="{EF423EFF-3339-4778-BC77-7A91F137439E}" name="VOR" dataDxfId="74">
      <calculatedColumnFormula>G_Std[[#This Row],[VAA]]-_xlfn.XLOOKUP($B$85,G_Std[Value Rk],G_Std[VAA],,-1)</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Std" displayName="Std" ref="A1:U756" totalsRowShown="0" headerRowDxfId="73" dataDxfId="71" headerRowBorderDxfId="72" tableBorderDxfId="70" totalsRowBorderDxfId="69">
  <autoFilter ref="A1:U756" xr:uid="{00000000-0009-0000-0100-000008000000}"/>
  <sortState xmlns:xlrd2="http://schemas.microsoft.com/office/spreadsheetml/2017/richdata2" ref="A2:U755">
    <sortCondition descending="1" ref="T1:T755"/>
  </sortState>
  <tableColumns count="21">
    <tableColumn id="1" xr3:uid="{00000000-0010-0000-0400-000001000000}" name="Player" dataDxfId="68"/>
    <tableColumn id="2" xr3:uid="{00000000-0010-0000-0400-000002000000}" name="Age" dataDxfId="67">
      <calculatedColumnFormula>INDEX(Table1[],MATCH(Proj[[#This Row],[Player]],Table1[Player],0),3)</calculatedColumnFormula>
    </tableColumn>
    <tableColumn id="3" xr3:uid="{00000000-0010-0000-0400-000003000000}" name="Pos" dataDxfId="66"/>
    <tableColumn id="25" xr3:uid="{00000000-0010-0000-0400-000019000000}" name="Pos2" dataDxfId="65"/>
    <tableColumn id="26" xr3:uid="{00000000-0010-0000-0400-00001A000000}" name="Pos3" dataDxfId="64"/>
    <tableColumn id="4" xr3:uid="{00000000-0010-0000-0400-000004000000}" name="Team" dataDxfId="63"/>
    <tableColumn id="13" xr3:uid="{00000000-0010-0000-0400-00000D000000}" name="Goals" dataDxfId="62">
      <calculatedColumnFormula>(INDEX(Proj[],MATCH(Std[[#This Row],[Player]],Proj[Player],0),14)-G$764)/G$765</calculatedColumnFormula>
    </tableColumn>
    <tableColumn id="14" xr3:uid="{00000000-0010-0000-0400-00000E000000}" name="Assists" dataDxfId="61">
      <calculatedColumnFormula>(INDEX(Proj[],MATCH(Std[[#This Row],[Player]],Proj[Player],0),15)-H$764)/H$765</calculatedColumnFormula>
    </tableColumn>
    <tableColumn id="15" xr3:uid="{00000000-0010-0000-0400-00000F000000}" name="Points" dataDxfId="60">
      <calculatedColumnFormula>(INDEX(Proj[],MATCH(Std[[#This Row],[Player]],Proj[Player],0),16)-I$764)/I$765</calculatedColumnFormula>
    </tableColumn>
    <tableColumn id="5" xr3:uid="{75AE9226-788D-4F50-AC25-3E4BAD45B8DD}" name="PPG" dataDxfId="59">
      <calculatedColumnFormula>(INDEX(Proj[],MATCH(Std[[#This Row],[Player]],Proj[Player],0),17)-J$764)/J$765</calculatedColumnFormula>
    </tableColumn>
    <tableColumn id="6" xr3:uid="{B76BA8D7-8971-40DE-AD8C-BF2827B0E039}" name="PPA" dataDxfId="58">
      <calculatedColumnFormula>(INDEX(Proj[],MATCH(Std[[#This Row],[Player]],Proj[Player],0),18)-K$764)/K$765</calculatedColumnFormula>
    </tableColumn>
    <tableColumn id="16" xr3:uid="{00000000-0010-0000-0400-000010000000}" name="PP Points" dataDxfId="57">
      <calculatedColumnFormula>(INDEX(Proj[],MATCH(Std[[#This Row],[Player]],Proj[Player],0),19)-L$764)/L$765</calculatedColumnFormula>
    </tableColumn>
    <tableColumn id="7" xr3:uid="{DB9E1FAA-A6B3-4BBF-93A1-B1A3F8AC1758}" name="SHP" dataDxfId="56">
      <calculatedColumnFormula>(INDEX(Proj[],MATCH(Std[[#This Row],[Player]],Proj[Player],0),20)-M$764)/M$765</calculatedColumnFormula>
    </tableColumn>
    <tableColumn id="17" xr3:uid="{00000000-0010-0000-0400-000011000000}" name="Hits" dataDxfId="55">
      <calculatedColumnFormula>(INDEX(Proj[],MATCH(Std[[#This Row],[Player]],Proj[Player],0),21)-N$764)/N$765</calculatedColumnFormula>
    </tableColumn>
    <tableColumn id="18" xr3:uid="{00000000-0010-0000-0400-000012000000}" name="BLK" dataDxfId="54">
      <calculatedColumnFormula>(INDEX(Proj[],MATCH(Std[[#This Row],[Player]],Proj[Player],0),22)-O$764)/O$765</calculatedColumnFormula>
    </tableColumn>
    <tableColumn id="19" xr3:uid="{00000000-0010-0000-0400-000013000000}" name="PIM" dataDxfId="53">
      <calculatedColumnFormula>((INDEX(Proj[],MATCH(Std[[#This Row],[Player]],Proj[Player],0),23)-P$764)/P$765)*IF('League Inputs'!$C$23 = "Yes",-1, 1)</calculatedColumnFormula>
    </tableColumn>
    <tableColumn id="20" xr3:uid="{00000000-0010-0000-0400-000014000000}" name="FOW" dataDxfId="52">
      <calculatedColumnFormula>(INDEX(Proj[],MATCH(Std[[#This Row],[Player]],Proj[Player],0),24)-Q$764)/Q$765</calculatedColumnFormula>
    </tableColumn>
    <tableColumn id="21" xr3:uid="{00000000-0010-0000-0400-000015000000}" name="FOL" dataDxfId="51">
      <calculatedColumnFormula>(INDEX(Proj[],MATCH(Std[[#This Row],[Player]],Proj[Player],0),25)-R$764)/R$765</calculatedColumnFormula>
    </tableColumn>
    <tableColumn id="22" xr3:uid="{00000000-0010-0000-0400-000016000000}" name="SOG" dataDxfId="50">
      <calculatedColumnFormula>(INDEX(Proj[],MATCH(Std[[#This Row],[Player]],Proj[Player],0),26)-S$764)/S$765</calculatedColumnFormula>
    </tableColumn>
    <tableColumn id="23" xr3:uid="{00000000-0010-0000-0400-000017000000}" name="Value" dataDxfId="49">
      <calculatedColumnFormula>(IF('League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calculatedColumnFormula>
    </tableColumn>
    <tableColumn id="24" xr3:uid="{00000000-0010-0000-0400-000018000000}" name="VAR" dataDxfId="4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0C4C92-1F4A-4920-9818-59A5AD78C078}" name="Table5" displayName="Table5" ref="H772:I776" totalsRowShown="0" headerRowDxfId="47" headerRowBorderDxfId="46" tableBorderDxfId="45">
  <autoFilter ref="H772:I776" xr:uid="{BD0C4C92-1F4A-4920-9818-59A5AD78C078}"/>
  <tableColumns count="2">
    <tableColumn id="1" xr3:uid="{3F5F481D-20D4-4BDA-AB86-C62EF2407AA2}" name="Pos"/>
    <tableColumn id="2" xr3:uid="{5E73E2D7-23D1-4533-B2D3-232E8C2E807A}" name="AVG Value" dataDxfId="4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0D3C547-79C7-4659-AFF0-FBC2986EC001}" name="Goalie" displayName="Goalie" ref="A1:U78" totalsRowShown="0">
  <autoFilter ref="A1:U78" xr:uid="{A4187A6F-5235-48A7-818A-D6F549FB0932}"/>
  <sortState xmlns:xlrd2="http://schemas.microsoft.com/office/spreadsheetml/2017/richdata2" ref="A2:U78">
    <sortCondition descending="1" ref="Q1:Q78"/>
  </sortState>
  <tableColumns count="21">
    <tableColumn id="1" xr3:uid="{4FE3C9B1-8F37-4D9E-963C-7B95B9E21236}" name="player" dataDxfId="43"/>
    <tableColumn id="2" xr3:uid="{1240C573-FB29-4311-B669-9C5E6FDF0F4D}" name="team"/>
    <tableColumn id="3" xr3:uid="{5B1030D8-F9A7-40CA-82E6-A3FDB4B9B99F}" name="age"/>
    <tableColumn id="4" xr3:uid="{E9B59CB9-5B5A-4AD5-83D7-3EB8AC154F4D}" name="pos"/>
    <tableColumn id="6" xr3:uid="{D900F5A3-054A-4002-B5A3-2F44AD48D054}" name="GP" dataDxfId="42"/>
    <tableColumn id="7" xr3:uid="{EB46E418-F86E-47F6-A649-5DC561649C3D}" name="W" dataDxfId="41">
      <calculatedColumnFormula>ROUND(Goalie[[#This Row],[GP]]*INDEX(Table27[],MATCH(Goalie[[#This Row],[player]],Table27[player],0),6),0)</calculatedColumnFormula>
    </tableColumn>
    <tableColumn id="8" xr3:uid="{3B3BABB1-5550-4480-B74F-65E3E721563F}" name="L" dataDxfId="40">
      <calculatedColumnFormula>Goalie[[#This Row],[GP]]*INDEX(Table27[],MATCH(Goalie[[#This Row],[player]],Table27[player],0),7)</calculatedColumnFormula>
    </tableColumn>
    <tableColumn id="9" xr3:uid="{85F484F2-424C-4701-9D06-90D81816A5A9}" name="OTL" dataDxfId="39">
      <calculatedColumnFormula>Goalie[[#This Row],[GP]]*INDEX(Table27[],MATCH(Goalie[[#This Row],[player]],Table27[player],0),8)</calculatedColumnFormula>
    </tableColumn>
    <tableColumn id="11" xr3:uid="{442A6DF8-D9BE-492B-9291-6CB207DEB684}" name="GA" dataDxfId="38">
      <calculatedColumnFormula>Goalie[[#This Row],[GP]]*INDEX(Table27[],MATCH(Goalie[[#This Row],[player]],Table27[player],0),9)</calculatedColumnFormula>
    </tableColumn>
    <tableColumn id="12" xr3:uid="{BE4327B8-D323-4752-8699-76516C1E57F5}" name="SA" dataDxfId="37">
      <calculatedColumnFormula>Goalie[[#This Row],[GP]]*INDEX(Table27[],MATCH(Goalie[[#This Row],[player]],Table27[player],0),10)</calculatedColumnFormula>
    </tableColumn>
    <tableColumn id="13" xr3:uid="{881D9D59-10AC-4701-8876-7ADC5BAC65B6}" name="SV" dataDxfId="36">
      <calculatedColumnFormula>ROUND(Goalie[[#This Row],[SA]]-Goalie[[#This Row],[GA]],0)</calculatedColumnFormula>
    </tableColumn>
    <tableColumn id="14" xr3:uid="{D38A3BAB-CB60-41FB-BF14-FCB9CB9DF564}" name="SV%" dataDxfId="35">
      <calculatedColumnFormula>ROUND(Goalie[[#This Row],[SV]]/Goalie[[#This Row],[SA]],3)</calculatedColumnFormula>
    </tableColumn>
    <tableColumn id="18" xr3:uid="{CA756331-BCCF-4BB0-9799-C370AC9BE5F7}" name="GAA" dataDxfId="34">
      <calculatedColumnFormula>ROUND(Goalie[[#This Row],[GA]]/Goalie[[#This Row],[GP]],2)</calculatedColumnFormula>
    </tableColumn>
    <tableColumn id="15" xr3:uid="{9F146ADC-17A9-40E4-92F1-E4CCA582FCC1}" name="SO" dataDxfId="33">
      <calculatedColumnFormula>Goalie[[#This Row],[GP]]*INDEX(Table27[],MATCH(Goalie[[#This Row],[player]],Table27[player],0),13)</calculatedColumnFormula>
    </tableColumn>
    <tableColumn id="16" xr3:uid="{435EC001-B307-430C-A6C9-ADB8F349B8F7}" name="QS" dataDxfId="32">
      <calculatedColumnFormula>Goalie[[#This Row],[GP]]*INDEX(Table27[],MATCH(Goalie[[#This Row],[player]],Table27[player],0),14)</calculatedColumnFormula>
    </tableColumn>
    <tableColumn id="17" xr3:uid="{C953B223-B63E-4C9C-BB50-B33A70B57B63}" name="RBS" dataDxfId="31">
      <calculatedColumnFormula>Goalie[[#This Row],[GP]]*INDEX(Table27[],MATCH(Goalie[[#This Row],[player]],Table27[player],0),15)</calculatedColumnFormula>
    </tableColumn>
    <tableColumn id="19" xr3:uid="{0E7D8041-05E2-4C60-B6E0-B95E9E216458}" name="VOR" dataDxfId="30">
      <calculatedColumnFormula>INDEX(G_Std[],MATCH(Goalie[[#This Row],[player]],G_Std[player],0),17)</calculatedColumnFormula>
    </tableColumn>
    <tableColumn id="21" xr3:uid="{9CDB655D-A6E0-48C9-8283-9CA524B916F3}" name="Rk VOR" dataDxfId="29">
      <calculatedColumnFormula>_xlfn.RANK.EQ(Goalie[[#This Row],[VOR]],Goalie[VOR])</calculatedColumnFormula>
    </tableColumn>
    <tableColumn id="5" xr3:uid="{F3146CAF-410A-4594-8431-837AAF01A485}" name="Pts" dataDxfId="28">
      <calculatedColumnFormula>E2*'League Inputs'!$K$25+F2*'League Inputs'!$K$23+G2*'League Inputs'!$K$24+I2*'League Inputs'!$K$27+J2*'League Inputs'!$K$28+K2*'League Inputs'!$K$29+N2*'League Inputs'!$K$30</calculatedColumnFormula>
    </tableColumn>
    <tableColumn id="20" xr3:uid="{7D3D10B4-B733-437A-9E9A-151356D5685B}" name="Fantasy Team" dataDxfId="27"/>
    <tableColumn id="10" xr3:uid="{D9CEBE66-50A5-47FB-9235-D3ED52EF3125}" name="GP Org" dataDxfId="2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71D1BC3-416F-4E74-9E68-1E60DEEF715C}" name="Table16" displayName="Table16" ref="A1:I838" totalsRowShown="0">
  <autoFilter ref="A1:I838" xr:uid="{D71D1BC3-416F-4E74-9E68-1E60DEEF715C}"/>
  <sortState xmlns:xlrd2="http://schemas.microsoft.com/office/spreadsheetml/2017/richdata2" ref="A2:I838">
    <sortCondition descending="1" ref="D1:D838"/>
  </sortState>
  <tableColumns count="9">
    <tableColumn id="1" xr3:uid="{59D8104D-A2A7-46B1-BC40-0F9554585158}" name="Player" dataDxfId="25"/>
    <tableColumn id="2" xr3:uid="{22DB3174-1D14-4D05-8B3B-50F77F87069C}" name="Pos" dataDxfId="24"/>
    <tableColumn id="7" xr3:uid="{53531A16-E2E0-4B4B-A642-D2C4F964DFFD}" name="Pos               Used for Vorp">
      <calculatedColumnFormula>SUBSTITUTE(SUBSTITUTE(B2,"C,",""),"LW,","")</calculatedColumnFormula>
    </tableColumn>
    <tableColumn id="3" xr3:uid="{54652F2B-E5C3-4C7D-8609-60AA9A420850}" name="VOR" dataDxfId="23">
      <calculatedColumnFormula>MAX(_xlfn.IFNA(INDEX(Proj[],MATCH(Table16[[#This Row],[Player]],Proj[Player],0),27),-5000), _xlfn.IFNA(INDEX(Goalie[],MATCH(Table16[[#This Row],[Player]],Goalie[player],0),17),-5000))</calculatedColumnFormula>
    </tableColumn>
    <tableColumn id="4" xr3:uid="{02A54589-7991-4025-8126-D93A57F3B76E}" name="Rank Ovr">
      <calculatedColumnFormula>_xlfn.RANK.EQ(Table16[[#This Row],[VOR]],Table16[VOR])</calculatedColumnFormula>
    </tableColumn>
    <tableColumn id="9" xr3:uid="{A9CC176E-6C76-494F-87A8-3F254CD7CFD9}" name="Pos Rank2">
      <calculatedColumnFormula array="1">_xlfn.IFS(C2 = "C",INDEX('C'!$A$2:$L$254,MATCH($A2,'C'!$A$2:$A$254,0),10),C2 = "LW",INDEX(LW!$A$2:$K$180,MATCH($A2,LW!$A$2:$A$180,0),10),C2 = "RW",INDEX('RW'!$A$2:$L$164,MATCH($A2,'RW'!$A$2:$A$164,0),10), C2 = "D",INDEX(D!$A$2:$L$268,MATCH($A2,D!$A$2:$A$268,0),10),C2="G",INDEX(G!$A$2:$Q$78,MATCH($A2,G!$A$2:$A$78,0),16),C2="F",INDEX(F!$A$2:$K$494,MATCH($A2,F!$A$2:$A$494,0),10))</calculatedColumnFormula>
    </tableColumn>
    <tableColumn id="6" xr3:uid="{027878FF-0499-40F1-AC38-E06DE166C52B}" name="Pos Rank">
      <calculatedColumnFormula>_xlfn.CONCAT(C2,Table16[[#This Row],[Pos Rank2]])</calculatedColumnFormula>
    </tableColumn>
    <tableColumn id="10" xr3:uid="{1782CAD0-AF43-49CA-8EAC-6D1283F5EFD0}" name="Pts" dataDxfId="22">
      <calculatedColumnFormula>MAX(_xlfn.IFNA(INDEX(Proj[],MATCH(Table16[[#This Row],[Player]],Proj[Player],0),29),-5000), _xlfn.IFNA(INDEX(Goalie[],MATCH(Table16[[#This Row],[Player]],Goalie[player],0),19),-5000))</calculatedColumnFormula>
    </tableColumn>
    <tableColumn id="5" xr3:uid="{975B52FF-37A4-4977-A9A8-59753F83E232}" name="Fantasy Team">
      <calculatedColumnFormula>IF(_xlfn.IFNA(INDEX(Proj[],MATCH(Table16[[#This Row],[Player]],Proj[Player],0),30),INDEX(Goalie[],MATCH(Table16[[#This Row],[Player]],Goalie[player],0),20)) = 0, "",_xlfn.IFNA(INDEX(Proj[],MATCH(Table16[[#This Row],[Player]],Proj[Player],0),30),INDEX(Goalie[],MATCH(Table16[[#This Row],[Player]],Goalie[player],0),20)))</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e610" displayName="Table610" ref="A38:L59" totalsRowShown="0">
  <autoFilter ref="A38:L59" xr:uid="{00000000-0009-0000-0100-00000B000000}"/>
  <sortState xmlns:xlrd2="http://schemas.microsoft.com/office/spreadsheetml/2017/richdata2" ref="A39:L70">
    <sortCondition descending="1" ref="H38:H70"/>
  </sortState>
  <tableColumns count="12">
    <tableColumn id="1" xr3:uid="{00000000-0010-0000-0600-000001000000}" name="Fantasy Team">
      <calculatedColumnFormula>IF(A4 = "", "", A4)</calculatedColumnFormula>
    </tableColumn>
    <tableColumn id="2" xr3:uid="{00000000-0010-0000-0600-000002000000}" name="Players Drafted">
      <calculatedColumnFormula>IF(Table610[[#This Row],[Fantasy Team]] = "", "", IF(ISBLANK(Table610[[#This Row],[Fantasy Team]]),"",COUNTIF(Proj[Fantasy Team], Table610[[#This Row],[Fantasy Team]])))</calculatedColumnFormula>
    </tableColumn>
    <tableColumn id="10" xr3:uid="{00000000-0010-0000-0600-00000A000000}" name="Rank G" dataDxfId="21">
      <calculatedColumnFormula>IF('League Inputs'!$C$10 = "Yes",IFERROR(_xlfn.RANK.EQ(C4,'Team Strength'!$C$4:$C$34),""),"")</calculatedColumnFormula>
    </tableColumn>
    <tableColumn id="11" xr3:uid="{00000000-0010-0000-0600-00000B000000}" name="Rank A" dataDxfId="20">
      <calculatedColumnFormula>IF('League Inputs'!$C$11 = "Yes",IFERROR(_xlfn.RANK.EQ(D4,'Team Strength'!$D$4:$D$34),""),"")</calculatedColumnFormula>
    </tableColumn>
    <tableColumn id="12" xr3:uid="{00000000-0010-0000-0600-00000C000000}" name="Rank P " dataDxfId="19">
      <calculatedColumnFormula>IF('League Inputs'!$C$12 = "Yes",IFERROR(_xlfn.RANK.EQ(E4,'Team Strength'!$E$4:$E$34),""),"")</calculatedColumnFormula>
    </tableColumn>
    <tableColumn id="13" xr3:uid="{00000000-0010-0000-0600-00000D000000}" name="Rank PPP " dataDxfId="18">
      <calculatedColumnFormula>IF('League Inputs'!$C$15 = "Yes",IFERROR(_xlfn.RANK.EQ(F4,'Team Strength'!$F$4:$F$34),""),"")</calculatedColumnFormula>
    </tableColumn>
    <tableColumn id="14" xr3:uid="{00000000-0010-0000-0600-00000E000000}" name="Rank Hits" dataDxfId="17">
      <calculatedColumnFormula>IF('League Inputs'!$C$18 = "Yes",IFERROR(_xlfn.RANK.EQ(G4,'Team Strength'!$G$4:$G$34),""),"")</calculatedColumnFormula>
    </tableColumn>
    <tableColumn id="15" xr3:uid="{00000000-0010-0000-0600-00000F000000}" name="Rank Blk" dataDxfId="16">
      <calculatedColumnFormula>IF('League Inputs'!$C$19 = "Yes",IFERROR(_xlfn.RANK.EQ(H4,'Team Strength'!$H$4:$H$34),""),"")</calculatedColumnFormula>
    </tableColumn>
    <tableColumn id="16" xr3:uid="{00000000-0010-0000-0600-000010000000}" name="Rank PIM" dataDxfId="15">
      <calculatedColumnFormula>IF('League Inputs'!$C$22 = "Yes",IFERROR(_xlfn.RANK.EQ(I4,'Team Strength'!$I$4:$I$34),""),"")</calculatedColumnFormula>
    </tableColumn>
    <tableColumn id="17" xr3:uid="{00000000-0010-0000-0600-000011000000}" name="Rank FOW" dataDxfId="14">
      <calculatedColumnFormula>IF('League Inputs'!$C$20 = "Yes",IFERROR(_xlfn.RANK.EQ(J4,'Team Strength'!$J$4:$J$34),""),"")</calculatedColumnFormula>
    </tableColumn>
    <tableColumn id="21" xr3:uid="{00000000-0010-0000-0600-000015000000}" name="Rank SOG" dataDxfId="13">
      <calculatedColumnFormula>IF('League Inputs'!$C$17 = "Yes", IFERROR(_xlfn.RANK.EQ(K4,'Team Strength'!$K$4:$K$34),""),"")</calculatedColumnFormula>
    </tableColumn>
    <tableColumn id="22" xr3:uid="{00000000-0010-0000-0600-000016000000}" name="Overall Rank" dataDxfId="12">
      <calculatedColumnFormula>IFERROR(AVERAGE(Table610[[#This Row],[Rank G]:[Rank SOG]]),"")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1" dT="2022-08-15T02:09:39.33" personId="{00000000-0000-0000-0000-000000000000}" id="{1688DCD6-F0E9-47A5-8E89-577272AB0BCC}">
    <text>This is any start where the goalie has above an average SV% (around 0.908) or faces less than 20 shots and has &gt; than a 0.885 SV%</text>
  </threadedComment>
  <threadedComment ref="P1" dT="2022-08-15T02:10:14.44" personId="{00000000-0000-0000-0000-000000000000}" id="{A1669143-835C-4376-BC2B-F2C1C1D7AEEA}">
    <text>Any start where the goalie has less than a 0.850 SV%</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65F05-4158-45D1-A2C6-3060A5C21461}">
  <sheetPr codeName="Sheet1"/>
  <dimension ref="B1:R28"/>
  <sheetViews>
    <sheetView workbookViewId="0">
      <selection activeCell="M18" sqref="M18"/>
    </sheetView>
  </sheetViews>
  <sheetFormatPr defaultRowHeight="15" x14ac:dyDescent="0.25"/>
  <cols>
    <col min="18" max="18" width="14.7109375" bestFit="1" customWidth="1"/>
  </cols>
  <sheetData>
    <row r="1" spans="2:18" ht="15.75" thickBot="1" x14ac:dyDescent="0.3">
      <c r="B1" s="20"/>
      <c r="C1" s="20"/>
      <c r="D1" s="20"/>
      <c r="E1" s="20"/>
      <c r="F1" s="20"/>
      <c r="G1" s="20"/>
      <c r="H1" s="20"/>
      <c r="I1" s="20"/>
      <c r="J1" s="20"/>
      <c r="K1" s="20"/>
      <c r="L1" s="20"/>
      <c r="M1" s="20"/>
    </row>
    <row r="2" spans="2:18" ht="21.75" thickBot="1" x14ac:dyDescent="0.4">
      <c r="B2" s="20"/>
      <c r="C2" s="125" t="s">
        <v>125</v>
      </c>
      <c r="D2" s="126"/>
      <c r="E2" s="126"/>
      <c r="F2" s="126"/>
      <c r="G2" s="126"/>
      <c r="H2" s="126"/>
      <c r="I2" s="126"/>
      <c r="J2" s="126"/>
      <c r="K2" s="126"/>
      <c r="L2" s="127"/>
      <c r="M2" s="20"/>
    </row>
    <row r="3" spans="2:18" ht="15.75" thickBot="1" x14ac:dyDescent="0.3">
      <c r="B3" s="20"/>
      <c r="C3" s="20"/>
      <c r="D3" s="20"/>
      <c r="E3" s="20"/>
      <c r="F3" s="20"/>
      <c r="G3" s="20"/>
      <c r="H3" s="20"/>
      <c r="I3" s="20"/>
      <c r="J3" s="20"/>
      <c r="K3" s="20"/>
      <c r="L3" s="20"/>
      <c r="M3" s="20"/>
    </row>
    <row r="4" spans="2:18" ht="16.5" customHeight="1" x14ac:dyDescent="0.25">
      <c r="B4" s="20"/>
      <c r="C4" s="116" t="s">
        <v>1103</v>
      </c>
      <c r="D4" s="117"/>
      <c r="E4" s="117"/>
      <c r="F4" s="117"/>
      <c r="G4" s="117"/>
      <c r="H4" s="117"/>
      <c r="I4" s="117"/>
      <c r="J4" s="117"/>
      <c r="K4" s="117"/>
      <c r="L4" s="118"/>
      <c r="M4" s="20"/>
      <c r="Q4" s="128"/>
      <c r="R4" s="128"/>
    </row>
    <row r="5" spans="2:18" x14ac:dyDescent="0.25">
      <c r="B5" s="20"/>
      <c r="C5" s="122"/>
      <c r="D5" s="123"/>
      <c r="E5" s="123"/>
      <c r="F5" s="123"/>
      <c r="G5" s="123"/>
      <c r="H5" s="123"/>
      <c r="I5" s="123"/>
      <c r="J5" s="123"/>
      <c r="K5" s="123"/>
      <c r="L5" s="124"/>
      <c r="M5" s="20"/>
      <c r="Q5" s="21"/>
      <c r="R5" s="22"/>
    </row>
    <row r="6" spans="2:18" x14ac:dyDescent="0.25">
      <c r="B6" s="20"/>
      <c r="C6" s="122"/>
      <c r="D6" s="123"/>
      <c r="E6" s="123"/>
      <c r="F6" s="123"/>
      <c r="G6" s="123"/>
      <c r="H6" s="123"/>
      <c r="I6" s="123"/>
      <c r="J6" s="123"/>
      <c r="K6" s="123"/>
      <c r="L6" s="124"/>
      <c r="M6" s="20"/>
      <c r="R6" s="22"/>
    </row>
    <row r="7" spans="2:18" x14ac:dyDescent="0.25">
      <c r="B7" s="20"/>
      <c r="C7" s="122"/>
      <c r="D7" s="123"/>
      <c r="E7" s="123"/>
      <c r="F7" s="123"/>
      <c r="G7" s="123"/>
      <c r="H7" s="123"/>
      <c r="I7" s="123"/>
      <c r="J7" s="123"/>
      <c r="K7" s="123"/>
      <c r="L7" s="124"/>
      <c r="M7" s="20"/>
      <c r="R7" s="22"/>
    </row>
    <row r="8" spans="2:18" ht="15.75" thickBot="1" x14ac:dyDescent="0.3">
      <c r="B8" s="20"/>
      <c r="C8" s="119"/>
      <c r="D8" s="120"/>
      <c r="E8" s="120"/>
      <c r="F8" s="120"/>
      <c r="G8" s="120"/>
      <c r="H8" s="120"/>
      <c r="I8" s="120"/>
      <c r="J8" s="120"/>
      <c r="K8" s="120"/>
      <c r="L8" s="121"/>
      <c r="M8" s="20"/>
      <c r="R8" s="22"/>
    </row>
    <row r="9" spans="2:18" ht="15.75" thickBot="1" x14ac:dyDescent="0.3">
      <c r="B9" s="20"/>
      <c r="C9" s="20"/>
      <c r="D9" s="20"/>
      <c r="E9" s="20"/>
      <c r="F9" s="20"/>
      <c r="G9" s="20"/>
      <c r="H9" s="20"/>
      <c r="I9" s="20"/>
      <c r="J9" s="20"/>
      <c r="K9" s="20"/>
      <c r="L9" s="20"/>
      <c r="M9" s="20"/>
      <c r="R9" s="22"/>
    </row>
    <row r="10" spans="2:18" x14ac:dyDescent="0.25">
      <c r="B10" s="20"/>
      <c r="C10" s="129" t="s">
        <v>1104</v>
      </c>
      <c r="D10" s="130"/>
      <c r="E10" s="130"/>
      <c r="F10" s="130"/>
      <c r="G10" s="130"/>
      <c r="H10" s="130"/>
      <c r="I10" s="130"/>
      <c r="J10" s="130"/>
      <c r="K10" s="130"/>
      <c r="L10" s="131"/>
      <c r="M10" s="20"/>
      <c r="R10" s="22"/>
    </row>
    <row r="11" spans="2:18" x14ac:dyDescent="0.25">
      <c r="B11" s="20"/>
      <c r="C11" s="132"/>
      <c r="D11" s="133"/>
      <c r="E11" s="133"/>
      <c r="F11" s="133"/>
      <c r="G11" s="133"/>
      <c r="H11" s="133"/>
      <c r="I11" s="133"/>
      <c r="J11" s="133"/>
      <c r="K11" s="133"/>
      <c r="L11" s="134"/>
      <c r="M11" s="20"/>
      <c r="R11" s="22"/>
    </row>
    <row r="12" spans="2:18" x14ac:dyDescent="0.25">
      <c r="B12" s="20"/>
      <c r="C12" s="132"/>
      <c r="D12" s="133"/>
      <c r="E12" s="133"/>
      <c r="F12" s="133"/>
      <c r="G12" s="133"/>
      <c r="H12" s="133"/>
      <c r="I12" s="133"/>
      <c r="J12" s="133"/>
      <c r="K12" s="133"/>
      <c r="L12" s="134"/>
      <c r="M12" s="20"/>
      <c r="R12" s="22"/>
    </row>
    <row r="13" spans="2:18" x14ac:dyDescent="0.25">
      <c r="B13" s="20"/>
      <c r="C13" s="132"/>
      <c r="D13" s="133"/>
      <c r="E13" s="133"/>
      <c r="F13" s="133"/>
      <c r="G13" s="133"/>
      <c r="H13" s="133"/>
      <c r="I13" s="133"/>
      <c r="J13" s="133"/>
      <c r="K13" s="133"/>
      <c r="L13" s="134"/>
      <c r="M13" s="20"/>
      <c r="R13" s="22"/>
    </row>
    <row r="14" spans="2:18" ht="15.75" thickBot="1" x14ac:dyDescent="0.3">
      <c r="B14" s="20"/>
      <c r="C14" s="135"/>
      <c r="D14" s="136"/>
      <c r="E14" s="136"/>
      <c r="F14" s="136"/>
      <c r="G14" s="136"/>
      <c r="H14" s="136"/>
      <c r="I14" s="136"/>
      <c r="J14" s="136"/>
      <c r="K14" s="136"/>
      <c r="L14" s="137"/>
      <c r="M14" s="20"/>
      <c r="R14" s="22"/>
    </row>
    <row r="15" spans="2:18" ht="15.75" thickBot="1" x14ac:dyDescent="0.3">
      <c r="B15" s="20"/>
      <c r="C15" s="20"/>
      <c r="D15" s="20"/>
      <c r="E15" s="20"/>
      <c r="F15" s="20"/>
      <c r="G15" s="20"/>
      <c r="H15" s="20"/>
      <c r="I15" s="20"/>
      <c r="J15" s="20"/>
      <c r="K15" s="20"/>
      <c r="L15" s="20"/>
      <c r="M15" s="20"/>
      <c r="R15" s="22"/>
    </row>
    <row r="16" spans="2:18" ht="24" customHeight="1" x14ac:dyDescent="0.25">
      <c r="B16" s="20"/>
      <c r="C16" s="116" t="s">
        <v>134</v>
      </c>
      <c r="D16" s="117"/>
      <c r="E16" s="117"/>
      <c r="F16" s="117"/>
      <c r="G16" s="117"/>
      <c r="H16" s="117"/>
      <c r="I16" s="117"/>
      <c r="J16" s="117"/>
      <c r="K16" s="117"/>
      <c r="L16" s="118"/>
      <c r="M16" s="20"/>
      <c r="R16" s="23"/>
    </row>
    <row r="17" spans="2:18" x14ac:dyDescent="0.25">
      <c r="B17" s="20"/>
      <c r="C17" s="122"/>
      <c r="D17" s="123"/>
      <c r="E17" s="123"/>
      <c r="F17" s="123"/>
      <c r="G17" s="123"/>
      <c r="H17" s="123"/>
      <c r="I17" s="123"/>
      <c r="J17" s="123"/>
      <c r="K17" s="123"/>
      <c r="L17" s="124"/>
      <c r="M17" s="20"/>
      <c r="R17" s="24"/>
    </row>
    <row r="18" spans="2:18" x14ac:dyDescent="0.25">
      <c r="B18" s="20"/>
      <c r="C18" s="122"/>
      <c r="D18" s="123"/>
      <c r="E18" s="123"/>
      <c r="F18" s="123"/>
      <c r="G18" s="123"/>
      <c r="H18" s="123"/>
      <c r="I18" s="123"/>
      <c r="J18" s="123"/>
      <c r="K18" s="123"/>
      <c r="L18" s="124"/>
      <c r="M18" s="20"/>
    </row>
    <row r="19" spans="2:18" ht="15.75" thickBot="1" x14ac:dyDescent="0.3">
      <c r="B19" s="20"/>
      <c r="C19" s="119"/>
      <c r="D19" s="120"/>
      <c r="E19" s="120"/>
      <c r="F19" s="120"/>
      <c r="G19" s="120"/>
      <c r="H19" s="120"/>
      <c r="I19" s="120"/>
      <c r="J19" s="120"/>
      <c r="K19" s="120"/>
      <c r="L19" s="121"/>
      <c r="M19" s="20"/>
    </row>
    <row r="20" spans="2:18" ht="16.5" customHeight="1" thickBot="1" x14ac:dyDescent="0.3">
      <c r="B20" s="20"/>
      <c r="C20" s="20"/>
      <c r="D20" s="20"/>
      <c r="E20" s="20"/>
      <c r="F20" s="20"/>
      <c r="G20" s="20"/>
      <c r="H20" s="20"/>
      <c r="I20" s="20"/>
      <c r="J20" s="20"/>
      <c r="K20" s="20"/>
      <c r="L20" s="20"/>
      <c r="M20" s="20"/>
    </row>
    <row r="21" spans="2:18" ht="24" customHeight="1" x14ac:dyDescent="0.25">
      <c r="B21" s="20"/>
      <c r="C21" s="116" t="s">
        <v>130</v>
      </c>
      <c r="D21" s="117"/>
      <c r="E21" s="117"/>
      <c r="F21" s="117"/>
      <c r="G21" s="117"/>
      <c r="H21" s="117"/>
      <c r="I21" s="117"/>
      <c r="J21" s="117"/>
      <c r="K21" s="117"/>
      <c r="L21" s="118"/>
      <c r="M21" s="20"/>
    </row>
    <row r="22" spans="2:18" ht="15" customHeight="1" thickBot="1" x14ac:dyDescent="0.3">
      <c r="B22" s="20"/>
      <c r="C22" s="119"/>
      <c r="D22" s="120"/>
      <c r="E22" s="120"/>
      <c r="F22" s="120"/>
      <c r="G22" s="120"/>
      <c r="H22" s="120"/>
      <c r="I22" s="120"/>
      <c r="J22" s="120"/>
      <c r="K22" s="120"/>
      <c r="L22" s="121"/>
      <c r="M22" s="20"/>
    </row>
    <row r="23" spans="2:18" ht="15" customHeight="1" thickBot="1" x14ac:dyDescent="0.3">
      <c r="B23" s="20"/>
      <c r="C23" s="20"/>
      <c r="D23" s="20"/>
      <c r="E23" s="20"/>
      <c r="F23" s="20"/>
      <c r="G23" s="20"/>
      <c r="H23" s="20"/>
      <c r="I23" s="20"/>
      <c r="J23" s="20"/>
      <c r="K23" s="20"/>
      <c r="L23" s="20"/>
      <c r="M23" s="26"/>
      <c r="N23" s="25"/>
      <c r="O23" s="25"/>
      <c r="P23" s="25"/>
      <c r="Q23" s="25"/>
    </row>
    <row r="24" spans="2:18" ht="15" customHeight="1" x14ac:dyDescent="0.25">
      <c r="B24" s="20"/>
      <c r="C24" s="116" t="s">
        <v>133</v>
      </c>
      <c r="D24" s="117"/>
      <c r="E24" s="117"/>
      <c r="F24" s="117"/>
      <c r="G24" s="117"/>
      <c r="H24" s="117"/>
      <c r="I24" s="117"/>
      <c r="J24" s="117"/>
      <c r="K24" s="117"/>
      <c r="L24" s="118"/>
      <c r="M24" s="26"/>
      <c r="N24" s="25"/>
      <c r="O24" s="25"/>
      <c r="P24" s="25"/>
      <c r="Q24" s="25"/>
    </row>
    <row r="25" spans="2:18" ht="15" customHeight="1" x14ac:dyDescent="0.25">
      <c r="B25" s="20"/>
      <c r="C25" s="122"/>
      <c r="D25" s="123"/>
      <c r="E25" s="123"/>
      <c r="F25" s="123"/>
      <c r="G25" s="123"/>
      <c r="H25" s="123"/>
      <c r="I25" s="123"/>
      <c r="J25" s="123"/>
      <c r="K25" s="123"/>
      <c r="L25" s="124"/>
      <c r="M25" s="26"/>
      <c r="N25" s="25"/>
      <c r="O25" s="25"/>
      <c r="P25" s="25"/>
      <c r="Q25" s="25"/>
    </row>
    <row r="26" spans="2:18" ht="15" customHeight="1" x14ac:dyDescent="0.25">
      <c r="B26" s="20"/>
      <c r="C26" s="122"/>
      <c r="D26" s="123"/>
      <c r="E26" s="123"/>
      <c r="F26" s="123"/>
      <c r="G26" s="123"/>
      <c r="H26" s="123"/>
      <c r="I26" s="123"/>
      <c r="J26" s="123"/>
      <c r="K26" s="123"/>
      <c r="L26" s="124"/>
      <c r="M26" s="26"/>
      <c r="N26" s="25"/>
      <c r="O26" s="25"/>
      <c r="P26" s="25"/>
      <c r="Q26" s="25"/>
    </row>
    <row r="27" spans="2:18" ht="15.75" customHeight="1" thickBot="1" x14ac:dyDescent="0.3">
      <c r="B27" s="20"/>
      <c r="C27" s="119"/>
      <c r="D27" s="120"/>
      <c r="E27" s="120"/>
      <c r="F27" s="120"/>
      <c r="G27" s="120"/>
      <c r="H27" s="120"/>
      <c r="I27" s="120"/>
      <c r="J27" s="120"/>
      <c r="K27" s="120"/>
      <c r="L27" s="121"/>
      <c r="M27" s="26"/>
      <c r="N27" s="25"/>
      <c r="O27" s="25"/>
      <c r="P27" s="25"/>
      <c r="Q27" s="25"/>
    </row>
    <row r="28" spans="2:18" x14ac:dyDescent="0.25">
      <c r="B28" s="20"/>
      <c r="C28" s="20"/>
      <c r="D28" s="20"/>
      <c r="E28" s="20"/>
      <c r="F28" s="20"/>
      <c r="G28" s="20"/>
      <c r="H28" s="20"/>
      <c r="I28" s="20"/>
      <c r="J28" s="20"/>
      <c r="K28" s="20"/>
      <c r="L28" s="20"/>
      <c r="M28" s="20"/>
    </row>
  </sheetData>
  <mergeCells count="7">
    <mergeCell ref="C21:L22"/>
    <mergeCell ref="C24:L27"/>
    <mergeCell ref="C2:L2"/>
    <mergeCell ref="Q4:R4"/>
    <mergeCell ref="C10:L14"/>
    <mergeCell ref="C4:L8"/>
    <mergeCell ref="C16:L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A42"/>
  <sheetViews>
    <sheetView workbookViewId="0">
      <selection activeCell="G21" sqref="G21:H22"/>
    </sheetView>
  </sheetViews>
  <sheetFormatPr defaultRowHeight="15" x14ac:dyDescent="0.25"/>
  <cols>
    <col min="1" max="1" width="11.85546875" bestFit="1" customWidth="1"/>
    <col min="2" max="2" width="12.140625" customWidth="1"/>
    <col min="3" max="3" width="11.85546875" bestFit="1" customWidth="1"/>
    <col min="4" max="4" width="5" bestFit="1" customWidth="1"/>
    <col min="6" max="6" width="16.5703125" customWidth="1"/>
    <col min="7" max="7" width="12.140625" customWidth="1"/>
    <col min="8" max="8" width="3" customWidth="1"/>
    <col min="9" max="9" width="6.5703125" customWidth="1"/>
    <col min="10" max="10" width="13" customWidth="1"/>
    <col min="12" max="12" width="14.140625" customWidth="1"/>
    <col min="13" max="13" width="8.7109375" customWidth="1"/>
    <col min="14" max="14" width="14.28515625" customWidth="1"/>
    <col min="15" max="15" width="13.28515625" customWidth="1"/>
    <col min="16" max="16" width="6.140625" customWidth="1"/>
    <col min="19" max="19" width="14.28515625" customWidth="1"/>
    <col min="22" max="22" width="14.140625" customWidth="1"/>
    <col min="23" max="23" width="5.28515625" customWidth="1"/>
  </cols>
  <sheetData>
    <row r="1" spans="1:27" ht="15" customHeight="1" thickBot="1" x14ac:dyDescent="0.3">
      <c r="A1" s="13"/>
      <c r="B1" s="13"/>
      <c r="C1" s="150"/>
      <c r="D1" s="150"/>
      <c r="E1" s="150"/>
      <c r="F1" s="150"/>
      <c r="G1" s="150"/>
      <c r="H1" s="13"/>
      <c r="I1" s="13"/>
      <c r="J1" s="13"/>
      <c r="K1" s="13"/>
      <c r="L1" s="13"/>
      <c r="M1" s="13"/>
      <c r="N1" s="13"/>
      <c r="O1" s="13"/>
      <c r="P1" s="13"/>
      <c r="Q1" s="13"/>
      <c r="R1" s="13"/>
      <c r="S1" s="13"/>
      <c r="T1" s="13"/>
      <c r="U1" s="13"/>
      <c r="V1" s="13"/>
      <c r="W1" s="13"/>
      <c r="X1" s="13"/>
      <c r="Y1" s="13"/>
      <c r="Z1" s="13"/>
      <c r="AA1" s="13"/>
    </row>
    <row r="2" spans="1:27" ht="29.25" customHeight="1" thickBot="1" x14ac:dyDescent="0.3">
      <c r="A2" s="13"/>
      <c r="B2" s="13"/>
      <c r="C2" s="13"/>
      <c r="D2" s="13"/>
      <c r="E2" s="13"/>
      <c r="F2" s="14"/>
      <c r="G2" s="14"/>
      <c r="H2" s="13"/>
      <c r="I2" s="13"/>
      <c r="J2" s="13"/>
      <c r="K2" s="13"/>
      <c r="L2" s="13"/>
      <c r="M2" s="13"/>
      <c r="N2" s="151" t="s">
        <v>1258</v>
      </c>
      <c r="O2" s="153"/>
      <c r="P2" s="13"/>
      <c r="Q2" s="13"/>
      <c r="R2" s="13"/>
      <c r="S2" s="13"/>
      <c r="T2" s="13"/>
      <c r="U2" s="13"/>
      <c r="V2" s="13"/>
      <c r="W2" s="13"/>
      <c r="X2" s="13"/>
      <c r="Y2" s="13"/>
      <c r="Z2" s="13"/>
      <c r="AA2" s="13"/>
    </row>
    <row r="3" spans="1:27" ht="19.5" customHeight="1" x14ac:dyDescent="0.25">
      <c r="A3" s="13"/>
      <c r="B3" s="151" t="s">
        <v>847</v>
      </c>
      <c r="C3" s="152"/>
      <c r="D3" s="153"/>
      <c r="E3" s="13"/>
      <c r="F3" s="151" t="s">
        <v>850</v>
      </c>
      <c r="G3" s="152"/>
      <c r="H3" s="153"/>
      <c r="I3" s="13"/>
      <c r="J3" s="151" t="s">
        <v>852</v>
      </c>
      <c r="K3" s="152"/>
      <c r="L3" s="153"/>
      <c r="M3" s="13"/>
      <c r="N3" s="154"/>
      <c r="O3" s="156"/>
      <c r="P3" s="14"/>
      <c r="Q3" s="13"/>
      <c r="R3" s="143" t="s">
        <v>848</v>
      </c>
      <c r="S3" s="144"/>
      <c r="T3" s="71"/>
      <c r="U3" s="143" t="s">
        <v>851</v>
      </c>
      <c r="V3" s="144"/>
      <c r="W3" s="13"/>
      <c r="X3" s="13"/>
      <c r="Y3" s="13"/>
      <c r="Z3" s="13"/>
      <c r="AA3" s="13"/>
    </row>
    <row r="4" spans="1:27" ht="18.75" customHeight="1" x14ac:dyDescent="0.25">
      <c r="A4" s="13"/>
      <c r="B4" s="154"/>
      <c r="C4" s="155"/>
      <c r="D4" s="156"/>
      <c r="E4" s="13"/>
      <c r="F4" s="154"/>
      <c r="G4" s="155"/>
      <c r="H4" s="156"/>
      <c r="I4" s="13"/>
      <c r="J4" s="154"/>
      <c r="K4" s="155"/>
      <c r="L4" s="156"/>
      <c r="M4" s="13"/>
      <c r="N4" s="154"/>
      <c r="O4" s="156"/>
      <c r="P4" s="14"/>
      <c r="Q4" s="13"/>
      <c r="R4" s="145"/>
      <c r="S4" s="146"/>
      <c r="T4" s="71"/>
      <c r="U4" s="145"/>
      <c r="V4" s="146"/>
      <c r="W4" s="13"/>
      <c r="X4" s="13"/>
      <c r="Y4" s="13"/>
      <c r="Z4" s="13"/>
      <c r="AA4" s="13"/>
    </row>
    <row r="5" spans="1:27" ht="15" customHeight="1" thickBot="1" x14ac:dyDescent="0.3">
      <c r="A5" s="13"/>
      <c r="B5" s="154"/>
      <c r="C5" s="155"/>
      <c r="D5" s="156"/>
      <c r="E5" s="13"/>
      <c r="F5" s="154"/>
      <c r="G5" s="155"/>
      <c r="H5" s="156"/>
      <c r="I5" s="13"/>
      <c r="J5" s="154"/>
      <c r="K5" s="155"/>
      <c r="L5" s="156"/>
      <c r="M5" s="13"/>
      <c r="N5" s="154"/>
      <c r="O5" s="156"/>
      <c r="P5" s="14"/>
      <c r="Q5" s="13"/>
      <c r="R5" s="147"/>
      <c r="S5" s="148"/>
      <c r="T5" s="71"/>
      <c r="U5" s="147"/>
      <c r="V5" s="148"/>
      <c r="W5" s="13"/>
      <c r="X5" s="13"/>
      <c r="Y5" s="13"/>
      <c r="Z5" s="13"/>
      <c r="AA5" s="13"/>
    </row>
    <row r="6" spans="1:27" ht="15.75" customHeight="1" x14ac:dyDescent="0.25">
      <c r="A6" s="13"/>
      <c r="B6" s="154"/>
      <c r="C6" s="155"/>
      <c r="D6" s="156"/>
      <c r="E6" s="13"/>
      <c r="F6" s="154"/>
      <c r="G6" s="155"/>
      <c r="H6" s="156"/>
      <c r="I6" s="13"/>
      <c r="J6" s="154"/>
      <c r="K6" s="155"/>
      <c r="L6" s="156"/>
      <c r="M6" s="13"/>
      <c r="N6" s="154"/>
      <c r="O6" s="156"/>
      <c r="P6" s="14"/>
      <c r="Q6" s="13"/>
      <c r="R6" s="13"/>
      <c r="S6" s="13"/>
      <c r="T6" s="13"/>
      <c r="U6" s="13"/>
      <c r="V6" s="13"/>
      <c r="W6" s="13"/>
      <c r="X6" s="13"/>
      <c r="Y6" s="13"/>
      <c r="Z6" s="13"/>
      <c r="AA6" s="13"/>
    </row>
    <row r="7" spans="1:27" ht="21.75" customHeight="1" thickBot="1" x14ac:dyDescent="0.3">
      <c r="A7" s="13"/>
      <c r="B7" s="157"/>
      <c r="C7" s="158"/>
      <c r="D7" s="159"/>
      <c r="E7" s="13"/>
      <c r="F7" s="157"/>
      <c r="G7" s="158"/>
      <c r="H7" s="159"/>
      <c r="I7" s="13"/>
      <c r="J7" s="157"/>
      <c r="K7" s="158"/>
      <c r="L7" s="159"/>
      <c r="M7" s="13"/>
      <c r="N7" s="157"/>
      <c r="O7" s="159"/>
      <c r="P7" s="14"/>
      <c r="Q7" s="13"/>
      <c r="R7" s="13"/>
      <c r="S7" s="13"/>
      <c r="T7" s="13"/>
      <c r="U7" s="13"/>
      <c r="V7" s="13"/>
      <c r="W7" s="13"/>
      <c r="X7" s="13"/>
      <c r="Y7" s="13"/>
      <c r="Z7" s="13"/>
      <c r="AA7" s="13"/>
    </row>
    <row r="8" spans="1:27" ht="20.25" customHeight="1" x14ac:dyDescent="0.25">
      <c r="A8" s="13"/>
      <c r="B8" s="13"/>
      <c r="C8" s="13"/>
      <c r="D8" s="13"/>
      <c r="E8" s="13"/>
      <c r="F8" s="13"/>
      <c r="G8" s="13"/>
      <c r="H8" s="13"/>
      <c r="I8" s="13"/>
      <c r="J8" s="13"/>
      <c r="K8" s="13"/>
      <c r="L8" s="13"/>
      <c r="M8" s="13"/>
      <c r="O8" s="13"/>
      <c r="P8" s="13"/>
      <c r="Q8" s="13"/>
      <c r="R8" s="13"/>
      <c r="S8" s="13"/>
      <c r="T8" s="13"/>
      <c r="U8" s="13"/>
      <c r="V8" s="13"/>
      <c r="W8" s="13"/>
      <c r="X8" s="13"/>
      <c r="Y8" s="13"/>
      <c r="Z8" s="13"/>
      <c r="AA8" s="13"/>
    </row>
    <row r="9" spans="1:27" ht="18.75" customHeight="1" x14ac:dyDescent="0.3">
      <c r="A9" s="13"/>
      <c r="B9" s="149" t="s">
        <v>834</v>
      </c>
      <c r="C9" s="149"/>
      <c r="D9" s="149"/>
      <c r="E9" s="13"/>
      <c r="F9" s="149" t="s">
        <v>835</v>
      </c>
      <c r="G9" s="149"/>
      <c r="H9" s="149"/>
      <c r="I9" s="13"/>
      <c r="J9" s="149" t="s">
        <v>128</v>
      </c>
      <c r="K9" s="149"/>
      <c r="L9" s="149"/>
      <c r="M9" s="13"/>
      <c r="N9" s="176" t="s">
        <v>1256</v>
      </c>
      <c r="O9" s="176"/>
      <c r="P9" s="13"/>
      <c r="Q9" s="13"/>
      <c r="R9" s="13"/>
      <c r="S9" s="13"/>
      <c r="T9" s="13"/>
      <c r="U9" s="13"/>
      <c r="V9" s="13"/>
      <c r="W9" s="13"/>
      <c r="X9" s="13"/>
      <c r="Y9" s="13"/>
      <c r="Z9" s="13"/>
      <c r="AA9" s="13"/>
    </row>
    <row r="10" spans="1:27" ht="21" customHeight="1" thickBot="1" x14ac:dyDescent="0.3">
      <c r="A10" s="13"/>
      <c r="B10" s="87" t="s">
        <v>51</v>
      </c>
      <c r="C10" s="138" t="s">
        <v>99</v>
      </c>
      <c r="D10" s="138"/>
      <c r="E10" s="13"/>
      <c r="F10" s="87" t="s">
        <v>837</v>
      </c>
      <c r="G10" s="138" t="s">
        <v>99</v>
      </c>
      <c r="H10" s="138"/>
      <c r="I10" s="13"/>
      <c r="J10" s="87" t="s">
        <v>51</v>
      </c>
      <c r="K10" s="138">
        <v>5.5</v>
      </c>
      <c r="L10" s="138"/>
      <c r="M10" s="13"/>
      <c r="N10" s="177" t="s">
        <v>1257</v>
      </c>
      <c r="O10" s="177"/>
      <c r="P10" s="13"/>
      <c r="Q10" s="13"/>
      <c r="R10" s="13"/>
      <c r="S10" s="13"/>
      <c r="T10" s="13"/>
      <c r="U10" s="13"/>
      <c r="V10" s="13"/>
      <c r="W10" s="13"/>
      <c r="X10" s="13"/>
      <c r="Y10" s="13"/>
      <c r="Z10" s="13"/>
      <c r="AA10" s="13"/>
    </row>
    <row r="11" spans="1:27" ht="18.75" customHeight="1" x14ac:dyDescent="0.25">
      <c r="A11" s="13"/>
      <c r="B11" s="87" t="s">
        <v>45</v>
      </c>
      <c r="C11" s="138" t="s">
        <v>99</v>
      </c>
      <c r="D11" s="138"/>
      <c r="E11" s="13"/>
      <c r="F11" s="87" t="s">
        <v>838</v>
      </c>
      <c r="G11" s="138" t="s">
        <v>100</v>
      </c>
      <c r="H11" s="138"/>
      <c r="I11" s="13"/>
      <c r="J11" s="87" t="s">
        <v>45</v>
      </c>
      <c r="K11" s="138">
        <v>4.25</v>
      </c>
      <c r="L11" s="138"/>
      <c r="M11" s="13"/>
      <c r="O11" s="13"/>
      <c r="P11" s="13"/>
      <c r="Q11" s="13"/>
      <c r="R11" s="143" t="s">
        <v>849</v>
      </c>
      <c r="S11" s="144"/>
      <c r="T11" s="71"/>
      <c r="U11" s="13"/>
      <c r="V11" s="13"/>
      <c r="W11" s="13"/>
      <c r="X11" s="13"/>
      <c r="Y11" s="13"/>
      <c r="Z11" s="13"/>
      <c r="AA11" s="13"/>
    </row>
    <row r="12" spans="1:27" ht="15.75" x14ac:dyDescent="0.25">
      <c r="A12" s="13"/>
      <c r="B12" s="87" t="s">
        <v>50</v>
      </c>
      <c r="C12" s="138" t="s">
        <v>99</v>
      </c>
      <c r="D12" s="138"/>
      <c r="E12" s="13"/>
      <c r="F12" s="164" t="s">
        <v>839</v>
      </c>
      <c r="G12" s="160" t="s">
        <v>100</v>
      </c>
      <c r="H12" s="161"/>
      <c r="I12" s="13"/>
      <c r="J12" s="87" t="s">
        <v>50</v>
      </c>
      <c r="K12" s="138">
        <v>0</v>
      </c>
      <c r="L12" s="138"/>
      <c r="M12" s="13"/>
      <c r="N12" s="169" t="s">
        <v>836</v>
      </c>
      <c r="O12" s="169"/>
      <c r="P12" s="13"/>
      <c r="Q12" s="13"/>
      <c r="R12" s="145"/>
      <c r="S12" s="146"/>
      <c r="T12" s="71"/>
      <c r="U12" s="13"/>
      <c r="V12" s="13"/>
      <c r="W12" s="13"/>
      <c r="X12" s="13"/>
      <c r="Y12" s="13"/>
      <c r="Z12" s="13"/>
      <c r="AA12" s="13"/>
    </row>
    <row r="13" spans="1:27" ht="21.75" customHeight="1" thickBot="1" x14ac:dyDescent="0.3">
      <c r="A13" s="13"/>
      <c r="B13" s="87" t="s">
        <v>845</v>
      </c>
      <c r="C13" s="141" t="s">
        <v>100</v>
      </c>
      <c r="D13" s="142"/>
      <c r="E13" s="13"/>
      <c r="F13" s="164"/>
      <c r="G13" s="162"/>
      <c r="H13" s="163"/>
      <c r="I13" s="13"/>
      <c r="J13" s="87" t="s">
        <v>64</v>
      </c>
      <c r="K13" s="138">
        <v>1</v>
      </c>
      <c r="L13" s="138"/>
      <c r="M13" s="13"/>
      <c r="N13" s="170">
        <v>14</v>
      </c>
      <c r="O13" s="170"/>
      <c r="P13" s="13"/>
      <c r="Q13" s="13"/>
      <c r="R13" s="147"/>
      <c r="S13" s="148"/>
      <c r="T13" s="71"/>
      <c r="U13" s="13"/>
      <c r="V13" s="13"/>
      <c r="W13" s="13"/>
      <c r="X13" s="13"/>
      <c r="Y13" s="13"/>
      <c r="Z13" s="13"/>
      <c r="AA13" s="13"/>
    </row>
    <row r="14" spans="1:27" ht="22.5" customHeight="1" x14ac:dyDescent="0.25">
      <c r="A14" s="13"/>
      <c r="B14" s="87" t="s">
        <v>844</v>
      </c>
      <c r="C14" s="139" t="s">
        <v>100</v>
      </c>
      <c r="D14" s="140"/>
      <c r="E14" s="13"/>
      <c r="F14" s="87" t="s">
        <v>840</v>
      </c>
      <c r="G14" s="138" t="s">
        <v>100</v>
      </c>
      <c r="H14" s="138"/>
      <c r="I14" s="13"/>
      <c r="J14" s="87" t="s">
        <v>844</v>
      </c>
      <c r="K14" s="171">
        <v>0</v>
      </c>
      <c r="L14" s="171"/>
      <c r="M14" s="51"/>
      <c r="N14" s="13"/>
      <c r="O14" s="13"/>
      <c r="P14" s="13"/>
      <c r="Q14" s="13"/>
      <c r="R14" s="13"/>
      <c r="S14" s="13"/>
      <c r="T14" s="13"/>
      <c r="U14" s="13"/>
      <c r="V14" s="13"/>
      <c r="W14" s="13"/>
      <c r="X14" s="13"/>
      <c r="Y14" s="13"/>
      <c r="Z14" s="13"/>
      <c r="AA14" s="13"/>
    </row>
    <row r="15" spans="1:27" ht="15.75" x14ac:dyDescent="0.25">
      <c r="A15" s="13"/>
      <c r="B15" s="87" t="s">
        <v>64</v>
      </c>
      <c r="C15" s="138" t="s">
        <v>99</v>
      </c>
      <c r="D15" s="138"/>
      <c r="E15" s="13"/>
      <c r="F15" s="87" t="s">
        <v>230</v>
      </c>
      <c r="G15" s="138" t="s">
        <v>99</v>
      </c>
      <c r="H15" s="138"/>
      <c r="I15" s="13"/>
      <c r="J15" s="87" t="s">
        <v>845</v>
      </c>
      <c r="K15" s="171">
        <v>0</v>
      </c>
      <c r="L15" s="171"/>
      <c r="M15" s="51"/>
      <c r="N15" s="169" t="s">
        <v>144</v>
      </c>
      <c r="O15" s="169"/>
      <c r="P15" s="13"/>
      <c r="Q15" s="13"/>
      <c r="R15" s="13"/>
      <c r="S15" s="13"/>
      <c r="T15" s="13"/>
      <c r="U15" s="13"/>
      <c r="V15" s="13"/>
      <c r="W15" s="13"/>
      <c r="X15" s="13"/>
      <c r="Y15" s="13"/>
      <c r="Z15" s="13"/>
      <c r="AA15" s="13"/>
    </row>
    <row r="16" spans="1:27" ht="15.75" x14ac:dyDescent="0.25">
      <c r="A16" s="13"/>
      <c r="B16" s="87" t="s">
        <v>846</v>
      </c>
      <c r="C16" s="139" t="s">
        <v>100</v>
      </c>
      <c r="D16" s="140"/>
      <c r="E16" s="13"/>
      <c r="F16" s="87" t="s">
        <v>841</v>
      </c>
      <c r="G16" s="138" t="s">
        <v>100</v>
      </c>
      <c r="H16" s="138"/>
      <c r="I16" s="13"/>
      <c r="J16" s="87" t="s">
        <v>846</v>
      </c>
      <c r="K16" s="171">
        <v>0</v>
      </c>
      <c r="L16" s="171"/>
      <c r="M16" s="51"/>
      <c r="N16" s="87" t="s">
        <v>74</v>
      </c>
      <c r="O16" s="94">
        <v>3</v>
      </c>
      <c r="P16" s="13"/>
      <c r="Q16" s="13"/>
      <c r="R16" s="13"/>
      <c r="S16" s="13"/>
      <c r="T16" s="13"/>
      <c r="U16" s="13"/>
      <c r="V16" s="13"/>
      <c r="W16" s="13"/>
      <c r="X16" s="13"/>
      <c r="Y16" s="13"/>
      <c r="Z16" s="13"/>
      <c r="AA16" s="13"/>
    </row>
    <row r="17" spans="1:27" ht="27.75" customHeight="1" x14ac:dyDescent="0.25">
      <c r="A17" s="13"/>
      <c r="B17" s="87" t="s">
        <v>69</v>
      </c>
      <c r="C17" s="138" t="s">
        <v>99</v>
      </c>
      <c r="D17" s="138"/>
      <c r="E17" s="13"/>
      <c r="F17" s="87" t="s">
        <v>842</v>
      </c>
      <c r="G17" s="138" t="s">
        <v>99</v>
      </c>
      <c r="H17" s="138"/>
      <c r="I17" s="13"/>
      <c r="J17" s="87" t="s">
        <v>69</v>
      </c>
      <c r="K17" s="138">
        <v>0.5</v>
      </c>
      <c r="L17" s="138"/>
      <c r="M17" s="51"/>
      <c r="N17" s="87" t="s">
        <v>103</v>
      </c>
      <c r="O17" s="94">
        <v>3</v>
      </c>
      <c r="P17" s="13"/>
      <c r="Q17" s="13"/>
      <c r="R17" s="13"/>
      <c r="S17" s="13"/>
      <c r="T17" s="13"/>
      <c r="U17" s="13"/>
      <c r="V17" s="13"/>
      <c r="W17" s="13"/>
      <c r="X17" s="13"/>
      <c r="Y17" s="13"/>
      <c r="Z17" s="13"/>
      <c r="AA17" s="13"/>
    </row>
    <row r="18" spans="1:27" ht="31.5" customHeight="1" x14ac:dyDescent="0.25">
      <c r="A18" s="13"/>
      <c r="B18" s="87" t="s">
        <v>44</v>
      </c>
      <c r="C18" s="138" t="s">
        <v>99</v>
      </c>
      <c r="D18" s="138"/>
      <c r="E18" s="13"/>
      <c r="F18" s="87" t="s">
        <v>231</v>
      </c>
      <c r="G18" s="138" t="s">
        <v>99</v>
      </c>
      <c r="H18" s="138"/>
      <c r="I18" s="13"/>
      <c r="J18" s="87" t="s">
        <v>44</v>
      </c>
      <c r="K18" s="138">
        <v>0.6</v>
      </c>
      <c r="L18" s="138"/>
      <c r="M18" s="51"/>
      <c r="N18" s="87" t="s">
        <v>102</v>
      </c>
      <c r="O18" s="94">
        <v>3</v>
      </c>
      <c r="P18" s="13"/>
      <c r="Q18" s="13"/>
      <c r="R18" s="13"/>
      <c r="S18" s="13"/>
      <c r="T18" s="13"/>
      <c r="U18" s="13"/>
      <c r="V18" s="13"/>
      <c r="W18" s="13"/>
      <c r="X18" s="13"/>
      <c r="Y18" s="13"/>
      <c r="Z18" s="13"/>
      <c r="AA18" s="13"/>
    </row>
    <row r="19" spans="1:27" ht="23.25" customHeight="1" x14ac:dyDescent="0.25">
      <c r="A19" s="13"/>
      <c r="B19" s="87" t="s">
        <v>66</v>
      </c>
      <c r="C19" s="138" t="s">
        <v>99</v>
      </c>
      <c r="D19" s="138"/>
      <c r="E19" s="13"/>
      <c r="F19" s="87" t="s">
        <v>843</v>
      </c>
      <c r="G19" s="138" t="s">
        <v>100</v>
      </c>
      <c r="H19" s="138"/>
      <c r="I19" s="13"/>
      <c r="J19" s="87" t="s">
        <v>66</v>
      </c>
      <c r="K19" s="138">
        <v>0.6</v>
      </c>
      <c r="L19" s="138"/>
      <c r="M19" s="13"/>
      <c r="N19" s="87" t="s">
        <v>3</v>
      </c>
      <c r="O19" s="94">
        <v>5</v>
      </c>
      <c r="P19" s="13"/>
      <c r="Q19" s="13"/>
      <c r="R19" s="13"/>
      <c r="S19" s="13"/>
      <c r="T19" s="13"/>
      <c r="U19" s="13"/>
      <c r="V19" s="13"/>
      <c r="W19" s="13"/>
      <c r="X19" s="13"/>
      <c r="Y19" s="13"/>
      <c r="Z19" s="13"/>
      <c r="AA19" s="13"/>
    </row>
    <row r="20" spans="1:27" ht="18.75" customHeight="1" x14ac:dyDescent="0.3">
      <c r="A20" s="13"/>
      <c r="B20" s="87" t="s">
        <v>67</v>
      </c>
      <c r="C20" s="138" t="s">
        <v>99</v>
      </c>
      <c r="D20" s="138"/>
      <c r="E20" s="13"/>
      <c r="F20" s="86"/>
      <c r="G20" s="167"/>
      <c r="H20" s="167"/>
      <c r="I20" s="13"/>
      <c r="J20" s="87" t="s">
        <v>67</v>
      </c>
      <c r="K20" s="138">
        <v>0.1</v>
      </c>
      <c r="L20" s="138"/>
      <c r="M20" s="13"/>
      <c r="N20" s="87" t="s">
        <v>157</v>
      </c>
      <c r="O20" s="111">
        <v>2</v>
      </c>
      <c r="P20" s="13"/>
      <c r="Q20" s="13"/>
      <c r="R20" s="13"/>
      <c r="S20" s="13"/>
      <c r="T20" s="13"/>
      <c r="U20" s="13"/>
      <c r="V20" s="13"/>
      <c r="W20" s="13"/>
      <c r="X20" s="13"/>
      <c r="Y20" s="13"/>
      <c r="Z20" s="13"/>
      <c r="AA20" s="13"/>
    </row>
    <row r="21" spans="1:27" ht="27.75" customHeight="1" x14ac:dyDescent="0.25">
      <c r="B21" s="87" t="s">
        <v>68</v>
      </c>
      <c r="C21" s="138" t="s">
        <v>100</v>
      </c>
      <c r="D21" s="138"/>
      <c r="E21" s="13"/>
      <c r="F21" s="168"/>
      <c r="G21" s="167"/>
      <c r="H21" s="167"/>
      <c r="I21" s="13"/>
      <c r="J21" s="87" t="s">
        <v>68</v>
      </c>
      <c r="K21" s="138">
        <v>0</v>
      </c>
      <c r="L21" s="138"/>
      <c r="M21" s="13"/>
      <c r="N21" s="13"/>
      <c r="O21" s="13"/>
      <c r="P21" s="13"/>
      <c r="Q21" s="13"/>
      <c r="R21" s="13"/>
      <c r="S21" s="13"/>
      <c r="T21" s="13"/>
      <c r="U21" s="13"/>
      <c r="V21" s="13"/>
      <c r="W21" s="13"/>
      <c r="X21" s="13"/>
      <c r="Y21" s="13"/>
      <c r="Z21" s="13"/>
      <c r="AA21" s="13"/>
    </row>
    <row r="22" spans="1:27" ht="29.25" customHeight="1" x14ac:dyDescent="0.25">
      <c r="A22" s="51"/>
      <c r="B22" s="87" t="s">
        <v>56</v>
      </c>
      <c r="C22" s="138" t="s">
        <v>99</v>
      </c>
      <c r="D22" s="138"/>
      <c r="E22" s="51"/>
      <c r="F22" s="168"/>
      <c r="G22" s="167"/>
      <c r="H22" s="167"/>
      <c r="I22" s="13"/>
      <c r="J22" s="87" t="s">
        <v>56</v>
      </c>
      <c r="K22" s="138">
        <v>0.4</v>
      </c>
      <c r="L22" s="138"/>
      <c r="M22" s="51"/>
      <c r="N22" s="175" t="s">
        <v>1255</v>
      </c>
      <c r="O22" s="175"/>
      <c r="P22" s="51"/>
      <c r="Q22" s="51"/>
      <c r="R22" s="51"/>
      <c r="S22" s="51"/>
      <c r="T22" s="51"/>
      <c r="U22" s="51"/>
      <c r="V22" s="51"/>
      <c r="W22" s="13"/>
      <c r="X22" s="13"/>
      <c r="Y22" s="13"/>
      <c r="Z22" s="13"/>
      <c r="AA22" s="13"/>
    </row>
    <row r="23" spans="1:27" ht="15.75" x14ac:dyDescent="0.25">
      <c r="A23" s="51"/>
      <c r="B23" s="165" t="s">
        <v>132</v>
      </c>
      <c r="C23" s="166" t="s">
        <v>100</v>
      </c>
      <c r="D23" s="166"/>
      <c r="E23" s="51"/>
      <c r="F23" s="13"/>
      <c r="G23" s="13"/>
      <c r="H23" s="13"/>
      <c r="I23" s="13"/>
      <c r="J23" s="88" t="s">
        <v>837</v>
      </c>
      <c r="K23" s="172">
        <v>5</v>
      </c>
      <c r="L23" s="172"/>
      <c r="M23" s="51"/>
      <c r="N23" s="176" t="s">
        <v>144</v>
      </c>
      <c r="O23" s="176"/>
      <c r="P23" s="51"/>
      <c r="Q23" s="51"/>
      <c r="R23" s="51"/>
      <c r="S23" s="51"/>
      <c r="T23" s="51"/>
      <c r="U23" s="51"/>
      <c r="V23" s="51"/>
      <c r="W23" s="13"/>
      <c r="X23" s="13"/>
      <c r="Y23" s="13"/>
      <c r="Z23" s="13"/>
      <c r="AA23" s="13"/>
    </row>
    <row r="24" spans="1:27" ht="18.75" x14ac:dyDescent="0.3">
      <c r="A24" s="51"/>
      <c r="B24" s="165"/>
      <c r="C24" s="166"/>
      <c r="D24" s="166"/>
      <c r="E24" s="51"/>
      <c r="F24" s="13"/>
      <c r="G24" s="13"/>
      <c r="H24" s="13"/>
      <c r="I24" s="13"/>
      <c r="J24" s="88" t="s">
        <v>838</v>
      </c>
      <c r="K24" s="172">
        <v>0</v>
      </c>
      <c r="L24" s="172"/>
      <c r="M24" s="51"/>
      <c r="N24" s="110" t="s">
        <v>24</v>
      </c>
      <c r="O24" s="93">
        <v>9</v>
      </c>
      <c r="P24" s="51"/>
      <c r="Q24" s="51"/>
      <c r="R24" s="51"/>
      <c r="S24" s="51"/>
      <c r="T24" s="51"/>
      <c r="U24" s="51"/>
      <c r="V24" s="51"/>
      <c r="W24" s="13"/>
      <c r="X24" s="13"/>
      <c r="Y24" s="13"/>
      <c r="Z24" s="13"/>
      <c r="AA24" s="13"/>
    </row>
    <row r="25" spans="1:27" ht="21.75" customHeight="1" x14ac:dyDescent="0.3">
      <c r="A25" s="51"/>
      <c r="B25" s="51"/>
      <c r="C25" s="51"/>
      <c r="D25" s="51"/>
      <c r="E25" s="51"/>
      <c r="F25" s="13"/>
      <c r="G25" s="13"/>
      <c r="H25" s="13"/>
      <c r="I25" s="13"/>
      <c r="J25" s="173" t="s">
        <v>839</v>
      </c>
      <c r="K25" s="174">
        <v>0</v>
      </c>
      <c r="L25" s="174"/>
      <c r="M25" s="51"/>
      <c r="N25" s="110" t="s">
        <v>3</v>
      </c>
      <c r="O25" s="93">
        <v>5</v>
      </c>
      <c r="P25" s="51"/>
      <c r="Q25" s="51"/>
      <c r="R25" s="51"/>
      <c r="S25" s="51"/>
      <c r="T25" s="51"/>
      <c r="U25" s="51"/>
      <c r="V25" s="51"/>
      <c r="W25" s="13"/>
      <c r="X25" s="13"/>
      <c r="Y25" s="13"/>
      <c r="Z25" s="13"/>
      <c r="AA25" s="13"/>
    </row>
    <row r="26" spans="1:27" ht="18.75" x14ac:dyDescent="0.3">
      <c r="A26" s="51"/>
      <c r="B26" s="51"/>
      <c r="C26" s="51"/>
      <c r="D26" s="51"/>
      <c r="E26" s="51"/>
      <c r="F26" s="13"/>
      <c r="G26" s="13"/>
      <c r="H26" s="13"/>
      <c r="I26" s="13"/>
      <c r="J26" s="173"/>
      <c r="K26" s="174"/>
      <c r="L26" s="174"/>
      <c r="M26" s="51"/>
      <c r="N26" s="110" t="s">
        <v>157</v>
      </c>
      <c r="O26" s="93">
        <v>2</v>
      </c>
      <c r="P26" s="51"/>
      <c r="Q26" s="51"/>
      <c r="R26" s="51"/>
      <c r="S26" s="51"/>
      <c r="T26" s="51"/>
      <c r="U26" s="51"/>
      <c r="V26" s="51"/>
      <c r="W26" s="13"/>
      <c r="X26" s="13"/>
      <c r="Y26" s="13"/>
      <c r="Z26" s="13"/>
      <c r="AA26" s="13"/>
    </row>
    <row r="27" spans="1:27" ht="31.5" x14ac:dyDescent="0.25">
      <c r="A27" s="13"/>
      <c r="B27" s="51"/>
      <c r="C27" s="51"/>
      <c r="D27" s="51"/>
      <c r="E27" s="13"/>
      <c r="F27" s="13"/>
      <c r="G27" s="13"/>
      <c r="H27" s="13"/>
      <c r="I27" s="13"/>
      <c r="J27" s="88" t="s">
        <v>840</v>
      </c>
      <c r="K27" s="172">
        <v>-3</v>
      </c>
      <c r="L27" s="172"/>
      <c r="M27" s="13"/>
      <c r="N27" s="51"/>
      <c r="O27" s="51"/>
      <c r="P27" s="13"/>
      <c r="Q27" s="13"/>
      <c r="R27" s="13"/>
      <c r="S27" s="13"/>
      <c r="T27" s="13"/>
      <c r="U27" s="13"/>
      <c r="V27" s="13"/>
      <c r="W27" s="13"/>
      <c r="X27" s="13"/>
      <c r="Y27" s="13"/>
      <c r="Z27" s="13"/>
      <c r="AA27" s="13"/>
    </row>
    <row r="28" spans="1:27" ht="31.5" x14ac:dyDescent="0.25">
      <c r="A28" s="13"/>
      <c r="B28" s="51"/>
      <c r="C28" s="51"/>
      <c r="D28" s="51"/>
      <c r="E28" s="13"/>
      <c r="F28" s="13"/>
      <c r="G28" s="13"/>
      <c r="H28" s="13"/>
      <c r="I28" s="13"/>
      <c r="J28" s="88" t="s">
        <v>841</v>
      </c>
      <c r="K28" s="172">
        <v>0</v>
      </c>
      <c r="L28" s="172"/>
      <c r="M28" s="13"/>
      <c r="N28" s="51"/>
      <c r="O28" s="51"/>
      <c r="P28" s="13"/>
      <c r="Q28" s="13"/>
      <c r="R28" s="13"/>
      <c r="S28" s="13"/>
      <c r="T28" s="13"/>
      <c r="U28" s="13"/>
      <c r="V28" s="13"/>
      <c r="W28" s="13"/>
      <c r="X28" s="13"/>
      <c r="Y28" s="13"/>
      <c r="Z28" s="13"/>
      <c r="AA28" s="13"/>
    </row>
    <row r="29" spans="1:27" ht="15.75" x14ac:dyDescent="0.25">
      <c r="A29" s="13"/>
      <c r="B29" s="51"/>
      <c r="C29" s="51"/>
      <c r="D29" s="51"/>
      <c r="E29" s="13"/>
      <c r="F29" s="13"/>
      <c r="G29" s="13"/>
      <c r="H29" s="13"/>
      <c r="I29" s="13"/>
      <c r="J29" s="88" t="s">
        <v>842</v>
      </c>
      <c r="K29" s="172">
        <v>0.6</v>
      </c>
      <c r="L29" s="172"/>
      <c r="M29" s="13"/>
      <c r="N29" s="51"/>
      <c r="O29" s="51"/>
      <c r="P29" s="13"/>
      <c r="Q29" s="13"/>
      <c r="R29" s="13"/>
      <c r="S29" s="13"/>
      <c r="T29" s="13"/>
      <c r="U29" s="13"/>
      <c r="V29" s="13"/>
      <c r="W29" s="13"/>
      <c r="X29" s="13"/>
      <c r="Y29" s="13"/>
      <c r="Z29" s="13"/>
      <c r="AA29" s="13"/>
    </row>
    <row r="30" spans="1:27" ht="15.75" x14ac:dyDescent="0.25">
      <c r="A30" s="13"/>
      <c r="B30" s="13"/>
      <c r="C30" s="13"/>
      <c r="D30" s="13"/>
      <c r="E30" s="13"/>
      <c r="F30" s="13"/>
      <c r="G30" s="13"/>
      <c r="H30" s="13"/>
      <c r="I30" s="13"/>
      <c r="J30" s="88" t="s">
        <v>843</v>
      </c>
      <c r="K30" s="172">
        <v>5</v>
      </c>
      <c r="L30" s="172"/>
      <c r="M30" s="13"/>
      <c r="N30" s="13"/>
      <c r="O30" s="13"/>
      <c r="P30" s="13"/>
      <c r="Q30" s="13"/>
      <c r="R30" s="13"/>
      <c r="S30" s="13"/>
      <c r="T30" s="13"/>
      <c r="U30" s="13"/>
      <c r="V30" s="13"/>
      <c r="W30" s="13"/>
      <c r="X30" s="13"/>
      <c r="Y30" s="13"/>
      <c r="Z30" s="13"/>
      <c r="AA30" s="13"/>
    </row>
    <row r="31" spans="1:27"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row>
    <row r="32" spans="1:27"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row>
    <row r="33" spans="1:27"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row>
    <row r="34" spans="1:27"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row>
    <row r="35" spans="1:27"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row>
    <row r="36" spans="1:27"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row>
    <row r="37" spans="1:27"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row>
    <row r="38" spans="1:27"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row>
    <row r="39" spans="1:27"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row>
    <row r="40" spans="1:27" x14ac:dyDescent="0.25">
      <c r="N40" s="13"/>
      <c r="O40" s="13"/>
    </row>
    <row r="41" spans="1:27" x14ac:dyDescent="0.25">
      <c r="N41" s="13"/>
      <c r="O41" s="13"/>
    </row>
    <row r="42" spans="1:27" x14ac:dyDescent="0.25">
      <c r="N42" s="13"/>
      <c r="O42" s="13"/>
    </row>
  </sheetData>
  <protectedRanges>
    <protectedRange sqref="K17:K22 G10:G20 K10:K13 C10:C22" name="Range1"/>
  </protectedRanges>
  <mergeCells count="67">
    <mergeCell ref="N22:O22"/>
    <mergeCell ref="N23:O23"/>
    <mergeCell ref="N9:O9"/>
    <mergeCell ref="N10:O10"/>
    <mergeCell ref="K28:L28"/>
    <mergeCell ref="K29:L29"/>
    <mergeCell ref="K30:L30"/>
    <mergeCell ref="K23:L23"/>
    <mergeCell ref="K24:L24"/>
    <mergeCell ref="J25:J26"/>
    <mergeCell ref="K25:L26"/>
    <mergeCell ref="K27:L27"/>
    <mergeCell ref="U3:V5"/>
    <mergeCell ref="G21:H22"/>
    <mergeCell ref="K21:L21"/>
    <mergeCell ref="K22:L22"/>
    <mergeCell ref="N12:O12"/>
    <mergeCell ref="N13:O13"/>
    <mergeCell ref="N15:O15"/>
    <mergeCell ref="F3:H7"/>
    <mergeCell ref="F9:H9"/>
    <mergeCell ref="G10:H10"/>
    <mergeCell ref="K10:L10"/>
    <mergeCell ref="J3:L7"/>
    <mergeCell ref="K14:L14"/>
    <mergeCell ref="K15:L15"/>
    <mergeCell ref="K16:L16"/>
    <mergeCell ref="K20:L20"/>
    <mergeCell ref="G19:H19"/>
    <mergeCell ref="B23:B24"/>
    <mergeCell ref="C23:D24"/>
    <mergeCell ref="K11:L11"/>
    <mergeCell ref="K12:L12"/>
    <mergeCell ref="K13:L13"/>
    <mergeCell ref="K17:L17"/>
    <mergeCell ref="K18:L18"/>
    <mergeCell ref="G14:H14"/>
    <mergeCell ref="G15:H15"/>
    <mergeCell ref="G16:H16"/>
    <mergeCell ref="G17:H17"/>
    <mergeCell ref="G18:H18"/>
    <mergeCell ref="G20:H20"/>
    <mergeCell ref="F21:F22"/>
    <mergeCell ref="K19:L19"/>
    <mergeCell ref="G11:H11"/>
    <mergeCell ref="R3:S5"/>
    <mergeCell ref="R11:S13"/>
    <mergeCell ref="J9:L9"/>
    <mergeCell ref="C1:G1"/>
    <mergeCell ref="B3:D7"/>
    <mergeCell ref="B9:D9"/>
    <mergeCell ref="C10:D10"/>
    <mergeCell ref="G12:H13"/>
    <mergeCell ref="F12:F13"/>
    <mergeCell ref="N2:O7"/>
    <mergeCell ref="C22:D22"/>
    <mergeCell ref="C11:D11"/>
    <mergeCell ref="C19:D19"/>
    <mergeCell ref="C20:D20"/>
    <mergeCell ref="C21:D21"/>
    <mergeCell ref="C12:D12"/>
    <mergeCell ref="C15:D15"/>
    <mergeCell ref="C17:D17"/>
    <mergeCell ref="C18:D18"/>
    <mergeCell ref="C16:D16"/>
    <mergeCell ref="C13:D13"/>
    <mergeCell ref="C14:D14"/>
  </mergeCells>
  <pageMargins left="0.7" right="0.7" top="0.75" bottom="0.75" header="0.3" footer="0.3"/>
  <pageSetup orientation="portrait" r:id="rId1"/>
  <drawing r:id="rId2"/>
  <legacyDrawing r:id="rId3"/>
  <controls>
    <mc:AlternateContent xmlns:mc="http://schemas.openxmlformats.org/markup-compatibility/2006">
      <mc:Choice Requires="x14">
        <control shapeId="4103" r:id="rId4" name="CommandButton3">
          <controlPr defaultSize="0" autoLine="0" r:id="rId5">
            <anchor moveWithCells="1">
              <from>
                <xdr:col>19</xdr:col>
                <xdr:colOff>600075</xdr:colOff>
                <xdr:row>5</xdr:row>
                <xdr:rowOff>180975</xdr:rowOff>
              </from>
              <to>
                <xdr:col>22</xdr:col>
                <xdr:colOff>28575</xdr:colOff>
                <xdr:row>8</xdr:row>
                <xdr:rowOff>95250</xdr:rowOff>
              </to>
            </anchor>
          </controlPr>
        </control>
      </mc:Choice>
      <mc:Fallback>
        <control shapeId="4103" r:id="rId4" name="CommandButton3"/>
      </mc:Fallback>
    </mc:AlternateContent>
    <mc:AlternateContent xmlns:mc="http://schemas.openxmlformats.org/markup-compatibility/2006">
      <mc:Choice Requires="x14">
        <control shapeId="4102" r:id="rId6" name="CommandButton1">
          <controlPr defaultSize="0" autoLine="0" r:id="rId7">
            <anchor moveWithCells="1">
              <from>
                <xdr:col>16</xdr:col>
                <xdr:colOff>590550</xdr:colOff>
                <xdr:row>6</xdr:row>
                <xdr:rowOff>9525</xdr:rowOff>
              </from>
              <to>
                <xdr:col>19</xdr:col>
                <xdr:colOff>9525</xdr:colOff>
                <xdr:row>8</xdr:row>
                <xdr:rowOff>123825</xdr:rowOff>
              </to>
            </anchor>
          </controlPr>
        </control>
      </mc:Choice>
      <mc:Fallback>
        <control shapeId="4102" r:id="rId6" name="CommandButton1"/>
      </mc:Fallback>
    </mc:AlternateContent>
    <mc:AlternateContent xmlns:mc="http://schemas.openxmlformats.org/markup-compatibility/2006">
      <mc:Choice Requires="x14">
        <control shapeId="4100" r:id="rId8" name="CommandButton2">
          <controlPr defaultSize="0" autoLine="0" r:id="rId9">
            <anchor moveWithCells="1">
              <from>
                <xdr:col>16</xdr:col>
                <xdr:colOff>600075</xdr:colOff>
                <xdr:row>13</xdr:row>
                <xdr:rowOff>247650</xdr:rowOff>
              </from>
              <to>
                <xdr:col>19</xdr:col>
                <xdr:colOff>19050</xdr:colOff>
                <xdr:row>16</xdr:row>
                <xdr:rowOff>209550</xdr:rowOff>
              </to>
            </anchor>
          </controlPr>
        </control>
      </mc:Choice>
      <mc:Fallback>
        <control shapeId="4100" r:id="rId8"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U527"/>
  <sheetViews>
    <sheetView topLeftCell="A180" workbookViewId="0">
      <selection activeCell="E198" sqref="E198"/>
    </sheetView>
  </sheetViews>
  <sheetFormatPr defaultRowHeight="15" x14ac:dyDescent="0.25"/>
  <cols>
    <col min="1" max="1" width="21.42578125" bestFit="1" customWidth="1"/>
  </cols>
  <sheetData>
    <row r="1" spans="1:21" x14ac:dyDescent="0.25">
      <c r="A1" t="s">
        <v>0</v>
      </c>
      <c r="B1" t="s">
        <v>55</v>
      </c>
      <c r="C1" t="s">
        <v>54</v>
      </c>
      <c r="D1" t="s">
        <v>73</v>
      </c>
      <c r="E1" t="s">
        <v>52</v>
      </c>
      <c r="F1" t="s">
        <v>51</v>
      </c>
      <c r="G1" t="s">
        <v>45</v>
      </c>
      <c r="H1" t="s">
        <v>49</v>
      </c>
      <c r="I1" t="s">
        <v>48</v>
      </c>
      <c r="J1" t="s">
        <v>47</v>
      </c>
      <c r="K1" t="s">
        <v>46</v>
      </c>
      <c r="L1" t="s">
        <v>50</v>
      </c>
      <c r="M1" t="s">
        <v>44</v>
      </c>
      <c r="N1" t="s">
        <v>43</v>
      </c>
      <c r="O1" t="s">
        <v>42</v>
      </c>
      <c r="P1" t="s">
        <v>41</v>
      </c>
      <c r="Q1" t="s">
        <v>40</v>
      </c>
      <c r="R1" t="s">
        <v>39</v>
      </c>
      <c r="S1" t="s">
        <v>38</v>
      </c>
      <c r="T1" t="s">
        <v>37</v>
      </c>
      <c r="U1" t="s">
        <v>142</v>
      </c>
    </row>
    <row r="2" spans="1:21" x14ac:dyDescent="0.25">
      <c r="A2" t="s">
        <v>1098</v>
      </c>
      <c r="B2" t="s">
        <v>24</v>
      </c>
      <c r="D2" t="s">
        <v>23</v>
      </c>
      <c r="E2">
        <v>2.87</v>
      </c>
      <c r="G2">
        <v>1.8720000000000001</v>
      </c>
      <c r="H2">
        <v>12.279500000000001</v>
      </c>
      <c r="K2">
        <v>1.4219999999999999</v>
      </c>
      <c r="L2">
        <v>2.9460000000000002</v>
      </c>
      <c r="M2">
        <v>1.026</v>
      </c>
      <c r="N2">
        <v>0.1</v>
      </c>
      <c r="O2">
        <v>0.56000000000000005</v>
      </c>
      <c r="P2">
        <v>1.9E-2</v>
      </c>
      <c r="Q2">
        <v>1.0999999999999999E-2</v>
      </c>
      <c r="R2">
        <v>8.6071000000000009</v>
      </c>
      <c r="S2">
        <v>8.0755999999999997</v>
      </c>
      <c r="T2">
        <v>2.0270000000000001</v>
      </c>
      <c r="U2">
        <v>0.64</v>
      </c>
    </row>
    <row r="3" spans="1:21" x14ac:dyDescent="0.25">
      <c r="A3" t="s">
        <v>563</v>
      </c>
      <c r="B3" t="s">
        <v>24</v>
      </c>
      <c r="D3" t="s">
        <v>1107</v>
      </c>
      <c r="E3">
        <v>1.86</v>
      </c>
      <c r="G3">
        <v>1.546</v>
      </c>
      <c r="H3">
        <v>9.9972999999999992</v>
      </c>
      <c r="K3">
        <v>1.9659</v>
      </c>
      <c r="L3">
        <v>3.5118999999999998</v>
      </c>
      <c r="M3">
        <v>1.468</v>
      </c>
      <c r="N3">
        <v>0.13300000000000001</v>
      </c>
      <c r="O3">
        <v>0.49</v>
      </c>
      <c r="P3">
        <v>0.13300000000000001</v>
      </c>
      <c r="Q3">
        <v>1.0999999999999999E-2</v>
      </c>
      <c r="R3">
        <v>30.470500000000001</v>
      </c>
      <c r="S3">
        <v>26.425899999999999</v>
      </c>
      <c r="T3">
        <v>0</v>
      </c>
      <c r="U3">
        <v>0</v>
      </c>
    </row>
    <row r="4" spans="1:21" x14ac:dyDescent="0.25">
      <c r="A4" t="s">
        <v>521</v>
      </c>
      <c r="B4" t="s">
        <v>24</v>
      </c>
      <c r="D4" t="s">
        <v>9</v>
      </c>
      <c r="E4">
        <v>0.68</v>
      </c>
      <c r="G4">
        <v>1.7330000000000001</v>
      </c>
      <c r="H4">
        <v>7.5686999999999998</v>
      </c>
      <c r="K4">
        <v>0.56510000000000005</v>
      </c>
      <c r="L4">
        <v>2.2980999999999998</v>
      </c>
      <c r="M4">
        <v>1.042</v>
      </c>
      <c r="N4">
        <v>7.0000000000000007E-2</v>
      </c>
      <c r="O4">
        <v>0.56200000000000006</v>
      </c>
      <c r="P4">
        <v>0.47499999999999998</v>
      </c>
      <c r="Q4">
        <v>1.0999999999999999E-2</v>
      </c>
      <c r="R4">
        <v>40.036099999999998</v>
      </c>
      <c r="S4">
        <v>24.416599999999999</v>
      </c>
      <c r="T4">
        <v>-0.124</v>
      </c>
      <c r="U4">
        <v>0.63</v>
      </c>
    </row>
    <row r="5" spans="1:21" x14ac:dyDescent="0.25">
      <c r="A5" t="s">
        <v>791</v>
      </c>
      <c r="B5" t="s">
        <v>24</v>
      </c>
      <c r="D5" t="s">
        <v>901</v>
      </c>
      <c r="E5">
        <v>1.78</v>
      </c>
      <c r="G5">
        <v>2.8879999999999999</v>
      </c>
      <c r="H5">
        <v>7.2042000000000002</v>
      </c>
      <c r="K5">
        <v>0.79300000000000004</v>
      </c>
      <c r="L5">
        <v>3.681</v>
      </c>
      <c r="M5">
        <v>0.224</v>
      </c>
      <c r="N5">
        <v>0.34599999999999997</v>
      </c>
      <c r="O5">
        <v>0.68100000000000005</v>
      </c>
      <c r="P5">
        <v>2.3E-2</v>
      </c>
      <c r="Q5">
        <v>1.0999999999999999E-2</v>
      </c>
      <c r="R5">
        <v>7.2454999999999998</v>
      </c>
      <c r="S5">
        <v>5.6641000000000004</v>
      </c>
      <c r="T5">
        <v>0</v>
      </c>
      <c r="U5">
        <v>0</v>
      </c>
    </row>
    <row r="6" spans="1:21" x14ac:dyDescent="0.25">
      <c r="A6" t="s">
        <v>335</v>
      </c>
      <c r="B6" t="s">
        <v>24</v>
      </c>
      <c r="D6" t="s">
        <v>26</v>
      </c>
      <c r="E6">
        <v>2.99</v>
      </c>
      <c r="G6">
        <v>3.6059999999999999</v>
      </c>
      <c r="H6">
        <v>13.174200000000001</v>
      </c>
      <c r="K6">
        <v>1.7446999999999999</v>
      </c>
      <c r="L6">
        <v>5.3506999999999998</v>
      </c>
      <c r="M6">
        <v>1.353</v>
      </c>
      <c r="N6">
        <v>9.1999999999999998E-2</v>
      </c>
      <c r="O6">
        <v>0.504</v>
      </c>
      <c r="P6">
        <v>1.2999999999999999E-2</v>
      </c>
      <c r="Q6">
        <v>1.0999999999999999E-2</v>
      </c>
      <c r="R6">
        <v>0.86870000000000003</v>
      </c>
      <c r="S6">
        <v>0.79749999999999999</v>
      </c>
      <c r="T6">
        <v>-0.02</v>
      </c>
      <c r="U6">
        <v>1.1000000000000001</v>
      </c>
    </row>
    <row r="7" spans="1:21" x14ac:dyDescent="0.25">
      <c r="A7" t="s">
        <v>278</v>
      </c>
      <c r="B7" t="s">
        <v>24</v>
      </c>
      <c r="D7" t="s">
        <v>31</v>
      </c>
      <c r="E7">
        <v>3.49</v>
      </c>
      <c r="G7">
        <v>5.2119999999999997</v>
      </c>
      <c r="H7">
        <v>12.7827</v>
      </c>
      <c r="K7">
        <v>1.7979000000000001</v>
      </c>
      <c r="L7">
        <v>7.0099</v>
      </c>
      <c r="M7">
        <v>0.74099999999999999</v>
      </c>
      <c r="N7">
        <v>0.45200000000000001</v>
      </c>
      <c r="O7">
        <v>0.2</v>
      </c>
      <c r="P7">
        <v>1.2E-2</v>
      </c>
      <c r="Q7">
        <v>1.0999999999999999E-2</v>
      </c>
      <c r="R7">
        <v>31.325299999999999</v>
      </c>
      <c r="S7">
        <v>18.6235</v>
      </c>
      <c r="T7">
        <v>0.32900000000000001</v>
      </c>
      <c r="U7">
        <v>0.55000000000000004</v>
      </c>
    </row>
    <row r="8" spans="1:21" x14ac:dyDescent="0.25">
      <c r="A8" t="s">
        <v>720</v>
      </c>
      <c r="B8" t="s">
        <v>24</v>
      </c>
      <c r="D8" t="s">
        <v>2</v>
      </c>
      <c r="E8">
        <v>2.41</v>
      </c>
      <c r="G8">
        <v>1.6950000000000001</v>
      </c>
      <c r="H8">
        <v>13.144500000000001</v>
      </c>
      <c r="K8">
        <v>2.9207000000000001</v>
      </c>
      <c r="L8">
        <v>4.6157000000000004</v>
      </c>
      <c r="M8">
        <v>0.91900000000000004</v>
      </c>
      <c r="N8">
        <v>7.6999999999999999E-2</v>
      </c>
      <c r="O8">
        <v>0.59799999999999998</v>
      </c>
      <c r="P8">
        <v>1.7999999999999999E-2</v>
      </c>
      <c r="Q8">
        <v>1.0999999999999999E-2</v>
      </c>
      <c r="R8">
        <v>2.5392000000000001</v>
      </c>
      <c r="S8">
        <v>2.9167999999999998</v>
      </c>
      <c r="T8">
        <v>0</v>
      </c>
      <c r="U8">
        <v>0</v>
      </c>
    </row>
    <row r="9" spans="1:21" x14ac:dyDescent="0.25">
      <c r="A9" t="s">
        <v>978</v>
      </c>
      <c r="B9" t="s">
        <v>24</v>
      </c>
      <c r="D9" t="s">
        <v>2</v>
      </c>
      <c r="E9">
        <v>3.08</v>
      </c>
      <c r="G9">
        <v>2.8580000000000001</v>
      </c>
      <c r="H9">
        <v>14.764799999999999</v>
      </c>
      <c r="K9">
        <v>2.5110000000000001</v>
      </c>
      <c r="L9">
        <v>5.3689999999999998</v>
      </c>
      <c r="M9">
        <v>0.75600000000000001</v>
      </c>
      <c r="N9">
        <v>0.20300000000000001</v>
      </c>
      <c r="O9">
        <v>0.627</v>
      </c>
      <c r="P9">
        <v>0.187</v>
      </c>
      <c r="Q9">
        <v>1.0999999999999999E-2</v>
      </c>
      <c r="R9">
        <v>0.44169999999999998</v>
      </c>
      <c r="S9">
        <v>1.5256000000000001</v>
      </c>
      <c r="T9">
        <v>0</v>
      </c>
      <c r="U9">
        <v>0</v>
      </c>
    </row>
    <row r="10" spans="1:21" x14ac:dyDescent="0.25">
      <c r="A10" t="s">
        <v>523</v>
      </c>
      <c r="B10" t="s">
        <v>24</v>
      </c>
      <c r="D10" t="s">
        <v>9</v>
      </c>
      <c r="E10">
        <v>1.61</v>
      </c>
      <c r="G10">
        <v>0.73899999999999999</v>
      </c>
      <c r="H10">
        <v>9.6782000000000004</v>
      </c>
      <c r="K10">
        <v>1.6757</v>
      </c>
      <c r="L10">
        <v>2.4146999999999998</v>
      </c>
      <c r="M10">
        <v>6.0999999999999999E-2</v>
      </c>
      <c r="N10">
        <v>0.11899999999999999</v>
      </c>
      <c r="O10">
        <v>0.17699999999999999</v>
      </c>
      <c r="P10">
        <v>1.2E-2</v>
      </c>
      <c r="Q10">
        <v>1.0999999999999999E-2</v>
      </c>
      <c r="R10">
        <v>0.4451</v>
      </c>
      <c r="S10">
        <v>0.37659999999999999</v>
      </c>
      <c r="T10">
        <v>1.05</v>
      </c>
      <c r="U10">
        <v>0.43</v>
      </c>
    </row>
    <row r="11" spans="1:21" x14ac:dyDescent="0.25">
      <c r="A11" t="s">
        <v>353</v>
      </c>
      <c r="B11" t="s">
        <v>24</v>
      </c>
      <c r="D11" t="s">
        <v>5</v>
      </c>
      <c r="E11">
        <v>2.11</v>
      </c>
      <c r="G11">
        <v>0.70799999999999996</v>
      </c>
      <c r="H11">
        <v>10.4093</v>
      </c>
      <c r="K11">
        <v>1.7173</v>
      </c>
      <c r="L11">
        <v>2.4253</v>
      </c>
      <c r="M11">
        <v>0.77500000000000002</v>
      </c>
      <c r="N11">
        <v>0.20499999999999999</v>
      </c>
      <c r="O11">
        <v>1.079</v>
      </c>
      <c r="P11">
        <v>8.9999999999999993E-3</v>
      </c>
      <c r="Q11">
        <v>1.0999999999999999E-2</v>
      </c>
      <c r="R11">
        <v>1.2453000000000001</v>
      </c>
      <c r="S11">
        <v>1.1771</v>
      </c>
      <c r="T11">
        <v>25.167999999999999</v>
      </c>
      <c r="U11">
        <v>0.6</v>
      </c>
    </row>
    <row r="12" spans="1:21" x14ac:dyDescent="0.25">
      <c r="A12" t="s">
        <v>1109</v>
      </c>
      <c r="B12" t="s">
        <v>24</v>
      </c>
      <c r="D12" t="s">
        <v>26</v>
      </c>
      <c r="E12">
        <v>1.32</v>
      </c>
      <c r="G12">
        <v>2.6110000000000002</v>
      </c>
      <c r="H12">
        <v>7.7390999999999996</v>
      </c>
      <c r="K12">
        <v>1.054</v>
      </c>
      <c r="L12">
        <v>3.665</v>
      </c>
      <c r="M12">
        <v>1.8480000000000001</v>
      </c>
      <c r="N12">
        <v>0.125</v>
      </c>
      <c r="O12">
        <v>0.42299999999999999</v>
      </c>
      <c r="P12">
        <v>2.4E-2</v>
      </c>
      <c r="Q12">
        <v>1.0999999999999999E-2</v>
      </c>
      <c r="R12">
        <v>5.1205999999999996</v>
      </c>
      <c r="S12">
        <v>4.3327</v>
      </c>
      <c r="T12">
        <v>0</v>
      </c>
      <c r="U12">
        <v>0</v>
      </c>
    </row>
    <row r="13" spans="1:21" x14ac:dyDescent="0.25">
      <c r="A13" t="s">
        <v>679</v>
      </c>
      <c r="B13" t="s">
        <v>24</v>
      </c>
      <c r="D13" t="s">
        <v>6</v>
      </c>
      <c r="E13">
        <v>2.84</v>
      </c>
      <c r="G13">
        <v>1.575</v>
      </c>
      <c r="H13">
        <v>8.2225000000000001</v>
      </c>
      <c r="K13">
        <v>1.1016999999999999</v>
      </c>
      <c r="L13">
        <v>2.6766999999999999</v>
      </c>
      <c r="M13">
        <v>0.185</v>
      </c>
      <c r="N13">
        <v>0.20399999999999999</v>
      </c>
      <c r="O13">
        <v>0.52200000000000002</v>
      </c>
      <c r="P13">
        <v>1.4E-2</v>
      </c>
      <c r="Q13">
        <v>1.0999999999999999E-2</v>
      </c>
      <c r="R13">
        <v>10.946199999999999</v>
      </c>
      <c r="S13">
        <v>10.373799999999999</v>
      </c>
      <c r="T13">
        <v>6.726</v>
      </c>
      <c r="U13">
        <v>0.48</v>
      </c>
    </row>
    <row r="14" spans="1:21" x14ac:dyDescent="0.25">
      <c r="A14" t="s">
        <v>1110</v>
      </c>
      <c r="B14" t="s">
        <v>24</v>
      </c>
      <c r="D14" t="s">
        <v>1111</v>
      </c>
      <c r="E14">
        <v>2.13</v>
      </c>
      <c r="G14">
        <v>1.288</v>
      </c>
      <c r="H14">
        <v>16.651199999999999</v>
      </c>
      <c r="K14">
        <v>2.3784000000000001</v>
      </c>
      <c r="L14">
        <v>3.6663999999999999</v>
      </c>
      <c r="M14">
        <v>0.23899999999999999</v>
      </c>
      <c r="N14">
        <v>0.121</v>
      </c>
      <c r="O14">
        <v>0.41</v>
      </c>
      <c r="P14">
        <v>2.3E-2</v>
      </c>
      <c r="Q14">
        <v>1.0999999999999999E-2</v>
      </c>
      <c r="R14">
        <v>5.2961999999999998</v>
      </c>
      <c r="S14">
        <v>5.9058000000000002</v>
      </c>
      <c r="T14">
        <v>0</v>
      </c>
      <c r="U14">
        <v>0</v>
      </c>
    </row>
    <row r="15" spans="1:21" x14ac:dyDescent="0.25">
      <c r="A15" t="s">
        <v>264</v>
      </c>
      <c r="B15" t="s">
        <v>24</v>
      </c>
      <c r="D15" t="s">
        <v>29</v>
      </c>
      <c r="E15">
        <v>4.3899999999999997</v>
      </c>
      <c r="G15">
        <v>2.8980000000000001</v>
      </c>
      <c r="H15">
        <v>18.153199999999998</v>
      </c>
      <c r="K15">
        <v>2.2248000000000001</v>
      </c>
      <c r="L15">
        <v>5.1227999999999998</v>
      </c>
      <c r="M15">
        <v>0.59</v>
      </c>
      <c r="N15">
        <v>0.26900000000000002</v>
      </c>
      <c r="O15">
        <v>0.45300000000000001</v>
      </c>
      <c r="P15">
        <v>7.0000000000000001E-3</v>
      </c>
      <c r="Q15">
        <v>1.0999999999999999E-2</v>
      </c>
      <c r="R15">
        <v>0.19600000000000001</v>
      </c>
      <c r="S15">
        <v>0.1658</v>
      </c>
      <c r="T15">
        <v>0</v>
      </c>
      <c r="U15">
        <v>0</v>
      </c>
    </row>
    <row r="16" spans="1:21" x14ac:dyDescent="0.25">
      <c r="A16" t="s">
        <v>386</v>
      </c>
      <c r="B16" t="s">
        <v>24</v>
      </c>
      <c r="D16" t="s">
        <v>4</v>
      </c>
      <c r="E16">
        <v>2.7</v>
      </c>
      <c r="G16">
        <v>2.0699999999999998</v>
      </c>
      <c r="H16">
        <v>8.2739999999999991</v>
      </c>
      <c r="K16">
        <v>1.2115</v>
      </c>
      <c r="L16">
        <v>3.2814999999999999</v>
      </c>
      <c r="M16">
        <v>0.125</v>
      </c>
      <c r="N16">
        <v>0.16800000000000001</v>
      </c>
      <c r="O16">
        <v>0.48399999999999999</v>
      </c>
      <c r="P16">
        <v>1.2999999999999999E-2</v>
      </c>
      <c r="Q16">
        <v>1.0999999999999999E-2</v>
      </c>
      <c r="R16">
        <v>0.69359999999999999</v>
      </c>
      <c r="S16">
        <v>1.4983</v>
      </c>
      <c r="T16">
        <v>0</v>
      </c>
      <c r="U16">
        <v>0</v>
      </c>
    </row>
    <row r="17" spans="1:21" x14ac:dyDescent="0.25">
      <c r="A17" t="s">
        <v>686</v>
      </c>
      <c r="B17" t="s">
        <v>24</v>
      </c>
      <c r="D17" t="s">
        <v>1113</v>
      </c>
      <c r="E17">
        <v>1.78</v>
      </c>
      <c r="G17">
        <v>1.948</v>
      </c>
      <c r="H17">
        <v>7.5427999999999997</v>
      </c>
      <c r="K17">
        <v>1.3249</v>
      </c>
      <c r="L17">
        <v>3.2728999999999999</v>
      </c>
      <c r="M17">
        <v>0.64600000000000002</v>
      </c>
      <c r="N17">
        <v>3.9E-2</v>
      </c>
      <c r="O17">
        <v>0.55500000000000005</v>
      </c>
      <c r="P17">
        <v>1.2E-2</v>
      </c>
      <c r="Q17">
        <v>1.0999999999999999E-2</v>
      </c>
      <c r="R17">
        <v>24.5657</v>
      </c>
      <c r="S17">
        <v>22.953700000000001</v>
      </c>
      <c r="T17">
        <v>16.847000000000001</v>
      </c>
      <c r="U17">
        <v>0.63</v>
      </c>
    </row>
    <row r="18" spans="1:21" x14ac:dyDescent="0.25">
      <c r="A18" t="s">
        <v>989</v>
      </c>
      <c r="B18" t="s">
        <v>24</v>
      </c>
      <c r="D18" t="s">
        <v>33</v>
      </c>
      <c r="E18">
        <v>1.99</v>
      </c>
      <c r="G18">
        <v>1.9</v>
      </c>
      <c r="H18">
        <v>6.6839000000000004</v>
      </c>
      <c r="K18">
        <v>0.80379999999999996</v>
      </c>
      <c r="L18">
        <v>2.7038000000000002</v>
      </c>
      <c r="M18">
        <v>0.51</v>
      </c>
      <c r="N18">
        <v>0.33</v>
      </c>
      <c r="O18">
        <v>0.46500000000000002</v>
      </c>
      <c r="P18">
        <v>1.2999999999999999E-2</v>
      </c>
      <c r="Q18">
        <v>1.0999999999999999E-2</v>
      </c>
      <c r="R18">
        <v>0.49790000000000001</v>
      </c>
      <c r="S18">
        <v>0.42130000000000001</v>
      </c>
      <c r="T18">
        <v>19.370999999999999</v>
      </c>
      <c r="U18">
        <v>0.63</v>
      </c>
    </row>
    <row r="19" spans="1:21" x14ac:dyDescent="0.25">
      <c r="A19" t="s">
        <v>997</v>
      </c>
      <c r="B19" t="s">
        <v>24</v>
      </c>
      <c r="D19" t="s">
        <v>27</v>
      </c>
      <c r="E19">
        <v>1.64</v>
      </c>
      <c r="G19">
        <v>1.1499999999999999</v>
      </c>
      <c r="H19">
        <v>8.2431000000000001</v>
      </c>
      <c r="K19">
        <v>1.4631000000000001</v>
      </c>
      <c r="L19">
        <v>2.6131000000000002</v>
      </c>
      <c r="M19">
        <v>9.1999999999999998E-2</v>
      </c>
      <c r="N19">
        <v>0.09</v>
      </c>
      <c r="O19">
        <v>0.45300000000000001</v>
      </c>
      <c r="P19">
        <v>0.02</v>
      </c>
      <c r="Q19">
        <v>1.0999999999999999E-2</v>
      </c>
      <c r="R19">
        <v>2.3170999999999999</v>
      </c>
      <c r="S19">
        <v>1.9604999999999999</v>
      </c>
      <c r="T19">
        <v>1.1779999999999999</v>
      </c>
      <c r="U19">
        <v>0.56999999999999995</v>
      </c>
    </row>
    <row r="20" spans="1:21" x14ac:dyDescent="0.25">
      <c r="A20" t="s">
        <v>866</v>
      </c>
      <c r="B20" t="s">
        <v>24</v>
      </c>
      <c r="D20" t="s">
        <v>30</v>
      </c>
      <c r="E20">
        <v>1.07</v>
      </c>
      <c r="G20">
        <v>1.929</v>
      </c>
      <c r="H20">
        <v>9.5068999999999999</v>
      </c>
      <c r="K20">
        <v>1.6419999999999999</v>
      </c>
      <c r="L20">
        <v>3.5710000000000002</v>
      </c>
      <c r="M20">
        <v>0.19600000000000001</v>
      </c>
      <c r="N20">
        <v>0.11899999999999999</v>
      </c>
      <c r="O20">
        <v>0.42199999999999999</v>
      </c>
      <c r="P20">
        <v>2.9000000000000001E-2</v>
      </c>
      <c r="Q20">
        <v>1.0999999999999999E-2</v>
      </c>
      <c r="R20">
        <v>11.110200000000001</v>
      </c>
      <c r="S20">
        <v>9.4277999999999995</v>
      </c>
      <c r="T20">
        <v>27.986000000000001</v>
      </c>
      <c r="U20">
        <v>0.56000000000000005</v>
      </c>
    </row>
    <row r="21" spans="1:21" x14ac:dyDescent="0.25">
      <c r="A21" t="s">
        <v>979</v>
      </c>
      <c r="B21" t="s">
        <v>24</v>
      </c>
      <c r="D21" t="s">
        <v>23</v>
      </c>
      <c r="E21">
        <v>1.27</v>
      </c>
      <c r="G21">
        <v>3.0139999999999998</v>
      </c>
      <c r="H21">
        <v>7.1337999999999999</v>
      </c>
      <c r="K21">
        <v>0.91</v>
      </c>
      <c r="L21">
        <v>3.9239999999999999</v>
      </c>
      <c r="M21">
        <v>2.5150000000000001</v>
      </c>
      <c r="N21">
        <v>0.13500000000000001</v>
      </c>
      <c r="O21">
        <v>0.8</v>
      </c>
      <c r="P21">
        <v>2.7E-2</v>
      </c>
      <c r="Q21">
        <v>1.0999999999999999E-2</v>
      </c>
      <c r="R21">
        <v>6.0949</v>
      </c>
      <c r="S21">
        <v>5.1570999999999998</v>
      </c>
      <c r="T21">
        <v>2.8279999999999998</v>
      </c>
      <c r="U21">
        <v>0.47</v>
      </c>
    </row>
    <row r="22" spans="1:21" x14ac:dyDescent="0.25">
      <c r="A22" t="s">
        <v>636</v>
      </c>
      <c r="B22" t="s">
        <v>24</v>
      </c>
      <c r="D22" t="s">
        <v>10</v>
      </c>
      <c r="E22">
        <v>1.54</v>
      </c>
      <c r="G22">
        <v>1.294</v>
      </c>
      <c r="H22">
        <v>11.8947</v>
      </c>
      <c r="K22">
        <v>1.476</v>
      </c>
      <c r="L22">
        <v>2.77</v>
      </c>
      <c r="M22">
        <v>0.14199999999999999</v>
      </c>
      <c r="N22">
        <v>5.6000000000000001E-2</v>
      </c>
      <c r="O22">
        <v>0.72599999999999998</v>
      </c>
      <c r="P22">
        <v>1.4E-2</v>
      </c>
      <c r="Q22">
        <v>1.0999999999999999E-2</v>
      </c>
      <c r="R22">
        <v>1.4679</v>
      </c>
      <c r="S22">
        <v>1.4103000000000001</v>
      </c>
      <c r="T22">
        <v>0</v>
      </c>
      <c r="U22">
        <v>0</v>
      </c>
    </row>
    <row r="23" spans="1:21" x14ac:dyDescent="0.25">
      <c r="A23" t="s">
        <v>452</v>
      </c>
      <c r="B23" t="s">
        <v>24</v>
      </c>
      <c r="D23" t="s">
        <v>20</v>
      </c>
      <c r="E23">
        <v>1.83</v>
      </c>
      <c r="G23">
        <v>0.443</v>
      </c>
      <c r="H23">
        <v>10.581</v>
      </c>
      <c r="K23">
        <v>2.2256</v>
      </c>
      <c r="L23">
        <v>2.6686000000000001</v>
      </c>
      <c r="M23">
        <v>1.204</v>
      </c>
      <c r="N23">
        <v>0.19900000000000001</v>
      </c>
      <c r="O23">
        <v>0.90300000000000002</v>
      </c>
      <c r="P23">
        <v>0.14699999999999999</v>
      </c>
      <c r="Q23">
        <v>1.0999999999999999E-2</v>
      </c>
      <c r="R23">
        <v>2.1046</v>
      </c>
      <c r="S23">
        <v>1.6057999999999999</v>
      </c>
      <c r="T23">
        <v>6.3E-2</v>
      </c>
      <c r="U23">
        <v>0.34</v>
      </c>
    </row>
    <row r="24" spans="1:21" x14ac:dyDescent="0.25">
      <c r="A24" t="s">
        <v>453</v>
      </c>
      <c r="B24" t="s">
        <v>24</v>
      </c>
      <c r="D24" t="s">
        <v>87</v>
      </c>
      <c r="E24">
        <v>2.2400000000000002</v>
      </c>
      <c r="G24">
        <v>2.7240000000000002</v>
      </c>
      <c r="H24">
        <v>11.321300000000001</v>
      </c>
      <c r="K24">
        <v>1.9637</v>
      </c>
      <c r="L24">
        <v>4.6877000000000004</v>
      </c>
      <c r="M24">
        <v>0.39600000000000002</v>
      </c>
      <c r="N24">
        <v>0.251</v>
      </c>
      <c r="O24">
        <v>0.193</v>
      </c>
      <c r="P24">
        <v>1.2999999999999999E-2</v>
      </c>
      <c r="Q24">
        <v>1.0999999999999999E-2</v>
      </c>
      <c r="R24">
        <v>0.50609999999999999</v>
      </c>
      <c r="S24">
        <v>0.75519999999999998</v>
      </c>
      <c r="T24">
        <v>0</v>
      </c>
      <c r="U24">
        <v>0</v>
      </c>
    </row>
    <row r="25" spans="1:21" x14ac:dyDescent="0.25">
      <c r="A25" t="s">
        <v>591</v>
      </c>
      <c r="B25" t="s">
        <v>24</v>
      </c>
      <c r="D25" t="s">
        <v>21</v>
      </c>
      <c r="E25">
        <v>1.22</v>
      </c>
      <c r="G25">
        <v>2.121</v>
      </c>
      <c r="H25">
        <v>13.7821</v>
      </c>
      <c r="K25">
        <v>1.0182</v>
      </c>
      <c r="L25">
        <v>3.1392000000000002</v>
      </c>
      <c r="M25">
        <v>0.44800000000000001</v>
      </c>
      <c r="N25">
        <v>0.42399999999999999</v>
      </c>
      <c r="O25">
        <v>0.76700000000000002</v>
      </c>
      <c r="P25">
        <v>1.4E-2</v>
      </c>
      <c r="Q25">
        <v>1.0999999999999999E-2</v>
      </c>
      <c r="R25">
        <v>6.399</v>
      </c>
      <c r="S25">
        <v>5.2023999999999999</v>
      </c>
      <c r="T25">
        <v>0.52800000000000002</v>
      </c>
      <c r="U25">
        <v>-0.27</v>
      </c>
    </row>
    <row r="26" spans="1:21" x14ac:dyDescent="0.25">
      <c r="A26" t="s">
        <v>698</v>
      </c>
      <c r="B26" t="s">
        <v>24</v>
      </c>
      <c r="D26" t="s">
        <v>137</v>
      </c>
      <c r="E26">
        <v>3.02</v>
      </c>
      <c r="G26">
        <v>2.9660000000000002</v>
      </c>
      <c r="H26">
        <v>9.7093000000000007</v>
      </c>
      <c r="K26">
        <v>2.3472</v>
      </c>
      <c r="L26">
        <v>5.3132000000000001</v>
      </c>
      <c r="M26">
        <v>0.129</v>
      </c>
      <c r="N26">
        <v>0.13500000000000001</v>
      </c>
      <c r="O26">
        <v>0.26600000000000001</v>
      </c>
      <c r="P26">
        <v>1.6E-2</v>
      </c>
      <c r="Q26">
        <v>1.0999999999999999E-2</v>
      </c>
      <c r="R26">
        <v>0.82609999999999995</v>
      </c>
      <c r="S26">
        <v>0.75600000000000001</v>
      </c>
      <c r="T26">
        <v>9.3149999999999995</v>
      </c>
      <c r="U26">
        <v>0.41</v>
      </c>
    </row>
    <row r="27" spans="1:21" x14ac:dyDescent="0.25">
      <c r="A27" t="s">
        <v>260</v>
      </c>
      <c r="B27" t="s">
        <v>24</v>
      </c>
      <c r="D27" t="s">
        <v>34</v>
      </c>
      <c r="E27">
        <v>2.73</v>
      </c>
      <c r="G27">
        <v>4.0389999999999997</v>
      </c>
      <c r="H27">
        <v>12.973699999999999</v>
      </c>
      <c r="K27">
        <v>1.9350000000000001</v>
      </c>
      <c r="L27">
        <v>5.9740000000000002</v>
      </c>
      <c r="M27">
        <v>0.98099999999999998</v>
      </c>
      <c r="N27">
        <v>0.19400000000000001</v>
      </c>
      <c r="O27">
        <v>0.92300000000000004</v>
      </c>
      <c r="P27">
        <v>1.2999999999999999E-2</v>
      </c>
      <c r="Q27">
        <v>1.0999999999999999E-2</v>
      </c>
      <c r="R27">
        <v>0.35820000000000002</v>
      </c>
      <c r="S27">
        <v>0.30309999999999998</v>
      </c>
      <c r="T27">
        <v>2.6509999999999998</v>
      </c>
      <c r="U27">
        <v>0.48</v>
      </c>
    </row>
    <row r="28" spans="1:21" x14ac:dyDescent="0.25">
      <c r="A28" t="s">
        <v>446</v>
      </c>
      <c r="B28" t="s">
        <v>24</v>
      </c>
      <c r="D28" t="s">
        <v>2</v>
      </c>
      <c r="E28">
        <v>0.93</v>
      </c>
      <c r="G28">
        <v>2.2930000000000001</v>
      </c>
      <c r="H28">
        <v>7.3391000000000002</v>
      </c>
      <c r="K28">
        <v>1.0929</v>
      </c>
      <c r="L28">
        <v>3.3858999999999999</v>
      </c>
      <c r="M28">
        <v>0.23</v>
      </c>
      <c r="N28">
        <v>0.14799999999999999</v>
      </c>
      <c r="O28">
        <v>0.30399999999999999</v>
      </c>
      <c r="P28">
        <v>1.2999999999999999E-2</v>
      </c>
      <c r="Q28">
        <v>1.0999999999999999E-2</v>
      </c>
      <c r="R28">
        <v>25.112200000000001</v>
      </c>
      <c r="S28">
        <v>11.2203</v>
      </c>
      <c r="T28">
        <v>0</v>
      </c>
      <c r="U28">
        <v>0</v>
      </c>
    </row>
    <row r="29" spans="1:21" x14ac:dyDescent="0.25">
      <c r="A29" t="s">
        <v>416</v>
      </c>
      <c r="B29" t="s">
        <v>24</v>
      </c>
      <c r="D29" t="s">
        <v>22</v>
      </c>
      <c r="E29">
        <v>1.35</v>
      </c>
      <c r="G29">
        <v>0.97799999999999998</v>
      </c>
      <c r="H29">
        <v>10.738899999999999</v>
      </c>
      <c r="K29">
        <v>1.7085999999999999</v>
      </c>
      <c r="L29">
        <v>2.6865999999999999</v>
      </c>
      <c r="M29">
        <v>1.196</v>
      </c>
      <c r="N29">
        <v>0.124</v>
      </c>
      <c r="O29">
        <v>0.79800000000000004</v>
      </c>
      <c r="P29">
        <v>1.2999999999999999E-2</v>
      </c>
      <c r="Q29">
        <v>1.0999999999999999E-2</v>
      </c>
      <c r="R29">
        <v>0.64359999999999995</v>
      </c>
      <c r="S29">
        <v>0.67269999999999996</v>
      </c>
      <c r="T29">
        <v>7.07</v>
      </c>
      <c r="U29">
        <v>0.61</v>
      </c>
    </row>
    <row r="30" spans="1:21" x14ac:dyDescent="0.25">
      <c r="A30" t="s">
        <v>611</v>
      </c>
      <c r="B30" t="s">
        <v>24</v>
      </c>
      <c r="D30" t="s">
        <v>1114</v>
      </c>
      <c r="E30">
        <v>1.34</v>
      </c>
      <c r="G30">
        <v>1.7350000000000001</v>
      </c>
      <c r="H30">
        <v>11.335800000000001</v>
      </c>
      <c r="K30">
        <v>1.6063000000000001</v>
      </c>
      <c r="L30">
        <v>3.3412999999999999</v>
      </c>
      <c r="M30">
        <v>0.51900000000000002</v>
      </c>
      <c r="N30">
        <v>5.0999999999999997E-2</v>
      </c>
      <c r="O30">
        <v>0.38800000000000001</v>
      </c>
      <c r="P30">
        <v>1.4E-2</v>
      </c>
      <c r="Q30">
        <v>1.0999999999999999E-2</v>
      </c>
      <c r="R30">
        <v>1.1572</v>
      </c>
      <c r="S30">
        <v>2.9460000000000002</v>
      </c>
      <c r="T30">
        <v>0</v>
      </c>
      <c r="U30">
        <v>0</v>
      </c>
    </row>
    <row r="31" spans="1:21" x14ac:dyDescent="0.25">
      <c r="A31" t="s">
        <v>532</v>
      </c>
      <c r="B31" t="s">
        <v>24</v>
      </c>
      <c r="D31" t="s">
        <v>19</v>
      </c>
      <c r="E31">
        <v>1.37</v>
      </c>
      <c r="G31">
        <v>2.552</v>
      </c>
      <c r="H31">
        <v>5.2355</v>
      </c>
      <c r="K31">
        <v>1.4547000000000001</v>
      </c>
      <c r="L31">
        <v>4.0067000000000004</v>
      </c>
      <c r="M31">
        <v>0.68400000000000005</v>
      </c>
      <c r="N31">
        <v>0.19</v>
      </c>
      <c r="O31">
        <v>0.35299999999999998</v>
      </c>
      <c r="P31">
        <v>1.4E-2</v>
      </c>
      <c r="Q31">
        <v>1.0999999999999999E-2</v>
      </c>
      <c r="R31">
        <v>22.4055</v>
      </c>
      <c r="S31">
        <v>23.7029</v>
      </c>
      <c r="T31">
        <v>0</v>
      </c>
      <c r="U31">
        <v>0</v>
      </c>
    </row>
    <row r="32" spans="1:21" x14ac:dyDescent="0.25">
      <c r="A32" t="s">
        <v>717</v>
      </c>
      <c r="B32" t="s">
        <v>24</v>
      </c>
      <c r="D32" t="s">
        <v>1115</v>
      </c>
      <c r="E32">
        <v>1.82</v>
      </c>
      <c r="G32">
        <v>2.0230000000000001</v>
      </c>
      <c r="H32">
        <v>12.448399999999999</v>
      </c>
      <c r="K32">
        <v>2.3224</v>
      </c>
      <c r="L32">
        <v>4.3453999999999997</v>
      </c>
      <c r="M32">
        <v>0.51300000000000001</v>
      </c>
      <c r="N32">
        <v>0.17399999999999999</v>
      </c>
      <c r="O32">
        <v>0.64200000000000002</v>
      </c>
      <c r="P32">
        <v>1.2999999999999999E-2</v>
      </c>
      <c r="Q32">
        <v>1.0999999999999999E-2</v>
      </c>
      <c r="R32">
        <v>1.1664000000000001</v>
      </c>
      <c r="S32">
        <v>1.5881000000000001</v>
      </c>
      <c r="T32">
        <v>0</v>
      </c>
      <c r="U32">
        <v>0</v>
      </c>
    </row>
    <row r="33" spans="1:21" x14ac:dyDescent="0.25">
      <c r="A33" t="s">
        <v>417</v>
      </c>
      <c r="B33" t="s">
        <v>24</v>
      </c>
      <c r="D33" t="s">
        <v>1116</v>
      </c>
      <c r="E33">
        <v>1.48</v>
      </c>
      <c r="G33">
        <v>2.044</v>
      </c>
      <c r="H33">
        <v>7.5781999999999998</v>
      </c>
      <c r="K33">
        <v>1.1564000000000001</v>
      </c>
      <c r="L33">
        <v>3.2004000000000001</v>
      </c>
      <c r="M33">
        <v>0.88</v>
      </c>
      <c r="N33">
        <v>0.249</v>
      </c>
      <c r="O33">
        <v>0.24199999999999999</v>
      </c>
      <c r="P33">
        <v>1.2999999999999999E-2</v>
      </c>
      <c r="Q33">
        <v>1.0999999999999999E-2</v>
      </c>
      <c r="R33">
        <v>1.6048</v>
      </c>
      <c r="S33">
        <v>1.4116</v>
      </c>
      <c r="T33">
        <v>3.3839999999999999</v>
      </c>
      <c r="U33">
        <v>0.51</v>
      </c>
    </row>
    <row r="34" spans="1:21" x14ac:dyDescent="0.25">
      <c r="A34" t="s">
        <v>562</v>
      </c>
      <c r="B34" t="s">
        <v>24</v>
      </c>
      <c r="D34" t="s">
        <v>31</v>
      </c>
      <c r="E34">
        <v>1.51</v>
      </c>
      <c r="G34">
        <v>2.69</v>
      </c>
      <c r="H34">
        <v>11.4658</v>
      </c>
      <c r="K34">
        <v>1.48</v>
      </c>
      <c r="L34">
        <v>4.17</v>
      </c>
      <c r="M34">
        <v>0.34100000000000003</v>
      </c>
      <c r="N34">
        <v>0.156</v>
      </c>
      <c r="O34">
        <v>0.77500000000000002</v>
      </c>
      <c r="P34">
        <v>1.4E-2</v>
      </c>
      <c r="Q34">
        <v>1.0999999999999999E-2</v>
      </c>
      <c r="R34">
        <v>21.3947</v>
      </c>
      <c r="S34">
        <v>11.5313</v>
      </c>
      <c r="T34">
        <v>0.16500000000000001</v>
      </c>
      <c r="U34">
        <v>0.71</v>
      </c>
    </row>
    <row r="35" spans="1:21" x14ac:dyDescent="0.25">
      <c r="A35" t="s">
        <v>318</v>
      </c>
      <c r="B35" t="s">
        <v>24</v>
      </c>
      <c r="D35" t="s">
        <v>26</v>
      </c>
      <c r="E35">
        <v>2.87</v>
      </c>
      <c r="G35">
        <v>3.718</v>
      </c>
      <c r="H35">
        <v>7.8525999999999998</v>
      </c>
      <c r="K35">
        <v>1.694</v>
      </c>
      <c r="L35">
        <v>5.4119999999999999</v>
      </c>
      <c r="M35">
        <v>7.1999999999999995E-2</v>
      </c>
      <c r="N35">
        <v>7.0000000000000007E-2</v>
      </c>
      <c r="O35">
        <v>0.20699999999999999</v>
      </c>
      <c r="P35">
        <v>8.9999999999999993E-3</v>
      </c>
      <c r="Q35">
        <v>1.0999999999999999E-2</v>
      </c>
      <c r="R35">
        <v>28.515999999999998</v>
      </c>
      <c r="S35">
        <v>21.717400000000001</v>
      </c>
      <c r="T35">
        <v>0</v>
      </c>
      <c r="U35">
        <v>0</v>
      </c>
    </row>
    <row r="36" spans="1:21" x14ac:dyDescent="0.25">
      <c r="A36" t="s">
        <v>285</v>
      </c>
      <c r="B36" t="s">
        <v>24</v>
      </c>
      <c r="D36" t="s">
        <v>10</v>
      </c>
      <c r="E36">
        <v>3.39</v>
      </c>
      <c r="G36">
        <v>7.0590000000000002</v>
      </c>
      <c r="H36">
        <v>15.828799999999999</v>
      </c>
      <c r="K36">
        <v>1.8560000000000001</v>
      </c>
      <c r="L36">
        <v>8.9149999999999991</v>
      </c>
      <c r="M36">
        <v>0.29699999999999999</v>
      </c>
      <c r="N36">
        <v>0.24199999999999999</v>
      </c>
      <c r="O36">
        <v>0.41899999999999998</v>
      </c>
      <c r="P36">
        <v>0.01</v>
      </c>
      <c r="Q36">
        <v>1.0999999999999999E-2</v>
      </c>
      <c r="R36">
        <v>0.25609999999999999</v>
      </c>
      <c r="S36">
        <v>0.34429999999999999</v>
      </c>
      <c r="T36">
        <v>0</v>
      </c>
      <c r="U36">
        <v>0</v>
      </c>
    </row>
    <row r="37" spans="1:21" x14ac:dyDescent="0.25">
      <c r="A37" t="s">
        <v>551</v>
      </c>
      <c r="B37" t="s">
        <v>24</v>
      </c>
      <c r="D37" t="s">
        <v>26</v>
      </c>
      <c r="E37">
        <v>1.8</v>
      </c>
      <c r="G37">
        <v>1.266</v>
      </c>
      <c r="H37">
        <v>15.641299999999999</v>
      </c>
      <c r="K37">
        <v>2.3910999999999998</v>
      </c>
      <c r="L37">
        <v>3.6570999999999998</v>
      </c>
      <c r="M37">
        <v>0.91800000000000004</v>
      </c>
      <c r="N37">
        <v>5.1999999999999998E-2</v>
      </c>
      <c r="O37">
        <v>0.60799999999999998</v>
      </c>
      <c r="P37">
        <v>1.4E-2</v>
      </c>
      <c r="Q37">
        <v>1.0999999999999999E-2</v>
      </c>
      <c r="R37">
        <v>0.57440000000000002</v>
      </c>
      <c r="S37">
        <v>0.48599999999999999</v>
      </c>
      <c r="T37">
        <v>23.974</v>
      </c>
      <c r="U37">
        <v>0.61</v>
      </c>
    </row>
    <row r="38" spans="1:21" x14ac:dyDescent="0.25">
      <c r="A38" t="s">
        <v>592</v>
      </c>
      <c r="B38" t="s">
        <v>24</v>
      </c>
      <c r="D38" t="s">
        <v>11</v>
      </c>
      <c r="E38">
        <v>2.86</v>
      </c>
      <c r="G38">
        <v>2.1749999999999998</v>
      </c>
      <c r="H38">
        <v>10.995100000000001</v>
      </c>
      <c r="K38">
        <v>2.3772000000000002</v>
      </c>
      <c r="L38">
        <v>4.5522</v>
      </c>
      <c r="M38">
        <v>0.746</v>
      </c>
      <c r="N38">
        <v>0.104</v>
      </c>
      <c r="O38">
        <v>0.32</v>
      </c>
      <c r="P38">
        <v>1.2999999999999999E-2</v>
      </c>
      <c r="Q38">
        <v>1.0999999999999999E-2</v>
      </c>
      <c r="R38">
        <v>0.4708</v>
      </c>
      <c r="S38">
        <v>0.52070000000000005</v>
      </c>
      <c r="T38">
        <v>-0.14000000000000001</v>
      </c>
      <c r="U38">
        <v>0.72</v>
      </c>
    </row>
    <row r="39" spans="1:21" x14ac:dyDescent="0.25">
      <c r="A39" t="s">
        <v>247</v>
      </c>
      <c r="B39" t="s">
        <v>24</v>
      </c>
      <c r="D39" t="s">
        <v>30</v>
      </c>
      <c r="E39">
        <v>3.39</v>
      </c>
      <c r="G39">
        <v>3.4569999999999999</v>
      </c>
      <c r="H39">
        <v>16.972899999999999</v>
      </c>
      <c r="K39">
        <v>3.2864</v>
      </c>
      <c r="L39">
        <v>6.7434000000000003</v>
      </c>
      <c r="M39">
        <v>0.79700000000000004</v>
      </c>
      <c r="N39">
        <v>8.4000000000000005E-2</v>
      </c>
      <c r="O39">
        <v>0.40600000000000003</v>
      </c>
      <c r="P39">
        <v>1.2999999999999999E-2</v>
      </c>
      <c r="Q39">
        <v>1.0999999999999999E-2</v>
      </c>
      <c r="R39">
        <v>8.2087000000000003</v>
      </c>
      <c r="S39">
        <v>5.1780999999999997</v>
      </c>
      <c r="T39">
        <v>0</v>
      </c>
      <c r="U39">
        <v>0</v>
      </c>
    </row>
    <row r="40" spans="1:21" x14ac:dyDescent="0.25">
      <c r="A40" t="s">
        <v>646</v>
      </c>
      <c r="B40" t="s">
        <v>24</v>
      </c>
      <c r="D40" t="s">
        <v>13</v>
      </c>
      <c r="E40">
        <v>2.58</v>
      </c>
      <c r="G40">
        <v>1.1240000000000001</v>
      </c>
      <c r="H40">
        <v>12.927</v>
      </c>
      <c r="K40">
        <v>2.0009999999999999</v>
      </c>
      <c r="L40">
        <v>3.125</v>
      </c>
      <c r="M40">
        <v>1.3260000000000001</v>
      </c>
      <c r="N40">
        <v>0.11700000000000001</v>
      </c>
      <c r="O40">
        <v>0.51400000000000001</v>
      </c>
      <c r="P40">
        <v>1.4E-2</v>
      </c>
      <c r="Q40">
        <v>1.0999999999999999E-2</v>
      </c>
      <c r="R40">
        <v>22.5901</v>
      </c>
      <c r="S40">
        <v>20.079000000000001</v>
      </c>
      <c r="T40">
        <v>0</v>
      </c>
      <c r="U40">
        <v>0</v>
      </c>
    </row>
    <row r="41" spans="1:21" x14ac:dyDescent="0.25">
      <c r="A41" t="s">
        <v>373</v>
      </c>
      <c r="B41" t="s">
        <v>24</v>
      </c>
      <c r="D41" t="s">
        <v>22</v>
      </c>
      <c r="E41">
        <v>1</v>
      </c>
      <c r="G41">
        <v>1.659</v>
      </c>
      <c r="H41">
        <v>10.358000000000001</v>
      </c>
      <c r="K41">
        <v>1.8969</v>
      </c>
      <c r="L41">
        <v>3.5558999999999998</v>
      </c>
      <c r="M41">
        <v>1.7569999999999999</v>
      </c>
      <c r="N41">
        <v>0.10199999999999999</v>
      </c>
      <c r="O41">
        <v>0.50700000000000001</v>
      </c>
      <c r="P41">
        <v>1.7000000000000001E-2</v>
      </c>
      <c r="Q41">
        <v>1.0999999999999999E-2</v>
      </c>
      <c r="R41">
        <v>3.6996000000000002</v>
      </c>
      <c r="S41">
        <v>3.4864000000000002</v>
      </c>
      <c r="T41">
        <v>0</v>
      </c>
      <c r="U41">
        <v>0</v>
      </c>
    </row>
    <row r="42" spans="1:21" x14ac:dyDescent="0.25">
      <c r="A42" t="s">
        <v>300</v>
      </c>
      <c r="B42" t="s">
        <v>24</v>
      </c>
      <c r="D42" t="s">
        <v>10</v>
      </c>
      <c r="E42">
        <v>1.25</v>
      </c>
      <c r="G42">
        <v>1.895</v>
      </c>
      <c r="H42">
        <v>10.2578</v>
      </c>
      <c r="K42">
        <v>1.5754999999999999</v>
      </c>
      <c r="L42">
        <v>3.4704999999999999</v>
      </c>
      <c r="M42">
        <v>0.62</v>
      </c>
      <c r="N42">
        <v>0.111</v>
      </c>
      <c r="O42">
        <v>0.46899999999999997</v>
      </c>
      <c r="P42">
        <v>8.0000000000000002E-3</v>
      </c>
      <c r="Q42">
        <v>1.0999999999999999E-2</v>
      </c>
      <c r="R42">
        <v>12.9229</v>
      </c>
      <c r="S42">
        <v>8.3486999999999991</v>
      </c>
      <c r="T42">
        <v>0</v>
      </c>
      <c r="U42">
        <v>0</v>
      </c>
    </row>
    <row r="43" spans="1:21" x14ac:dyDescent="0.25">
      <c r="A43" t="s">
        <v>374</v>
      </c>
      <c r="B43" t="s">
        <v>24</v>
      </c>
      <c r="D43" t="s">
        <v>20</v>
      </c>
      <c r="E43">
        <v>2.97</v>
      </c>
      <c r="G43">
        <v>2.0920000000000001</v>
      </c>
      <c r="H43">
        <v>12.7401</v>
      </c>
      <c r="K43">
        <v>2.3993000000000002</v>
      </c>
      <c r="L43">
        <v>4.4912999999999998</v>
      </c>
      <c r="M43">
        <v>0.33300000000000002</v>
      </c>
      <c r="N43">
        <v>2.7E-2</v>
      </c>
      <c r="O43">
        <v>0.27800000000000002</v>
      </c>
      <c r="P43">
        <v>9.2999999999999999E-2</v>
      </c>
      <c r="Q43">
        <v>1.0999999999999999E-2</v>
      </c>
      <c r="R43">
        <v>36.774299999999997</v>
      </c>
      <c r="S43">
        <v>25.072900000000001</v>
      </c>
      <c r="T43">
        <v>0</v>
      </c>
      <c r="U43">
        <v>0</v>
      </c>
    </row>
    <row r="44" spans="1:21" x14ac:dyDescent="0.25">
      <c r="A44" t="s">
        <v>1019</v>
      </c>
      <c r="B44" t="s">
        <v>24</v>
      </c>
      <c r="D44" t="s">
        <v>32</v>
      </c>
      <c r="E44">
        <v>2.5</v>
      </c>
      <c r="G44">
        <v>1.792</v>
      </c>
      <c r="H44">
        <v>7.9343000000000004</v>
      </c>
      <c r="K44">
        <v>1.1859999999999999</v>
      </c>
      <c r="L44">
        <v>2.9780000000000002</v>
      </c>
      <c r="M44">
        <v>1.8620000000000001</v>
      </c>
      <c r="N44">
        <v>0.19</v>
      </c>
      <c r="O44">
        <v>0.42199999999999999</v>
      </c>
      <c r="P44">
        <v>1.7000000000000001E-2</v>
      </c>
      <c r="Q44">
        <v>1.0999999999999999E-2</v>
      </c>
      <c r="R44">
        <v>2.077</v>
      </c>
      <c r="S44">
        <v>1.7574000000000001</v>
      </c>
      <c r="T44">
        <v>0.38700000000000001</v>
      </c>
      <c r="U44">
        <v>0.52</v>
      </c>
    </row>
    <row r="45" spans="1:21" x14ac:dyDescent="0.25">
      <c r="A45" t="s">
        <v>1096</v>
      </c>
      <c r="B45" t="s">
        <v>24</v>
      </c>
      <c r="D45" t="s">
        <v>30</v>
      </c>
      <c r="E45">
        <v>0.75</v>
      </c>
      <c r="G45">
        <v>2.2120000000000002</v>
      </c>
      <c r="H45">
        <v>5.9124999999999996</v>
      </c>
      <c r="K45">
        <v>1.3481000000000001</v>
      </c>
      <c r="L45">
        <v>3.5600999999999998</v>
      </c>
      <c r="M45">
        <v>2.5979999999999999</v>
      </c>
      <c r="N45">
        <v>0.13600000000000001</v>
      </c>
      <c r="O45">
        <v>0.80600000000000005</v>
      </c>
      <c r="P45">
        <v>2.7E-2</v>
      </c>
      <c r="Q45">
        <v>1.0999999999999999E-2</v>
      </c>
      <c r="R45">
        <v>6.1982999999999997</v>
      </c>
      <c r="S45">
        <v>5.8224999999999998</v>
      </c>
      <c r="T45">
        <v>0</v>
      </c>
      <c r="U45">
        <v>0</v>
      </c>
    </row>
    <row r="46" spans="1:21" x14ac:dyDescent="0.25">
      <c r="A46" t="s">
        <v>409</v>
      </c>
      <c r="B46" t="s">
        <v>24</v>
      </c>
      <c r="D46" t="s">
        <v>23</v>
      </c>
      <c r="E46">
        <v>2.67</v>
      </c>
      <c r="G46">
        <v>0.84099999999999997</v>
      </c>
      <c r="H46">
        <v>11.81</v>
      </c>
      <c r="K46">
        <v>2.1913999999999998</v>
      </c>
      <c r="L46">
        <v>3.0324</v>
      </c>
      <c r="M46">
        <v>0.36699999999999999</v>
      </c>
      <c r="N46">
        <v>0.23699999999999999</v>
      </c>
      <c r="O46">
        <v>0.63800000000000001</v>
      </c>
      <c r="P46">
        <v>1.2E-2</v>
      </c>
      <c r="Q46">
        <v>1.0999999999999999E-2</v>
      </c>
      <c r="R46">
        <v>32.527900000000002</v>
      </c>
      <c r="S46">
        <v>25.562799999999999</v>
      </c>
      <c r="T46">
        <v>-0.109</v>
      </c>
      <c r="U46">
        <v>0.5</v>
      </c>
    </row>
    <row r="47" spans="1:21" x14ac:dyDescent="0.25">
      <c r="A47" t="s">
        <v>829</v>
      </c>
      <c r="B47" t="s">
        <v>24</v>
      </c>
      <c r="D47" t="s">
        <v>21</v>
      </c>
      <c r="E47">
        <v>1.34</v>
      </c>
      <c r="G47">
        <v>1.0760000000000001</v>
      </c>
      <c r="H47">
        <v>18.088799999999999</v>
      </c>
      <c r="K47">
        <v>2.391</v>
      </c>
      <c r="L47">
        <v>3.4670000000000001</v>
      </c>
      <c r="M47">
        <v>0.33400000000000002</v>
      </c>
      <c r="N47">
        <v>0.13500000000000001</v>
      </c>
      <c r="O47">
        <v>0.48</v>
      </c>
      <c r="P47">
        <v>3.2000000000000001E-2</v>
      </c>
      <c r="Q47">
        <v>1.0999999999999999E-2</v>
      </c>
      <c r="R47">
        <v>6.2416</v>
      </c>
      <c r="S47">
        <v>5.2811000000000003</v>
      </c>
      <c r="T47">
        <v>0.183</v>
      </c>
      <c r="U47">
        <v>0.69</v>
      </c>
    </row>
    <row r="48" spans="1:21" x14ac:dyDescent="0.25">
      <c r="A48" t="s">
        <v>252</v>
      </c>
      <c r="B48" t="s">
        <v>24</v>
      </c>
      <c r="D48" t="s">
        <v>12</v>
      </c>
      <c r="E48">
        <v>3.17</v>
      </c>
      <c r="G48">
        <v>4.49</v>
      </c>
      <c r="H48">
        <v>11.7385</v>
      </c>
      <c r="K48">
        <v>1.6335</v>
      </c>
      <c r="L48">
        <v>6.1234999999999999</v>
      </c>
      <c r="M48">
        <v>0.81799999999999995</v>
      </c>
      <c r="N48">
        <v>2.5999999999999999E-2</v>
      </c>
      <c r="O48">
        <v>0.66</v>
      </c>
      <c r="P48">
        <v>7.0000000000000001E-3</v>
      </c>
      <c r="Q48">
        <v>1.0999999999999999E-2</v>
      </c>
      <c r="R48">
        <v>1.508</v>
      </c>
      <c r="S48">
        <v>1.6980999999999999</v>
      </c>
      <c r="T48">
        <v>0</v>
      </c>
      <c r="U48">
        <v>0</v>
      </c>
    </row>
    <row r="49" spans="1:21" x14ac:dyDescent="0.25">
      <c r="A49" t="s">
        <v>238</v>
      </c>
      <c r="B49" t="s">
        <v>24</v>
      </c>
      <c r="D49" t="s">
        <v>15</v>
      </c>
      <c r="E49">
        <v>3.59</v>
      </c>
      <c r="G49">
        <v>1.8440000000000001</v>
      </c>
      <c r="H49">
        <v>18.037400000000002</v>
      </c>
      <c r="K49">
        <v>2.738</v>
      </c>
      <c r="L49">
        <v>4.5819999999999999</v>
      </c>
      <c r="M49">
        <v>1.909</v>
      </c>
      <c r="N49">
        <v>0.35199999999999998</v>
      </c>
      <c r="O49">
        <v>0.65900000000000003</v>
      </c>
      <c r="P49">
        <v>0.39400000000000002</v>
      </c>
      <c r="Q49">
        <v>1.0999999999999999E-2</v>
      </c>
      <c r="R49">
        <v>23.700299999999999</v>
      </c>
      <c r="S49">
        <v>19.962</v>
      </c>
      <c r="T49">
        <v>0.313</v>
      </c>
      <c r="U49">
        <v>-21.36</v>
      </c>
    </row>
    <row r="50" spans="1:21" x14ac:dyDescent="0.25">
      <c r="A50" t="s">
        <v>571</v>
      </c>
      <c r="B50" t="s">
        <v>24</v>
      </c>
      <c r="D50" t="s">
        <v>19</v>
      </c>
      <c r="E50">
        <v>1.49</v>
      </c>
      <c r="G50">
        <v>2.403</v>
      </c>
      <c r="H50">
        <v>7.008</v>
      </c>
      <c r="K50">
        <v>1.4603999999999999</v>
      </c>
      <c r="L50">
        <v>3.8633999999999999</v>
      </c>
      <c r="M50">
        <v>1.27</v>
      </c>
      <c r="N50">
        <v>4.5999999999999999E-2</v>
      </c>
      <c r="O50">
        <v>0.61599999999999999</v>
      </c>
      <c r="P50">
        <v>1.4E-2</v>
      </c>
      <c r="Q50">
        <v>1.0999999999999999E-2</v>
      </c>
      <c r="R50">
        <v>1.5482</v>
      </c>
      <c r="S50">
        <v>0.93479999999999996</v>
      </c>
      <c r="T50">
        <v>0</v>
      </c>
      <c r="U50">
        <v>0</v>
      </c>
    </row>
    <row r="51" spans="1:21" x14ac:dyDescent="0.25">
      <c r="A51" t="s">
        <v>575</v>
      </c>
      <c r="B51" t="s">
        <v>24</v>
      </c>
      <c r="D51" t="s">
        <v>14</v>
      </c>
      <c r="E51">
        <v>1.6</v>
      </c>
      <c r="G51">
        <v>0.94599999999999995</v>
      </c>
      <c r="H51">
        <v>9.3491</v>
      </c>
      <c r="K51">
        <v>1.7676000000000001</v>
      </c>
      <c r="L51">
        <v>2.7136</v>
      </c>
      <c r="M51">
        <v>0.374</v>
      </c>
      <c r="N51">
        <v>4.7E-2</v>
      </c>
      <c r="O51">
        <v>0.29499999999999998</v>
      </c>
      <c r="P51">
        <v>1.2E-2</v>
      </c>
      <c r="Q51">
        <v>1.0999999999999999E-2</v>
      </c>
      <c r="R51">
        <v>0.92220000000000002</v>
      </c>
      <c r="S51">
        <v>1.1948000000000001</v>
      </c>
      <c r="T51">
        <v>0.88500000000000001</v>
      </c>
      <c r="U51">
        <v>0.38</v>
      </c>
    </row>
    <row r="52" spans="1:21" x14ac:dyDescent="0.25">
      <c r="A52" t="s">
        <v>354</v>
      </c>
      <c r="B52" t="s">
        <v>24</v>
      </c>
      <c r="D52" t="s">
        <v>19</v>
      </c>
      <c r="E52">
        <v>3.6</v>
      </c>
      <c r="G52">
        <v>2.76</v>
      </c>
      <c r="H52">
        <v>12.7011</v>
      </c>
      <c r="K52">
        <v>2.8288000000000002</v>
      </c>
      <c r="L52">
        <v>5.5888</v>
      </c>
      <c r="M52">
        <v>0.73599999999999999</v>
      </c>
      <c r="N52">
        <v>0.26900000000000002</v>
      </c>
      <c r="O52">
        <v>0.32200000000000001</v>
      </c>
      <c r="P52">
        <v>1.2999999999999999E-2</v>
      </c>
      <c r="Q52">
        <v>1.0999999999999999E-2</v>
      </c>
      <c r="R52">
        <v>7.1894</v>
      </c>
      <c r="S52">
        <v>7.6904000000000003</v>
      </c>
      <c r="T52">
        <v>0</v>
      </c>
      <c r="U52">
        <v>0</v>
      </c>
    </row>
    <row r="53" spans="1:21" x14ac:dyDescent="0.25">
      <c r="A53" t="s">
        <v>340</v>
      </c>
      <c r="B53" t="s">
        <v>24</v>
      </c>
      <c r="D53" t="s">
        <v>14</v>
      </c>
      <c r="E53">
        <v>2.39</v>
      </c>
      <c r="G53">
        <v>2.4529999999999998</v>
      </c>
      <c r="H53">
        <v>12.5716</v>
      </c>
      <c r="K53">
        <v>1.9383999999999999</v>
      </c>
      <c r="L53">
        <v>4.3914</v>
      </c>
      <c r="M53">
        <v>1.214</v>
      </c>
      <c r="N53">
        <v>0.10299999999999999</v>
      </c>
      <c r="O53">
        <v>0.41399999999999998</v>
      </c>
      <c r="P53">
        <v>0.10199999999999999</v>
      </c>
      <c r="Q53">
        <v>1.0999999999999999E-2</v>
      </c>
      <c r="R53">
        <v>15.7042</v>
      </c>
      <c r="S53">
        <v>9.9772999999999996</v>
      </c>
      <c r="T53">
        <v>0</v>
      </c>
      <c r="U53">
        <v>0</v>
      </c>
    </row>
    <row r="54" spans="1:21" x14ac:dyDescent="0.25">
      <c r="A54" t="s">
        <v>440</v>
      </c>
      <c r="B54" t="s">
        <v>24</v>
      </c>
      <c r="D54" t="s">
        <v>6</v>
      </c>
      <c r="E54">
        <v>1.52</v>
      </c>
      <c r="G54">
        <v>1.3560000000000001</v>
      </c>
      <c r="H54">
        <v>7.6966999999999999</v>
      </c>
      <c r="K54">
        <v>1.0003</v>
      </c>
      <c r="L54">
        <v>2.3563000000000001</v>
      </c>
      <c r="M54">
        <v>0.28699999999999998</v>
      </c>
      <c r="N54">
        <v>5.5E-2</v>
      </c>
      <c r="O54">
        <v>1.1479999999999999</v>
      </c>
      <c r="P54">
        <v>1.2E-2</v>
      </c>
      <c r="Q54">
        <v>1.0999999999999999E-2</v>
      </c>
      <c r="R54">
        <v>2.7490000000000001</v>
      </c>
      <c r="S54">
        <v>3.0305</v>
      </c>
      <c r="T54">
        <v>10.505000000000001</v>
      </c>
      <c r="U54">
        <v>0.55000000000000004</v>
      </c>
    </row>
    <row r="55" spans="1:21" x14ac:dyDescent="0.25">
      <c r="A55" t="s">
        <v>407</v>
      </c>
      <c r="B55" t="s">
        <v>24</v>
      </c>
      <c r="D55" t="s">
        <v>8</v>
      </c>
      <c r="E55">
        <v>3.54</v>
      </c>
      <c r="G55">
        <v>2.0569999999999999</v>
      </c>
      <c r="H55">
        <v>14.8371</v>
      </c>
      <c r="K55">
        <v>2.875</v>
      </c>
      <c r="L55">
        <v>4.9320000000000004</v>
      </c>
      <c r="M55">
        <v>0.224</v>
      </c>
      <c r="N55">
        <v>0.152</v>
      </c>
      <c r="O55">
        <v>0.35699999999999998</v>
      </c>
      <c r="P55">
        <v>1.2999999999999999E-2</v>
      </c>
      <c r="Q55">
        <v>1.0999999999999999E-2</v>
      </c>
      <c r="R55">
        <v>0.59850000000000003</v>
      </c>
      <c r="S55">
        <v>0.58179999999999998</v>
      </c>
      <c r="T55">
        <v>0.16400000000000001</v>
      </c>
      <c r="U55">
        <v>0.72</v>
      </c>
    </row>
    <row r="56" spans="1:21" x14ac:dyDescent="0.25">
      <c r="A56" t="s">
        <v>492</v>
      </c>
      <c r="B56" t="s">
        <v>24</v>
      </c>
      <c r="D56" t="s">
        <v>20</v>
      </c>
      <c r="E56">
        <v>2.72</v>
      </c>
      <c r="G56">
        <v>2.5169999999999999</v>
      </c>
      <c r="H56">
        <v>15.1843</v>
      </c>
      <c r="K56">
        <v>2.5022000000000002</v>
      </c>
      <c r="L56">
        <v>5.0191999999999997</v>
      </c>
      <c r="M56">
        <v>0.6</v>
      </c>
      <c r="N56">
        <v>0.4</v>
      </c>
      <c r="O56">
        <v>0.82899999999999996</v>
      </c>
      <c r="P56">
        <v>0.32700000000000001</v>
      </c>
      <c r="Q56">
        <v>1.0999999999999999E-2</v>
      </c>
      <c r="R56">
        <v>5.8780999999999999</v>
      </c>
      <c r="S56">
        <v>6.9810999999999996</v>
      </c>
      <c r="T56">
        <v>0</v>
      </c>
      <c r="U56">
        <v>0</v>
      </c>
    </row>
    <row r="57" spans="1:21" x14ac:dyDescent="0.25">
      <c r="A57" t="s">
        <v>292</v>
      </c>
      <c r="B57" t="s">
        <v>24</v>
      </c>
      <c r="D57" t="s">
        <v>25</v>
      </c>
      <c r="E57">
        <v>2.25</v>
      </c>
      <c r="G57">
        <v>2.875</v>
      </c>
      <c r="H57">
        <v>11.7188</v>
      </c>
      <c r="K57">
        <v>1.6189</v>
      </c>
      <c r="L57">
        <v>4.4939</v>
      </c>
      <c r="M57">
        <v>1.254</v>
      </c>
      <c r="N57">
        <v>0.20399999999999999</v>
      </c>
      <c r="O57">
        <v>0.317</v>
      </c>
      <c r="P57">
        <v>1.0999999999999999E-2</v>
      </c>
      <c r="Q57">
        <v>1.0999999999999999E-2</v>
      </c>
      <c r="R57">
        <v>0.38400000000000001</v>
      </c>
      <c r="S57">
        <v>0.61350000000000005</v>
      </c>
      <c r="T57">
        <v>0</v>
      </c>
      <c r="U57">
        <v>0</v>
      </c>
    </row>
    <row r="58" spans="1:21" x14ac:dyDescent="0.25">
      <c r="A58" t="s">
        <v>707</v>
      </c>
      <c r="B58" t="s">
        <v>24</v>
      </c>
      <c r="D58" t="s">
        <v>30</v>
      </c>
      <c r="E58">
        <v>1.19</v>
      </c>
      <c r="G58">
        <v>1.833</v>
      </c>
      <c r="H58">
        <v>9.4606999999999992</v>
      </c>
      <c r="K58">
        <v>1.3527</v>
      </c>
      <c r="L58">
        <v>3.1857000000000002</v>
      </c>
      <c r="M58">
        <v>0.79100000000000004</v>
      </c>
      <c r="N58">
        <v>0.19600000000000001</v>
      </c>
      <c r="O58">
        <v>0.52700000000000002</v>
      </c>
      <c r="P58">
        <v>1.0999999999999999E-2</v>
      </c>
      <c r="Q58">
        <v>1.0999999999999999E-2</v>
      </c>
      <c r="R58">
        <v>3.7446999999999999</v>
      </c>
      <c r="S58">
        <v>8.3582999999999998</v>
      </c>
      <c r="T58">
        <v>-1.2E-2</v>
      </c>
      <c r="U58">
        <v>0.95</v>
      </c>
    </row>
    <row r="59" spans="1:21" x14ac:dyDescent="0.25">
      <c r="A59" t="s">
        <v>472</v>
      </c>
      <c r="B59" t="s">
        <v>24</v>
      </c>
      <c r="D59" t="s">
        <v>32</v>
      </c>
      <c r="E59">
        <v>2.0499999999999998</v>
      </c>
      <c r="G59">
        <v>1.6459999999999999</v>
      </c>
      <c r="H59">
        <v>10.102</v>
      </c>
      <c r="K59">
        <v>1.0696000000000001</v>
      </c>
      <c r="L59">
        <v>2.7155999999999998</v>
      </c>
      <c r="M59">
        <v>0.70199999999999996</v>
      </c>
      <c r="N59">
        <v>0.183</v>
      </c>
      <c r="O59">
        <v>0.47599999999999998</v>
      </c>
      <c r="P59">
        <v>8.9999999999999993E-3</v>
      </c>
      <c r="Q59">
        <v>1.0999999999999999E-2</v>
      </c>
      <c r="R59">
        <v>2.2094999999999998</v>
      </c>
      <c r="S59">
        <v>1.7629999999999999</v>
      </c>
      <c r="T59">
        <v>8.0229999999999997</v>
      </c>
      <c r="U59">
        <v>0.46</v>
      </c>
    </row>
    <row r="60" spans="1:21" x14ac:dyDescent="0.25">
      <c r="A60" t="s">
        <v>464</v>
      </c>
      <c r="B60" t="s">
        <v>24</v>
      </c>
      <c r="D60" t="s">
        <v>31</v>
      </c>
      <c r="E60">
        <v>2.93</v>
      </c>
      <c r="G60">
        <v>3.5760000000000001</v>
      </c>
      <c r="H60">
        <v>13.479799999999999</v>
      </c>
      <c r="K60">
        <v>1.5309999999999999</v>
      </c>
      <c r="L60">
        <v>5.1070000000000002</v>
      </c>
      <c r="M60">
        <v>0.29299999999999998</v>
      </c>
      <c r="N60">
        <v>0.41699999999999998</v>
      </c>
      <c r="O60">
        <v>0.72</v>
      </c>
      <c r="P60">
        <v>1.2999999999999999E-2</v>
      </c>
      <c r="Q60">
        <v>1.0999999999999999E-2</v>
      </c>
      <c r="R60">
        <v>1.7488999999999999</v>
      </c>
      <c r="S60">
        <v>1.3448</v>
      </c>
      <c r="T60">
        <v>0.72699999999999998</v>
      </c>
      <c r="U60">
        <v>0.55000000000000004</v>
      </c>
    </row>
    <row r="61" spans="1:21" x14ac:dyDescent="0.25">
      <c r="A61" t="s">
        <v>681</v>
      </c>
      <c r="B61" t="s">
        <v>24</v>
      </c>
      <c r="D61" t="s">
        <v>1120</v>
      </c>
      <c r="E61">
        <v>2.36</v>
      </c>
      <c r="G61">
        <v>2.6110000000000002</v>
      </c>
      <c r="H61">
        <v>7.4212999999999996</v>
      </c>
      <c r="K61">
        <v>1.048</v>
      </c>
      <c r="L61">
        <v>3.6589999999999998</v>
      </c>
      <c r="M61">
        <v>0.57999999999999996</v>
      </c>
      <c r="N61">
        <v>0.114</v>
      </c>
      <c r="O61">
        <v>0.68500000000000005</v>
      </c>
      <c r="P61">
        <v>1.4E-2</v>
      </c>
      <c r="Q61">
        <v>1.0999999999999999E-2</v>
      </c>
      <c r="R61">
        <v>22.350999999999999</v>
      </c>
      <c r="S61">
        <v>22.359500000000001</v>
      </c>
      <c r="T61">
        <v>0.372</v>
      </c>
      <c r="U61">
        <v>0.43</v>
      </c>
    </row>
    <row r="62" spans="1:21" x14ac:dyDescent="0.25">
      <c r="A62" t="s">
        <v>435</v>
      </c>
      <c r="B62" t="s">
        <v>24</v>
      </c>
      <c r="D62" t="s">
        <v>28</v>
      </c>
      <c r="E62">
        <v>2.68</v>
      </c>
      <c r="G62">
        <v>2.4510000000000001</v>
      </c>
      <c r="H62">
        <v>7.0476000000000001</v>
      </c>
      <c r="K62">
        <v>1.3365</v>
      </c>
      <c r="L62">
        <v>3.7875000000000001</v>
      </c>
      <c r="M62">
        <v>0.52400000000000002</v>
      </c>
      <c r="N62">
        <v>0.107</v>
      </c>
      <c r="O62">
        <v>0.30399999999999999</v>
      </c>
      <c r="P62">
        <v>1.2E-2</v>
      </c>
      <c r="Q62">
        <v>1.0999999999999999E-2</v>
      </c>
      <c r="R62">
        <v>26.214400000000001</v>
      </c>
      <c r="S62">
        <v>15.599600000000001</v>
      </c>
      <c r="T62">
        <v>0</v>
      </c>
      <c r="U62">
        <v>0</v>
      </c>
    </row>
    <row r="63" spans="1:21" x14ac:dyDescent="0.25">
      <c r="A63" t="s">
        <v>596</v>
      </c>
      <c r="B63" t="s">
        <v>24</v>
      </c>
      <c r="D63" t="s">
        <v>12</v>
      </c>
      <c r="E63">
        <v>1.54</v>
      </c>
      <c r="G63">
        <v>1.5329999999999999</v>
      </c>
      <c r="H63">
        <v>9.4736999999999991</v>
      </c>
      <c r="K63">
        <v>1.6183000000000001</v>
      </c>
      <c r="L63">
        <v>3.1513</v>
      </c>
      <c r="M63">
        <v>1.2430000000000001</v>
      </c>
      <c r="N63">
        <v>0.05</v>
      </c>
      <c r="O63">
        <v>0.64200000000000002</v>
      </c>
      <c r="P63">
        <v>1.2E-2</v>
      </c>
      <c r="Q63">
        <v>1.0999999999999999E-2</v>
      </c>
      <c r="R63">
        <v>25.6145</v>
      </c>
      <c r="S63">
        <v>18.665900000000001</v>
      </c>
      <c r="T63">
        <v>0.40899999999999997</v>
      </c>
      <c r="U63">
        <v>0.49</v>
      </c>
    </row>
    <row r="64" spans="1:21" x14ac:dyDescent="0.25">
      <c r="A64" t="s">
        <v>272</v>
      </c>
      <c r="B64" t="s">
        <v>24</v>
      </c>
      <c r="D64" t="s">
        <v>10</v>
      </c>
      <c r="E64">
        <v>3.32</v>
      </c>
      <c r="G64">
        <v>2.2519999999999998</v>
      </c>
      <c r="H64">
        <v>14.8477</v>
      </c>
      <c r="K64">
        <v>3.6352000000000002</v>
      </c>
      <c r="L64">
        <v>5.8872</v>
      </c>
      <c r="M64">
        <v>1.698</v>
      </c>
      <c r="N64">
        <v>0.218</v>
      </c>
      <c r="O64">
        <v>0.51500000000000001</v>
      </c>
      <c r="P64">
        <v>0.01</v>
      </c>
      <c r="Q64">
        <v>1.0999999999999999E-2</v>
      </c>
      <c r="R64">
        <v>0.53</v>
      </c>
      <c r="S64">
        <v>0.84389999999999998</v>
      </c>
      <c r="T64">
        <v>20.196000000000002</v>
      </c>
      <c r="U64">
        <v>0.55000000000000004</v>
      </c>
    </row>
    <row r="65" spans="1:21" x14ac:dyDescent="0.25">
      <c r="A65" t="s">
        <v>594</v>
      </c>
      <c r="B65" t="s">
        <v>24</v>
      </c>
      <c r="D65" t="s">
        <v>6</v>
      </c>
      <c r="E65">
        <v>1.83</v>
      </c>
      <c r="G65">
        <v>1.7210000000000001</v>
      </c>
      <c r="H65">
        <v>9.2345000000000006</v>
      </c>
      <c r="K65">
        <v>1.5066999999999999</v>
      </c>
      <c r="L65">
        <v>3.2277</v>
      </c>
      <c r="M65">
        <v>0.83199999999999996</v>
      </c>
      <c r="N65">
        <v>0.34399999999999997</v>
      </c>
      <c r="O65">
        <v>0.39300000000000002</v>
      </c>
      <c r="P65">
        <v>0.02</v>
      </c>
      <c r="Q65">
        <v>1.0999999999999999E-2</v>
      </c>
      <c r="R65">
        <v>21.621200000000002</v>
      </c>
      <c r="S65">
        <v>18.966000000000001</v>
      </c>
      <c r="T65">
        <v>4.1509999999999998</v>
      </c>
      <c r="U65">
        <v>0.44</v>
      </c>
    </row>
    <row r="66" spans="1:21" x14ac:dyDescent="0.25">
      <c r="A66" t="s">
        <v>370</v>
      </c>
      <c r="B66" t="s">
        <v>24</v>
      </c>
      <c r="D66" t="s">
        <v>15</v>
      </c>
      <c r="E66">
        <v>2.78</v>
      </c>
      <c r="G66">
        <v>5.0419999999999998</v>
      </c>
      <c r="H66">
        <v>7.5602999999999998</v>
      </c>
      <c r="K66">
        <v>1.0801000000000001</v>
      </c>
      <c r="L66">
        <v>6.1220999999999997</v>
      </c>
      <c r="M66">
        <v>0.77100000000000002</v>
      </c>
      <c r="N66" s="1">
        <v>9.6000000000000002E-2</v>
      </c>
      <c r="O66">
        <v>0.41399999999999998</v>
      </c>
      <c r="P66">
        <v>7.0000000000000001E-3</v>
      </c>
      <c r="Q66">
        <v>1.0999999999999999E-2</v>
      </c>
      <c r="R66">
        <v>28.563099999999999</v>
      </c>
      <c r="S66">
        <v>16.170500000000001</v>
      </c>
    </row>
    <row r="67" spans="1:21" x14ac:dyDescent="0.25">
      <c r="A67" t="s">
        <v>324</v>
      </c>
      <c r="B67" t="s">
        <v>24</v>
      </c>
      <c r="D67" t="s">
        <v>13</v>
      </c>
      <c r="E67">
        <v>3.27</v>
      </c>
      <c r="G67">
        <v>3.3919999999999999</v>
      </c>
      <c r="H67">
        <v>12.5343</v>
      </c>
      <c r="K67">
        <v>1.6883999999999999</v>
      </c>
      <c r="L67">
        <v>5.0804</v>
      </c>
      <c r="M67">
        <v>0.20200000000000001</v>
      </c>
      <c r="N67">
        <v>0.185</v>
      </c>
      <c r="O67">
        <v>0.40200000000000002</v>
      </c>
      <c r="P67">
        <v>1.2999999999999999E-2</v>
      </c>
      <c r="Q67">
        <v>1.0999999999999999E-2</v>
      </c>
      <c r="R67">
        <v>1.9040999999999999</v>
      </c>
      <c r="S67">
        <v>1.5535000000000001</v>
      </c>
      <c r="T67">
        <v>9.9000000000000005E-2</v>
      </c>
      <c r="U67">
        <v>0.83</v>
      </c>
    </row>
    <row r="68" spans="1:21" x14ac:dyDescent="0.25">
      <c r="A68" t="s">
        <v>734</v>
      </c>
      <c r="B68" t="s">
        <v>24</v>
      </c>
      <c r="D68" t="s">
        <v>7</v>
      </c>
      <c r="E68">
        <v>2.39</v>
      </c>
      <c r="G68">
        <v>1.3049999999999999</v>
      </c>
      <c r="H68">
        <v>13.0778</v>
      </c>
      <c r="K68">
        <v>1.6459999999999999</v>
      </c>
      <c r="L68">
        <v>2.9510000000000001</v>
      </c>
      <c r="M68">
        <v>0.48</v>
      </c>
      <c r="N68">
        <v>6.4000000000000001E-2</v>
      </c>
      <c r="O68">
        <v>0.86899999999999999</v>
      </c>
      <c r="P68">
        <v>1.7000000000000001E-2</v>
      </c>
      <c r="Q68">
        <v>1.0999999999999999E-2</v>
      </c>
      <c r="R68">
        <v>7.3028000000000004</v>
      </c>
      <c r="S68">
        <v>9.3834</v>
      </c>
      <c r="T68">
        <v>0</v>
      </c>
      <c r="U68">
        <v>0</v>
      </c>
    </row>
    <row r="69" spans="1:21" x14ac:dyDescent="0.25">
      <c r="A69" t="s">
        <v>475</v>
      </c>
      <c r="B69" t="s">
        <v>24</v>
      </c>
      <c r="D69" t="s">
        <v>6</v>
      </c>
      <c r="E69">
        <v>3.61</v>
      </c>
      <c r="G69">
        <v>2.3959999999999999</v>
      </c>
      <c r="H69">
        <v>15.6226</v>
      </c>
      <c r="K69">
        <v>2.0910000000000002</v>
      </c>
      <c r="L69">
        <v>4.4870000000000001</v>
      </c>
      <c r="M69">
        <v>0.129</v>
      </c>
      <c r="N69">
        <v>0.13400000000000001</v>
      </c>
      <c r="O69">
        <v>0.20899999999999999</v>
      </c>
      <c r="P69">
        <v>1.2999999999999999E-2</v>
      </c>
      <c r="Q69">
        <v>1.0999999999999999E-2</v>
      </c>
      <c r="R69">
        <v>0.32440000000000002</v>
      </c>
      <c r="S69">
        <v>0.27450000000000002</v>
      </c>
      <c r="T69">
        <v>0</v>
      </c>
      <c r="U69">
        <v>0</v>
      </c>
    </row>
    <row r="70" spans="1:21" x14ac:dyDescent="0.25">
      <c r="A70" t="s">
        <v>1032</v>
      </c>
      <c r="B70" t="s">
        <v>24</v>
      </c>
      <c r="D70" t="s">
        <v>21</v>
      </c>
      <c r="E70">
        <v>2.12</v>
      </c>
      <c r="G70">
        <v>1.5840000000000001</v>
      </c>
      <c r="H70">
        <v>8.3584999999999994</v>
      </c>
      <c r="K70">
        <v>1.569</v>
      </c>
      <c r="L70">
        <v>3.153</v>
      </c>
      <c r="M70">
        <v>1.018</v>
      </c>
      <c r="N70">
        <v>0.36</v>
      </c>
      <c r="O70">
        <v>0.41799999999999998</v>
      </c>
      <c r="P70">
        <v>2.4E-2</v>
      </c>
      <c r="Q70">
        <v>1.0999999999999999E-2</v>
      </c>
      <c r="R70">
        <v>5.0137</v>
      </c>
      <c r="S70">
        <v>5.6445999999999996</v>
      </c>
      <c r="T70">
        <v>0</v>
      </c>
      <c r="U70">
        <v>0</v>
      </c>
    </row>
    <row r="71" spans="1:21" x14ac:dyDescent="0.25">
      <c r="A71" t="s">
        <v>536</v>
      </c>
      <c r="B71" t="s">
        <v>24</v>
      </c>
      <c r="D71" t="s">
        <v>9</v>
      </c>
      <c r="E71">
        <v>2.2999999999999998</v>
      </c>
      <c r="G71">
        <v>1.6879999999999999</v>
      </c>
      <c r="H71">
        <v>11.0418</v>
      </c>
      <c r="K71">
        <v>1.5467</v>
      </c>
      <c r="L71">
        <v>3.2347000000000001</v>
      </c>
      <c r="M71">
        <v>0.82799999999999996</v>
      </c>
      <c r="N71">
        <v>6.7000000000000004E-2</v>
      </c>
      <c r="O71">
        <v>0.36199999999999999</v>
      </c>
      <c r="P71">
        <v>1.7999999999999999E-2</v>
      </c>
      <c r="Q71">
        <v>1.0999999999999999E-2</v>
      </c>
      <c r="R71">
        <v>4.5726000000000004</v>
      </c>
      <c r="S71">
        <v>3.7894999999999999</v>
      </c>
      <c r="T71">
        <v>0</v>
      </c>
      <c r="U71">
        <v>0</v>
      </c>
    </row>
    <row r="72" spans="1:21" x14ac:dyDescent="0.25">
      <c r="A72" t="s">
        <v>533</v>
      </c>
      <c r="B72" t="s">
        <v>24</v>
      </c>
      <c r="D72" t="s">
        <v>23</v>
      </c>
      <c r="E72">
        <v>1.28</v>
      </c>
      <c r="G72">
        <v>0.96299999999999997</v>
      </c>
      <c r="H72">
        <v>11.9177</v>
      </c>
      <c r="K72">
        <v>1.5369999999999999</v>
      </c>
      <c r="L72">
        <v>2.5</v>
      </c>
      <c r="M72">
        <v>0.90200000000000002</v>
      </c>
      <c r="N72">
        <v>7.6999999999999999E-2</v>
      </c>
      <c r="O72">
        <v>0.65</v>
      </c>
      <c r="P72">
        <v>1.4999999999999999E-2</v>
      </c>
      <c r="Q72">
        <v>1.0999999999999999E-2</v>
      </c>
      <c r="R72">
        <v>19.925699999999999</v>
      </c>
      <c r="S72">
        <v>22.990400000000001</v>
      </c>
      <c r="T72">
        <v>2.3719999999999999</v>
      </c>
      <c r="U72">
        <v>0.47</v>
      </c>
    </row>
    <row r="73" spans="1:21" x14ac:dyDescent="0.25">
      <c r="A73" t="s">
        <v>990</v>
      </c>
      <c r="B73" t="s">
        <v>24</v>
      </c>
      <c r="D73" t="s">
        <v>31</v>
      </c>
      <c r="E73">
        <v>0.84</v>
      </c>
      <c r="G73">
        <v>1.9370000000000001</v>
      </c>
      <c r="H73">
        <v>9.1407000000000007</v>
      </c>
      <c r="K73">
        <v>1.2020999999999999</v>
      </c>
      <c r="L73">
        <v>3.1391</v>
      </c>
      <c r="M73">
        <v>1.1339999999999999</v>
      </c>
      <c r="N73">
        <v>0.10100000000000001</v>
      </c>
      <c r="O73">
        <v>0.36599999999999999</v>
      </c>
      <c r="P73">
        <v>2.4E-2</v>
      </c>
      <c r="Q73">
        <v>1.0999999999999999E-2</v>
      </c>
      <c r="R73">
        <v>9.5853999999999999</v>
      </c>
      <c r="S73">
        <v>7.5781000000000001</v>
      </c>
      <c r="T73">
        <v>0</v>
      </c>
      <c r="U73">
        <v>0</v>
      </c>
    </row>
    <row r="74" spans="1:21" x14ac:dyDescent="0.25">
      <c r="A74" t="s">
        <v>685</v>
      </c>
      <c r="B74" t="s">
        <v>24</v>
      </c>
      <c r="D74" t="s">
        <v>7</v>
      </c>
      <c r="E74">
        <v>1.25</v>
      </c>
      <c r="G74">
        <v>2.0419999999999998</v>
      </c>
      <c r="H74">
        <v>10.4092</v>
      </c>
      <c r="K74">
        <v>1.4870000000000001</v>
      </c>
      <c r="L74">
        <v>3.5289999999999999</v>
      </c>
      <c r="M74">
        <v>1.3180000000000001</v>
      </c>
      <c r="N74">
        <v>0.26600000000000001</v>
      </c>
      <c r="O74">
        <v>0.38900000000000001</v>
      </c>
      <c r="P74">
        <v>1.2999999999999999E-2</v>
      </c>
      <c r="Q74">
        <v>1.0999999999999999E-2</v>
      </c>
      <c r="R74">
        <v>20.0852</v>
      </c>
      <c r="S74">
        <v>16.9754</v>
      </c>
      <c r="T74">
        <v>0</v>
      </c>
      <c r="U74">
        <v>0</v>
      </c>
    </row>
    <row r="75" spans="1:21" x14ac:dyDescent="0.25">
      <c r="A75" t="s">
        <v>1076</v>
      </c>
      <c r="B75" t="s">
        <v>24</v>
      </c>
      <c r="D75" t="s">
        <v>21</v>
      </c>
      <c r="E75">
        <v>3.68</v>
      </c>
      <c r="G75">
        <v>3.2229999999999999</v>
      </c>
      <c r="H75">
        <v>13.517300000000001</v>
      </c>
      <c r="K75">
        <v>1.52</v>
      </c>
      <c r="L75">
        <v>4.7430000000000003</v>
      </c>
      <c r="M75">
        <v>7.8E-2</v>
      </c>
      <c r="N75">
        <v>7.2999999999999995E-2</v>
      </c>
      <c r="O75">
        <v>0.23599999999999999</v>
      </c>
      <c r="P75">
        <v>1.4999999999999999E-2</v>
      </c>
      <c r="Q75">
        <v>1.0999999999999999E-2</v>
      </c>
      <c r="R75">
        <v>3.4992999999999999</v>
      </c>
      <c r="S75">
        <v>3.5682999999999998</v>
      </c>
      <c r="T75">
        <v>0</v>
      </c>
      <c r="U75">
        <v>0</v>
      </c>
    </row>
    <row r="76" spans="1:21" x14ac:dyDescent="0.25">
      <c r="A76" t="s">
        <v>906</v>
      </c>
      <c r="B76" t="s">
        <v>24</v>
      </c>
      <c r="D76" t="s">
        <v>16</v>
      </c>
      <c r="E76">
        <v>3.65</v>
      </c>
      <c r="G76">
        <v>8.1839999999999993</v>
      </c>
      <c r="H76">
        <v>16.2806</v>
      </c>
      <c r="K76">
        <v>2.2654000000000001</v>
      </c>
      <c r="L76">
        <v>10.449400000000001</v>
      </c>
      <c r="M76">
        <v>0.88100000000000001</v>
      </c>
      <c r="N76">
        <v>7.1999999999999995E-2</v>
      </c>
      <c r="O76">
        <v>0.56100000000000005</v>
      </c>
      <c r="P76">
        <v>1.2999999999999999E-2</v>
      </c>
      <c r="Q76">
        <v>1.0999999999999999E-2</v>
      </c>
      <c r="R76">
        <v>4.2138</v>
      </c>
      <c r="S76">
        <v>3.8893</v>
      </c>
      <c r="T76">
        <v>6.6669999999999998</v>
      </c>
      <c r="U76">
        <v>0.48</v>
      </c>
    </row>
    <row r="77" spans="1:21" x14ac:dyDescent="0.25">
      <c r="A77" t="s">
        <v>1048</v>
      </c>
      <c r="B77" t="s">
        <v>24</v>
      </c>
      <c r="D77" t="s">
        <v>29</v>
      </c>
      <c r="E77">
        <v>1.5</v>
      </c>
      <c r="G77">
        <v>2.0430000000000001</v>
      </c>
      <c r="H77">
        <v>7.4855</v>
      </c>
      <c r="K77">
        <v>1.3449</v>
      </c>
      <c r="L77">
        <v>3.3879000000000001</v>
      </c>
      <c r="M77">
        <v>1.696</v>
      </c>
      <c r="N77">
        <v>0.107</v>
      </c>
      <c r="O77">
        <v>0.35499999999999998</v>
      </c>
      <c r="P77">
        <v>0.02</v>
      </c>
      <c r="Q77">
        <v>1.0999999999999999E-2</v>
      </c>
      <c r="R77">
        <v>12.416600000000001</v>
      </c>
      <c r="S77">
        <v>15.7597</v>
      </c>
      <c r="T77">
        <v>15.398</v>
      </c>
      <c r="U77">
        <v>0.56000000000000005</v>
      </c>
    </row>
    <row r="78" spans="1:21" x14ac:dyDescent="0.25">
      <c r="A78" t="s">
        <v>1123</v>
      </c>
      <c r="B78" t="s">
        <v>24</v>
      </c>
      <c r="D78" t="s">
        <v>22</v>
      </c>
      <c r="E78">
        <v>2.35</v>
      </c>
      <c r="G78">
        <v>2.2719999999999998</v>
      </c>
      <c r="H78">
        <v>7.2920999999999996</v>
      </c>
      <c r="K78">
        <v>0.88460000000000005</v>
      </c>
      <c r="L78">
        <v>3.1566000000000001</v>
      </c>
      <c r="M78">
        <v>0.86499999999999999</v>
      </c>
      <c r="N78">
        <v>9.2999999999999999E-2</v>
      </c>
      <c r="O78">
        <v>0.51400000000000001</v>
      </c>
      <c r="P78">
        <v>1.7999999999999999E-2</v>
      </c>
      <c r="Q78">
        <v>1.0999999999999999E-2</v>
      </c>
      <c r="R78">
        <v>3.0400999999999998</v>
      </c>
      <c r="S78">
        <v>3.4226999999999999</v>
      </c>
      <c r="T78">
        <v>0</v>
      </c>
      <c r="U78">
        <v>0</v>
      </c>
    </row>
    <row r="79" spans="1:21" x14ac:dyDescent="0.25">
      <c r="A79" t="s">
        <v>404</v>
      </c>
      <c r="B79" t="s">
        <v>24</v>
      </c>
      <c r="D79" t="s">
        <v>8</v>
      </c>
      <c r="E79">
        <v>1.67</v>
      </c>
      <c r="G79">
        <v>2.7509999999999999</v>
      </c>
      <c r="H79">
        <v>6.9943</v>
      </c>
      <c r="K79">
        <v>0.78400000000000003</v>
      </c>
      <c r="L79">
        <v>3.5350000000000001</v>
      </c>
      <c r="M79">
        <v>0.41499999999999998</v>
      </c>
      <c r="N79">
        <v>0.376</v>
      </c>
      <c r="O79">
        <v>0.3</v>
      </c>
      <c r="P79">
        <v>1.2999999999999999E-2</v>
      </c>
      <c r="Q79">
        <v>1.0999999999999999E-2</v>
      </c>
      <c r="R79">
        <v>0.63759999999999994</v>
      </c>
      <c r="S79">
        <v>1.1211</v>
      </c>
      <c r="T79">
        <v>14.492000000000001</v>
      </c>
      <c r="U79">
        <v>0.55000000000000004</v>
      </c>
    </row>
    <row r="80" spans="1:21" x14ac:dyDescent="0.25">
      <c r="A80" t="s">
        <v>657</v>
      </c>
      <c r="B80" t="s">
        <v>24</v>
      </c>
      <c r="D80" t="s">
        <v>29</v>
      </c>
      <c r="E80">
        <v>1.1200000000000001</v>
      </c>
      <c r="G80">
        <v>2.1619999999999999</v>
      </c>
      <c r="H80">
        <v>6.4362000000000004</v>
      </c>
      <c r="K80">
        <v>1.3376999999999999</v>
      </c>
      <c r="L80">
        <v>3.4996999999999998</v>
      </c>
      <c r="M80">
        <v>1.05</v>
      </c>
      <c r="N80">
        <v>6.9000000000000006E-2</v>
      </c>
      <c r="O80">
        <v>0.26600000000000001</v>
      </c>
      <c r="P80">
        <v>1.9E-2</v>
      </c>
      <c r="Q80">
        <v>1.0999999999999999E-2</v>
      </c>
      <c r="R80">
        <v>4.4554999999999998</v>
      </c>
      <c r="S80">
        <v>5.3326000000000002</v>
      </c>
      <c r="T80">
        <v>1.7569999999999999</v>
      </c>
      <c r="U80">
        <v>0.42</v>
      </c>
    </row>
    <row r="81" spans="1:21" x14ac:dyDescent="0.25">
      <c r="A81" t="s">
        <v>474</v>
      </c>
      <c r="B81" t="s">
        <v>24</v>
      </c>
      <c r="D81" t="s">
        <v>1124</v>
      </c>
      <c r="E81">
        <v>1.76</v>
      </c>
      <c r="G81">
        <v>1.1930000000000001</v>
      </c>
      <c r="H81">
        <v>10.328099999999999</v>
      </c>
      <c r="K81">
        <v>2.0512999999999999</v>
      </c>
      <c r="L81">
        <v>3.2443</v>
      </c>
      <c r="M81">
        <v>0.40300000000000002</v>
      </c>
      <c r="N81">
        <v>4.8000000000000001E-2</v>
      </c>
      <c r="O81">
        <v>0.69099999999999995</v>
      </c>
      <c r="P81">
        <v>8.0000000000000002E-3</v>
      </c>
      <c r="Q81">
        <v>1.0999999999999999E-2</v>
      </c>
      <c r="R81">
        <v>0.52180000000000004</v>
      </c>
      <c r="S81">
        <v>0.4415</v>
      </c>
      <c r="T81">
        <v>9.3800000000000008</v>
      </c>
      <c r="U81">
        <v>0.43</v>
      </c>
    </row>
    <row r="82" spans="1:21" x14ac:dyDescent="0.25">
      <c r="A82" t="s">
        <v>727</v>
      </c>
      <c r="B82" t="s">
        <v>24</v>
      </c>
      <c r="D82" t="s">
        <v>2</v>
      </c>
      <c r="E82">
        <v>1.85</v>
      </c>
      <c r="G82">
        <v>2.9710000000000001</v>
      </c>
      <c r="H82">
        <v>13.977499999999999</v>
      </c>
      <c r="K82">
        <v>1.8812</v>
      </c>
      <c r="L82">
        <v>4.8521999999999998</v>
      </c>
      <c r="M82">
        <v>1.0569999999999999</v>
      </c>
      <c r="N82">
        <v>5.2999999999999999E-2</v>
      </c>
      <c r="O82">
        <v>0.312</v>
      </c>
      <c r="P82">
        <v>1.4E-2</v>
      </c>
      <c r="Q82">
        <v>1.0999999999999999E-2</v>
      </c>
      <c r="R82">
        <v>1.1725000000000001</v>
      </c>
      <c r="S82">
        <v>0.73740000000000006</v>
      </c>
      <c r="T82">
        <v>7.26</v>
      </c>
      <c r="U82">
        <v>0.54</v>
      </c>
    </row>
    <row r="83" spans="1:21" x14ac:dyDescent="0.25">
      <c r="A83" t="s">
        <v>718</v>
      </c>
      <c r="B83" t="s">
        <v>24</v>
      </c>
      <c r="D83" t="s">
        <v>25</v>
      </c>
      <c r="E83">
        <v>0.94</v>
      </c>
      <c r="G83">
        <v>1.714</v>
      </c>
      <c r="H83">
        <v>9.1382999999999992</v>
      </c>
      <c r="K83">
        <v>1.4484999999999999</v>
      </c>
      <c r="L83">
        <v>3.1625000000000001</v>
      </c>
      <c r="M83">
        <v>0.93100000000000005</v>
      </c>
      <c r="N83">
        <v>8.6999999999999994E-2</v>
      </c>
      <c r="O83">
        <v>0.32300000000000001</v>
      </c>
      <c r="P83">
        <v>2.1999999999999999E-2</v>
      </c>
      <c r="Q83">
        <v>1.0999999999999999E-2</v>
      </c>
      <c r="R83">
        <v>3.0095999999999998</v>
      </c>
      <c r="S83">
        <v>2.5465</v>
      </c>
      <c r="T83">
        <v>33.051000000000002</v>
      </c>
      <c r="U83">
        <v>0.6</v>
      </c>
    </row>
    <row r="84" spans="1:21" x14ac:dyDescent="0.25">
      <c r="A84" t="s">
        <v>479</v>
      </c>
      <c r="B84" t="s">
        <v>24</v>
      </c>
      <c r="D84" t="s">
        <v>12</v>
      </c>
      <c r="E84">
        <v>2.4500000000000002</v>
      </c>
      <c r="G84">
        <v>3.2170000000000001</v>
      </c>
      <c r="H84">
        <v>11.019399999999999</v>
      </c>
      <c r="K84">
        <v>1.4059999999999999</v>
      </c>
      <c r="L84">
        <v>4.6230000000000002</v>
      </c>
      <c r="M84">
        <v>0.30199999999999999</v>
      </c>
      <c r="N84">
        <v>0.38300000000000001</v>
      </c>
      <c r="O84">
        <v>0.45100000000000001</v>
      </c>
      <c r="P84">
        <v>0.02</v>
      </c>
      <c r="Q84">
        <v>1.0999999999999999E-2</v>
      </c>
      <c r="R84">
        <v>9.3461999999999996</v>
      </c>
      <c r="S84">
        <v>8.0484000000000009</v>
      </c>
      <c r="T84">
        <v>-4.0000000000000001E-3</v>
      </c>
      <c r="U84">
        <v>1.06</v>
      </c>
    </row>
    <row r="85" spans="1:21" x14ac:dyDescent="0.25">
      <c r="A85" t="s">
        <v>249</v>
      </c>
      <c r="B85" t="s">
        <v>24</v>
      </c>
      <c r="D85" t="s">
        <v>12</v>
      </c>
      <c r="E85">
        <v>3.71</v>
      </c>
      <c r="G85">
        <v>3.9470000000000001</v>
      </c>
      <c r="H85">
        <v>20.1005</v>
      </c>
      <c r="K85">
        <v>2.6688000000000001</v>
      </c>
      <c r="L85">
        <v>6.6158000000000001</v>
      </c>
      <c r="M85">
        <v>0.64200000000000002</v>
      </c>
      <c r="N85">
        <v>0.35799999999999998</v>
      </c>
      <c r="O85">
        <v>0.46300000000000002</v>
      </c>
      <c r="P85">
        <v>1.2999999999999999E-2</v>
      </c>
      <c r="Q85">
        <v>1.0999999999999999E-2</v>
      </c>
      <c r="R85">
        <v>0.26429999999999998</v>
      </c>
      <c r="S85">
        <v>0.59950000000000003</v>
      </c>
      <c r="T85">
        <v>-6.5000000000000002E-2</v>
      </c>
      <c r="U85">
        <v>2.48</v>
      </c>
    </row>
    <row r="86" spans="1:21" x14ac:dyDescent="0.25">
      <c r="A86" t="s">
        <v>327</v>
      </c>
      <c r="B86" t="s">
        <v>24</v>
      </c>
      <c r="D86" t="s">
        <v>2</v>
      </c>
      <c r="E86">
        <v>1.5</v>
      </c>
      <c r="G86">
        <v>3.395</v>
      </c>
      <c r="H86">
        <v>13.6729</v>
      </c>
      <c r="K86">
        <v>2.0379</v>
      </c>
      <c r="L86">
        <v>5.4329000000000001</v>
      </c>
      <c r="M86">
        <v>0.67</v>
      </c>
      <c r="N86">
        <v>0.20200000000000001</v>
      </c>
      <c r="O86">
        <v>0.34300000000000003</v>
      </c>
      <c r="P86">
        <v>9.4E-2</v>
      </c>
      <c r="Q86">
        <v>1.0999999999999999E-2</v>
      </c>
      <c r="R86">
        <v>0.49099999999999999</v>
      </c>
      <c r="S86">
        <v>1.5475000000000001</v>
      </c>
      <c r="T86">
        <v>9.0999999999999998E-2</v>
      </c>
      <c r="U86">
        <v>0.72</v>
      </c>
    </row>
    <row r="87" spans="1:21" x14ac:dyDescent="0.25">
      <c r="A87" t="s">
        <v>500</v>
      </c>
      <c r="B87" t="s">
        <v>24</v>
      </c>
      <c r="D87" t="s">
        <v>27</v>
      </c>
      <c r="E87">
        <v>1.65</v>
      </c>
      <c r="G87">
        <v>1.087</v>
      </c>
      <c r="H87">
        <v>8.2309000000000001</v>
      </c>
      <c r="K87">
        <v>1.4441999999999999</v>
      </c>
      <c r="L87">
        <v>2.5312000000000001</v>
      </c>
      <c r="M87">
        <v>0.26600000000000001</v>
      </c>
      <c r="N87">
        <v>4.9000000000000002E-2</v>
      </c>
      <c r="O87">
        <v>0.45800000000000002</v>
      </c>
      <c r="P87">
        <v>1.4E-2</v>
      </c>
      <c r="Q87">
        <v>1.0999999999999999E-2</v>
      </c>
      <c r="R87">
        <v>3.6133000000000002</v>
      </c>
      <c r="S87">
        <v>4.2302999999999997</v>
      </c>
      <c r="T87">
        <v>0</v>
      </c>
      <c r="U87">
        <v>0</v>
      </c>
    </row>
    <row r="88" spans="1:21" x14ac:dyDescent="0.25">
      <c r="A88" t="s">
        <v>586</v>
      </c>
      <c r="B88" t="s">
        <v>24</v>
      </c>
      <c r="D88" t="s">
        <v>939</v>
      </c>
      <c r="E88">
        <v>1.32</v>
      </c>
      <c r="G88">
        <v>1.88</v>
      </c>
      <c r="H88">
        <v>8.9565000000000001</v>
      </c>
      <c r="K88">
        <v>1.3077000000000001</v>
      </c>
      <c r="L88">
        <v>3.1877</v>
      </c>
      <c r="M88">
        <v>0.82</v>
      </c>
      <c r="N88">
        <v>6.7000000000000004E-2</v>
      </c>
      <c r="O88">
        <v>0.39600000000000002</v>
      </c>
      <c r="P88">
        <v>2.1000000000000001E-2</v>
      </c>
      <c r="Q88">
        <v>1.0999999999999999E-2</v>
      </c>
      <c r="R88">
        <v>2.1558999999999999</v>
      </c>
      <c r="S88">
        <v>1.8241000000000001</v>
      </c>
      <c r="T88">
        <v>0</v>
      </c>
      <c r="U88">
        <v>0</v>
      </c>
    </row>
    <row r="89" spans="1:21" x14ac:dyDescent="0.25">
      <c r="A89" t="s">
        <v>998</v>
      </c>
      <c r="B89" t="s">
        <v>24</v>
      </c>
      <c r="D89" t="s">
        <v>999</v>
      </c>
      <c r="E89">
        <v>1.2</v>
      </c>
      <c r="G89">
        <v>2</v>
      </c>
      <c r="H89">
        <v>9.5312000000000001</v>
      </c>
      <c r="K89">
        <v>1.1896</v>
      </c>
      <c r="L89">
        <v>3.1896</v>
      </c>
      <c r="M89">
        <v>0.247</v>
      </c>
      <c r="N89">
        <v>0.126</v>
      </c>
      <c r="O89">
        <v>0.44900000000000001</v>
      </c>
      <c r="P89">
        <v>3.1E-2</v>
      </c>
      <c r="Q89">
        <v>1.0999999999999999E-2</v>
      </c>
      <c r="R89">
        <v>5.4827000000000004</v>
      </c>
      <c r="S89">
        <v>4.6390000000000002</v>
      </c>
      <c r="T89">
        <v>0</v>
      </c>
      <c r="U89">
        <v>0</v>
      </c>
    </row>
    <row r="90" spans="1:21" x14ac:dyDescent="0.25">
      <c r="A90" t="s">
        <v>687</v>
      </c>
      <c r="B90" t="s">
        <v>24</v>
      </c>
      <c r="D90" t="s">
        <v>5</v>
      </c>
      <c r="E90">
        <v>1.2</v>
      </c>
      <c r="G90">
        <v>2.298</v>
      </c>
      <c r="H90">
        <v>6.9981999999999998</v>
      </c>
      <c r="K90">
        <v>1.5326</v>
      </c>
      <c r="L90">
        <v>3.8306</v>
      </c>
      <c r="M90">
        <v>9.1999999999999998E-2</v>
      </c>
      <c r="N90">
        <v>0.106</v>
      </c>
      <c r="O90">
        <v>0.59599999999999997</v>
      </c>
      <c r="P90">
        <v>2.1999999999999999E-2</v>
      </c>
      <c r="Q90">
        <v>1.0999999999999999E-2</v>
      </c>
      <c r="R90">
        <v>21.900600000000001</v>
      </c>
      <c r="S90">
        <v>12.136100000000001</v>
      </c>
      <c r="T90">
        <v>-2.1000000000000001E-2</v>
      </c>
      <c r="U90">
        <v>1.0900000000000001</v>
      </c>
    </row>
    <row r="91" spans="1:21" x14ac:dyDescent="0.25">
      <c r="A91" t="s">
        <v>750</v>
      </c>
      <c r="B91" t="s">
        <v>24</v>
      </c>
      <c r="D91" t="s">
        <v>15</v>
      </c>
      <c r="E91">
        <v>1.8</v>
      </c>
      <c r="G91">
        <v>2.2440000000000002</v>
      </c>
      <c r="H91">
        <v>12.9998</v>
      </c>
      <c r="K91">
        <v>1.9579</v>
      </c>
      <c r="L91">
        <v>4.2019000000000002</v>
      </c>
      <c r="M91">
        <v>0.38500000000000001</v>
      </c>
      <c r="N91">
        <v>7.3999999999999996E-2</v>
      </c>
      <c r="O91">
        <v>0.70799999999999996</v>
      </c>
      <c r="P91">
        <v>1.4999999999999999E-2</v>
      </c>
      <c r="Q91">
        <v>1.0999999999999999E-2</v>
      </c>
      <c r="R91">
        <v>9.0370000000000008</v>
      </c>
      <c r="S91">
        <v>8.4433000000000007</v>
      </c>
      <c r="T91">
        <v>0.28899999999999998</v>
      </c>
      <c r="U91">
        <v>0.49</v>
      </c>
    </row>
    <row r="92" spans="1:21" x14ac:dyDescent="0.25">
      <c r="A92" t="s">
        <v>640</v>
      </c>
      <c r="B92" t="s">
        <v>24</v>
      </c>
      <c r="D92" t="s">
        <v>22</v>
      </c>
      <c r="E92">
        <v>1.51</v>
      </c>
      <c r="G92">
        <v>1.6519999999999999</v>
      </c>
      <c r="H92">
        <v>12.510400000000001</v>
      </c>
      <c r="K92">
        <v>1.6718999999999999</v>
      </c>
      <c r="L92">
        <v>3.3239000000000001</v>
      </c>
      <c r="M92">
        <v>1.9570000000000001</v>
      </c>
      <c r="N92">
        <v>0.32900000000000001</v>
      </c>
      <c r="O92">
        <v>0.54200000000000004</v>
      </c>
      <c r="P92">
        <v>2.1999999999999999E-2</v>
      </c>
      <c r="Q92">
        <v>1.0999999999999999E-2</v>
      </c>
      <c r="R92">
        <v>5.3007</v>
      </c>
      <c r="S92">
        <v>3.7429999999999999</v>
      </c>
      <c r="T92">
        <v>12.368</v>
      </c>
      <c r="U92">
        <v>0.54</v>
      </c>
    </row>
    <row r="93" spans="1:21" x14ac:dyDescent="0.25">
      <c r="A93" t="s">
        <v>1126</v>
      </c>
      <c r="B93" t="s">
        <v>24</v>
      </c>
      <c r="D93" t="s">
        <v>23</v>
      </c>
      <c r="E93">
        <v>2.14</v>
      </c>
      <c r="G93">
        <v>1.236</v>
      </c>
      <c r="H93">
        <v>12.0474</v>
      </c>
      <c r="K93">
        <v>2.2016</v>
      </c>
      <c r="L93">
        <v>3.4376000000000002</v>
      </c>
      <c r="M93">
        <v>1.1519999999999999</v>
      </c>
      <c r="N93">
        <v>0.09</v>
      </c>
      <c r="O93">
        <v>0.495</v>
      </c>
      <c r="P93">
        <v>1.7000000000000001E-2</v>
      </c>
      <c r="Q93">
        <v>1.0999999999999999E-2</v>
      </c>
      <c r="R93">
        <v>13.0806</v>
      </c>
      <c r="S93">
        <v>15.859</v>
      </c>
      <c r="T93">
        <v>0</v>
      </c>
      <c r="U93">
        <v>0</v>
      </c>
    </row>
    <row r="94" spans="1:21" x14ac:dyDescent="0.25">
      <c r="A94" t="s">
        <v>487</v>
      </c>
      <c r="B94" t="s">
        <v>24</v>
      </c>
      <c r="D94" t="s">
        <v>15</v>
      </c>
      <c r="E94">
        <v>1.95</v>
      </c>
      <c r="G94">
        <v>1.897</v>
      </c>
      <c r="H94">
        <v>11.452299999999999</v>
      </c>
      <c r="K94">
        <v>1.7030000000000001</v>
      </c>
      <c r="L94">
        <v>3.6</v>
      </c>
      <c r="M94">
        <v>1.419</v>
      </c>
      <c r="N94">
        <v>0.111</v>
      </c>
      <c r="O94">
        <v>0.33500000000000002</v>
      </c>
      <c r="P94">
        <v>1.2999999999999999E-2</v>
      </c>
      <c r="Q94">
        <v>1.0999999999999999E-2</v>
      </c>
      <c r="R94">
        <v>0.93889999999999996</v>
      </c>
      <c r="S94">
        <v>1.2216</v>
      </c>
      <c r="T94">
        <v>1.4610000000000001</v>
      </c>
      <c r="U94">
        <v>0.59</v>
      </c>
    </row>
    <row r="95" spans="1:21" x14ac:dyDescent="0.25">
      <c r="A95" t="s">
        <v>301</v>
      </c>
      <c r="B95" t="s">
        <v>24</v>
      </c>
      <c r="D95" t="s">
        <v>15</v>
      </c>
      <c r="E95">
        <v>3.19</v>
      </c>
      <c r="G95">
        <v>3.7080000000000002</v>
      </c>
      <c r="H95">
        <v>10.584300000000001</v>
      </c>
      <c r="K95">
        <v>1.907</v>
      </c>
      <c r="L95">
        <v>5.6150000000000002</v>
      </c>
      <c r="M95">
        <v>1.349</v>
      </c>
      <c r="N95">
        <v>0.251</v>
      </c>
      <c r="O95">
        <v>0.54400000000000004</v>
      </c>
      <c r="P95">
        <v>1.2999999999999999E-2</v>
      </c>
      <c r="Q95">
        <v>1.0999999999999999E-2</v>
      </c>
      <c r="R95">
        <v>1.0078</v>
      </c>
      <c r="S95">
        <v>1.1877</v>
      </c>
      <c r="T95">
        <v>0</v>
      </c>
      <c r="U95">
        <v>0</v>
      </c>
    </row>
    <row r="96" spans="1:21" x14ac:dyDescent="0.25">
      <c r="A96" t="s">
        <v>634</v>
      </c>
      <c r="B96" t="s">
        <v>24</v>
      </c>
      <c r="D96" t="s">
        <v>4</v>
      </c>
      <c r="E96">
        <v>2.42</v>
      </c>
      <c r="G96">
        <v>2.1459999999999999</v>
      </c>
      <c r="H96">
        <v>10.3688</v>
      </c>
      <c r="K96">
        <v>1.111</v>
      </c>
      <c r="L96">
        <v>3.2570000000000001</v>
      </c>
      <c r="M96">
        <v>0.32300000000000001</v>
      </c>
      <c r="N96">
        <v>9.9000000000000005E-2</v>
      </c>
      <c r="O96">
        <v>0.86899999999999999</v>
      </c>
      <c r="P96">
        <v>1.2999999999999999E-2</v>
      </c>
      <c r="Q96">
        <v>1.0999999999999999E-2</v>
      </c>
      <c r="R96">
        <v>21.9163</v>
      </c>
      <c r="S96">
        <v>24.464300000000001</v>
      </c>
      <c r="T96">
        <v>0</v>
      </c>
      <c r="U96">
        <v>0</v>
      </c>
    </row>
    <row r="97" spans="1:21" x14ac:dyDescent="0.25">
      <c r="A97" t="s">
        <v>1000</v>
      </c>
      <c r="B97" t="s">
        <v>24</v>
      </c>
      <c r="D97" t="s">
        <v>13</v>
      </c>
      <c r="E97">
        <v>2.99</v>
      </c>
      <c r="G97">
        <v>2.2749999999999999</v>
      </c>
      <c r="H97">
        <v>12.6561</v>
      </c>
      <c r="K97">
        <v>2.9437000000000002</v>
      </c>
      <c r="L97">
        <v>5.2187000000000001</v>
      </c>
      <c r="M97">
        <v>0.65300000000000002</v>
      </c>
      <c r="N97">
        <v>7.5999999999999998E-2</v>
      </c>
      <c r="O97">
        <v>0.39800000000000002</v>
      </c>
      <c r="P97">
        <v>1.7999999999999999E-2</v>
      </c>
      <c r="Q97">
        <v>1.0999999999999999E-2</v>
      </c>
      <c r="R97">
        <v>1.7533000000000001</v>
      </c>
      <c r="S97">
        <v>2.0289000000000001</v>
      </c>
      <c r="T97">
        <v>14.382999999999999</v>
      </c>
      <c r="U97">
        <v>0.64</v>
      </c>
    </row>
    <row r="98" spans="1:21" x14ac:dyDescent="0.25">
      <c r="A98" t="s">
        <v>1001</v>
      </c>
      <c r="B98" t="s">
        <v>24</v>
      </c>
      <c r="D98" t="s">
        <v>16</v>
      </c>
      <c r="E98">
        <v>1.51</v>
      </c>
      <c r="G98">
        <v>2.165</v>
      </c>
      <c r="H98">
        <v>9.6579999999999995</v>
      </c>
      <c r="K98">
        <v>1.2989999999999999</v>
      </c>
      <c r="L98">
        <v>3.464</v>
      </c>
      <c r="M98">
        <v>0.28599999999999998</v>
      </c>
      <c r="N98">
        <v>0.13100000000000001</v>
      </c>
      <c r="O98">
        <v>0.79600000000000004</v>
      </c>
      <c r="P98">
        <v>3.2000000000000001E-2</v>
      </c>
      <c r="Q98">
        <v>1.0999999999999999E-2</v>
      </c>
      <c r="R98">
        <v>8.6440999999999999</v>
      </c>
      <c r="S98">
        <v>11.1416</v>
      </c>
      <c r="T98">
        <v>0</v>
      </c>
      <c r="U98">
        <v>0</v>
      </c>
    </row>
    <row r="99" spans="1:21" x14ac:dyDescent="0.25">
      <c r="A99" t="s">
        <v>356</v>
      </c>
      <c r="B99" t="s">
        <v>24</v>
      </c>
      <c r="D99" t="s">
        <v>2</v>
      </c>
      <c r="E99">
        <v>3.15</v>
      </c>
      <c r="G99">
        <v>3.2269999999999999</v>
      </c>
      <c r="H99">
        <v>15.6942</v>
      </c>
      <c r="K99">
        <v>2.9302000000000001</v>
      </c>
      <c r="L99">
        <v>6.1571999999999996</v>
      </c>
      <c r="M99">
        <v>0.158</v>
      </c>
      <c r="N99">
        <v>0.26800000000000002</v>
      </c>
      <c r="O99">
        <v>0.60699999999999998</v>
      </c>
      <c r="P99">
        <v>1.2999999999999999E-2</v>
      </c>
      <c r="Q99">
        <v>1.0999999999999999E-2</v>
      </c>
      <c r="R99">
        <v>33.999600000000001</v>
      </c>
      <c r="S99">
        <v>24.921900000000001</v>
      </c>
      <c r="T99">
        <v>21.486999999999998</v>
      </c>
      <c r="U99">
        <v>0.52</v>
      </c>
    </row>
    <row r="100" spans="1:21" x14ac:dyDescent="0.25">
      <c r="A100" t="s">
        <v>519</v>
      </c>
      <c r="B100" t="s">
        <v>24</v>
      </c>
      <c r="D100" t="s">
        <v>29</v>
      </c>
      <c r="E100">
        <v>2.92</v>
      </c>
      <c r="G100">
        <v>4.0590000000000002</v>
      </c>
      <c r="H100">
        <v>9.2096999999999998</v>
      </c>
      <c r="K100">
        <v>1.5898000000000001</v>
      </c>
      <c r="L100">
        <v>5.6487999999999996</v>
      </c>
      <c r="M100">
        <v>0.14000000000000001</v>
      </c>
      <c r="N100">
        <v>0.157</v>
      </c>
      <c r="O100">
        <v>0.53500000000000003</v>
      </c>
      <c r="P100">
        <v>1.2999999999999999E-2</v>
      </c>
      <c r="Q100">
        <v>1.0999999999999999E-2</v>
      </c>
      <c r="R100">
        <v>36.129300000000001</v>
      </c>
      <c r="S100">
        <v>25.792100000000001</v>
      </c>
      <c r="T100">
        <v>23.733000000000001</v>
      </c>
      <c r="U100">
        <v>0.61</v>
      </c>
    </row>
    <row r="101" spans="1:21" x14ac:dyDescent="0.25">
      <c r="A101" t="s">
        <v>522</v>
      </c>
      <c r="B101" t="s">
        <v>24</v>
      </c>
      <c r="D101" t="s">
        <v>87</v>
      </c>
      <c r="E101">
        <v>2.44</v>
      </c>
      <c r="G101">
        <v>1.7470000000000001</v>
      </c>
      <c r="H101">
        <v>12.3735</v>
      </c>
      <c r="K101">
        <v>1.0351999999999999</v>
      </c>
      <c r="L101">
        <v>2.7822</v>
      </c>
      <c r="M101">
        <v>0.53700000000000003</v>
      </c>
      <c r="N101">
        <v>0.312</v>
      </c>
      <c r="O101">
        <v>0.25800000000000001</v>
      </c>
      <c r="P101">
        <v>1.4E-2</v>
      </c>
      <c r="Q101">
        <v>1.0999999999999999E-2</v>
      </c>
      <c r="R101">
        <v>0.49370000000000003</v>
      </c>
      <c r="S101">
        <v>0.55589999999999995</v>
      </c>
      <c r="T101">
        <v>0</v>
      </c>
      <c r="U101">
        <v>0</v>
      </c>
    </row>
    <row r="102" spans="1:21" x14ac:dyDescent="0.25">
      <c r="A102" t="s">
        <v>767</v>
      </c>
      <c r="B102" t="s">
        <v>24</v>
      </c>
      <c r="D102" t="s">
        <v>31</v>
      </c>
      <c r="E102">
        <v>1.03</v>
      </c>
      <c r="G102">
        <v>2.1869999999999998</v>
      </c>
      <c r="H102">
        <v>10.126799999999999</v>
      </c>
      <c r="K102">
        <v>1.8717999999999999</v>
      </c>
      <c r="L102">
        <v>4.0587999999999997</v>
      </c>
      <c r="M102">
        <v>0.432</v>
      </c>
      <c r="N102">
        <v>9.0999999999999998E-2</v>
      </c>
      <c r="O102">
        <v>0.78400000000000003</v>
      </c>
      <c r="P102">
        <v>0.02</v>
      </c>
      <c r="Q102">
        <v>1.0999999999999999E-2</v>
      </c>
      <c r="R102">
        <v>5.4989999999999997</v>
      </c>
      <c r="S102">
        <v>6.3150000000000004</v>
      </c>
      <c r="T102">
        <v>0</v>
      </c>
      <c r="U102">
        <v>0</v>
      </c>
    </row>
    <row r="103" spans="1:21" x14ac:dyDescent="0.25">
      <c r="A103" t="s">
        <v>293</v>
      </c>
      <c r="B103" t="s">
        <v>24</v>
      </c>
      <c r="D103" t="s">
        <v>137</v>
      </c>
      <c r="E103">
        <v>2.76</v>
      </c>
      <c r="G103">
        <v>2.609</v>
      </c>
      <c r="H103">
        <v>12.2082</v>
      </c>
      <c r="K103">
        <v>2.1383999999999999</v>
      </c>
      <c r="L103">
        <v>4.7473999999999998</v>
      </c>
      <c r="M103">
        <v>0.7</v>
      </c>
      <c r="N103">
        <v>0.32400000000000001</v>
      </c>
      <c r="O103">
        <v>0.218</v>
      </c>
      <c r="P103">
        <v>1.2E-2</v>
      </c>
      <c r="Q103">
        <v>1.0999999999999999E-2</v>
      </c>
      <c r="R103">
        <v>23.274100000000001</v>
      </c>
      <c r="S103">
        <v>15.769299999999999</v>
      </c>
      <c r="T103">
        <v>0</v>
      </c>
      <c r="U103">
        <v>0</v>
      </c>
    </row>
    <row r="104" spans="1:21" x14ac:dyDescent="0.25">
      <c r="A104" t="s">
        <v>312</v>
      </c>
      <c r="B104" t="s">
        <v>24</v>
      </c>
      <c r="D104" t="s">
        <v>8</v>
      </c>
      <c r="E104">
        <v>3.76</v>
      </c>
      <c r="G104">
        <v>3.6579999999999999</v>
      </c>
      <c r="H104">
        <v>13.491300000000001</v>
      </c>
      <c r="K104">
        <v>2.0470999999999999</v>
      </c>
      <c r="L104">
        <v>5.7050999999999998</v>
      </c>
      <c r="M104">
        <v>0.57899999999999996</v>
      </c>
      <c r="N104">
        <v>7.4999999999999997E-2</v>
      </c>
      <c r="O104">
        <v>0.312</v>
      </c>
      <c r="P104">
        <v>1.2999999999999999E-2</v>
      </c>
      <c r="Q104">
        <v>1.0999999999999999E-2</v>
      </c>
      <c r="R104">
        <v>5.5156999999999998</v>
      </c>
      <c r="S104">
        <v>3.5718000000000001</v>
      </c>
      <c r="T104">
        <v>0.86299999999999999</v>
      </c>
      <c r="U104">
        <v>0.14000000000000001</v>
      </c>
    </row>
    <row r="105" spans="1:21" x14ac:dyDescent="0.25">
      <c r="A105" t="s">
        <v>765</v>
      </c>
      <c r="B105" t="s">
        <v>24</v>
      </c>
      <c r="D105" t="s">
        <v>1111</v>
      </c>
      <c r="E105">
        <v>1.45</v>
      </c>
      <c r="G105">
        <v>1.583</v>
      </c>
      <c r="H105">
        <v>15.6119</v>
      </c>
      <c r="K105">
        <v>2.1852</v>
      </c>
      <c r="L105">
        <v>3.7682000000000002</v>
      </c>
      <c r="M105">
        <v>2.4E-2</v>
      </c>
      <c r="N105">
        <v>0.34799999999999998</v>
      </c>
      <c r="O105">
        <v>0.59699999999999998</v>
      </c>
      <c r="P105">
        <v>1.4999999999999999E-2</v>
      </c>
      <c r="Q105">
        <v>1.0999999999999999E-2</v>
      </c>
      <c r="R105">
        <v>1.5624</v>
      </c>
      <c r="S105">
        <v>1.0002</v>
      </c>
      <c r="T105">
        <v>0</v>
      </c>
      <c r="U105">
        <v>0</v>
      </c>
    </row>
    <row r="106" spans="1:21" x14ac:dyDescent="0.25">
      <c r="A106" t="s">
        <v>581</v>
      </c>
      <c r="B106" t="s">
        <v>24</v>
      </c>
      <c r="D106" t="s">
        <v>27</v>
      </c>
      <c r="E106">
        <v>1.0900000000000001</v>
      </c>
      <c r="G106">
        <v>1.9319999999999999</v>
      </c>
      <c r="H106">
        <v>11.818099999999999</v>
      </c>
      <c r="K106">
        <v>1.4332</v>
      </c>
      <c r="L106">
        <v>3.3652000000000002</v>
      </c>
      <c r="M106">
        <v>0.96299999999999997</v>
      </c>
      <c r="N106">
        <v>0.69099999999999995</v>
      </c>
      <c r="O106">
        <v>1.0249999999999999</v>
      </c>
      <c r="P106">
        <v>1.2E-2</v>
      </c>
      <c r="Q106">
        <v>1.0999999999999999E-2</v>
      </c>
      <c r="R106">
        <v>17.457899999999999</v>
      </c>
      <c r="S106">
        <v>16.620699999999999</v>
      </c>
      <c r="T106">
        <v>8.3170000000000002</v>
      </c>
      <c r="U106">
        <v>0.53</v>
      </c>
    </row>
    <row r="107" spans="1:21" x14ac:dyDescent="0.25">
      <c r="A107" t="s">
        <v>497</v>
      </c>
      <c r="B107" t="s">
        <v>24</v>
      </c>
      <c r="D107" t="s">
        <v>31</v>
      </c>
      <c r="E107">
        <v>1.77</v>
      </c>
      <c r="G107">
        <v>2.351</v>
      </c>
      <c r="H107">
        <v>13.4224</v>
      </c>
      <c r="K107">
        <v>2.0743999999999998</v>
      </c>
      <c r="L107">
        <v>4.4253999999999998</v>
      </c>
      <c r="M107">
        <v>0.86799999999999999</v>
      </c>
      <c r="N107">
        <v>0.25</v>
      </c>
      <c r="O107">
        <v>0.61099999999999999</v>
      </c>
      <c r="P107">
        <v>1.2E-2</v>
      </c>
      <c r="Q107">
        <v>1.0999999999999999E-2</v>
      </c>
      <c r="R107">
        <v>3.8506999999999998</v>
      </c>
      <c r="S107">
        <v>4.9421999999999997</v>
      </c>
      <c r="T107">
        <v>0</v>
      </c>
      <c r="U107">
        <v>0</v>
      </c>
    </row>
    <row r="108" spans="1:21" x14ac:dyDescent="0.25">
      <c r="A108" t="s">
        <v>253</v>
      </c>
      <c r="B108" t="s">
        <v>24</v>
      </c>
      <c r="D108" t="s">
        <v>16</v>
      </c>
      <c r="E108">
        <v>1.34</v>
      </c>
      <c r="G108">
        <v>1.7490000000000001</v>
      </c>
      <c r="H108">
        <v>11.9947</v>
      </c>
      <c r="K108">
        <v>1.3945000000000001</v>
      </c>
      <c r="L108">
        <v>3.1435</v>
      </c>
      <c r="M108">
        <v>1.5369999999999999</v>
      </c>
      <c r="N108">
        <v>6.0999999999999999E-2</v>
      </c>
      <c r="O108">
        <v>1.2310000000000001</v>
      </c>
      <c r="P108">
        <v>1.0999999999999999E-2</v>
      </c>
      <c r="Q108">
        <v>1.0999999999999999E-2</v>
      </c>
      <c r="R108">
        <v>1.8287</v>
      </c>
      <c r="S108">
        <v>2.9481999999999999</v>
      </c>
      <c r="T108">
        <v>1.6E-2</v>
      </c>
      <c r="U108">
        <v>1.5</v>
      </c>
    </row>
    <row r="109" spans="1:21" x14ac:dyDescent="0.25">
      <c r="A109" t="s">
        <v>309</v>
      </c>
      <c r="B109" t="s">
        <v>24</v>
      </c>
      <c r="D109" t="s">
        <v>25</v>
      </c>
      <c r="E109">
        <v>3.35</v>
      </c>
      <c r="G109">
        <v>4.0880000000000001</v>
      </c>
      <c r="H109">
        <v>14.541499999999999</v>
      </c>
      <c r="K109">
        <v>2.0129999999999999</v>
      </c>
      <c r="L109">
        <v>6.101</v>
      </c>
      <c r="M109">
        <v>0.317</v>
      </c>
      <c r="N109">
        <v>0.33700000000000002</v>
      </c>
      <c r="O109">
        <v>0.73499999999999999</v>
      </c>
      <c r="P109">
        <v>7.0000000000000001E-3</v>
      </c>
      <c r="Q109">
        <v>1.0999999999999999E-2</v>
      </c>
      <c r="R109">
        <v>3.4386000000000001</v>
      </c>
      <c r="S109">
        <v>2.3721000000000001</v>
      </c>
      <c r="T109">
        <v>7.9210000000000003</v>
      </c>
      <c r="U109">
        <v>0.5</v>
      </c>
    </row>
    <row r="110" spans="1:21" x14ac:dyDescent="0.25">
      <c r="A110" t="s">
        <v>938</v>
      </c>
      <c r="B110" t="s">
        <v>24</v>
      </c>
      <c r="D110" t="s">
        <v>17</v>
      </c>
      <c r="E110">
        <v>0.94</v>
      </c>
      <c r="G110">
        <v>1.643</v>
      </c>
      <c r="H110">
        <v>4.2347999999999999</v>
      </c>
      <c r="K110">
        <v>1.0662</v>
      </c>
      <c r="L110">
        <v>2.7092000000000001</v>
      </c>
      <c r="M110">
        <v>0.52900000000000003</v>
      </c>
      <c r="N110">
        <v>0.23699999999999999</v>
      </c>
      <c r="O110">
        <v>0.193</v>
      </c>
      <c r="P110">
        <v>8.9999999999999993E-3</v>
      </c>
      <c r="Q110">
        <v>1.0999999999999999E-2</v>
      </c>
      <c r="R110">
        <v>0.57020000000000004</v>
      </c>
      <c r="S110">
        <v>0.48249999999999998</v>
      </c>
      <c r="T110">
        <v>3.206</v>
      </c>
      <c r="U110">
        <v>0.55000000000000004</v>
      </c>
    </row>
    <row r="111" spans="1:21" x14ac:dyDescent="0.25">
      <c r="A111" t="s">
        <v>345</v>
      </c>
      <c r="B111" t="s">
        <v>24</v>
      </c>
      <c r="D111" t="s">
        <v>1128</v>
      </c>
      <c r="E111">
        <v>2.2999999999999998</v>
      </c>
      <c r="G111">
        <v>3.5579999999999998</v>
      </c>
      <c r="H111">
        <v>9.5713000000000008</v>
      </c>
      <c r="K111">
        <v>0.94099999999999995</v>
      </c>
      <c r="L111">
        <v>4.4989999999999997</v>
      </c>
      <c r="M111">
        <v>0.57499999999999996</v>
      </c>
      <c r="N111">
        <v>0.13300000000000001</v>
      </c>
      <c r="O111">
        <v>0.44</v>
      </c>
      <c r="P111">
        <v>1.0999999999999999E-2</v>
      </c>
      <c r="Q111">
        <v>1.0999999999999999E-2</v>
      </c>
      <c r="R111">
        <v>13.295</v>
      </c>
      <c r="S111">
        <v>9.9166000000000007</v>
      </c>
      <c r="T111">
        <v>0.14299999999999999</v>
      </c>
      <c r="U111">
        <v>0.8</v>
      </c>
    </row>
    <row r="112" spans="1:21" x14ac:dyDescent="0.25">
      <c r="A112" t="s">
        <v>1002</v>
      </c>
      <c r="B112" t="s">
        <v>24</v>
      </c>
      <c r="D112" t="s">
        <v>33</v>
      </c>
      <c r="E112">
        <v>2.2799999999999998</v>
      </c>
      <c r="G112">
        <v>2.298</v>
      </c>
      <c r="H112">
        <v>11.909800000000001</v>
      </c>
      <c r="K112">
        <v>1.6913</v>
      </c>
      <c r="L112">
        <v>3.9893000000000001</v>
      </c>
      <c r="M112">
        <v>0.30099999999999999</v>
      </c>
      <c r="N112">
        <v>0.14699999999999999</v>
      </c>
      <c r="O112">
        <v>0.32900000000000001</v>
      </c>
      <c r="P112">
        <v>1.7000000000000001E-2</v>
      </c>
      <c r="Q112">
        <v>1.0999999999999999E-2</v>
      </c>
      <c r="R112">
        <v>2.3984000000000001</v>
      </c>
      <c r="S112">
        <v>3.2776999999999998</v>
      </c>
      <c r="T112">
        <v>0</v>
      </c>
      <c r="U112">
        <v>0</v>
      </c>
    </row>
    <row r="113" spans="1:21" x14ac:dyDescent="0.25">
      <c r="A113" t="s">
        <v>723</v>
      </c>
      <c r="B113" t="s">
        <v>24</v>
      </c>
      <c r="D113" t="s">
        <v>10</v>
      </c>
      <c r="E113">
        <v>1.57</v>
      </c>
      <c r="G113">
        <v>1.538</v>
      </c>
      <c r="H113">
        <v>8.9703999999999997</v>
      </c>
      <c r="K113">
        <v>1.4926999999999999</v>
      </c>
      <c r="L113">
        <v>3.0306999999999999</v>
      </c>
      <c r="M113">
        <v>1.0209999999999999</v>
      </c>
      <c r="N113">
        <v>0.21299999999999999</v>
      </c>
      <c r="O113">
        <v>0.45900000000000002</v>
      </c>
      <c r="P113">
        <v>2.1999999999999999E-2</v>
      </c>
      <c r="Q113">
        <v>1.0999999999999999E-2</v>
      </c>
      <c r="R113">
        <v>10.0283</v>
      </c>
      <c r="S113">
        <v>12.431100000000001</v>
      </c>
      <c r="T113">
        <v>24.597000000000001</v>
      </c>
      <c r="U113">
        <v>0.59</v>
      </c>
    </row>
    <row r="114" spans="1:21" x14ac:dyDescent="0.25">
      <c r="A114" t="s">
        <v>269</v>
      </c>
      <c r="B114" t="s">
        <v>24</v>
      </c>
      <c r="D114" t="s">
        <v>7</v>
      </c>
      <c r="E114">
        <v>3.32</v>
      </c>
      <c r="G114">
        <v>3.794</v>
      </c>
      <c r="H114">
        <v>17.968800000000002</v>
      </c>
      <c r="K114">
        <v>2.3492999999999999</v>
      </c>
      <c r="L114">
        <v>6.1433</v>
      </c>
      <c r="M114">
        <v>1.5049999999999999</v>
      </c>
      <c r="N114">
        <v>0.115</v>
      </c>
      <c r="O114">
        <v>0.71499999999999997</v>
      </c>
      <c r="P114">
        <v>1.2E-2</v>
      </c>
      <c r="Q114">
        <v>1.0999999999999999E-2</v>
      </c>
      <c r="R114">
        <v>0.31109999999999999</v>
      </c>
      <c r="S114">
        <v>0.51870000000000005</v>
      </c>
      <c r="T114">
        <v>0</v>
      </c>
      <c r="U114">
        <v>0</v>
      </c>
    </row>
    <row r="115" spans="1:21" x14ac:dyDescent="0.25">
      <c r="A115" t="s">
        <v>648</v>
      </c>
      <c r="B115" t="s">
        <v>24</v>
      </c>
      <c r="D115" t="s">
        <v>33</v>
      </c>
      <c r="E115">
        <v>1.34</v>
      </c>
      <c r="G115">
        <v>1.431</v>
      </c>
      <c r="H115">
        <v>8.9857999999999993</v>
      </c>
      <c r="K115">
        <v>2.0388999999999999</v>
      </c>
      <c r="L115">
        <v>3.4699</v>
      </c>
      <c r="M115">
        <v>1.0999999999999999E-2</v>
      </c>
      <c r="N115">
        <v>7.2999999999999995E-2</v>
      </c>
      <c r="O115">
        <v>0.39300000000000002</v>
      </c>
      <c r="P115">
        <v>1.6E-2</v>
      </c>
      <c r="Q115">
        <v>1.0999999999999999E-2</v>
      </c>
      <c r="R115">
        <v>3.1627999999999998</v>
      </c>
      <c r="S115">
        <v>5.3569000000000004</v>
      </c>
      <c r="T115">
        <v>0</v>
      </c>
      <c r="U115">
        <v>0</v>
      </c>
    </row>
    <row r="116" spans="1:21" x14ac:dyDescent="0.25">
      <c r="A116" t="s">
        <v>601</v>
      </c>
      <c r="B116" t="s">
        <v>24</v>
      </c>
      <c r="D116" t="s">
        <v>5</v>
      </c>
      <c r="E116">
        <v>2.19</v>
      </c>
      <c r="G116">
        <v>1.5980000000000001</v>
      </c>
      <c r="H116">
        <v>19.109300000000001</v>
      </c>
      <c r="K116">
        <v>2.4904000000000002</v>
      </c>
      <c r="L116">
        <v>4.0884</v>
      </c>
      <c r="M116">
        <v>0.96399999999999997</v>
      </c>
      <c r="N116">
        <v>0.113</v>
      </c>
      <c r="O116">
        <v>0.85099999999999998</v>
      </c>
      <c r="P116">
        <v>1.2999999999999999E-2</v>
      </c>
      <c r="Q116">
        <v>1.0999999999999999E-2</v>
      </c>
      <c r="R116">
        <v>0.51800000000000002</v>
      </c>
      <c r="S116">
        <v>0.60489999999999999</v>
      </c>
      <c r="T116">
        <v>0</v>
      </c>
      <c r="U116">
        <v>0</v>
      </c>
    </row>
    <row r="117" spans="1:21" x14ac:dyDescent="0.25">
      <c r="A117" t="s">
        <v>656</v>
      </c>
      <c r="B117" t="s">
        <v>24</v>
      </c>
      <c r="D117" t="s">
        <v>18</v>
      </c>
      <c r="E117">
        <v>1.24</v>
      </c>
      <c r="G117">
        <v>2.2280000000000002</v>
      </c>
      <c r="H117">
        <v>10.1965</v>
      </c>
      <c r="K117">
        <v>1.3165</v>
      </c>
      <c r="L117">
        <v>3.5445000000000002</v>
      </c>
      <c r="M117">
        <v>0.629</v>
      </c>
      <c r="N117">
        <v>0.16900000000000001</v>
      </c>
      <c r="O117">
        <v>0.215</v>
      </c>
      <c r="P117">
        <v>1.2E-2</v>
      </c>
      <c r="Q117">
        <v>1.0999999999999999E-2</v>
      </c>
      <c r="R117">
        <v>12.8706</v>
      </c>
      <c r="S117">
        <v>7.6397000000000004</v>
      </c>
      <c r="T117">
        <v>0</v>
      </c>
      <c r="U117">
        <v>0</v>
      </c>
    </row>
    <row r="118" spans="1:21" x14ac:dyDescent="0.25">
      <c r="A118" t="s">
        <v>807</v>
      </c>
      <c r="B118" t="s">
        <v>24</v>
      </c>
      <c r="D118" t="s">
        <v>9</v>
      </c>
      <c r="E118">
        <v>3.24</v>
      </c>
      <c r="G118">
        <v>1.3089999999999999</v>
      </c>
      <c r="H118">
        <v>13.3963</v>
      </c>
      <c r="K118">
        <v>2.7189999999999999</v>
      </c>
      <c r="L118">
        <v>4.0279999999999996</v>
      </c>
      <c r="M118">
        <v>0.25600000000000001</v>
      </c>
      <c r="N118">
        <v>0.11700000000000001</v>
      </c>
      <c r="O118">
        <v>0.35499999999999998</v>
      </c>
      <c r="P118">
        <v>1.4E-2</v>
      </c>
      <c r="Q118">
        <v>1.0999999999999999E-2</v>
      </c>
      <c r="R118">
        <v>4.3894000000000002</v>
      </c>
      <c r="S118">
        <v>8.1639999999999997</v>
      </c>
      <c r="T118">
        <v>1.4419999999999999</v>
      </c>
      <c r="U118">
        <v>0.54</v>
      </c>
    </row>
    <row r="119" spans="1:21" x14ac:dyDescent="0.25">
      <c r="A119" t="s">
        <v>507</v>
      </c>
      <c r="B119" t="s">
        <v>24</v>
      </c>
      <c r="D119" t="s">
        <v>7</v>
      </c>
      <c r="E119">
        <v>2.61</v>
      </c>
      <c r="G119">
        <v>3.5369999999999999</v>
      </c>
      <c r="H119">
        <v>5.0960000000000001</v>
      </c>
      <c r="K119">
        <v>0.98719999999999997</v>
      </c>
      <c r="L119">
        <v>4.5242000000000004</v>
      </c>
      <c r="M119">
        <v>0.38400000000000001</v>
      </c>
      <c r="N119">
        <v>0.20399999999999999</v>
      </c>
      <c r="O119">
        <v>0.44800000000000001</v>
      </c>
      <c r="P119">
        <v>8.9999999999999993E-3</v>
      </c>
      <c r="Q119">
        <v>1.0999999999999999E-2</v>
      </c>
      <c r="R119">
        <v>1.1695</v>
      </c>
      <c r="S119">
        <v>0.82199999999999995</v>
      </c>
      <c r="T119">
        <v>0</v>
      </c>
      <c r="U119">
        <v>0</v>
      </c>
    </row>
    <row r="120" spans="1:21" x14ac:dyDescent="0.25">
      <c r="A120" t="s">
        <v>1129</v>
      </c>
      <c r="B120" t="s">
        <v>24</v>
      </c>
      <c r="D120" t="s">
        <v>29</v>
      </c>
      <c r="E120">
        <v>1.65</v>
      </c>
      <c r="G120">
        <v>2.6819999999999999</v>
      </c>
      <c r="H120">
        <v>5.5011999999999999</v>
      </c>
      <c r="K120">
        <v>0.79300000000000004</v>
      </c>
      <c r="L120">
        <v>3.4750000000000001</v>
      </c>
      <c r="M120">
        <v>1.016</v>
      </c>
      <c r="N120">
        <v>0.36</v>
      </c>
      <c r="O120">
        <v>0.41799999999999998</v>
      </c>
      <c r="P120">
        <v>2.4E-2</v>
      </c>
      <c r="Q120">
        <v>1.0999999999999999E-2</v>
      </c>
      <c r="R120">
        <v>5.0065999999999997</v>
      </c>
      <c r="S120">
        <v>6.5701999999999998</v>
      </c>
      <c r="T120">
        <v>2.5659999999999998</v>
      </c>
      <c r="U120">
        <v>0.6</v>
      </c>
    </row>
    <row r="121" spans="1:21" x14ac:dyDescent="0.25">
      <c r="A121" t="s">
        <v>481</v>
      </c>
      <c r="B121" t="s">
        <v>24</v>
      </c>
      <c r="D121" t="s">
        <v>8</v>
      </c>
      <c r="E121">
        <v>1.04</v>
      </c>
      <c r="G121">
        <v>0.91200000000000003</v>
      </c>
      <c r="H121">
        <v>9.5608000000000004</v>
      </c>
      <c r="K121">
        <v>1.4080999999999999</v>
      </c>
      <c r="L121">
        <v>2.3201000000000001</v>
      </c>
      <c r="M121">
        <v>1.012</v>
      </c>
      <c r="N121">
        <v>7.4999999999999997E-2</v>
      </c>
      <c r="O121">
        <v>0.27200000000000002</v>
      </c>
      <c r="P121">
        <v>1.4E-2</v>
      </c>
      <c r="Q121">
        <v>1.0999999999999999E-2</v>
      </c>
      <c r="R121">
        <v>0.97030000000000005</v>
      </c>
      <c r="S121">
        <v>1.4634</v>
      </c>
      <c r="T121">
        <v>1.3320000000000001</v>
      </c>
      <c r="U121">
        <v>0.52</v>
      </c>
    </row>
    <row r="122" spans="1:21" x14ac:dyDescent="0.25">
      <c r="A122" t="s">
        <v>457</v>
      </c>
      <c r="B122" t="s">
        <v>24</v>
      </c>
      <c r="D122" t="s">
        <v>28</v>
      </c>
      <c r="E122">
        <v>1.82</v>
      </c>
      <c r="G122">
        <v>0.93</v>
      </c>
      <c r="H122">
        <v>7.4653999999999998</v>
      </c>
      <c r="K122">
        <v>1.3575999999999999</v>
      </c>
      <c r="L122">
        <v>2.2875999999999999</v>
      </c>
      <c r="M122">
        <v>0.77300000000000002</v>
      </c>
      <c r="N122">
        <v>0.13</v>
      </c>
      <c r="O122">
        <v>0.53500000000000003</v>
      </c>
      <c r="P122">
        <v>1.2999999999999999E-2</v>
      </c>
      <c r="Q122">
        <v>1.0999999999999999E-2</v>
      </c>
      <c r="R122">
        <v>3.5853000000000002</v>
      </c>
      <c r="S122">
        <v>2.9258000000000002</v>
      </c>
      <c r="T122">
        <v>0</v>
      </c>
      <c r="U122">
        <v>0</v>
      </c>
    </row>
    <row r="123" spans="1:21" x14ac:dyDescent="0.25">
      <c r="A123" t="s">
        <v>1003</v>
      </c>
      <c r="B123" t="s">
        <v>24</v>
      </c>
      <c r="D123" t="s">
        <v>34</v>
      </c>
      <c r="E123">
        <v>1.32</v>
      </c>
      <c r="G123">
        <v>2.5350000000000001</v>
      </c>
      <c r="H123">
        <v>13.8058</v>
      </c>
      <c r="K123">
        <v>1.6339999999999999</v>
      </c>
      <c r="L123">
        <v>4.1689999999999996</v>
      </c>
      <c r="M123">
        <v>0.45700000000000002</v>
      </c>
      <c r="N123">
        <v>0.10100000000000001</v>
      </c>
      <c r="O123">
        <v>0.52100000000000002</v>
      </c>
      <c r="P123">
        <v>2.1000000000000001E-2</v>
      </c>
      <c r="Q123">
        <v>1.0999999999999999E-2</v>
      </c>
      <c r="R123">
        <v>17.3416</v>
      </c>
      <c r="S123">
        <v>13.884399999999999</v>
      </c>
      <c r="T123">
        <v>0</v>
      </c>
      <c r="U123">
        <v>0</v>
      </c>
    </row>
    <row r="124" spans="1:21" x14ac:dyDescent="0.25">
      <c r="A124" t="s">
        <v>291</v>
      </c>
      <c r="B124" t="s">
        <v>24</v>
      </c>
      <c r="D124" t="s">
        <v>28</v>
      </c>
      <c r="E124">
        <v>3.58</v>
      </c>
      <c r="G124">
        <v>3.246</v>
      </c>
      <c r="H124">
        <v>17.911100000000001</v>
      </c>
      <c r="K124">
        <v>1.8778999999999999</v>
      </c>
      <c r="L124">
        <v>5.1238999999999999</v>
      </c>
      <c r="M124">
        <v>6.2E-2</v>
      </c>
      <c r="N124">
        <v>0.45600000000000002</v>
      </c>
      <c r="O124">
        <v>0.29399999999999998</v>
      </c>
      <c r="P124">
        <v>1.2999999999999999E-2</v>
      </c>
      <c r="Q124">
        <v>1.0999999999999999E-2</v>
      </c>
      <c r="R124">
        <v>7.6154000000000002</v>
      </c>
      <c r="S124">
        <v>8.5892999999999997</v>
      </c>
      <c r="T124">
        <v>8.0869999999999997</v>
      </c>
      <c r="U124">
        <v>0.51</v>
      </c>
    </row>
    <row r="125" spans="1:21" x14ac:dyDescent="0.25">
      <c r="A125" t="s">
        <v>422</v>
      </c>
      <c r="B125" t="s">
        <v>24</v>
      </c>
      <c r="D125" t="s">
        <v>27</v>
      </c>
      <c r="E125">
        <v>3.8</v>
      </c>
      <c r="G125">
        <v>4.7750000000000004</v>
      </c>
      <c r="H125">
        <v>16.296500000000002</v>
      </c>
      <c r="K125">
        <v>2.3933</v>
      </c>
      <c r="L125">
        <v>7.1683000000000003</v>
      </c>
      <c r="M125">
        <v>0.25900000000000001</v>
      </c>
      <c r="N125">
        <v>0.223</v>
      </c>
      <c r="O125">
        <v>0.224</v>
      </c>
      <c r="P125">
        <v>1.2999999999999999E-2</v>
      </c>
      <c r="Q125">
        <v>1.0999999999999999E-2</v>
      </c>
      <c r="R125">
        <v>3.9018999999999999</v>
      </c>
      <c r="S125">
        <v>3.6499000000000001</v>
      </c>
      <c r="T125">
        <v>4.585</v>
      </c>
      <c r="U125">
        <v>0.41</v>
      </c>
    </row>
    <row r="126" spans="1:21" x14ac:dyDescent="0.25">
      <c r="A126" t="s">
        <v>853</v>
      </c>
      <c r="B126" t="s">
        <v>24</v>
      </c>
      <c r="D126" t="s">
        <v>4</v>
      </c>
      <c r="E126">
        <v>2.04</v>
      </c>
      <c r="G126">
        <v>1.35</v>
      </c>
      <c r="H126">
        <v>10.2524</v>
      </c>
      <c r="K126">
        <v>1.36</v>
      </c>
      <c r="L126">
        <v>2.71</v>
      </c>
      <c r="M126">
        <v>1.4019999999999999</v>
      </c>
      <c r="N126">
        <v>0.08</v>
      </c>
      <c r="O126">
        <v>0.28299999999999997</v>
      </c>
      <c r="P126">
        <v>1.9E-2</v>
      </c>
      <c r="Q126">
        <v>1.0999999999999999E-2</v>
      </c>
      <c r="R126">
        <v>2.7404000000000002</v>
      </c>
      <c r="S126">
        <v>2.6055000000000001</v>
      </c>
      <c r="T126">
        <v>3.1339999999999999</v>
      </c>
      <c r="U126">
        <v>0.5</v>
      </c>
    </row>
    <row r="127" spans="1:21" x14ac:dyDescent="0.25">
      <c r="A127" t="s">
        <v>644</v>
      </c>
      <c r="B127" t="s">
        <v>24</v>
      </c>
      <c r="D127" t="s">
        <v>1131</v>
      </c>
      <c r="E127">
        <v>1.1299999999999999</v>
      </c>
      <c r="G127">
        <v>3.073</v>
      </c>
      <c r="H127">
        <v>8.7759</v>
      </c>
      <c r="K127">
        <v>1.0678000000000001</v>
      </c>
      <c r="L127">
        <v>4.1407999999999996</v>
      </c>
      <c r="M127">
        <v>0.56200000000000006</v>
      </c>
      <c r="N127">
        <v>0.20100000000000001</v>
      </c>
      <c r="O127">
        <v>0.21</v>
      </c>
      <c r="P127">
        <v>1.4E-2</v>
      </c>
      <c r="Q127">
        <v>1.0999999999999999E-2</v>
      </c>
      <c r="R127">
        <v>10.0656</v>
      </c>
      <c r="S127">
        <v>11.966699999999999</v>
      </c>
      <c r="T127">
        <v>3.7269999999999999</v>
      </c>
      <c r="U127">
        <v>0.27</v>
      </c>
    </row>
    <row r="128" spans="1:21" x14ac:dyDescent="0.25">
      <c r="A128" t="s">
        <v>802</v>
      </c>
      <c r="B128" t="s">
        <v>24</v>
      </c>
      <c r="D128" t="s">
        <v>995</v>
      </c>
      <c r="E128">
        <v>2.66</v>
      </c>
      <c r="G128">
        <v>2.2429999999999999</v>
      </c>
      <c r="H128">
        <v>10.561199999999999</v>
      </c>
      <c r="K128">
        <v>1.7313000000000001</v>
      </c>
      <c r="L128">
        <v>3.9742999999999999</v>
      </c>
      <c r="M128">
        <v>0.10199999999999999</v>
      </c>
      <c r="N128">
        <v>0.108</v>
      </c>
      <c r="O128">
        <v>0.39100000000000001</v>
      </c>
      <c r="P128">
        <v>2.5999999999999999E-2</v>
      </c>
      <c r="Q128">
        <v>1.0999999999999999E-2</v>
      </c>
      <c r="R128">
        <v>4.1867999999999999</v>
      </c>
      <c r="S128">
        <v>3.9823</v>
      </c>
      <c r="T128">
        <v>0</v>
      </c>
      <c r="U128">
        <v>0</v>
      </c>
    </row>
    <row r="129" spans="1:21" x14ac:dyDescent="0.25">
      <c r="A129" t="s">
        <v>486</v>
      </c>
      <c r="B129" t="s">
        <v>24</v>
      </c>
      <c r="D129" t="s">
        <v>87</v>
      </c>
      <c r="E129">
        <v>2.2000000000000002</v>
      </c>
      <c r="G129">
        <v>1.1100000000000001</v>
      </c>
      <c r="H129">
        <v>12.106199999999999</v>
      </c>
      <c r="K129">
        <v>2.0459999999999998</v>
      </c>
      <c r="L129">
        <v>3.1560000000000001</v>
      </c>
      <c r="M129">
        <v>0.313</v>
      </c>
      <c r="N129">
        <v>0.125</v>
      </c>
      <c r="O129">
        <v>0.57699999999999996</v>
      </c>
      <c r="P129">
        <v>1.2E-2</v>
      </c>
      <c r="Q129">
        <v>1.0999999999999999E-2</v>
      </c>
      <c r="R129">
        <v>19.936499999999999</v>
      </c>
      <c r="S129">
        <v>11.5336</v>
      </c>
      <c r="T129">
        <v>0</v>
      </c>
      <c r="U129">
        <v>0</v>
      </c>
    </row>
    <row r="130" spans="1:21" x14ac:dyDescent="0.25">
      <c r="A130" t="s">
        <v>879</v>
      </c>
      <c r="B130" t="s">
        <v>24</v>
      </c>
      <c r="D130" t="s">
        <v>12</v>
      </c>
      <c r="E130">
        <v>1.89</v>
      </c>
      <c r="G130">
        <v>2.2599999999999998</v>
      </c>
      <c r="H130">
        <v>11.9473</v>
      </c>
      <c r="K130">
        <v>1.6496999999999999</v>
      </c>
      <c r="L130">
        <v>3.9097</v>
      </c>
      <c r="M130">
        <v>0.73899999999999999</v>
      </c>
      <c r="N130">
        <v>4.4999999999999998E-2</v>
      </c>
      <c r="O130">
        <v>0.53900000000000003</v>
      </c>
      <c r="P130">
        <v>1.2999999999999999E-2</v>
      </c>
      <c r="Q130">
        <v>1.0999999999999999E-2</v>
      </c>
      <c r="R130">
        <v>0.55379999999999996</v>
      </c>
      <c r="S130">
        <v>0.65239999999999998</v>
      </c>
      <c r="T130">
        <v>0</v>
      </c>
      <c r="U130">
        <v>0</v>
      </c>
    </row>
    <row r="131" spans="1:21" x14ac:dyDescent="0.25">
      <c r="A131" t="s">
        <v>255</v>
      </c>
      <c r="B131" t="s">
        <v>24</v>
      </c>
      <c r="D131" t="s">
        <v>1134</v>
      </c>
      <c r="E131">
        <v>3.48</v>
      </c>
      <c r="G131">
        <v>3.4329999999999998</v>
      </c>
      <c r="H131">
        <v>14.363200000000001</v>
      </c>
      <c r="K131">
        <v>1.948</v>
      </c>
      <c r="L131">
        <v>5.3810000000000002</v>
      </c>
      <c r="M131">
        <v>0.68899999999999995</v>
      </c>
      <c r="N131">
        <v>2.4E-2</v>
      </c>
      <c r="O131">
        <v>0.51</v>
      </c>
      <c r="P131">
        <v>1.2E-2</v>
      </c>
      <c r="Q131">
        <v>1.0999999999999999E-2</v>
      </c>
      <c r="R131">
        <v>0.39650000000000002</v>
      </c>
      <c r="S131">
        <v>0.40820000000000001</v>
      </c>
      <c r="T131">
        <v>18.347000000000001</v>
      </c>
      <c r="U131">
        <v>0.5</v>
      </c>
    </row>
    <row r="132" spans="1:21" x14ac:dyDescent="0.25">
      <c r="A132" t="s">
        <v>1004</v>
      </c>
      <c r="B132" t="s">
        <v>24</v>
      </c>
      <c r="D132" t="s">
        <v>14</v>
      </c>
      <c r="E132">
        <v>2.27</v>
      </c>
      <c r="G132">
        <v>1.8129999999999999</v>
      </c>
      <c r="H132">
        <v>10.2545</v>
      </c>
      <c r="K132">
        <v>2.173</v>
      </c>
      <c r="L132">
        <v>3.9860000000000002</v>
      </c>
      <c r="M132">
        <v>0.79900000000000004</v>
      </c>
      <c r="N132">
        <v>7.1999999999999995E-2</v>
      </c>
      <c r="O132">
        <v>0.56999999999999995</v>
      </c>
      <c r="P132">
        <v>1.7999999999999999E-2</v>
      </c>
      <c r="Q132">
        <v>1.0999999999999999E-2</v>
      </c>
      <c r="R132">
        <v>2.27</v>
      </c>
      <c r="S132">
        <v>2.1587000000000001</v>
      </c>
      <c r="T132">
        <v>17.666</v>
      </c>
      <c r="U132">
        <v>0.56000000000000005</v>
      </c>
    </row>
    <row r="133" spans="1:21" x14ac:dyDescent="0.25">
      <c r="A133" t="s">
        <v>1005</v>
      </c>
      <c r="B133" t="s">
        <v>24</v>
      </c>
      <c r="D133" t="s">
        <v>22</v>
      </c>
      <c r="E133">
        <v>2.34</v>
      </c>
      <c r="G133">
        <v>2.14</v>
      </c>
      <c r="H133">
        <v>12.819100000000001</v>
      </c>
      <c r="K133">
        <v>1.9694</v>
      </c>
      <c r="L133">
        <v>4.1093999999999999</v>
      </c>
      <c r="M133">
        <v>0.20699999999999999</v>
      </c>
      <c r="N133">
        <v>0.121</v>
      </c>
      <c r="O133">
        <v>0.432</v>
      </c>
      <c r="P133">
        <v>0.03</v>
      </c>
      <c r="Q133">
        <v>1.0999999999999999E-2</v>
      </c>
      <c r="R133">
        <v>5.0678000000000001</v>
      </c>
      <c r="S133">
        <v>4.2880000000000003</v>
      </c>
      <c r="T133">
        <v>15.266999999999999</v>
      </c>
      <c r="U133">
        <v>0.64</v>
      </c>
    </row>
    <row r="134" spans="1:21" x14ac:dyDescent="0.25">
      <c r="A134" t="s">
        <v>605</v>
      </c>
      <c r="B134" t="s">
        <v>24</v>
      </c>
      <c r="D134" t="s">
        <v>5</v>
      </c>
      <c r="E134">
        <v>1.89</v>
      </c>
      <c r="G134">
        <v>1.4239999999999999</v>
      </c>
      <c r="H134">
        <v>5.6680000000000001</v>
      </c>
      <c r="K134">
        <v>0.79339999999999999</v>
      </c>
      <c r="L134">
        <v>2.2174</v>
      </c>
      <c r="M134">
        <v>8.2000000000000003E-2</v>
      </c>
      <c r="N134">
        <v>0.125</v>
      </c>
      <c r="O134">
        <v>0.69699999999999995</v>
      </c>
      <c r="P134">
        <v>0.01</v>
      </c>
      <c r="Q134">
        <v>1.0999999999999999E-2</v>
      </c>
      <c r="R134">
        <v>1.0778000000000001</v>
      </c>
      <c r="S134">
        <v>1.4982</v>
      </c>
      <c r="T134">
        <v>9.0079999999999991</v>
      </c>
      <c r="U134">
        <v>0.54</v>
      </c>
    </row>
    <row r="135" spans="1:21" x14ac:dyDescent="0.25">
      <c r="A135" t="s">
        <v>450</v>
      </c>
      <c r="B135" t="s">
        <v>24</v>
      </c>
      <c r="D135" t="s">
        <v>23</v>
      </c>
      <c r="E135">
        <v>2.9</v>
      </c>
      <c r="G135">
        <v>3.3410000000000002</v>
      </c>
      <c r="H135">
        <v>11.101100000000001</v>
      </c>
      <c r="K135">
        <v>1.3163</v>
      </c>
      <c r="L135">
        <v>4.6573000000000002</v>
      </c>
      <c r="M135">
        <v>-4.4999999999999998E-2</v>
      </c>
      <c r="N135">
        <v>0.14099999999999999</v>
      </c>
      <c r="O135">
        <v>0.224</v>
      </c>
      <c r="P135">
        <v>1.4999999999999999E-2</v>
      </c>
      <c r="Q135">
        <v>1.0999999999999999E-2</v>
      </c>
      <c r="R135">
        <v>1.8099000000000001</v>
      </c>
      <c r="S135">
        <v>1.8039000000000001</v>
      </c>
      <c r="T135">
        <v>0</v>
      </c>
      <c r="U135">
        <v>0</v>
      </c>
    </row>
    <row r="136" spans="1:21" x14ac:dyDescent="0.25">
      <c r="A136" t="s">
        <v>485</v>
      </c>
      <c r="B136" t="s">
        <v>24</v>
      </c>
      <c r="D136" t="s">
        <v>14</v>
      </c>
      <c r="E136">
        <v>1.79</v>
      </c>
      <c r="G136">
        <v>0</v>
      </c>
      <c r="H136">
        <v>21.102399999999999</v>
      </c>
      <c r="K136">
        <v>2.5506000000000002</v>
      </c>
      <c r="L136">
        <v>2.5506000000000002</v>
      </c>
      <c r="M136">
        <v>0.64400000000000002</v>
      </c>
      <c r="N136">
        <v>8.5000000000000006E-2</v>
      </c>
      <c r="O136">
        <v>0.59099999999999997</v>
      </c>
      <c r="P136">
        <v>1.4999999999999999E-2</v>
      </c>
      <c r="Q136">
        <v>1.0999999999999999E-2</v>
      </c>
      <c r="R136">
        <v>1.2149000000000001</v>
      </c>
      <c r="S136">
        <v>1.5288999999999999</v>
      </c>
      <c r="T136">
        <v>0</v>
      </c>
      <c r="U136">
        <v>0</v>
      </c>
    </row>
    <row r="137" spans="1:21" x14ac:dyDescent="0.25">
      <c r="A137" t="s">
        <v>991</v>
      </c>
      <c r="B137" t="s">
        <v>24</v>
      </c>
      <c r="D137" t="s">
        <v>12</v>
      </c>
      <c r="E137">
        <v>2.33</v>
      </c>
      <c r="G137">
        <v>1.7110000000000001</v>
      </c>
      <c r="H137">
        <v>11.2506</v>
      </c>
      <c r="K137">
        <v>2.0251999999999999</v>
      </c>
      <c r="L137">
        <v>3.7362000000000002</v>
      </c>
      <c r="M137">
        <v>0.23</v>
      </c>
      <c r="N137">
        <v>0.22600000000000001</v>
      </c>
      <c r="O137">
        <v>0.84</v>
      </c>
      <c r="P137">
        <v>8.9999999999999993E-3</v>
      </c>
      <c r="Q137">
        <v>1.0999999999999999E-2</v>
      </c>
      <c r="R137">
        <v>1.2992999999999999</v>
      </c>
      <c r="S137">
        <v>1.4320999999999999</v>
      </c>
      <c r="T137">
        <v>1.8979999999999999</v>
      </c>
      <c r="U137">
        <v>0.53</v>
      </c>
    </row>
    <row r="138" spans="1:21" x14ac:dyDescent="0.25">
      <c r="A138" t="s">
        <v>313</v>
      </c>
      <c r="B138" t="s">
        <v>24</v>
      </c>
      <c r="D138" t="s">
        <v>17</v>
      </c>
      <c r="E138">
        <v>2.2799999999999998</v>
      </c>
      <c r="G138">
        <v>4.0839999999999996</v>
      </c>
      <c r="H138">
        <v>12.797800000000001</v>
      </c>
      <c r="K138">
        <v>2.1793999999999998</v>
      </c>
      <c r="L138">
        <v>6.2633999999999999</v>
      </c>
      <c r="M138">
        <v>0.95899999999999996</v>
      </c>
      <c r="N138">
        <v>0.22</v>
      </c>
      <c r="O138">
        <v>0.89400000000000002</v>
      </c>
      <c r="P138">
        <v>8.9999999999999993E-3</v>
      </c>
      <c r="Q138">
        <v>1.0999999999999999E-2</v>
      </c>
      <c r="R138">
        <v>29.169</v>
      </c>
      <c r="S138">
        <v>21.7499</v>
      </c>
      <c r="T138">
        <v>1.639</v>
      </c>
      <c r="U138">
        <v>0.59</v>
      </c>
    </row>
    <row r="139" spans="1:21" x14ac:dyDescent="0.25">
      <c r="A139" t="s">
        <v>909</v>
      </c>
      <c r="B139" t="s">
        <v>24</v>
      </c>
      <c r="D139" t="s">
        <v>87</v>
      </c>
      <c r="E139">
        <v>2.5299999999999998</v>
      </c>
      <c r="G139">
        <v>3.9159999999999999</v>
      </c>
      <c r="H139">
        <v>15.739000000000001</v>
      </c>
      <c r="K139">
        <v>2.1676000000000002</v>
      </c>
      <c r="L139">
        <v>6.0835999999999997</v>
      </c>
      <c r="M139">
        <v>0.45200000000000001</v>
      </c>
      <c r="N139">
        <v>0.106</v>
      </c>
      <c r="O139">
        <v>0.39800000000000002</v>
      </c>
      <c r="P139">
        <v>1.2999999999999999E-2</v>
      </c>
      <c r="Q139">
        <v>1.0999999999999999E-2</v>
      </c>
      <c r="R139">
        <v>3.6124999999999998</v>
      </c>
      <c r="S139">
        <v>5.8842999999999996</v>
      </c>
      <c r="T139">
        <v>0.32700000000000001</v>
      </c>
      <c r="U139">
        <v>0.45</v>
      </c>
    </row>
    <row r="140" spans="1:21" x14ac:dyDescent="0.25">
      <c r="A140" t="s">
        <v>771</v>
      </c>
      <c r="B140" t="s">
        <v>24</v>
      </c>
      <c r="D140" t="s">
        <v>21</v>
      </c>
      <c r="E140">
        <v>0.94</v>
      </c>
      <c r="G140">
        <v>1.623</v>
      </c>
      <c r="H140">
        <v>9.1479999999999997</v>
      </c>
      <c r="K140">
        <v>1.5286</v>
      </c>
      <c r="L140">
        <v>3.1516000000000002</v>
      </c>
      <c r="M140">
        <v>1.6519999999999999</v>
      </c>
      <c r="N140">
        <v>9.6000000000000002E-2</v>
      </c>
      <c r="O140">
        <v>0.58899999999999997</v>
      </c>
      <c r="P140">
        <v>0.02</v>
      </c>
      <c r="Q140">
        <v>1.0999999999999999E-2</v>
      </c>
      <c r="R140">
        <v>17.463000000000001</v>
      </c>
      <c r="S140">
        <v>13.358000000000001</v>
      </c>
      <c r="T140">
        <v>0</v>
      </c>
      <c r="U140">
        <v>0</v>
      </c>
    </row>
    <row r="141" spans="1:21" x14ac:dyDescent="0.25">
      <c r="A141" t="s">
        <v>336</v>
      </c>
      <c r="B141" t="s">
        <v>24</v>
      </c>
      <c r="D141" t="s">
        <v>17</v>
      </c>
      <c r="E141">
        <v>2.93</v>
      </c>
      <c r="G141">
        <v>4.7930000000000001</v>
      </c>
      <c r="H141">
        <v>16.0427</v>
      </c>
      <c r="K141">
        <v>2.6835</v>
      </c>
      <c r="L141">
        <v>7.4764999999999997</v>
      </c>
      <c r="M141">
        <v>0.376</v>
      </c>
      <c r="N141">
        <v>0.18</v>
      </c>
      <c r="O141">
        <v>0.63600000000000001</v>
      </c>
      <c r="P141">
        <v>1.2999999999999999E-2</v>
      </c>
      <c r="Q141">
        <v>1.0999999999999999E-2</v>
      </c>
      <c r="R141">
        <v>0.29620000000000002</v>
      </c>
      <c r="S141">
        <v>0.25059999999999999</v>
      </c>
      <c r="T141">
        <v>3.157</v>
      </c>
      <c r="U141">
        <v>0.34</v>
      </c>
    </row>
    <row r="142" spans="1:21" x14ac:dyDescent="0.25">
      <c r="A142" t="s">
        <v>558</v>
      </c>
      <c r="B142" t="s">
        <v>24</v>
      </c>
      <c r="D142" t="s">
        <v>1137</v>
      </c>
      <c r="E142">
        <v>1.52</v>
      </c>
      <c r="G142">
        <v>2.0579999999999998</v>
      </c>
      <c r="H142">
        <v>12.096</v>
      </c>
      <c r="K142">
        <v>1.8372999999999999</v>
      </c>
      <c r="L142">
        <v>3.8953000000000002</v>
      </c>
      <c r="M142">
        <v>2.3210000000000002</v>
      </c>
      <c r="N142">
        <v>0.29199999999999998</v>
      </c>
      <c r="O142">
        <v>0.56299999999999994</v>
      </c>
      <c r="P142">
        <v>1.0999999999999999E-2</v>
      </c>
      <c r="Q142">
        <v>1.0999999999999999E-2</v>
      </c>
      <c r="R142">
        <v>0.91010000000000002</v>
      </c>
      <c r="S142">
        <v>1.1129</v>
      </c>
      <c r="T142">
        <v>5.8019999999999996</v>
      </c>
      <c r="U142">
        <v>0.53</v>
      </c>
    </row>
    <row r="143" spans="1:21" x14ac:dyDescent="0.25">
      <c r="A143" t="s">
        <v>496</v>
      </c>
      <c r="B143" t="s">
        <v>24</v>
      </c>
      <c r="D143" t="s">
        <v>20</v>
      </c>
      <c r="E143">
        <v>1.57</v>
      </c>
      <c r="G143">
        <v>0.86699999999999999</v>
      </c>
      <c r="H143">
        <v>5.4813000000000001</v>
      </c>
      <c r="K143">
        <v>1.0623</v>
      </c>
      <c r="L143">
        <v>1.9293</v>
      </c>
      <c r="M143">
        <v>0.91600000000000004</v>
      </c>
      <c r="N143">
        <v>4.2000000000000003E-2</v>
      </c>
      <c r="O143">
        <v>0.26900000000000002</v>
      </c>
      <c r="P143">
        <v>1.0999999999999999E-2</v>
      </c>
      <c r="Q143">
        <v>1.0999999999999999E-2</v>
      </c>
      <c r="R143">
        <v>28.770900000000001</v>
      </c>
      <c r="S143">
        <v>22.989100000000001</v>
      </c>
      <c r="T143">
        <v>13.682</v>
      </c>
      <c r="U143">
        <v>0.57999999999999996</v>
      </c>
    </row>
    <row r="144" spans="1:21" x14ac:dyDescent="0.25">
      <c r="A144" t="s">
        <v>491</v>
      </c>
      <c r="B144" t="s">
        <v>24</v>
      </c>
      <c r="D144" t="s">
        <v>25</v>
      </c>
      <c r="E144">
        <v>1.56</v>
      </c>
      <c r="G144">
        <v>1.0469999999999999</v>
      </c>
      <c r="H144">
        <v>11.0227</v>
      </c>
      <c r="K144">
        <v>1.8573999999999999</v>
      </c>
      <c r="L144">
        <v>2.9043999999999999</v>
      </c>
      <c r="M144">
        <v>0.86</v>
      </c>
      <c r="N144">
        <v>0.158</v>
      </c>
      <c r="O144">
        <v>0.63400000000000001</v>
      </c>
      <c r="P144">
        <v>8.0000000000000002E-3</v>
      </c>
      <c r="Q144">
        <v>1.0999999999999999E-2</v>
      </c>
      <c r="R144">
        <v>21.5977</v>
      </c>
      <c r="S144">
        <v>11.388299999999999</v>
      </c>
      <c r="T144">
        <v>0</v>
      </c>
      <c r="U144">
        <v>0</v>
      </c>
    </row>
    <row r="145" spans="1:21" x14ac:dyDescent="0.25">
      <c r="A145" t="s">
        <v>518</v>
      </c>
      <c r="B145" t="s">
        <v>24</v>
      </c>
      <c r="D145" t="s">
        <v>4</v>
      </c>
      <c r="E145">
        <v>2.5499999999999998</v>
      </c>
      <c r="G145">
        <v>1.373</v>
      </c>
      <c r="H145">
        <v>15.3849</v>
      </c>
      <c r="K145">
        <v>2.1528999999999998</v>
      </c>
      <c r="L145">
        <v>3.5259</v>
      </c>
      <c r="M145">
        <v>0.434</v>
      </c>
      <c r="N145">
        <v>2.9000000000000001E-2</v>
      </c>
      <c r="O145">
        <v>0.47799999999999998</v>
      </c>
      <c r="P145">
        <v>1.0999999999999999E-2</v>
      </c>
      <c r="Q145">
        <v>1.0999999999999999E-2</v>
      </c>
      <c r="R145">
        <v>4.4659000000000004</v>
      </c>
      <c r="S145">
        <v>4.9535</v>
      </c>
      <c r="T145">
        <v>0</v>
      </c>
      <c r="U145">
        <v>0</v>
      </c>
    </row>
    <row r="146" spans="1:21" x14ac:dyDescent="0.25">
      <c r="A146" t="s">
        <v>419</v>
      </c>
      <c r="B146" t="s">
        <v>24</v>
      </c>
      <c r="D146" t="s">
        <v>27</v>
      </c>
      <c r="E146">
        <v>3.24</v>
      </c>
      <c r="G146">
        <v>4.3789999999999996</v>
      </c>
      <c r="H146">
        <v>9.6846999999999994</v>
      </c>
      <c r="K146">
        <v>1.5585</v>
      </c>
      <c r="L146">
        <v>5.9375</v>
      </c>
      <c r="M146">
        <v>0.83699999999999997</v>
      </c>
      <c r="N146">
        <v>0.187</v>
      </c>
      <c r="O146">
        <v>0.48199999999999998</v>
      </c>
      <c r="P146">
        <v>1.2999999999999999E-2</v>
      </c>
      <c r="Q146">
        <v>1.0999999999999999E-2</v>
      </c>
      <c r="R146">
        <v>0.2923</v>
      </c>
      <c r="S146">
        <v>0.3831</v>
      </c>
      <c r="T146">
        <v>0.97299999999999998</v>
      </c>
      <c r="U146">
        <v>0.25</v>
      </c>
    </row>
    <row r="147" spans="1:21" x14ac:dyDescent="0.25">
      <c r="A147" t="s">
        <v>647</v>
      </c>
      <c r="B147" t="s">
        <v>24</v>
      </c>
      <c r="D147" t="s">
        <v>34</v>
      </c>
      <c r="E147">
        <v>1.47</v>
      </c>
      <c r="G147">
        <v>1.93</v>
      </c>
      <c r="H147">
        <v>9.1407000000000007</v>
      </c>
      <c r="K147">
        <v>0.84930000000000005</v>
      </c>
      <c r="L147">
        <v>2.7793000000000001</v>
      </c>
      <c r="M147">
        <v>0.42</v>
      </c>
      <c r="N147">
        <v>5.5E-2</v>
      </c>
      <c r="O147">
        <v>0.90700000000000003</v>
      </c>
      <c r="P147">
        <v>1.4E-2</v>
      </c>
      <c r="Q147">
        <v>1.0999999999999999E-2</v>
      </c>
      <c r="R147">
        <v>13.867100000000001</v>
      </c>
      <c r="S147">
        <v>13.468999999999999</v>
      </c>
      <c r="T147">
        <v>0</v>
      </c>
      <c r="U147">
        <v>0</v>
      </c>
    </row>
    <row r="148" spans="1:21" x14ac:dyDescent="0.25">
      <c r="A148" t="s">
        <v>465</v>
      </c>
      <c r="B148" t="s">
        <v>24</v>
      </c>
      <c r="D148" t="s">
        <v>992</v>
      </c>
      <c r="E148" s="9">
        <v>0.97</v>
      </c>
      <c r="G148">
        <v>1.0249999999999999</v>
      </c>
      <c r="H148">
        <v>12.4034</v>
      </c>
      <c r="K148">
        <v>1.9139999999999999</v>
      </c>
      <c r="L148">
        <v>2.9390000000000001</v>
      </c>
      <c r="M148">
        <v>1.839</v>
      </c>
      <c r="N148">
        <v>8.5000000000000006E-2</v>
      </c>
      <c r="O148">
        <v>0.63700000000000001</v>
      </c>
      <c r="P148">
        <v>2.3E-2</v>
      </c>
      <c r="Q148">
        <v>1.0999999999999999E-2</v>
      </c>
      <c r="R148">
        <v>2.9064999999999999</v>
      </c>
      <c r="S148">
        <v>2.4592999999999998</v>
      </c>
      <c r="T148">
        <v>1.5182113821138212E-2</v>
      </c>
    </row>
    <row r="149" spans="1:21" x14ac:dyDescent="0.25">
      <c r="A149" t="s">
        <v>1006</v>
      </c>
      <c r="B149" t="s">
        <v>24</v>
      </c>
      <c r="D149" t="s">
        <v>6</v>
      </c>
      <c r="E149">
        <v>1.61</v>
      </c>
      <c r="G149">
        <v>2.2050000000000001</v>
      </c>
      <c r="H149">
        <v>8.8272999999999993</v>
      </c>
      <c r="K149">
        <v>1.3705000000000001</v>
      </c>
      <c r="L149">
        <v>3.5754999999999999</v>
      </c>
      <c r="M149">
        <v>1.1200000000000001</v>
      </c>
      <c r="N149">
        <v>0.127</v>
      </c>
      <c r="O149">
        <v>0.45200000000000001</v>
      </c>
      <c r="P149">
        <v>3.1E-2</v>
      </c>
      <c r="Q149">
        <v>1.0999999999999999E-2</v>
      </c>
      <c r="R149">
        <v>5.5321999999999996</v>
      </c>
      <c r="S149">
        <v>4.6809000000000003</v>
      </c>
      <c r="T149">
        <v>1.5182113821138212E-2</v>
      </c>
    </row>
    <row r="150" spans="1:21" x14ac:dyDescent="0.25">
      <c r="A150" t="s">
        <v>1007</v>
      </c>
      <c r="B150" t="s">
        <v>24</v>
      </c>
      <c r="D150" t="s">
        <v>4</v>
      </c>
      <c r="E150">
        <v>2.75</v>
      </c>
      <c r="G150">
        <v>2.2749999999999999</v>
      </c>
      <c r="H150">
        <v>10.8104</v>
      </c>
      <c r="K150">
        <v>1.4235</v>
      </c>
      <c r="L150">
        <v>3.6985000000000001</v>
      </c>
      <c r="M150">
        <v>3.3000000000000002E-2</v>
      </c>
      <c r="N150">
        <v>0.216</v>
      </c>
      <c r="O150">
        <v>0.40799999999999997</v>
      </c>
      <c r="P150">
        <v>1.7000000000000001E-2</v>
      </c>
      <c r="Q150">
        <v>1.0999999999999999E-2</v>
      </c>
      <c r="R150">
        <v>1.3465</v>
      </c>
      <c r="S150">
        <v>1.1393</v>
      </c>
      <c r="T150">
        <v>1.5182113821138212E-2</v>
      </c>
    </row>
    <row r="151" spans="1:21" x14ac:dyDescent="0.25">
      <c r="A151" t="s">
        <v>288</v>
      </c>
      <c r="B151" t="s">
        <v>24</v>
      </c>
      <c r="D151" t="s">
        <v>17</v>
      </c>
      <c r="E151">
        <v>2.6</v>
      </c>
      <c r="G151">
        <v>3.1749999999999998</v>
      </c>
      <c r="H151">
        <v>15.3271</v>
      </c>
      <c r="K151">
        <v>3.0708000000000002</v>
      </c>
      <c r="L151">
        <v>6.2458</v>
      </c>
      <c r="M151">
        <v>0.63900000000000001</v>
      </c>
      <c r="N151">
        <v>0.375</v>
      </c>
      <c r="O151">
        <v>0.41099999999999998</v>
      </c>
      <c r="P151">
        <v>7.0000000000000001E-3</v>
      </c>
      <c r="Q151">
        <v>1.0999999999999999E-2</v>
      </c>
      <c r="R151">
        <v>12.4107</v>
      </c>
      <c r="S151">
        <v>11.203900000000001</v>
      </c>
      <c r="T151">
        <v>1.5182113821138212E-2</v>
      </c>
    </row>
    <row r="152" spans="1:21" x14ac:dyDescent="0.25">
      <c r="A152" t="s">
        <v>751</v>
      </c>
      <c r="B152" t="s">
        <v>24</v>
      </c>
      <c r="D152" t="s">
        <v>2</v>
      </c>
      <c r="E152">
        <v>1.1100000000000001</v>
      </c>
      <c r="G152">
        <v>2.149</v>
      </c>
      <c r="H152">
        <v>9.7932000000000006</v>
      </c>
      <c r="K152">
        <v>1.8340000000000001</v>
      </c>
      <c r="L152">
        <v>3.9830000000000001</v>
      </c>
      <c r="M152">
        <v>1.8140000000000001</v>
      </c>
      <c r="N152">
        <v>0.2</v>
      </c>
      <c r="O152">
        <v>0.32600000000000001</v>
      </c>
      <c r="P152">
        <v>1.6E-2</v>
      </c>
      <c r="Q152">
        <v>1.0999999999999999E-2</v>
      </c>
      <c r="R152">
        <v>20.898800000000001</v>
      </c>
      <c r="S152">
        <v>18.6373</v>
      </c>
      <c r="T152">
        <v>2.0430000000000001</v>
      </c>
      <c r="U152">
        <v>0.47</v>
      </c>
    </row>
    <row r="153" spans="1:21" x14ac:dyDescent="0.25">
      <c r="A153" t="s">
        <v>715</v>
      </c>
      <c r="B153" t="s">
        <v>24</v>
      </c>
      <c r="D153" t="s">
        <v>6</v>
      </c>
      <c r="E153">
        <v>1.1499999999999999</v>
      </c>
      <c r="G153">
        <v>1.7370000000000001</v>
      </c>
      <c r="H153">
        <v>10.677099999999999</v>
      </c>
      <c r="K153">
        <v>1.5901000000000001</v>
      </c>
      <c r="L153">
        <v>3.3271000000000002</v>
      </c>
      <c r="M153">
        <v>1.135</v>
      </c>
      <c r="N153">
        <v>0.104</v>
      </c>
      <c r="O153">
        <v>0.64200000000000002</v>
      </c>
      <c r="P153">
        <v>2.4E-2</v>
      </c>
      <c r="Q153">
        <v>1.0999999999999999E-2</v>
      </c>
      <c r="R153">
        <v>3.8961999999999999</v>
      </c>
      <c r="S153">
        <v>3.8256000000000001</v>
      </c>
      <c r="T153">
        <v>0</v>
      </c>
      <c r="U153">
        <v>0</v>
      </c>
    </row>
    <row r="154" spans="1:21" x14ac:dyDescent="0.25">
      <c r="A154" t="s">
        <v>389</v>
      </c>
      <c r="B154" t="s">
        <v>24</v>
      </c>
      <c r="D154" t="s">
        <v>18</v>
      </c>
      <c r="E154">
        <v>3.7</v>
      </c>
      <c r="G154">
        <v>1.8819999999999999</v>
      </c>
      <c r="H154">
        <v>16.256499999999999</v>
      </c>
      <c r="K154">
        <v>3.274</v>
      </c>
      <c r="L154">
        <v>5.1559999999999997</v>
      </c>
      <c r="M154">
        <v>1.6519999999999999</v>
      </c>
      <c r="N154">
        <v>7.8E-2</v>
      </c>
      <c r="O154">
        <v>1.2170000000000001</v>
      </c>
      <c r="P154">
        <v>1.2999999999999999E-2</v>
      </c>
      <c r="Q154">
        <v>1.0999999999999999E-2</v>
      </c>
      <c r="R154">
        <v>38.5959</v>
      </c>
      <c r="S154">
        <v>27.571300000000001</v>
      </c>
      <c r="T154">
        <v>0</v>
      </c>
      <c r="U154">
        <v>0</v>
      </c>
    </row>
    <row r="155" spans="1:21" x14ac:dyDescent="0.25">
      <c r="A155" t="s">
        <v>429</v>
      </c>
      <c r="B155" t="s">
        <v>24</v>
      </c>
      <c r="D155" t="s">
        <v>32</v>
      </c>
      <c r="E155">
        <v>2.35</v>
      </c>
      <c r="G155">
        <v>0.88100000000000001</v>
      </c>
      <c r="H155">
        <v>8.0568000000000008</v>
      </c>
      <c r="K155">
        <v>0.71579999999999999</v>
      </c>
      <c r="L155">
        <v>1.5968</v>
      </c>
      <c r="M155">
        <v>0.20599999999999999</v>
      </c>
      <c r="N155">
        <v>0.214</v>
      </c>
      <c r="O155">
        <v>0.82</v>
      </c>
      <c r="P155">
        <v>1.2999999999999999E-2</v>
      </c>
      <c r="Q155">
        <v>1.0999999999999999E-2</v>
      </c>
      <c r="R155">
        <v>2.8866000000000001</v>
      </c>
      <c r="S155">
        <v>2.6646000000000001</v>
      </c>
      <c r="T155">
        <v>0</v>
      </c>
      <c r="U155">
        <v>0</v>
      </c>
    </row>
    <row r="156" spans="1:21" x14ac:dyDescent="0.25">
      <c r="A156" t="s">
        <v>306</v>
      </c>
      <c r="B156" t="s">
        <v>24</v>
      </c>
      <c r="D156" t="s">
        <v>30</v>
      </c>
      <c r="E156">
        <v>2.96</v>
      </c>
      <c r="G156">
        <v>3.456</v>
      </c>
      <c r="H156">
        <v>21.1767</v>
      </c>
      <c r="K156">
        <v>3.1709999999999998</v>
      </c>
      <c r="L156">
        <v>6.6269999999999998</v>
      </c>
      <c r="M156">
        <v>0.81599999999999995</v>
      </c>
      <c r="N156">
        <v>2.5999999999999999E-2</v>
      </c>
      <c r="O156">
        <v>0.60499999999999998</v>
      </c>
      <c r="P156">
        <v>8.9999999999999993E-3</v>
      </c>
      <c r="Q156">
        <v>1.0999999999999999E-2</v>
      </c>
      <c r="R156">
        <v>37.986400000000003</v>
      </c>
      <c r="S156">
        <v>25.474</v>
      </c>
      <c r="T156">
        <v>1.232</v>
      </c>
      <c r="U156">
        <v>0.5</v>
      </c>
    </row>
    <row r="157" spans="1:21" x14ac:dyDescent="0.25">
      <c r="A157" t="s">
        <v>286</v>
      </c>
      <c r="B157" t="s">
        <v>24</v>
      </c>
      <c r="D157" t="s">
        <v>23</v>
      </c>
      <c r="E157">
        <v>2.82</v>
      </c>
      <c r="G157">
        <v>4.5279999999999996</v>
      </c>
      <c r="H157">
        <v>10.559799999999999</v>
      </c>
      <c r="K157">
        <v>0.76119999999999999</v>
      </c>
      <c r="L157">
        <v>5.2892000000000001</v>
      </c>
      <c r="M157">
        <v>0.29099999999999998</v>
      </c>
      <c r="N157">
        <v>0.155</v>
      </c>
      <c r="O157">
        <v>0.47599999999999998</v>
      </c>
      <c r="P157">
        <v>1.2E-2</v>
      </c>
      <c r="Q157">
        <v>1.0999999999999999E-2</v>
      </c>
      <c r="R157">
        <v>0.2828</v>
      </c>
      <c r="S157">
        <v>0.23930000000000001</v>
      </c>
      <c r="T157">
        <v>0.438</v>
      </c>
      <c r="U157">
        <v>0.55000000000000004</v>
      </c>
    </row>
    <row r="158" spans="1:21" x14ac:dyDescent="0.25">
      <c r="A158" t="s">
        <v>1008</v>
      </c>
      <c r="B158" t="s">
        <v>24</v>
      </c>
      <c r="D158" t="s">
        <v>2</v>
      </c>
      <c r="E158">
        <v>1.87</v>
      </c>
      <c r="G158">
        <v>2.0089999999999999</v>
      </c>
      <c r="H158">
        <v>8.3948999999999998</v>
      </c>
      <c r="K158">
        <v>1.9287000000000001</v>
      </c>
      <c r="L158">
        <v>3.9377</v>
      </c>
      <c r="M158">
        <v>8.6999999999999994E-2</v>
      </c>
      <c r="N158">
        <v>0.48</v>
      </c>
      <c r="O158">
        <v>0.58699999999999997</v>
      </c>
      <c r="P158">
        <v>2.8000000000000001E-2</v>
      </c>
      <c r="Q158">
        <v>1.0999999999999999E-2</v>
      </c>
      <c r="R158">
        <v>3.8220999999999998</v>
      </c>
      <c r="S158">
        <v>2.9506999999999999</v>
      </c>
      <c r="T158">
        <v>20.321000000000002</v>
      </c>
      <c r="U158">
        <v>0.52</v>
      </c>
    </row>
    <row r="159" spans="1:21" x14ac:dyDescent="0.25">
      <c r="A159" t="s">
        <v>580</v>
      </c>
      <c r="B159" t="s">
        <v>24</v>
      </c>
      <c r="D159" t="s">
        <v>11</v>
      </c>
      <c r="E159">
        <v>3.27</v>
      </c>
      <c r="G159">
        <v>3.806</v>
      </c>
      <c r="H159">
        <v>4.9760999999999997</v>
      </c>
      <c r="K159">
        <v>0.61419999999999997</v>
      </c>
      <c r="L159">
        <v>4.4202000000000004</v>
      </c>
      <c r="M159">
        <v>2.7E-2</v>
      </c>
      <c r="N159">
        <v>8.7999999999999995E-2</v>
      </c>
      <c r="O159">
        <v>0.91</v>
      </c>
      <c r="P159">
        <v>1.2999999999999999E-2</v>
      </c>
      <c r="Q159">
        <v>1.0999999999999999E-2</v>
      </c>
      <c r="R159">
        <v>3.0242</v>
      </c>
      <c r="S159">
        <v>3.3321000000000001</v>
      </c>
      <c r="T159">
        <v>4.6349999999999998</v>
      </c>
      <c r="U159">
        <v>0.48</v>
      </c>
    </row>
    <row r="160" spans="1:21" x14ac:dyDescent="0.25">
      <c r="A160" t="s">
        <v>248</v>
      </c>
      <c r="B160" t="s">
        <v>24</v>
      </c>
      <c r="D160" t="s">
        <v>22</v>
      </c>
      <c r="E160">
        <v>2.6</v>
      </c>
      <c r="G160">
        <v>4.9050000000000002</v>
      </c>
      <c r="H160">
        <v>8.7592999999999996</v>
      </c>
      <c r="K160">
        <v>1.1298999999999999</v>
      </c>
      <c r="L160">
        <v>6.0349000000000004</v>
      </c>
      <c r="M160">
        <v>0.41199999999999998</v>
      </c>
      <c r="N160">
        <v>0.22700000000000001</v>
      </c>
      <c r="O160">
        <v>0.36399999999999999</v>
      </c>
      <c r="P160">
        <v>1.2E-2</v>
      </c>
      <c r="Q160">
        <v>1.0999999999999999E-2</v>
      </c>
      <c r="R160">
        <v>0.49509999999999998</v>
      </c>
      <c r="S160">
        <v>0.33300000000000002</v>
      </c>
      <c r="T160">
        <v>-7.5999999999999998E-2</v>
      </c>
      <c r="U160">
        <v>1.32</v>
      </c>
    </row>
    <row r="161" spans="1:21" x14ac:dyDescent="0.25">
      <c r="A161" t="s">
        <v>308</v>
      </c>
      <c r="B161" t="s">
        <v>24</v>
      </c>
      <c r="D161" t="s">
        <v>28</v>
      </c>
      <c r="E161">
        <v>3.13</v>
      </c>
      <c r="G161">
        <v>2.8079999999999998</v>
      </c>
      <c r="H161">
        <v>16.691500000000001</v>
      </c>
      <c r="K161">
        <v>2.0990000000000002</v>
      </c>
      <c r="L161">
        <v>4.907</v>
      </c>
      <c r="M161">
        <v>1.165</v>
      </c>
      <c r="N161">
        <v>0.14499999999999999</v>
      </c>
      <c r="O161">
        <v>0.41199999999999998</v>
      </c>
      <c r="P161">
        <v>0.01</v>
      </c>
      <c r="Q161">
        <v>1.0999999999999999E-2</v>
      </c>
      <c r="R161">
        <v>0.70709999999999995</v>
      </c>
      <c r="S161">
        <v>0.95409999999999995</v>
      </c>
      <c r="T161">
        <v>0</v>
      </c>
      <c r="U161">
        <v>0</v>
      </c>
    </row>
    <row r="162" spans="1:21" x14ac:dyDescent="0.25">
      <c r="A162" t="s">
        <v>527</v>
      </c>
      <c r="B162" t="s">
        <v>24</v>
      </c>
      <c r="D162" t="s">
        <v>21</v>
      </c>
      <c r="E162">
        <v>2.65</v>
      </c>
      <c r="G162">
        <v>1.5069999999999999</v>
      </c>
      <c r="H162">
        <v>10.147600000000001</v>
      </c>
      <c r="K162">
        <v>1.9590000000000001</v>
      </c>
      <c r="L162">
        <v>3.4660000000000002</v>
      </c>
      <c r="M162">
        <v>0.41099999999999998</v>
      </c>
      <c r="N162">
        <v>0.05</v>
      </c>
      <c r="O162">
        <v>0.314</v>
      </c>
      <c r="P162">
        <v>1.2999999999999999E-2</v>
      </c>
      <c r="Q162">
        <v>1.0999999999999999E-2</v>
      </c>
      <c r="R162">
        <v>41.994900000000001</v>
      </c>
      <c r="S162">
        <v>17.278400000000001</v>
      </c>
      <c r="T162">
        <v>18.754000000000001</v>
      </c>
      <c r="U162">
        <v>0.53</v>
      </c>
    </row>
    <row r="163" spans="1:21" x14ac:dyDescent="0.25">
      <c r="A163" t="s">
        <v>985</v>
      </c>
      <c r="B163" t="s">
        <v>24</v>
      </c>
      <c r="D163" t="s">
        <v>10</v>
      </c>
      <c r="E163">
        <v>1.18</v>
      </c>
      <c r="G163">
        <v>2.1829999999999998</v>
      </c>
      <c r="H163">
        <v>7.2224000000000004</v>
      </c>
      <c r="K163">
        <v>1.2878000000000001</v>
      </c>
      <c r="L163">
        <v>3.4708000000000001</v>
      </c>
      <c r="M163">
        <v>1.113</v>
      </c>
      <c r="N163">
        <v>0.127</v>
      </c>
      <c r="O163">
        <v>0.42599999999999999</v>
      </c>
      <c r="P163">
        <v>2.3E-2</v>
      </c>
      <c r="Q163">
        <v>1.0999999999999999E-2</v>
      </c>
      <c r="R163">
        <v>13.1759</v>
      </c>
      <c r="S163">
        <v>9.4040999999999997</v>
      </c>
      <c r="T163">
        <v>0</v>
      </c>
      <c r="U163">
        <v>0</v>
      </c>
    </row>
    <row r="164" spans="1:21" x14ac:dyDescent="0.25">
      <c r="A164" t="s">
        <v>510</v>
      </c>
      <c r="B164" t="s">
        <v>24</v>
      </c>
      <c r="D164" t="s">
        <v>87</v>
      </c>
      <c r="E164">
        <v>2.4500000000000002</v>
      </c>
      <c r="G164">
        <v>2.056</v>
      </c>
      <c r="H164">
        <v>7.1538000000000004</v>
      </c>
      <c r="K164">
        <v>1.5371999999999999</v>
      </c>
      <c r="L164">
        <v>3.5931999999999999</v>
      </c>
      <c r="M164">
        <v>1.054</v>
      </c>
      <c r="N164">
        <v>0.11600000000000001</v>
      </c>
      <c r="O164">
        <v>0.219</v>
      </c>
      <c r="P164">
        <v>0.01</v>
      </c>
      <c r="Q164">
        <v>1.0999999999999999E-2</v>
      </c>
      <c r="R164">
        <v>1.4684999999999999</v>
      </c>
      <c r="S164">
        <v>1.4052</v>
      </c>
      <c r="T164">
        <v>0.504</v>
      </c>
      <c r="U164">
        <v>0.54</v>
      </c>
    </row>
    <row r="165" spans="1:21" x14ac:dyDescent="0.25">
      <c r="A165" t="s">
        <v>476</v>
      </c>
      <c r="B165" t="s">
        <v>24</v>
      </c>
      <c r="D165" t="s">
        <v>4</v>
      </c>
      <c r="E165">
        <v>0.94</v>
      </c>
      <c r="G165">
        <v>1.7829999999999999</v>
      </c>
      <c r="H165">
        <v>7.7366999999999999</v>
      </c>
      <c r="K165">
        <v>1.1859999999999999</v>
      </c>
      <c r="L165">
        <v>2.9689999999999999</v>
      </c>
      <c r="M165">
        <v>0.96599999999999997</v>
      </c>
      <c r="N165">
        <v>9.4E-2</v>
      </c>
      <c r="O165">
        <v>0.84399999999999997</v>
      </c>
      <c r="P165">
        <v>1.6E-2</v>
      </c>
      <c r="Q165">
        <v>1.0999999999999999E-2</v>
      </c>
      <c r="R165">
        <v>2.0266000000000002</v>
      </c>
      <c r="S165">
        <v>2.4990999999999999</v>
      </c>
      <c r="T165">
        <v>0.49399999999999999</v>
      </c>
      <c r="U165">
        <v>0.21</v>
      </c>
    </row>
    <row r="166" spans="1:21" x14ac:dyDescent="0.25">
      <c r="A166" t="s">
        <v>484</v>
      </c>
      <c r="B166" t="s">
        <v>24</v>
      </c>
      <c r="D166" t="s">
        <v>14</v>
      </c>
      <c r="E166">
        <v>2.93</v>
      </c>
      <c r="G166">
        <v>3.6579999999999999</v>
      </c>
      <c r="H166">
        <v>12.016</v>
      </c>
      <c r="K166">
        <v>2.0491000000000001</v>
      </c>
      <c r="L166">
        <v>5.7070999999999996</v>
      </c>
      <c r="M166">
        <v>-4.4999999999999998E-2</v>
      </c>
      <c r="N166">
        <v>3.2000000000000001E-2</v>
      </c>
      <c r="O166">
        <v>0.48199999999999998</v>
      </c>
      <c r="P166">
        <v>1.2999999999999999E-2</v>
      </c>
      <c r="Q166">
        <v>1.0999999999999999E-2</v>
      </c>
      <c r="R166">
        <v>0.33610000000000001</v>
      </c>
      <c r="S166">
        <v>0.3513</v>
      </c>
      <c r="T166">
        <v>1.661</v>
      </c>
      <c r="U166">
        <v>0.37</v>
      </c>
    </row>
    <row r="167" spans="1:21" x14ac:dyDescent="0.25">
      <c r="A167" t="s">
        <v>461</v>
      </c>
      <c r="B167" t="s">
        <v>24</v>
      </c>
      <c r="D167" t="s">
        <v>6</v>
      </c>
      <c r="E167">
        <v>1.71</v>
      </c>
      <c r="G167">
        <v>0.48699999999999999</v>
      </c>
      <c r="H167">
        <v>10.8932</v>
      </c>
      <c r="K167">
        <v>1.1249</v>
      </c>
      <c r="L167">
        <v>1.6119000000000001</v>
      </c>
      <c r="M167">
        <v>3.1419999999999999</v>
      </c>
      <c r="N167">
        <v>4.5999999999999999E-2</v>
      </c>
      <c r="O167">
        <v>1.0409999999999999</v>
      </c>
      <c r="P167">
        <v>1.2999999999999999E-2</v>
      </c>
      <c r="Q167">
        <v>1.0999999999999999E-2</v>
      </c>
      <c r="R167">
        <v>1.8083</v>
      </c>
      <c r="S167">
        <v>1.8596999999999999</v>
      </c>
      <c r="T167">
        <v>0</v>
      </c>
      <c r="U167">
        <v>0</v>
      </c>
    </row>
    <row r="168" spans="1:21" x14ac:dyDescent="0.25">
      <c r="A168" t="s">
        <v>677</v>
      </c>
      <c r="B168" t="s">
        <v>24</v>
      </c>
      <c r="D168" t="s">
        <v>20</v>
      </c>
      <c r="E168">
        <v>1.34</v>
      </c>
      <c r="G168">
        <v>3.2149999999999999</v>
      </c>
      <c r="H168">
        <v>6.4065000000000003</v>
      </c>
      <c r="K168">
        <v>0.89780000000000004</v>
      </c>
      <c r="L168">
        <v>4.1128</v>
      </c>
      <c r="M168">
        <v>-1.7999999999999999E-2</v>
      </c>
      <c r="N168">
        <v>7.0999999999999994E-2</v>
      </c>
      <c r="O168">
        <v>0.26400000000000001</v>
      </c>
      <c r="P168">
        <v>1.6E-2</v>
      </c>
      <c r="Q168">
        <v>1.0999999999999999E-2</v>
      </c>
      <c r="R168">
        <v>3.5981999999999998</v>
      </c>
      <c r="S168">
        <v>5.5250000000000004</v>
      </c>
      <c r="T168">
        <v>0.29799999999999999</v>
      </c>
      <c r="U168">
        <v>-0.48</v>
      </c>
    </row>
    <row r="169" spans="1:21" x14ac:dyDescent="0.25">
      <c r="A169" t="s">
        <v>784</v>
      </c>
      <c r="B169" t="s">
        <v>24</v>
      </c>
      <c r="D169" t="s">
        <v>14</v>
      </c>
      <c r="E169">
        <v>1.22</v>
      </c>
      <c r="G169">
        <v>2.008</v>
      </c>
      <c r="H169">
        <v>9.6702999999999992</v>
      </c>
      <c r="K169">
        <v>1.1970000000000001</v>
      </c>
      <c r="L169">
        <v>3.2050000000000001</v>
      </c>
      <c r="M169">
        <v>0.28599999999999998</v>
      </c>
      <c r="N169">
        <v>0.13100000000000001</v>
      </c>
      <c r="O169">
        <v>0.46</v>
      </c>
      <c r="P169">
        <v>0.03</v>
      </c>
      <c r="Q169">
        <v>1.0999999999999999E-2</v>
      </c>
      <c r="R169">
        <v>5.8446999999999996</v>
      </c>
      <c r="S169">
        <v>4.9454000000000002</v>
      </c>
      <c r="T169">
        <v>0</v>
      </c>
      <c r="U169">
        <v>0</v>
      </c>
    </row>
    <row r="170" spans="1:21" x14ac:dyDescent="0.25">
      <c r="A170" t="s">
        <v>328</v>
      </c>
      <c r="B170" t="s">
        <v>24</v>
      </c>
      <c r="D170" t="s">
        <v>15</v>
      </c>
      <c r="E170">
        <v>3.2</v>
      </c>
      <c r="G170">
        <v>2.927</v>
      </c>
      <c r="H170">
        <v>14.1067</v>
      </c>
      <c r="K170">
        <v>2.2583000000000002</v>
      </c>
      <c r="L170">
        <v>5.1852999999999998</v>
      </c>
      <c r="M170">
        <v>0.11600000000000001</v>
      </c>
      <c r="N170">
        <v>0.16200000000000001</v>
      </c>
      <c r="O170">
        <v>0.33400000000000002</v>
      </c>
      <c r="P170">
        <v>1.2999999999999999E-2</v>
      </c>
      <c r="Q170">
        <v>1.0999999999999999E-2</v>
      </c>
      <c r="R170">
        <v>10.1851</v>
      </c>
      <c r="S170">
        <v>7.3122999999999996</v>
      </c>
      <c r="T170">
        <v>0</v>
      </c>
      <c r="U170">
        <v>0</v>
      </c>
    </row>
    <row r="171" spans="1:21" x14ac:dyDescent="0.25">
      <c r="A171" t="s">
        <v>883</v>
      </c>
      <c r="B171" t="s">
        <v>24</v>
      </c>
      <c r="D171" t="s">
        <v>2</v>
      </c>
      <c r="E171">
        <v>2.4700000000000002</v>
      </c>
      <c r="G171">
        <v>1.42</v>
      </c>
      <c r="H171">
        <v>9.0385000000000009</v>
      </c>
      <c r="K171">
        <v>1.7686999999999999</v>
      </c>
      <c r="L171">
        <v>3.1886999999999999</v>
      </c>
      <c r="M171">
        <v>0.52700000000000002</v>
      </c>
      <c r="N171">
        <v>0.24</v>
      </c>
      <c r="O171">
        <v>0.29199999999999998</v>
      </c>
      <c r="P171">
        <v>1.2999999999999999E-2</v>
      </c>
      <c r="Q171">
        <v>1.0999999999999999E-2</v>
      </c>
      <c r="R171">
        <v>13.0184</v>
      </c>
      <c r="S171">
        <v>13.8245</v>
      </c>
      <c r="T171">
        <v>24.361999999999998</v>
      </c>
      <c r="U171">
        <v>0.59</v>
      </c>
    </row>
    <row r="172" spans="1:21" x14ac:dyDescent="0.25">
      <c r="A172" t="s">
        <v>884</v>
      </c>
      <c r="B172" t="s">
        <v>24</v>
      </c>
      <c r="D172" t="s">
        <v>8</v>
      </c>
      <c r="E172">
        <v>3.6</v>
      </c>
      <c r="G172">
        <v>5.5389999999999997</v>
      </c>
      <c r="H172">
        <v>13.7867</v>
      </c>
      <c r="K172">
        <v>2.0535999999999999</v>
      </c>
      <c r="L172">
        <v>7.5926</v>
      </c>
      <c r="M172">
        <v>0.89300000000000002</v>
      </c>
      <c r="N172">
        <v>0.22500000000000001</v>
      </c>
      <c r="O172">
        <v>0.42099999999999999</v>
      </c>
      <c r="P172">
        <v>7.5999999999999998E-2</v>
      </c>
      <c r="Q172">
        <v>1.0999999999999999E-2</v>
      </c>
      <c r="R172">
        <v>24.3949</v>
      </c>
      <c r="S172">
        <v>13.5129</v>
      </c>
      <c r="T172">
        <v>0</v>
      </c>
      <c r="U172">
        <v>0</v>
      </c>
    </row>
    <row r="173" spans="1:21" x14ac:dyDescent="0.25">
      <c r="A173" t="s">
        <v>629</v>
      </c>
      <c r="B173" t="s">
        <v>24</v>
      </c>
      <c r="D173" t="s">
        <v>21</v>
      </c>
      <c r="E173">
        <v>1.24</v>
      </c>
      <c r="G173">
        <v>2.105</v>
      </c>
      <c r="H173">
        <v>10.2921</v>
      </c>
      <c r="K173">
        <v>1.641</v>
      </c>
      <c r="L173">
        <v>3.746</v>
      </c>
      <c r="M173">
        <v>0.27500000000000002</v>
      </c>
      <c r="N173">
        <v>0.13</v>
      </c>
      <c r="O173">
        <v>0.78500000000000003</v>
      </c>
      <c r="P173">
        <v>0.03</v>
      </c>
      <c r="Q173">
        <v>1.0999999999999999E-2</v>
      </c>
      <c r="R173">
        <v>11.2607</v>
      </c>
      <c r="S173">
        <v>9.8507999999999996</v>
      </c>
      <c r="T173">
        <v>0</v>
      </c>
      <c r="U173">
        <v>0</v>
      </c>
    </row>
    <row r="174" spans="1:21" x14ac:dyDescent="0.25">
      <c r="A174" t="s">
        <v>862</v>
      </c>
      <c r="B174" t="s">
        <v>24</v>
      </c>
      <c r="D174" t="s">
        <v>6</v>
      </c>
      <c r="E174">
        <v>3.01</v>
      </c>
      <c r="G174">
        <v>2.57</v>
      </c>
      <c r="H174">
        <v>7.8994999999999997</v>
      </c>
      <c r="K174">
        <v>1.3259000000000001</v>
      </c>
      <c r="L174">
        <v>3.4138999999999999</v>
      </c>
      <c r="M174">
        <v>1.2130000000000001</v>
      </c>
      <c r="N174">
        <v>5.8999999999999997E-2</v>
      </c>
      <c r="O174">
        <v>1.4370000000000001</v>
      </c>
      <c r="P174">
        <v>0.122</v>
      </c>
      <c r="Q174">
        <v>1.0999999999999999E-2</v>
      </c>
      <c r="R174">
        <v>1.2490000000000001</v>
      </c>
      <c r="S174">
        <v>1.0568</v>
      </c>
      <c r="T174">
        <v>0</v>
      </c>
      <c r="U174">
        <v>0</v>
      </c>
    </row>
    <row r="175" spans="1:21" x14ac:dyDescent="0.25">
      <c r="A175" t="s">
        <v>738</v>
      </c>
      <c r="B175" t="s">
        <v>24</v>
      </c>
      <c r="D175" t="s">
        <v>23</v>
      </c>
      <c r="E175">
        <v>0.15</v>
      </c>
      <c r="G175">
        <v>1.734</v>
      </c>
      <c r="H175">
        <v>7.8540999999999999</v>
      </c>
      <c r="K175">
        <v>1.1309</v>
      </c>
      <c r="L175">
        <v>2.8649</v>
      </c>
      <c r="M175">
        <v>0.33300000000000002</v>
      </c>
      <c r="N175">
        <v>0.13300000000000001</v>
      </c>
      <c r="O175">
        <v>0.45300000000000001</v>
      </c>
      <c r="P175">
        <v>2.5000000000000001E-2</v>
      </c>
      <c r="Q175">
        <v>1.0999999999999999E-2</v>
      </c>
      <c r="R175">
        <v>6.9725999999999999</v>
      </c>
      <c r="S175">
        <v>6.6162999999999998</v>
      </c>
      <c r="T175">
        <v>16.427</v>
      </c>
      <c r="U175">
        <v>0.55000000000000004</v>
      </c>
    </row>
    <row r="176" spans="1:21" x14ac:dyDescent="0.25">
      <c r="A176" t="s">
        <v>1009</v>
      </c>
      <c r="B176" t="s">
        <v>24</v>
      </c>
      <c r="D176" t="s">
        <v>7</v>
      </c>
      <c r="E176">
        <v>1.76</v>
      </c>
      <c r="G176">
        <v>2.633</v>
      </c>
      <c r="H176">
        <v>6.8605</v>
      </c>
      <c r="K176">
        <v>1.3805000000000001</v>
      </c>
      <c r="L176">
        <v>4.0134999999999996</v>
      </c>
      <c r="M176">
        <v>0.98099999999999998</v>
      </c>
      <c r="N176">
        <v>8.7999999999999995E-2</v>
      </c>
      <c r="O176">
        <v>0.307</v>
      </c>
      <c r="P176">
        <v>1.9E-2</v>
      </c>
      <c r="Q176">
        <v>1.0999999999999999E-2</v>
      </c>
      <c r="R176">
        <v>6.6654999999999998</v>
      </c>
      <c r="S176">
        <v>12.236700000000001</v>
      </c>
      <c r="T176">
        <v>0</v>
      </c>
      <c r="U176">
        <v>0</v>
      </c>
    </row>
    <row r="177" spans="1:21" x14ac:dyDescent="0.25">
      <c r="A177" t="s">
        <v>725</v>
      </c>
      <c r="B177" t="s">
        <v>24</v>
      </c>
      <c r="D177" t="s">
        <v>10</v>
      </c>
      <c r="E177">
        <v>1.39</v>
      </c>
      <c r="G177">
        <v>1.1619999999999999</v>
      </c>
      <c r="H177">
        <v>4.4259000000000004</v>
      </c>
      <c r="K177">
        <v>0.85729999999999995</v>
      </c>
      <c r="L177">
        <v>2.0192999999999999</v>
      </c>
      <c r="M177">
        <v>0.02</v>
      </c>
      <c r="N177">
        <v>0.20799999999999999</v>
      </c>
      <c r="O177">
        <v>0.71199999999999997</v>
      </c>
      <c r="P177">
        <v>1.4999999999999999E-2</v>
      </c>
      <c r="Q177">
        <v>1.0999999999999999E-2</v>
      </c>
      <c r="R177">
        <v>0.97440000000000004</v>
      </c>
      <c r="S177">
        <v>1.3225</v>
      </c>
      <c r="T177">
        <v>0</v>
      </c>
      <c r="U177">
        <v>0</v>
      </c>
    </row>
    <row r="178" spans="1:21" x14ac:dyDescent="0.25">
      <c r="A178" t="s">
        <v>455</v>
      </c>
      <c r="B178" t="s">
        <v>24</v>
      </c>
      <c r="D178" t="s">
        <v>87</v>
      </c>
      <c r="E178">
        <v>1.95</v>
      </c>
      <c r="G178">
        <v>1.8280000000000001</v>
      </c>
      <c r="H178">
        <v>7.3270999999999997</v>
      </c>
      <c r="K178">
        <v>1.2141999999999999</v>
      </c>
      <c r="L178">
        <v>3.0421999999999998</v>
      </c>
      <c r="M178">
        <v>1.0660000000000001</v>
      </c>
      <c r="N178">
        <v>0.152</v>
      </c>
      <c r="O178">
        <v>0.72699999999999998</v>
      </c>
      <c r="P178">
        <v>1.4999999999999999E-2</v>
      </c>
      <c r="Q178">
        <v>1.0999999999999999E-2</v>
      </c>
      <c r="R178">
        <v>3.6454</v>
      </c>
      <c r="S178">
        <v>2.3519999999999999</v>
      </c>
      <c r="T178">
        <v>0</v>
      </c>
      <c r="U178">
        <v>0</v>
      </c>
    </row>
    <row r="179" spans="1:21" x14ac:dyDescent="0.25">
      <c r="A179" t="s">
        <v>604</v>
      </c>
      <c r="B179" t="s">
        <v>24</v>
      </c>
      <c r="D179" t="s">
        <v>14</v>
      </c>
      <c r="E179">
        <v>0.81</v>
      </c>
      <c r="G179">
        <v>1.179</v>
      </c>
      <c r="H179">
        <v>8.1782000000000004</v>
      </c>
      <c r="K179">
        <v>0.91979999999999995</v>
      </c>
      <c r="L179">
        <v>2.0988000000000002</v>
      </c>
      <c r="M179">
        <v>0.67600000000000005</v>
      </c>
      <c r="N179">
        <v>6.3E-2</v>
      </c>
      <c r="O179">
        <v>0.48</v>
      </c>
      <c r="P179">
        <v>1.4E-2</v>
      </c>
      <c r="Q179">
        <v>1.0999999999999999E-2</v>
      </c>
      <c r="R179">
        <v>0.80059999999999998</v>
      </c>
      <c r="S179">
        <v>0.85760000000000003</v>
      </c>
      <c r="T179">
        <v>0</v>
      </c>
      <c r="U179">
        <v>0</v>
      </c>
    </row>
    <row r="180" spans="1:21" x14ac:dyDescent="0.25">
      <c r="A180" t="s">
        <v>859</v>
      </c>
      <c r="B180" t="s">
        <v>24</v>
      </c>
      <c r="D180" t="s">
        <v>23</v>
      </c>
      <c r="E180">
        <v>2.34</v>
      </c>
      <c r="G180">
        <v>1.556</v>
      </c>
      <c r="H180">
        <v>10.8727</v>
      </c>
      <c r="K180">
        <v>1.2189000000000001</v>
      </c>
      <c r="L180">
        <v>2.7749000000000001</v>
      </c>
      <c r="M180">
        <v>0.41699999999999998</v>
      </c>
      <c r="N180">
        <v>6.9000000000000006E-2</v>
      </c>
      <c r="O180">
        <v>0.65</v>
      </c>
      <c r="P180">
        <v>1.7999999999999999E-2</v>
      </c>
      <c r="Q180">
        <v>1.0999999999999999E-2</v>
      </c>
      <c r="R180">
        <v>3.0543999999999998</v>
      </c>
      <c r="S180">
        <v>3.4674999999999998</v>
      </c>
      <c r="T180">
        <v>0</v>
      </c>
      <c r="U180">
        <v>0</v>
      </c>
    </row>
    <row r="181" spans="1:21" x14ac:dyDescent="0.25">
      <c r="A181" t="s">
        <v>276</v>
      </c>
      <c r="B181" t="s">
        <v>24</v>
      </c>
      <c r="D181" t="s">
        <v>26</v>
      </c>
      <c r="E181">
        <v>3.04</v>
      </c>
      <c r="G181">
        <v>4.5119999999999996</v>
      </c>
      <c r="H181">
        <v>13.728199999999999</v>
      </c>
      <c r="K181">
        <v>2.1120999999999999</v>
      </c>
      <c r="L181">
        <v>6.6241000000000003</v>
      </c>
      <c r="M181">
        <v>0.91500000000000004</v>
      </c>
      <c r="N181">
        <v>0.16300000000000001</v>
      </c>
      <c r="O181">
        <v>0.91200000000000003</v>
      </c>
      <c r="P181">
        <v>1.2999999999999999E-2</v>
      </c>
      <c r="Q181">
        <v>1.0999999999999999E-2</v>
      </c>
      <c r="R181">
        <v>0.30149999999999999</v>
      </c>
      <c r="S181">
        <v>0.25509999999999999</v>
      </c>
      <c r="T181">
        <v>0</v>
      </c>
      <c r="U181">
        <v>0</v>
      </c>
    </row>
    <row r="182" spans="1:21" x14ac:dyDescent="0.25">
      <c r="A182" t="s">
        <v>550</v>
      </c>
      <c r="B182" t="s">
        <v>24</v>
      </c>
      <c r="D182" t="s">
        <v>14</v>
      </c>
      <c r="E182">
        <v>1.61</v>
      </c>
      <c r="G182">
        <v>1.88</v>
      </c>
      <c r="H182">
        <v>8.3331999999999997</v>
      </c>
      <c r="K182">
        <v>0.90359999999999996</v>
      </c>
      <c r="L182">
        <v>2.7835999999999999</v>
      </c>
      <c r="M182">
        <v>0.28999999999999998</v>
      </c>
      <c r="N182">
        <v>4.1000000000000002E-2</v>
      </c>
      <c r="O182">
        <v>0.41199999999999998</v>
      </c>
      <c r="P182">
        <v>1.0999999999999999E-2</v>
      </c>
      <c r="Q182">
        <v>1.0999999999999999E-2</v>
      </c>
      <c r="R182">
        <v>19.514700000000001</v>
      </c>
      <c r="S182">
        <v>16.071100000000001</v>
      </c>
      <c r="T182">
        <v>0</v>
      </c>
      <c r="U182">
        <v>0</v>
      </c>
    </row>
    <row r="183" spans="1:21" x14ac:dyDescent="0.25">
      <c r="A183" t="s">
        <v>622</v>
      </c>
      <c r="B183" t="s">
        <v>24</v>
      </c>
      <c r="D183" t="s">
        <v>33</v>
      </c>
      <c r="E183">
        <v>1.06</v>
      </c>
      <c r="G183">
        <v>2.3820000000000001</v>
      </c>
      <c r="H183">
        <v>12.6309</v>
      </c>
      <c r="K183">
        <v>1.2846</v>
      </c>
      <c r="L183">
        <v>3.6665999999999999</v>
      </c>
      <c r="M183">
        <v>0.51</v>
      </c>
      <c r="N183">
        <v>7.9000000000000001E-2</v>
      </c>
      <c r="O183">
        <v>1.038</v>
      </c>
      <c r="P183">
        <v>1.4999999999999999E-2</v>
      </c>
      <c r="Q183">
        <v>1.0999999999999999E-2</v>
      </c>
      <c r="R183">
        <v>1.0701000000000001</v>
      </c>
      <c r="S183">
        <v>3.3424999999999998</v>
      </c>
      <c r="T183">
        <v>0</v>
      </c>
      <c r="U183">
        <v>0</v>
      </c>
    </row>
    <row r="184" spans="1:21" x14ac:dyDescent="0.25">
      <c r="A184" t="s">
        <v>756</v>
      </c>
      <c r="B184" t="s">
        <v>24</v>
      </c>
      <c r="D184" t="s">
        <v>9</v>
      </c>
      <c r="E184">
        <v>1.28</v>
      </c>
      <c r="G184">
        <v>2.1339999999999999</v>
      </c>
      <c r="H184">
        <v>8.5954999999999995</v>
      </c>
      <c r="K184">
        <v>1.3393999999999999</v>
      </c>
      <c r="L184">
        <v>3.4733999999999998</v>
      </c>
      <c r="M184">
        <v>1.3859999999999999</v>
      </c>
      <c r="N184">
        <v>0.13400000000000001</v>
      </c>
      <c r="O184">
        <v>0.47599999999999998</v>
      </c>
      <c r="P184">
        <v>3.2000000000000001E-2</v>
      </c>
      <c r="Q184">
        <v>1.0999999999999999E-2</v>
      </c>
      <c r="R184">
        <v>10.9156</v>
      </c>
      <c r="S184">
        <v>10.586</v>
      </c>
      <c r="T184">
        <v>16.256</v>
      </c>
      <c r="U184">
        <v>0.54</v>
      </c>
    </row>
    <row r="185" spans="1:21" x14ac:dyDescent="0.25">
      <c r="A185" t="s">
        <v>1010</v>
      </c>
      <c r="B185" t="s">
        <v>24</v>
      </c>
      <c r="D185" t="s">
        <v>7</v>
      </c>
      <c r="E185">
        <v>1.5</v>
      </c>
      <c r="G185">
        <v>2.3820000000000001</v>
      </c>
      <c r="H185">
        <v>9.5144000000000002</v>
      </c>
      <c r="K185">
        <v>1.4839</v>
      </c>
      <c r="L185">
        <v>3.8658999999999999</v>
      </c>
      <c r="M185">
        <v>0.28000000000000003</v>
      </c>
      <c r="N185">
        <v>0.13</v>
      </c>
      <c r="O185">
        <v>0.78900000000000003</v>
      </c>
      <c r="P185">
        <v>3.1E-2</v>
      </c>
      <c r="Q185">
        <v>1.0999999999999999E-2</v>
      </c>
      <c r="R185">
        <v>5.7885</v>
      </c>
      <c r="S185">
        <v>4.8978000000000002</v>
      </c>
      <c r="T185">
        <v>0.23100000000000001</v>
      </c>
      <c r="U185">
        <v>0.75</v>
      </c>
    </row>
    <row r="186" spans="1:21" x14ac:dyDescent="0.25">
      <c r="A186" t="s">
        <v>585</v>
      </c>
      <c r="B186" t="s">
        <v>24</v>
      </c>
      <c r="D186" t="s">
        <v>6</v>
      </c>
      <c r="E186">
        <v>3.39</v>
      </c>
      <c r="G186">
        <v>2.1520000000000001</v>
      </c>
      <c r="H186">
        <v>6.5260999999999996</v>
      </c>
      <c r="K186">
        <v>1.2892999999999999</v>
      </c>
      <c r="L186">
        <v>3.4413</v>
      </c>
      <c r="M186">
        <v>0.8</v>
      </c>
      <c r="N186">
        <v>0.23799999999999999</v>
      </c>
      <c r="O186">
        <v>0.54500000000000004</v>
      </c>
      <c r="P186">
        <v>1.9E-2</v>
      </c>
      <c r="Q186">
        <v>1.0999999999999999E-2</v>
      </c>
      <c r="R186">
        <v>2.6596000000000002</v>
      </c>
      <c r="S186">
        <v>3.6856</v>
      </c>
      <c r="T186">
        <v>-5.1999999999999998E-2</v>
      </c>
      <c r="U186">
        <v>0.4</v>
      </c>
    </row>
    <row r="187" spans="1:21" x14ac:dyDescent="0.25">
      <c r="A187" t="s">
        <v>268</v>
      </c>
      <c r="B187" t="s">
        <v>24</v>
      </c>
      <c r="D187" t="s">
        <v>18</v>
      </c>
      <c r="E187">
        <v>4.03</v>
      </c>
      <c r="G187">
        <v>5.4530000000000003</v>
      </c>
      <c r="H187">
        <v>18.661300000000001</v>
      </c>
      <c r="K187">
        <v>3.4586000000000001</v>
      </c>
      <c r="L187">
        <v>8.9116</v>
      </c>
      <c r="M187">
        <v>0.53400000000000003</v>
      </c>
      <c r="N187">
        <v>0.13600000000000001</v>
      </c>
      <c r="O187">
        <v>0.373</v>
      </c>
      <c r="P187">
        <v>1.2999999999999999E-2</v>
      </c>
      <c r="Q187">
        <v>1.0999999999999999E-2</v>
      </c>
      <c r="R187">
        <v>0.27560000000000001</v>
      </c>
      <c r="S187">
        <v>0.24510000000000001</v>
      </c>
      <c r="T187">
        <v>21.821999999999999</v>
      </c>
      <c r="U187">
        <v>0.62</v>
      </c>
    </row>
    <row r="188" spans="1:21" x14ac:dyDescent="0.25">
      <c r="A188" t="s">
        <v>860</v>
      </c>
      <c r="B188" t="s">
        <v>24</v>
      </c>
      <c r="D188" t="s">
        <v>23</v>
      </c>
      <c r="E188">
        <v>2.59</v>
      </c>
      <c r="G188">
        <v>1.123</v>
      </c>
      <c r="H188">
        <v>13.9198</v>
      </c>
      <c r="K188">
        <v>2.4748000000000001</v>
      </c>
      <c r="L188">
        <v>3.5977999999999999</v>
      </c>
      <c r="M188">
        <v>1.115</v>
      </c>
      <c r="N188">
        <v>5.1999999999999998E-2</v>
      </c>
      <c r="O188">
        <v>0.44800000000000001</v>
      </c>
      <c r="P188">
        <v>1.7000000000000001E-2</v>
      </c>
      <c r="Q188">
        <v>1.0999999999999999E-2</v>
      </c>
      <c r="R188">
        <v>2.1926000000000001</v>
      </c>
      <c r="S188">
        <v>2.3593999999999999</v>
      </c>
      <c r="T188">
        <v>0.64600000000000002</v>
      </c>
      <c r="U188">
        <v>0.45</v>
      </c>
    </row>
    <row r="189" spans="1:21" x14ac:dyDescent="0.25">
      <c r="A189" t="s">
        <v>258</v>
      </c>
      <c r="B189" t="s">
        <v>24</v>
      </c>
      <c r="D189" t="s">
        <v>9</v>
      </c>
      <c r="E189">
        <v>3.31</v>
      </c>
      <c r="G189">
        <v>3.9119999999999999</v>
      </c>
      <c r="H189">
        <v>14.607699999999999</v>
      </c>
      <c r="K189">
        <v>1.4890000000000001</v>
      </c>
      <c r="L189">
        <v>5.4009999999999998</v>
      </c>
      <c r="M189">
        <v>0.106</v>
      </c>
      <c r="N189">
        <v>0.17100000000000001</v>
      </c>
      <c r="O189">
        <v>0.35</v>
      </c>
      <c r="P189">
        <v>1.2999999999999999E-2</v>
      </c>
      <c r="Q189">
        <v>1.0999999999999999E-2</v>
      </c>
      <c r="R189">
        <v>0.2646</v>
      </c>
      <c r="S189">
        <v>0.22389999999999999</v>
      </c>
      <c r="T189">
        <v>0</v>
      </c>
      <c r="U189">
        <v>0</v>
      </c>
    </row>
    <row r="190" spans="1:21" x14ac:dyDescent="0.25">
      <c r="A190" t="s">
        <v>650</v>
      </c>
      <c r="B190" t="s">
        <v>24</v>
      </c>
      <c r="D190" t="s">
        <v>36</v>
      </c>
      <c r="E190">
        <v>1.1100000000000001</v>
      </c>
      <c r="G190">
        <v>1.6970000000000001</v>
      </c>
      <c r="H190">
        <v>9.7969000000000008</v>
      </c>
      <c r="K190">
        <v>1.8038000000000001</v>
      </c>
      <c r="L190">
        <v>3.5007999999999999</v>
      </c>
      <c r="M190">
        <v>0.37</v>
      </c>
      <c r="N190">
        <v>0.16800000000000001</v>
      </c>
      <c r="O190">
        <v>0.626</v>
      </c>
      <c r="P190">
        <v>8.0000000000000002E-3</v>
      </c>
      <c r="Q190">
        <v>1.0999999999999999E-2</v>
      </c>
      <c r="R190">
        <v>10.345800000000001</v>
      </c>
      <c r="S190">
        <v>9.8838000000000008</v>
      </c>
      <c r="T190">
        <v>0.129</v>
      </c>
      <c r="U190">
        <v>0.64</v>
      </c>
    </row>
    <row r="191" spans="1:21" x14ac:dyDescent="0.25">
      <c r="A191" t="s">
        <v>504</v>
      </c>
      <c r="B191" t="s">
        <v>24</v>
      </c>
      <c r="D191" t="s">
        <v>20</v>
      </c>
      <c r="E191">
        <v>2.5</v>
      </c>
      <c r="G191">
        <v>1.784</v>
      </c>
      <c r="H191">
        <v>14.946899999999999</v>
      </c>
      <c r="K191">
        <v>2.3919999999999999</v>
      </c>
      <c r="L191">
        <v>4.1760000000000002</v>
      </c>
      <c r="M191">
        <v>1.48</v>
      </c>
      <c r="N191">
        <v>4.1000000000000002E-2</v>
      </c>
      <c r="O191">
        <v>0.82699999999999996</v>
      </c>
      <c r="P191">
        <v>1.0999999999999999E-2</v>
      </c>
      <c r="Q191">
        <v>1.0999999999999999E-2</v>
      </c>
      <c r="R191">
        <v>0.8347</v>
      </c>
      <c r="S191">
        <v>1.6279999999999999</v>
      </c>
      <c r="T191">
        <v>16.757000000000001</v>
      </c>
      <c r="U191">
        <v>0.59</v>
      </c>
    </row>
    <row r="192" spans="1:21" x14ac:dyDescent="0.25">
      <c r="A192" t="s">
        <v>633</v>
      </c>
      <c r="B192" t="s">
        <v>24</v>
      </c>
      <c r="D192" t="s">
        <v>25</v>
      </c>
      <c r="E192">
        <v>1.37</v>
      </c>
      <c r="G192">
        <v>1.6659999999999999</v>
      </c>
      <c r="H192">
        <v>8.5213999999999999</v>
      </c>
      <c r="K192">
        <v>1.3424</v>
      </c>
      <c r="L192">
        <v>3.0084</v>
      </c>
      <c r="M192">
        <v>0.36099999999999999</v>
      </c>
      <c r="N192">
        <v>7.4999999999999997E-2</v>
      </c>
      <c r="O192">
        <v>0.39700000000000002</v>
      </c>
      <c r="P192">
        <v>1.0999999999999999E-2</v>
      </c>
      <c r="Q192">
        <v>1.0999999999999999E-2</v>
      </c>
      <c r="R192">
        <v>13.4244</v>
      </c>
      <c r="S192">
        <v>8.3031000000000006</v>
      </c>
      <c r="T192">
        <v>0</v>
      </c>
      <c r="U192">
        <v>0</v>
      </c>
    </row>
    <row r="193" spans="1:21" x14ac:dyDescent="0.25">
      <c r="A193" t="s">
        <v>330</v>
      </c>
      <c r="B193" t="s">
        <v>24</v>
      </c>
      <c r="D193" t="s">
        <v>13</v>
      </c>
      <c r="E193">
        <v>1.63</v>
      </c>
      <c r="G193">
        <v>1.579</v>
      </c>
      <c r="H193">
        <v>8.4924999999999997</v>
      </c>
      <c r="K193">
        <v>2.1204000000000001</v>
      </c>
      <c r="L193">
        <v>3.6993999999999998</v>
      </c>
      <c r="M193">
        <v>2.8490000000000002</v>
      </c>
      <c r="N193">
        <v>0.14599999999999999</v>
      </c>
      <c r="O193">
        <v>0.66700000000000004</v>
      </c>
      <c r="P193">
        <v>1.4E-2</v>
      </c>
      <c r="Q193">
        <v>1.0999999999999999E-2</v>
      </c>
      <c r="R193">
        <v>1.9863</v>
      </c>
      <c r="S193">
        <v>3.4340000000000002</v>
      </c>
      <c r="T193">
        <v>8.548</v>
      </c>
      <c r="U193">
        <v>0.52</v>
      </c>
    </row>
    <row r="194" spans="1:21" x14ac:dyDescent="0.25">
      <c r="A194" t="s">
        <v>1097</v>
      </c>
      <c r="B194" t="s">
        <v>24</v>
      </c>
      <c r="D194" t="s">
        <v>5</v>
      </c>
      <c r="E194">
        <v>2.57</v>
      </c>
      <c r="G194">
        <v>2.5609999999999999</v>
      </c>
      <c r="H194">
        <v>9.4600000000000009</v>
      </c>
      <c r="K194">
        <v>1.6166</v>
      </c>
      <c r="L194">
        <v>4.1776</v>
      </c>
      <c r="M194">
        <v>0.54300000000000004</v>
      </c>
      <c r="N194">
        <v>9.7000000000000003E-2</v>
      </c>
      <c r="O194">
        <v>0.53900000000000003</v>
      </c>
      <c r="P194">
        <v>1.7999999999999999E-2</v>
      </c>
      <c r="Q194">
        <v>1.0999999999999999E-2</v>
      </c>
      <c r="R194">
        <v>5.0918000000000001</v>
      </c>
      <c r="S194">
        <v>6.1116000000000001</v>
      </c>
      <c r="T194">
        <v>-7.0000000000000001E-3</v>
      </c>
      <c r="U194">
        <v>0.93</v>
      </c>
    </row>
    <row r="195" spans="1:21" x14ac:dyDescent="0.25">
      <c r="A195" t="s">
        <v>239</v>
      </c>
      <c r="B195" t="s">
        <v>24</v>
      </c>
      <c r="D195" t="s">
        <v>16</v>
      </c>
      <c r="E195">
        <v>3.6</v>
      </c>
      <c r="G195">
        <v>4.7450000000000001</v>
      </c>
      <c r="H195">
        <v>19.2256</v>
      </c>
      <c r="K195">
        <v>4.3582000000000001</v>
      </c>
      <c r="L195">
        <v>9.1031999999999993</v>
      </c>
      <c r="M195">
        <v>0.33800000000000002</v>
      </c>
      <c r="N195">
        <v>7.2999999999999995E-2</v>
      </c>
      <c r="O195">
        <v>0.54300000000000004</v>
      </c>
      <c r="P195">
        <v>1.2E-2</v>
      </c>
      <c r="Q195">
        <v>1.0999999999999999E-2</v>
      </c>
      <c r="R195">
        <v>36.261600000000001</v>
      </c>
      <c r="S195">
        <v>26.553599999999999</v>
      </c>
      <c r="T195">
        <v>4.1619999999999999</v>
      </c>
      <c r="U195">
        <v>0.42</v>
      </c>
    </row>
    <row r="196" spans="1:21" x14ac:dyDescent="0.25">
      <c r="A196" t="s">
        <v>827</v>
      </c>
      <c r="B196" t="s">
        <v>24</v>
      </c>
      <c r="D196" t="s">
        <v>14</v>
      </c>
      <c r="E196">
        <v>1.56</v>
      </c>
      <c r="G196">
        <v>2.681</v>
      </c>
      <c r="H196">
        <v>5.8665000000000003</v>
      </c>
      <c r="K196">
        <v>0.9</v>
      </c>
      <c r="L196">
        <v>3.581</v>
      </c>
      <c r="M196">
        <v>0.35</v>
      </c>
      <c r="N196">
        <v>0.13700000000000001</v>
      </c>
      <c r="O196">
        <v>0.48499999999999999</v>
      </c>
      <c r="P196">
        <v>3.2000000000000001E-2</v>
      </c>
      <c r="Q196">
        <v>1.0999999999999999E-2</v>
      </c>
      <c r="R196">
        <v>8.2065999999999999</v>
      </c>
      <c r="S196">
        <v>11.54</v>
      </c>
      <c r="T196">
        <v>3.694</v>
      </c>
      <c r="U196">
        <v>0.54</v>
      </c>
    </row>
    <row r="197" spans="1:21" x14ac:dyDescent="0.25">
      <c r="A197" t="s">
        <v>1106</v>
      </c>
      <c r="B197" t="s">
        <v>24</v>
      </c>
      <c r="D197" t="s">
        <v>13</v>
      </c>
      <c r="E197">
        <v>2.8</v>
      </c>
      <c r="G197">
        <v>2.2989999999999999</v>
      </c>
      <c r="H197">
        <v>9.2973999999999997</v>
      </c>
      <c r="K197">
        <v>1.2150000000000001</v>
      </c>
      <c r="L197">
        <v>3.5139999999999998</v>
      </c>
      <c r="M197">
        <v>0.10199999999999999</v>
      </c>
      <c r="N197">
        <v>0.247</v>
      </c>
      <c r="O197">
        <v>0.27500000000000002</v>
      </c>
      <c r="P197">
        <v>1.6E-2</v>
      </c>
      <c r="Q197">
        <v>1.0999999999999999E-2</v>
      </c>
      <c r="R197">
        <v>6.8018000000000001</v>
      </c>
      <c r="S197">
        <v>7.3783000000000003</v>
      </c>
      <c r="T197">
        <v>11.558999999999999</v>
      </c>
      <c r="U197">
        <v>0.63</v>
      </c>
    </row>
    <row r="198" spans="1:21" x14ac:dyDescent="0.25">
      <c r="A198" t="s">
        <v>412</v>
      </c>
      <c r="B198" t="s">
        <v>24</v>
      </c>
      <c r="D198" t="s">
        <v>33</v>
      </c>
      <c r="E198">
        <v>2.73</v>
      </c>
      <c r="G198">
        <v>3.39</v>
      </c>
      <c r="H198">
        <v>12.8155</v>
      </c>
      <c r="K198">
        <v>1.9489000000000001</v>
      </c>
      <c r="L198">
        <v>5.3388999999999998</v>
      </c>
      <c r="M198">
        <v>0.42699999999999999</v>
      </c>
      <c r="N198">
        <v>0.255</v>
      </c>
      <c r="O198">
        <v>0.39700000000000002</v>
      </c>
      <c r="P198">
        <v>1.2999999999999999E-2</v>
      </c>
      <c r="Q198">
        <v>1.0999999999999999E-2</v>
      </c>
      <c r="R198">
        <v>9.0812000000000008</v>
      </c>
      <c r="S198">
        <v>7.7138999999999998</v>
      </c>
      <c r="T198">
        <v>5.5430000000000001</v>
      </c>
      <c r="U198">
        <v>0.56000000000000005</v>
      </c>
    </row>
    <row r="199" spans="1:21" x14ac:dyDescent="0.25">
      <c r="A199" t="s">
        <v>1147</v>
      </c>
      <c r="B199" t="s">
        <v>24</v>
      </c>
      <c r="D199" t="s">
        <v>17</v>
      </c>
      <c r="E199">
        <v>2.25</v>
      </c>
      <c r="G199">
        <v>2.5299999999999998</v>
      </c>
      <c r="H199">
        <v>11.5976</v>
      </c>
      <c r="K199">
        <v>1.9681999999999999</v>
      </c>
      <c r="L199">
        <v>4.4981999999999998</v>
      </c>
      <c r="M199">
        <v>0.35699999999999998</v>
      </c>
      <c r="N199">
        <v>0.13600000000000001</v>
      </c>
      <c r="O199">
        <v>0.46700000000000003</v>
      </c>
      <c r="P199">
        <v>2.7E-2</v>
      </c>
      <c r="Q199">
        <v>1.0999999999999999E-2</v>
      </c>
      <c r="R199">
        <v>6.6695000000000002</v>
      </c>
      <c r="S199">
        <v>5.1619999999999999</v>
      </c>
      <c r="T199">
        <v>0</v>
      </c>
      <c r="U199">
        <v>0</v>
      </c>
    </row>
    <row r="200" spans="1:21" x14ac:dyDescent="0.25">
      <c r="A200" t="s">
        <v>355</v>
      </c>
      <c r="B200" t="s">
        <v>24</v>
      </c>
      <c r="D200" t="s">
        <v>2</v>
      </c>
      <c r="E200">
        <v>2.97</v>
      </c>
      <c r="G200">
        <v>2.968</v>
      </c>
      <c r="H200">
        <v>9.0694999999999997</v>
      </c>
      <c r="K200">
        <v>1.4638</v>
      </c>
      <c r="L200">
        <v>4.4318</v>
      </c>
      <c r="M200">
        <v>0.55300000000000005</v>
      </c>
      <c r="N200">
        <v>9.9000000000000005E-2</v>
      </c>
      <c r="O200">
        <v>0.51800000000000002</v>
      </c>
      <c r="P200">
        <v>1.2999999999999999E-2</v>
      </c>
      <c r="Q200">
        <v>1.0999999999999999E-2</v>
      </c>
      <c r="R200">
        <v>0.44359999999999999</v>
      </c>
      <c r="S200">
        <v>0.94359999999999999</v>
      </c>
      <c r="T200">
        <v>0</v>
      </c>
      <c r="U200">
        <v>0</v>
      </c>
    </row>
    <row r="201" spans="1:21" x14ac:dyDescent="0.25">
      <c r="A201" t="s">
        <v>857</v>
      </c>
      <c r="B201" t="s">
        <v>24</v>
      </c>
      <c r="D201" t="s">
        <v>21</v>
      </c>
      <c r="E201">
        <v>2.0099999999999998</v>
      </c>
      <c r="G201">
        <v>1.1659999999999999</v>
      </c>
      <c r="H201">
        <v>8.8777000000000008</v>
      </c>
      <c r="K201">
        <v>1.151</v>
      </c>
      <c r="L201">
        <v>2.3170000000000002</v>
      </c>
      <c r="M201">
        <v>7.6999999999999999E-2</v>
      </c>
      <c r="N201">
        <v>0.21099999999999999</v>
      </c>
      <c r="O201">
        <v>0.29699999999999999</v>
      </c>
      <c r="P201">
        <v>1.9E-2</v>
      </c>
      <c r="Q201">
        <v>1.0999999999999999E-2</v>
      </c>
      <c r="R201">
        <v>6.5106999999999999</v>
      </c>
      <c r="S201">
        <v>5.9347000000000003</v>
      </c>
      <c r="T201">
        <v>13.95</v>
      </c>
      <c r="U201">
        <v>0.43</v>
      </c>
    </row>
    <row r="202" spans="1:21" x14ac:dyDescent="0.25">
      <c r="A202" t="s">
        <v>1011</v>
      </c>
      <c r="B202" t="s">
        <v>24</v>
      </c>
      <c r="D202" t="s">
        <v>7</v>
      </c>
      <c r="E202">
        <v>2.5499999999999998</v>
      </c>
      <c r="G202">
        <v>1.9390000000000001</v>
      </c>
      <c r="H202">
        <v>11.030799999999999</v>
      </c>
      <c r="K202">
        <v>1.1839999999999999</v>
      </c>
      <c r="L202">
        <v>3.1230000000000002</v>
      </c>
      <c r="M202">
        <v>3.7999999999999999E-2</v>
      </c>
      <c r="N202">
        <v>6.5000000000000002E-2</v>
      </c>
      <c r="O202">
        <v>0.45600000000000002</v>
      </c>
      <c r="P202">
        <v>1.7000000000000001E-2</v>
      </c>
      <c r="Q202">
        <v>1.0999999999999999E-2</v>
      </c>
      <c r="R202">
        <v>1.4296</v>
      </c>
      <c r="S202">
        <v>1.2096</v>
      </c>
      <c r="T202">
        <v>0</v>
      </c>
      <c r="U202">
        <v>0</v>
      </c>
    </row>
    <row r="203" spans="1:21" x14ac:dyDescent="0.25">
      <c r="A203" t="s">
        <v>436</v>
      </c>
      <c r="B203" t="s">
        <v>24</v>
      </c>
      <c r="D203" t="s">
        <v>33</v>
      </c>
      <c r="E203">
        <v>1.1399999999999999</v>
      </c>
      <c r="G203">
        <v>1.526</v>
      </c>
      <c r="H203">
        <v>8.0555000000000003</v>
      </c>
      <c r="K203">
        <v>1.4173</v>
      </c>
      <c r="L203">
        <v>2.9432999999999998</v>
      </c>
      <c r="M203">
        <v>0.51200000000000001</v>
      </c>
      <c r="N203">
        <v>7.4999999999999997E-2</v>
      </c>
      <c r="O203">
        <v>0.69499999999999995</v>
      </c>
      <c r="P203">
        <v>1.4999999999999999E-2</v>
      </c>
      <c r="Q203">
        <v>1.0999999999999999E-2</v>
      </c>
      <c r="R203">
        <v>6.4645999999999999</v>
      </c>
      <c r="S203">
        <v>10.266400000000001</v>
      </c>
      <c r="T203">
        <v>0</v>
      </c>
      <c r="U203">
        <v>0</v>
      </c>
    </row>
    <row r="204" spans="1:21" x14ac:dyDescent="0.25">
      <c r="A204" t="s">
        <v>987</v>
      </c>
      <c r="B204" t="s">
        <v>24</v>
      </c>
      <c r="D204" t="s">
        <v>21</v>
      </c>
      <c r="E204">
        <v>1.65</v>
      </c>
      <c r="G204">
        <v>1.948</v>
      </c>
      <c r="H204">
        <v>6.6252000000000004</v>
      </c>
      <c r="K204">
        <v>0.83699999999999997</v>
      </c>
      <c r="L204">
        <v>2.7850000000000001</v>
      </c>
      <c r="M204">
        <v>0.11</v>
      </c>
      <c r="N204">
        <v>0.10199999999999999</v>
      </c>
      <c r="O204">
        <v>0.371</v>
      </c>
      <c r="P204">
        <v>2.8000000000000001E-2</v>
      </c>
      <c r="Q204">
        <v>1.0999999999999999E-2</v>
      </c>
      <c r="R204">
        <v>7.1710000000000003</v>
      </c>
      <c r="S204">
        <v>7.3387000000000002</v>
      </c>
      <c r="T204">
        <v>1.5780000000000001</v>
      </c>
      <c r="U204">
        <v>0.37</v>
      </c>
    </row>
    <row r="205" spans="1:21" x14ac:dyDescent="0.25">
      <c r="A205" t="s">
        <v>854</v>
      </c>
      <c r="B205" t="s">
        <v>24</v>
      </c>
      <c r="D205" t="s">
        <v>18</v>
      </c>
      <c r="E205">
        <v>2.2999999999999998</v>
      </c>
      <c r="G205">
        <v>2.1339999999999999</v>
      </c>
      <c r="H205">
        <v>13.0741</v>
      </c>
      <c r="K205">
        <v>1.75</v>
      </c>
      <c r="L205">
        <v>3.4460000000000002</v>
      </c>
      <c r="M205">
        <v>0.1</v>
      </c>
      <c r="N205">
        <v>0.245</v>
      </c>
      <c r="O205">
        <v>0.64500000000000002</v>
      </c>
      <c r="P205">
        <v>0.25900000000000001</v>
      </c>
      <c r="Q205">
        <v>1.0999999999999999E-2</v>
      </c>
      <c r="R205">
        <v>8.1669999999999998</v>
      </c>
      <c r="S205">
        <v>6.5564999999999998</v>
      </c>
      <c r="T205">
        <v>27.085999999999999</v>
      </c>
      <c r="U205">
        <v>0.6</v>
      </c>
    </row>
    <row r="206" spans="1:21" x14ac:dyDescent="0.25">
      <c r="A206" t="s">
        <v>362</v>
      </c>
      <c r="B206" t="s">
        <v>24</v>
      </c>
      <c r="D206" t="s">
        <v>18</v>
      </c>
      <c r="E206">
        <v>0.65</v>
      </c>
      <c r="G206">
        <v>0.59899999999999998</v>
      </c>
      <c r="H206">
        <v>9.2993000000000006</v>
      </c>
      <c r="K206">
        <v>1.474</v>
      </c>
      <c r="L206">
        <v>2.073</v>
      </c>
      <c r="M206">
        <v>1.48</v>
      </c>
      <c r="N206">
        <v>0.58599999999999997</v>
      </c>
      <c r="O206">
        <v>1.032</v>
      </c>
      <c r="P206">
        <v>0.372</v>
      </c>
      <c r="Q206">
        <v>1.0999999999999999E-2</v>
      </c>
      <c r="R206">
        <v>0.93810000000000004</v>
      </c>
      <c r="S206">
        <v>4.4710999999999999</v>
      </c>
      <c r="T206">
        <v>1.4530000000000001</v>
      </c>
      <c r="U206">
        <v>0.54</v>
      </c>
    </row>
    <row r="207" spans="1:21" x14ac:dyDescent="0.25">
      <c r="A207" t="s">
        <v>682</v>
      </c>
      <c r="B207" t="s">
        <v>24</v>
      </c>
      <c r="D207" t="s">
        <v>18</v>
      </c>
      <c r="E207">
        <v>1.9</v>
      </c>
      <c r="G207">
        <v>3.23</v>
      </c>
      <c r="H207">
        <v>8.3347999999999995</v>
      </c>
      <c r="K207">
        <v>1.0391999999999999</v>
      </c>
      <c r="L207">
        <v>4.2691999999999997</v>
      </c>
      <c r="M207">
        <v>0.89900000000000002</v>
      </c>
      <c r="N207">
        <v>0.23899999999999999</v>
      </c>
      <c r="O207">
        <v>0.26200000000000001</v>
      </c>
      <c r="P207">
        <v>0.01</v>
      </c>
      <c r="Q207">
        <v>1.0999999999999999E-2</v>
      </c>
      <c r="R207">
        <v>1.5148999999999999</v>
      </c>
      <c r="S207">
        <v>3.1419000000000001</v>
      </c>
      <c r="T207">
        <v>4.7359999999999998</v>
      </c>
      <c r="U207">
        <v>0.55000000000000004</v>
      </c>
    </row>
    <row r="208" spans="1:21" x14ac:dyDescent="0.25">
      <c r="A208" t="s">
        <v>333</v>
      </c>
      <c r="B208" t="s">
        <v>24</v>
      </c>
      <c r="D208" t="s">
        <v>9</v>
      </c>
      <c r="E208">
        <v>3.07</v>
      </c>
      <c r="G208">
        <v>3.016</v>
      </c>
      <c r="H208">
        <v>9.6656999999999993</v>
      </c>
      <c r="K208">
        <v>1.7245999999999999</v>
      </c>
      <c r="L208">
        <v>4.7405999999999997</v>
      </c>
      <c r="M208">
        <v>0.52200000000000002</v>
      </c>
      <c r="N208">
        <v>7.9000000000000001E-2</v>
      </c>
      <c r="O208">
        <v>0.48399999999999999</v>
      </c>
      <c r="P208">
        <v>0.23200000000000001</v>
      </c>
      <c r="Q208">
        <v>1.0999999999999999E-2</v>
      </c>
      <c r="R208">
        <v>20.727399999999999</v>
      </c>
      <c r="S208">
        <v>21.5107</v>
      </c>
      <c r="T208">
        <v>2.1190000000000002</v>
      </c>
      <c r="U208">
        <v>0.38</v>
      </c>
    </row>
    <row r="209" spans="1:21" x14ac:dyDescent="0.25">
      <c r="A209" t="s">
        <v>402</v>
      </c>
      <c r="B209" t="s">
        <v>24</v>
      </c>
      <c r="D209" t="s">
        <v>28</v>
      </c>
      <c r="E209">
        <v>3.33</v>
      </c>
      <c r="G209">
        <v>2.5960000000000001</v>
      </c>
      <c r="H209">
        <v>10.0002</v>
      </c>
      <c r="K209">
        <v>1.6039000000000001</v>
      </c>
      <c r="L209">
        <v>4.1999000000000004</v>
      </c>
      <c r="M209">
        <v>0.39200000000000002</v>
      </c>
      <c r="N209">
        <v>0.16</v>
      </c>
      <c r="O209">
        <v>0.66600000000000004</v>
      </c>
      <c r="P209">
        <v>1.2E-2</v>
      </c>
      <c r="Q209">
        <v>1.0999999999999999E-2</v>
      </c>
      <c r="R209">
        <v>0.62450000000000006</v>
      </c>
      <c r="S209">
        <v>0.9657</v>
      </c>
      <c r="T209">
        <v>3.528</v>
      </c>
      <c r="U209">
        <v>0.56999999999999995</v>
      </c>
    </row>
    <row r="210" spans="1:21" x14ac:dyDescent="0.25">
      <c r="A210" t="s">
        <v>1012</v>
      </c>
      <c r="B210" t="s">
        <v>24</v>
      </c>
      <c r="D210" t="s">
        <v>136</v>
      </c>
      <c r="E210">
        <v>1.56</v>
      </c>
      <c r="G210">
        <v>2.0350000000000001</v>
      </c>
      <c r="H210">
        <v>8.8914000000000009</v>
      </c>
      <c r="K210">
        <v>1.5243</v>
      </c>
      <c r="L210">
        <v>3.5592999999999999</v>
      </c>
      <c r="M210">
        <v>0.29299999999999998</v>
      </c>
      <c r="N210">
        <v>0.13100000000000001</v>
      </c>
      <c r="O210">
        <v>0.46700000000000003</v>
      </c>
      <c r="P210">
        <v>3.2000000000000001E-2</v>
      </c>
      <c r="Q210">
        <v>1.0999999999999999E-2</v>
      </c>
      <c r="R210">
        <v>5.9020999999999999</v>
      </c>
      <c r="S210">
        <v>5.5635000000000003</v>
      </c>
      <c r="T210">
        <v>1.92</v>
      </c>
      <c r="U210">
        <v>0.42</v>
      </c>
    </row>
    <row r="211" spans="1:21" x14ac:dyDescent="0.25">
      <c r="A211" t="s">
        <v>467</v>
      </c>
      <c r="B211" t="s">
        <v>24</v>
      </c>
      <c r="D211" t="s">
        <v>34</v>
      </c>
      <c r="E211">
        <v>2.3199999999999998</v>
      </c>
      <c r="G211">
        <v>2.6880000000000002</v>
      </c>
      <c r="H211">
        <v>12.7189</v>
      </c>
      <c r="K211">
        <v>1.8985000000000001</v>
      </c>
      <c r="L211">
        <v>4.5865</v>
      </c>
      <c r="M211">
        <v>0.193</v>
      </c>
      <c r="N211">
        <v>3.5999999999999997E-2</v>
      </c>
      <c r="O211">
        <v>0.39</v>
      </c>
      <c r="P211">
        <v>1.2999999999999999E-2</v>
      </c>
      <c r="Q211">
        <v>1.0999999999999999E-2</v>
      </c>
      <c r="R211">
        <v>1.8280000000000001</v>
      </c>
      <c r="S211">
        <v>2.5897000000000001</v>
      </c>
      <c r="T211">
        <v>0</v>
      </c>
      <c r="U211">
        <v>0</v>
      </c>
    </row>
    <row r="212" spans="1:21" x14ac:dyDescent="0.25">
      <c r="A212" t="s">
        <v>430</v>
      </c>
      <c r="B212" t="s">
        <v>24</v>
      </c>
      <c r="D212" t="s">
        <v>17</v>
      </c>
      <c r="E212">
        <v>1.46</v>
      </c>
      <c r="G212">
        <v>2.3159999999999998</v>
      </c>
      <c r="H212">
        <v>10.139200000000001</v>
      </c>
      <c r="K212">
        <v>2.0710000000000002</v>
      </c>
      <c r="L212">
        <v>4.3869999999999996</v>
      </c>
      <c r="M212">
        <v>1.5580000000000001</v>
      </c>
      <c r="N212">
        <v>0.26500000000000001</v>
      </c>
      <c r="O212">
        <v>0.91600000000000004</v>
      </c>
      <c r="P212">
        <v>1.4E-2</v>
      </c>
      <c r="Q212">
        <v>1.0999999999999999E-2</v>
      </c>
      <c r="R212">
        <v>1.1698</v>
      </c>
      <c r="S212">
        <v>1.3868</v>
      </c>
      <c r="T212">
        <v>3.8050000000000002</v>
      </c>
      <c r="U212">
        <v>0.57999999999999996</v>
      </c>
    </row>
    <row r="213" spans="1:21" x14ac:dyDescent="0.25">
      <c r="A213" t="s">
        <v>855</v>
      </c>
      <c r="B213" t="s">
        <v>24</v>
      </c>
      <c r="D213" t="s">
        <v>5</v>
      </c>
      <c r="E213">
        <v>2.5499999999999998</v>
      </c>
      <c r="G213">
        <v>1.45</v>
      </c>
      <c r="H213">
        <v>13.413399999999999</v>
      </c>
      <c r="K213">
        <v>1.976</v>
      </c>
      <c r="L213">
        <v>3.4260000000000002</v>
      </c>
      <c r="M213">
        <v>0.39400000000000002</v>
      </c>
      <c r="N213">
        <v>0.14599999999999999</v>
      </c>
      <c r="O213">
        <v>0.94799999999999995</v>
      </c>
      <c r="P213">
        <v>1.7000000000000001E-2</v>
      </c>
      <c r="Q213">
        <v>1.0999999999999999E-2</v>
      </c>
      <c r="R213">
        <v>18.469000000000001</v>
      </c>
      <c r="S213">
        <v>14.2776</v>
      </c>
      <c r="T213">
        <v>10.994999999999999</v>
      </c>
      <c r="U213">
        <v>0.55000000000000004</v>
      </c>
    </row>
    <row r="214" spans="1:21" x14ac:dyDescent="0.25">
      <c r="A214" t="s">
        <v>397</v>
      </c>
      <c r="B214" t="s">
        <v>24</v>
      </c>
      <c r="D214" t="s">
        <v>20</v>
      </c>
      <c r="E214">
        <v>3.11</v>
      </c>
      <c r="G214">
        <v>5.2460000000000004</v>
      </c>
      <c r="H214">
        <v>10.536899999999999</v>
      </c>
      <c r="K214">
        <v>1.0219</v>
      </c>
      <c r="L214">
        <v>6.2679</v>
      </c>
      <c r="M214">
        <v>0.121</v>
      </c>
      <c r="N214">
        <v>0.249</v>
      </c>
      <c r="O214">
        <v>0.88100000000000001</v>
      </c>
      <c r="P214">
        <v>1.2999999999999999E-2</v>
      </c>
      <c r="Q214">
        <v>1.0999999999999999E-2</v>
      </c>
      <c r="R214">
        <v>0.84140000000000004</v>
      </c>
      <c r="S214">
        <v>1.0819000000000001</v>
      </c>
      <c r="T214">
        <v>0.189</v>
      </c>
      <c r="U214">
        <v>0.73</v>
      </c>
    </row>
    <row r="215" spans="1:21" x14ac:dyDescent="0.25">
      <c r="A215" t="s">
        <v>728</v>
      </c>
      <c r="B215" t="s">
        <v>24</v>
      </c>
      <c r="D215" t="s">
        <v>15</v>
      </c>
      <c r="E215">
        <v>1.05</v>
      </c>
      <c r="G215">
        <v>1.66</v>
      </c>
      <c r="H215">
        <v>5.1391999999999998</v>
      </c>
      <c r="K215">
        <v>0.80310000000000004</v>
      </c>
      <c r="L215">
        <v>2.4630999999999998</v>
      </c>
      <c r="M215">
        <v>0.14899999999999999</v>
      </c>
      <c r="N215">
        <v>0.107</v>
      </c>
      <c r="O215">
        <v>0.57499999999999996</v>
      </c>
      <c r="P215">
        <v>2.1000000000000001E-2</v>
      </c>
      <c r="Q215">
        <v>1.0999999999999999E-2</v>
      </c>
      <c r="R215">
        <v>4.2973999999999997</v>
      </c>
      <c r="S215">
        <v>3.7296</v>
      </c>
      <c r="T215">
        <v>0</v>
      </c>
      <c r="U215">
        <v>0</v>
      </c>
    </row>
    <row r="216" spans="1:21" x14ac:dyDescent="0.25">
      <c r="A216" t="s">
        <v>817</v>
      </c>
      <c r="B216" t="s">
        <v>24</v>
      </c>
      <c r="D216" t="s">
        <v>13</v>
      </c>
      <c r="E216">
        <v>2.04</v>
      </c>
      <c r="G216">
        <v>3.4129999999999998</v>
      </c>
      <c r="H216">
        <v>7.4169999999999998</v>
      </c>
      <c r="K216">
        <v>0.68520000000000003</v>
      </c>
      <c r="L216">
        <v>4.0982000000000003</v>
      </c>
      <c r="M216">
        <v>0.126</v>
      </c>
      <c r="N216">
        <v>0.153</v>
      </c>
      <c r="O216">
        <v>0.31</v>
      </c>
      <c r="P216">
        <v>1.4E-2</v>
      </c>
      <c r="Q216">
        <v>1.0999999999999999E-2</v>
      </c>
      <c r="R216">
        <v>0.64580000000000004</v>
      </c>
      <c r="S216">
        <v>0.54649999999999999</v>
      </c>
      <c r="T216">
        <v>25.053000000000001</v>
      </c>
      <c r="U216">
        <v>0.6</v>
      </c>
    </row>
    <row r="217" spans="1:21" x14ac:dyDescent="0.25">
      <c r="A217" t="s">
        <v>437</v>
      </c>
      <c r="B217" t="s">
        <v>24</v>
      </c>
      <c r="D217" t="s">
        <v>18</v>
      </c>
      <c r="E217">
        <v>3.81</v>
      </c>
      <c r="G217">
        <v>6.6159999999999997</v>
      </c>
      <c r="H217">
        <v>13.9999</v>
      </c>
      <c r="K217">
        <v>1.6057999999999999</v>
      </c>
      <c r="L217">
        <v>8.2218</v>
      </c>
      <c r="M217">
        <v>0.29899999999999999</v>
      </c>
      <c r="N217">
        <v>0.45800000000000002</v>
      </c>
      <c r="O217">
        <v>0.435</v>
      </c>
      <c r="P217">
        <v>7.0000000000000001E-3</v>
      </c>
      <c r="Q217">
        <v>1.0999999999999999E-2</v>
      </c>
      <c r="R217">
        <v>0.36530000000000001</v>
      </c>
      <c r="S217">
        <v>0.57120000000000004</v>
      </c>
      <c r="T217">
        <v>7.3929999999999998</v>
      </c>
      <c r="U217">
        <v>0.6</v>
      </c>
    </row>
    <row r="218" spans="1:21" x14ac:dyDescent="0.25">
      <c r="A218" t="s">
        <v>398</v>
      </c>
      <c r="B218" t="s">
        <v>24</v>
      </c>
      <c r="D218" t="s">
        <v>18</v>
      </c>
      <c r="E218">
        <v>4.0199999999999996</v>
      </c>
      <c r="G218">
        <v>3.9409999999999998</v>
      </c>
      <c r="H218">
        <v>16.081199999999999</v>
      </c>
      <c r="K218">
        <v>2.0880000000000001</v>
      </c>
      <c r="L218">
        <v>6.0289999999999999</v>
      </c>
      <c r="M218">
        <v>0.39500000000000002</v>
      </c>
      <c r="N218">
        <v>0.184</v>
      </c>
      <c r="O218">
        <v>0.25800000000000001</v>
      </c>
      <c r="P218">
        <v>1.2999999999999999E-2</v>
      </c>
      <c r="Q218">
        <v>1.0999999999999999E-2</v>
      </c>
      <c r="R218">
        <v>2.5585</v>
      </c>
      <c r="S218">
        <v>2.2033999999999998</v>
      </c>
      <c r="T218">
        <v>10.507</v>
      </c>
      <c r="U218">
        <v>0.55000000000000004</v>
      </c>
    </row>
    <row r="219" spans="1:21" x14ac:dyDescent="0.25">
      <c r="A219" t="s">
        <v>1095</v>
      </c>
      <c r="B219" t="s">
        <v>24</v>
      </c>
      <c r="D219" t="s">
        <v>22</v>
      </c>
      <c r="E219">
        <v>2.0299999999999998</v>
      </c>
      <c r="G219">
        <v>1.76</v>
      </c>
      <c r="H219">
        <v>9.0762999999999998</v>
      </c>
      <c r="K219">
        <v>1.4846999999999999</v>
      </c>
      <c r="L219">
        <v>3.2446999999999999</v>
      </c>
      <c r="M219">
        <v>0.248</v>
      </c>
      <c r="N219">
        <v>0.122</v>
      </c>
      <c r="O219">
        <v>0.41499999999999998</v>
      </c>
      <c r="P219">
        <v>2.4E-2</v>
      </c>
      <c r="Q219">
        <v>1.0999999999999999E-2</v>
      </c>
      <c r="R219">
        <v>5.4137000000000004</v>
      </c>
      <c r="S219">
        <v>4.1900000000000004</v>
      </c>
      <c r="T219">
        <v>0</v>
      </c>
      <c r="U219">
        <v>0</v>
      </c>
    </row>
    <row r="220" spans="1:21" x14ac:dyDescent="0.25">
      <c r="A220" t="s">
        <v>364</v>
      </c>
      <c r="B220" t="s">
        <v>24</v>
      </c>
      <c r="D220" t="s">
        <v>17</v>
      </c>
      <c r="E220">
        <v>2.1</v>
      </c>
      <c r="G220">
        <v>3.1360000000000001</v>
      </c>
      <c r="H220">
        <v>12.755000000000001</v>
      </c>
      <c r="K220">
        <v>2.1928000000000001</v>
      </c>
      <c r="L220">
        <v>5.3288000000000002</v>
      </c>
      <c r="M220">
        <v>0.438</v>
      </c>
      <c r="N220">
        <v>0.105</v>
      </c>
      <c r="O220">
        <v>0.63800000000000001</v>
      </c>
      <c r="P220">
        <v>0.01</v>
      </c>
      <c r="Q220">
        <v>1.0999999999999999E-2</v>
      </c>
      <c r="R220">
        <v>11.007400000000001</v>
      </c>
      <c r="S220">
        <v>7.4935</v>
      </c>
      <c r="T220">
        <v>5.8819999999999997</v>
      </c>
      <c r="U220">
        <v>0.52</v>
      </c>
    </row>
    <row r="221" spans="1:21" x14ac:dyDescent="0.25">
      <c r="A221" t="s">
        <v>755</v>
      </c>
      <c r="B221" t="s">
        <v>24</v>
      </c>
      <c r="D221" t="s">
        <v>136</v>
      </c>
      <c r="E221">
        <v>1.0900000000000001</v>
      </c>
      <c r="G221">
        <v>2.5680000000000001</v>
      </c>
      <c r="H221">
        <v>7.5347</v>
      </c>
      <c r="K221">
        <v>1.0317000000000001</v>
      </c>
      <c r="L221">
        <v>3.5996999999999999</v>
      </c>
      <c r="M221">
        <v>0.32300000000000001</v>
      </c>
      <c r="N221">
        <v>0.13400000000000001</v>
      </c>
      <c r="O221">
        <v>0.47</v>
      </c>
      <c r="P221">
        <v>0.03</v>
      </c>
      <c r="Q221">
        <v>1.0999999999999999E-2</v>
      </c>
      <c r="R221">
        <v>6.1532</v>
      </c>
      <c r="S221">
        <v>5.8002000000000002</v>
      </c>
      <c r="T221">
        <v>0</v>
      </c>
      <c r="U221">
        <v>0</v>
      </c>
    </row>
    <row r="222" spans="1:21" x14ac:dyDescent="0.25">
      <c r="A222" t="s">
        <v>1072</v>
      </c>
      <c r="B222" t="s">
        <v>24</v>
      </c>
      <c r="D222" t="s">
        <v>30</v>
      </c>
      <c r="E222">
        <v>1.38</v>
      </c>
      <c r="G222">
        <v>2.0619999999999998</v>
      </c>
      <c r="H222">
        <v>10.709099999999999</v>
      </c>
      <c r="K222">
        <v>1.3560000000000001</v>
      </c>
      <c r="L222">
        <v>3.4180000000000001</v>
      </c>
      <c r="M222">
        <v>2.641</v>
      </c>
      <c r="N222">
        <v>0.125</v>
      </c>
      <c r="O222">
        <v>0.42399999999999999</v>
      </c>
      <c r="P222">
        <v>2.4E-2</v>
      </c>
      <c r="Q222">
        <v>1.0999999999999999E-2</v>
      </c>
      <c r="R222">
        <v>5.1214000000000004</v>
      </c>
      <c r="S222">
        <v>4.3333000000000004</v>
      </c>
      <c r="T222">
        <v>0.90500000000000003</v>
      </c>
      <c r="U222">
        <v>0.52</v>
      </c>
    </row>
    <row r="223" spans="1:21" x14ac:dyDescent="0.25">
      <c r="A223" t="s">
        <v>1093</v>
      </c>
      <c r="B223" t="s">
        <v>24</v>
      </c>
      <c r="D223" t="s">
        <v>1151</v>
      </c>
      <c r="E223">
        <v>1.58</v>
      </c>
      <c r="G223">
        <v>2.4460000000000002</v>
      </c>
      <c r="H223">
        <v>5.3663999999999996</v>
      </c>
      <c r="K223">
        <v>0.83289999999999997</v>
      </c>
      <c r="L223">
        <v>3.2789000000000001</v>
      </c>
      <c r="M223">
        <v>0.34300000000000003</v>
      </c>
      <c r="N223">
        <v>0.13400000000000001</v>
      </c>
      <c r="O223">
        <v>0.46200000000000002</v>
      </c>
      <c r="P223">
        <v>2.7E-2</v>
      </c>
      <c r="Q223">
        <v>1.0999999999999999E-2</v>
      </c>
      <c r="R223">
        <v>5.9710999999999999</v>
      </c>
      <c r="S223">
        <v>5.0522999999999998</v>
      </c>
      <c r="T223">
        <v>0</v>
      </c>
      <c r="U223">
        <v>0</v>
      </c>
    </row>
    <row r="224" spans="1:21" x14ac:dyDescent="0.25">
      <c r="A224" t="s">
        <v>1152</v>
      </c>
      <c r="B224" t="s">
        <v>24</v>
      </c>
      <c r="D224" t="s">
        <v>12</v>
      </c>
      <c r="E224">
        <v>1.85</v>
      </c>
      <c r="G224">
        <v>2.4510000000000001</v>
      </c>
      <c r="H224">
        <v>7.1189999999999998</v>
      </c>
      <c r="K224">
        <v>0.96399999999999997</v>
      </c>
      <c r="L224">
        <v>3.415</v>
      </c>
      <c r="M224">
        <v>0.35599999999999998</v>
      </c>
      <c r="N224">
        <v>0.39600000000000002</v>
      </c>
      <c r="O224">
        <v>0.46600000000000003</v>
      </c>
      <c r="P224">
        <v>2.7E-2</v>
      </c>
      <c r="Q224">
        <v>1.0999999999999999E-2</v>
      </c>
      <c r="R224">
        <v>7.7934000000000001</v>
      </c>
      <c r="S224">
        <v>6.2884000000000002</v>
      </c>
      <c r="T224">
        <v>25.64</v>
      </c>
      <c r="U224">
        <v>0.64</v>
      </c>
    </row>
    <row r="225" spans="1:21" x14ac:dyDescent="0.25">
      <c r="A225" t="s">
        <v>242</v>
      </c>
      <c r="B225" t="s">
        <v>24</v>
      </c>
      <c r="D225" t="s">
        <v>31</v>
      </c>
      <c r="E225">
        <v>4.03</v>
      </c>
      <c r="G225">
        <v>4.2969999999999997</v>
      </c>
      <c r="H225">
        <v>18.645399999999999</v>
      </c>
      <c r="K225">
        <v>2.4260000000000002</v>
      </c>
      <c r="L225">
        <v>6.7229999999999999</v>
      </c>
      <c r="M225">
        <v>0.20499999999999999</v>
      </c>
      <c r="N225">
        <v>2.1000000000000001E-2</v>
      </c>
      <c r="O225">
        <v>0.309</v>
      </c>
      <c r="P225">
        <v>1.2999999999999999E-2</v>
      </c>
      <c r="Q225">
        <v>1.0999999999999999E-2</v>
      </c>
      <c r="R225">
        <v>0.34050000000000002</v>
      </c>
      <c r="S225">
        <v>0.81210000000000004</v>
      </c>
      <c r="T225">
        <v>4.9279999999999999</v>
      </c>
      <c r="U225">
        <v>0.56000000000000005</v>
      </c>
    </row>
    <row r="226" spans="1:21" x14ac:dyDescent="0.25">
      <c r="A226" t="s">
        <v>953</v>
      </c>
      <c r="B226" t="s">
        <v>24</v>
      </c>
      <c r="D226" t="s">
        <v>87</v>
      </c>
      <c r="E226">
        <v>2.69</v>
      </c>
      <c r="G226">
        <v>1.9570000000000001</v>
      </c>
      <c r="H226">
        <v>9.1373999999999995</v>
      </c>
      <c r="K226">
        <v>1.7803</v>
      </c>
      <c r="L226">
        <v>3.7372999999999998</v>
      </c>
      <c r="M226">
        <v>6.8000000000000005E-2</v>
      </c>
      <c r="N226">
        <v>4.5999999999999999E-2</v>
      </c>
      <c r="O226">
        <v>0.34399999999999997</v>
      </c>
      <c r="P226">
        <v>1.4E-2</v>
      </c>
      <c r="Q226">
        <v>1.0999999999999999E-2</v>
      </c>
      <c r="R226">
        <v>15.3657</v>
      </c>
      <c r="S226">
        <v>14.3179</v>
      </c>
      <c r="T226">
        <v>21.463000000000001</v>
      </c>
      <c r="U226">
        <v>0.5</v>
      </c>
    </row>
    <row r="227" spans="1:21" x14ac:dyDescent="0.25">
      <c r="A227" t="s">
        <v>538</v>
      </c>
      <c r="B227" t="s">
        <v>24</v>
      </c>
      <c r="D227" t="s">
        <v>5</v>
      </c>
      <c r="E227">
        <v>1.29</v>
      </c>
      <c r="G227">
        <v>1.9710000000000001</v>
      </c>
      <c r="H227">
        <v>8.9337</v>
      </c>
      <c r="K227">
        <v>1.0235000000000001</v>
      </c>
      <c r="L227">
        <v>2.9944999999999999</v>
      </c>
      <c r="M227">
        <v>1.6870000000000001</v>
      </c>
      <c r="N227">
        <v>0.26900000000000002</v>
      </c>
      <c r="O227">
        <v>0.5</v>
      </c>
      <c r="P227">
        <v>2.1999999999999999E-2</v>
      </c>
      <c r="Q227">
        <v>1.0999999999999999E-2</v>
      </c>
      <c r="R227">
        <v>3.9931000000000001</v>
      </c>
      <c r="S227">
        <v>5.1726000000000001</v>
      </c>
      <c r="T227">
        <v>9.0440000000000005</v>
      </c>
      <c r="U227">
        <v>0.49</v>
      </c>
    </row>
    <row r="228" spans="1:21" x14ac:dyDescent="0.25">
      <c r="A228" t="s">
        <v>649</v>
      </c>
      <c r="B228" t="s">
        <v>24</v>
      </c>
      <c r="D228" t="s">
        <v>30</v>
      </c>
      <c r="E228">
        <v>1.55</v>
      </c>
      <c r="G228">
        <v>2.0920000000000001</v>
      </c>
      <c r="H228">
        <v>10.928000000000001</v>
      </c>
      <c r="K228">
        <v>1.0576000000000001</v>
      </c>
      <c r="L228">
        <v>3.1496</v>
      </c>
      <c r="M228">
        <v>0.22600000000000001</v>
      </c>
      <c r="N228">
        <v>0.23300000000000001</v>
      </c>
      <c r="O228">
        <v>0.83699999999999997</v>
      </c>
      <c r="P228">
        <v>1.2999999999999999E-2</v>
      </c>
      <c r="Q228">
        <v>1.0999999999999999E-2</v>
      </c>
      <c r="R228">
        <v>14.468999999999999</v>
      </c>
      <c r="S228">
        <v>12.513</v>
      </c>
      <c r="T228">
        <v>0</v>
      </c>
      <c r="U228">
        <v>0</v>
      </c>
    </row>
    <row r="229" spans="1:21" x14ac:dyDescent="0.25">
      <c r="A229" t="s">
        <v>769</v>
      </c>
      <c r="B229" t="s">
        <v>24</v>
      </c>
      <c r="D229" t="s">
        <v>5</v>
      </c>
      <c r="E229">
        <v>1.35</v>
      </c>
      <c r="G229">
        <v>1.7989999999999999</v>
      </c>
      <c r="H229">
        <v>9.4246999999999996</v>
      </c>
      <c r="K229">
        <v>1.284</v>
      </c>
      <c r="L229">
        <v>3.0830000000000002</v>
      </c>
      <c r="M229">
        <v>1.2310000000000001</v>
      </c>
      <c r="N229">
        <v>0.13</v>
      </c>
      <c r="O229">
        <v>0.44600000000000001</v>
      </c>
      <c r="P229">
        <v>2.5999999999999999E-2</v>
      </c>
      <c r="Q229">
        <v>1.0999999999999999E-2</v>
      </c>
      <c r="R229">
        <v>6.1271000000000004</v>
      </c>
      <c r="S229">
        <v>5.7873000000000001</v>
      </c>
      <c r="T229">
        <v>0</v>
      </c>
      <c r="U229">
        <v>0</v>
      </c>
    </row>
    <row r="230" spans="1:21" x14ac:dyDescent="0.25">
      <c r="A230" t="s">
        <v>628</v>
      </c>
      <c r="B230" t="s">
        <v>24</v>
      </c>
      <c r="D230" t="s">
        <v>29</v>
      </c>
      <c r="E230">
        <v>2.0299999999999998</v>
      </c>
      <c r="G230">
        <v>4.5650000000000004</v>
      </c>
      <c r="H230">
        <v>14.252800000000001</v>
      </c>
      <c r="K230">
        <v>1.7115</v>
      </c>
      <c r="L230">
        <v>6.2765000000000004</v>
      </c>
      <c r="M230">
        <v>0.29199999999999998</v>
      </c>
      <c r="N230">
        <v>7.4999999999999997E-2</v>
      </c>
      <c r="O230">
        <v>0.59599999999999997</v>
      </c>
      <c r="P230">
        <v>0.01</v>
      </c>
      <c r="Q230">
        <v>1.0999999999999999E-2</v>
      </c>
      <c r="R230">
        <v>1.7103999999999999</v>
      </c>
      <c r="S230">
        <v>2.2614999999999998</v>
      </c>
      <c r="T230">
        <v>0</v>
      </c>
      <c r="U230">
        <v>0</v>
      </c>
    </row>
    <row r="231" spans="1:21" x14ac:dyDescent="0.25">
      <c r="A231" t="s">
        <v>804</v>
      </c>
      <c r="B231" t="s">
        <v>24</v>
      </c>
      <c r="D231" t="s">
        <v>28</v>
      </c>
      <c r="E231">
        <v>1.0900000000000001</v>
      </c>
      <c r="G231">
        <v>1.8520000000000001</v>
      </c>
      <c r="H231">
        <v>14.0785</v>
      </c>
      <c r="K231">
        <v>2.0150000000000001</v>
      </c>
      <c r="L231">
        <v>3.867</v>
      </c>
      <c r="M231">
        <v>0.46800000000000003</v>
      </c>
      <c r="N231">
        <v>9.9000000000000005E-2</v>
      </c>
      <c r="O231">
        <v>0.52600000000000002</v>
      </c>
      <c r="P231">
        <v>0.02</v>
      </c>
      <c r="Q231">
        <v>1.0999999999999999E-2</v>
      </c>
      <c r="R231">
        <v>3.4171999999999998</v>
      </c>
      <c r="S231">
        <v>3.2040999999999999</v>
      </c>
      <c r="T231">
        <v>1.9950000000000001</v>
      </c>
      <c r="U231">
        <v>0.4</v>
      </c>
    </row>
    <row r="232" spans="1:21" x14ac:dyDescent="0.25">
      <c r="A232" t="s">
        <v>423</v>
      </c>
      <c r="B232" t="s">
        <v>24</v>
      </c>
      <c r="D232" t="s">
        <v>1134</v>
      </c>
      <c r="E232">
        <v>2.56</v>
      </c>
      <c r="G232">
        <v>2.585</v>
      </c>
      <c r="H232">
        <v>11.713699999999999</v>
      </c>
      <c r="K232">
        <v>2.1406000000000001</v>
      </c>
      <c r="L232">
        <v>4.7256</v>
      </c>
      <c r="M232">
        <v>1.8480000000000001</v>
      </c>
      <c r="N232">
        <v>0.04</v>
      </c>
      <c r="O232">
        <v>0.73299999999999998</v>
      </c>
      <c r="P232">
        <v>1.2999999999999999E-2</v>
      </c>
      <c r="Q232">
        <v>1.0999999999999999E-2</v>
      </c>
      <c r="R232">
        <v>0.63400000000000001</v>
      </c>
      <c r="S232">
        <v>0.76500000000000001</v>
      </c>
      <c r="T232">
        <v>5.1349999999999998</v>
      </c>
      <c r="U232">
        <v>0.56000000000000005</v>
      </c>
    </row>
    <row r="233" spans="1:21" x14ac:dyDescent="0.25">
      <c r="A233" t="s">
        <v>1049</v>
      </c>
      <c r="B233" t="s">
        <v>24</v>
      </c>
      <c r="D233" t="s">
        <v>13</v>
      </c>
      <c r="E233">
        <v>1.2</v>
      </c>
      <c r="G233">
        <v>2.444</v>
      </c>
      <c r="H233">
        <v>7.9497999999999998</v>
      </c>
      <c r="K233">
        <v>1.5137</v>
      </c>
      <c r="L233">
        <v>3.9577</v>
      </c>
      <c r="M233">
        <v>0.38500000000000001</v>
      </c>
      <c r="N233">
        <v>0.13800000000000001</v>
      </c>
      <c r="O233">
        <v>0.47699999999999998</v>
      </c>
      <c r="P233">
        <v>2.8000000000000001E-2</v>
      </c>
      <c r="Q233">
        <v>1.0999999999999999E-2</v>
      </c>
      <c r="R233">
        <v>6.3449</v>
      </c>
      <c r="S233">
        <v>5.3685999999999998</v>
      </c>
      <c r="T233">
        <v>7.6820000000000004</v>
      </c>
      <c r="U233">
        <v>0.35</v>
      </c>
    </row>
    <row r="234" spans="1:21" x14ac:dyDescent="0.25">
      <c r="A234" t="s">
        <v>1013</v>
      </c>
      <c r="B234" t="s">
        <v>24</v>
      </c>
      <c r="D234" t="s">
        <v>19</v>
      </c>
      <c r="E234">
        <v>0.88</v>
      </c>
      <c r="G234">
        <v>2.2839999999999998</v>
      </c>
      <c r="H234">
        <v>10.695499999999999</v>
      </c>
      <c r="K234">
        <v>2.0228000000000002</v>
      </c>
      <c r="L234">
        <v>4.3068</v>
      </c>
      <c r="M234">
        <v>1.4039999999999999</v>
      </c>
      <c r="N234">
        <v>0.33400000000000002</v>
      </c>
      <c r="O234">
        <v>0.39300000000000002</v>
      </c>
      <c r="P234">
        <v>0.51600000000000001</v>
      </c>
      <c r="Q234">
        <v>1.0999999999999999E-2</v>
      </c>
      <c r="R234">
        <v>3.7423000000000002</v>
      </c>
      <c r="S234">
        <v>3.2582</v>
      </c>
      <c r="T234">
        <v>0</v>
      </c>
      <c r="U234">
        <v>0</v>
      </c>
    </row>
    <row r="235" spans="1:21" x14ac:dyDescent="0.25">
      <c r="A235" t="s">
        <v>554</v>
      </c>
      <c r="B235" t="s">
        <v>24</v>
      </c>
      <c r="D235" t="s">
        <v>2</v>
      </c>
      <c r="E235">
        <v>0.96</v>
      </c>
      <c r="G235">
        <v>1.9970000000000001</v>
      </c>
      <c r="H235">
        <v>9.15</v>
      </c>
      <c r="K235">
        <v>1.0848</v>
      </c>
      <c r="L235">
        <v>3.0817999999999999</v>
      </c>
      <c r="M235">
        <v>0.872</v>
      </c>
      <c r="N235">
        <v>0.1</v>
      </c>
      <c r="O235">
        <v>0.70699999999999996</v>
      </c>
      <c r="P235">
        <v>2.5000000000000001E-2</v>
      </c>
      <c r="Q235">
        <v>1.0999999999999999E-2</v>
      </c>
      <c r="R235">
        <v>20.823899999999998</v>
      </c>
      <c r="S235">
        <v>15.121499999999999</v>
      </c>
      <c r="T235">
        <v>6.2039999999999997</v>
      </c>
      <c r="U235">
        <v>0.37</v>
      </c>
    </row>
    <row r="236" spans="1:21" x14ac:dyDescent="0.25">
      <c r="A236" t="s">
        <v>277</v>
      </c>
      <c r="B236" t="s">
        <v>24</v>
      </c>
      <c r="D236" t="s">
        <v>10</v>
      </c>
      <c r="E236">
        <v>3.31</v>
      </c>
      <c r="G236">
        <v>4.2380000000000004</v>
      </c>
      <c r="H236">
        <v>17.968800000000002</v>
      </c>
      <c r="K236">
        <v>2.9674</v>
      </c>
      <c r="L236">
        <v>7.2054</v>
      </c>
      <c r="M236">
        <v>0.4</v>
      </c>
      <c r="N236">
        <v>0.104</v>
      </c>
      <c r="O236">
        <v>0.192</v>
      </c>
      <c r="P236">
        <v>1.0999999999999999E-2</v>
      </c>
      <c r="Q236">
        <v>1.0999999999999999E-2</v>
      </c>
      <c r="R236">
        <v>9.3331</v>
      </c>
      <c r="S236">
        <v>7.9878999999999998</v>
      </c>
      <c r="T236">
        <v>4.2229999999999999</v>
      </c>
      <c r="U236">
        <v>0.51</v>
      </c>
    </row>
    <row r="237" spans="1:21" x14ac:dyDescent="0.25">
      <c r="A237" t="s">
        <v>529</v>
      </c>
      <c r="B237" t="s">
        <v>24</v>
      </c>
      <c r="D237" t="s">
        <v>22</v>
      </c>
      <c r="E237">
        <v>1.7</v>
      </c>
      <c r="G237">
        <v>1.9159999999999999</v>
      </c>
      <c r="H237">
        <v>10.6509</v>
      </c>
      <c r="K237">
        <v>1.2403</v>
      </c>
      <c r="L237">
        <v>3.1562999999999999</v>
      </c>
      <c r="M237">
        <v>0.497</v>
      </c>
      <c r="N237">
        <v>4.4999999999999998E-2</v>
      </c>
      <c r="O237">
        <v>0.39800000000000002</v>
      </c>
      <c r="P237">
        <v>8.9999999999999993E-3</v>
      </c>
      <c r="Q237">
        <v>1.0999999999999999E-2</v>
      </c>
      <c r="R237">
        <v>22.3992</v>
      </c>
      <c r="S237">
        <v>17.799399999999999</v>
      </c>
      <c r="T237">
        <v>0</v>
      </c>
      <c r="U237">
        <v>0</v>
      </c>
    </row>
    <row r="238" spans="1:21" x14ac:dyDescent="0.25">
      <c r="A238" t="s">
        <v>447</v>
      </c>
      <c r="B238" t="s">
        <v>24</v>
      </c>
      <c r="D238" t="s">
        <v>33</v>
      </c>
      <c r="E238">
        <v>2.76</v>
      </c>
      <c r="G238">
        <v>4.5549999999999997</v>
      </c>
      <c r="H238">
        <v>7.1654</v>
      </c>
      <c r="K238">
        <v>0.61129999999999995</v>
      </c>
      <c r="L238">
        <v>5.1662999999999997</v>
      </c>
      <c r="M238">
        <v>0.74199999999999999</v>
      </c>
      <c r="N238">
        <v>0.17799999999999999</v>
      </c>
      <c r="O238">
        <v>0.59399999999999997</v>
      </c>
      <c r="P238">
        <v>1.0999999999999999E-2</v>
      </c>
      <c r="Q238">
        <v>1.0999999999999999E-2</v>
      </c>
      <c r="R238">
        <v>7.3131000000000004</v>
      </c>
      <c r="S238">
        <v>7.6504000000000003</v>
      </c>
      <c r="T238">
        <v>16.969000000000001</v>
      </c>
      <c r="U238">
        <v>0.5</v>
      </c>
    </row>
    <row r="239" spans="1:21" x14ac:dyDescent="0.25">
      <c r="A239" t="s">
        <v>511</v>
      </c>
      <c r="B239" t="s">
        <v>24</v>
      </c>
      <c r="D239" t="s">
        <v>33</v>
      </c>
      <c r="E239">
        <v>1.63</v>
      </c>
      <c r="G239">
        <v>2.4740000000000002</v>
      </c>
      <c r="H239">
        <v>9.9601000000000006</v>
      </c>
      <c r="K239">
        <v>1.3001</v>
      </c>
      <c r="L239">
        <v>3.7740999999999998</v>
      </c>
      <c r="M239">
        <v>0.36499999999999999</v>
      </c>
      <c r="N239">
        <v>0.441</v>
      </c>
      <c r="O239">
        <v>0.16700000000000001</v>
      </c>
      <c r="P239">
        <v>8.9999999999999993E-3</v>
      </c>
      <c r="Q239">
        <v>1.0999999999999999E-2</v>
      </c>
      <c r="R239">
        <v>1.4478</v>
      </c>
      <c r="S239">
        <v>0.89629999999999999</v>
      </c>
      <c r="T239">
        <v>7.7380000000000004</v>
      </c>
      <c r="U239">
        <v>0.51</v>
      </c>
    </row>
    <row r="240" spans="1:21" x14ac:dyDescent="0.25">
      <c r="A240" t="s">
        <v>245</v>
      </c>
      <c r="B240" t="s">
        <v>24</v>
      </c>
      <c r="D240" t="s">
        <v>11</v>
      </c>
      <c r="E240">
        <v>4.41</v>
      </c>
      <c r="G240">
        <v>4.2060000000000004</v>
      </c>
      <c r="H240">
        <v>13.561299999999999</v>
      </c>
      <c r="K240">
        <v>2.2654000000000001</v>
      </c>
      <c r="L240">
        <v>6.4714</v>
      </c>
      <c r="M240">
        <v>0.56399999999999995</v>
      </c>
      <c r="N240">
        <v>0.20100000000000001</v>
      </c>
      <c r="O240">
        <v>0.39100000000000001</v>
      </c>
      <c r="P240">
        <v>1.2999999999999999E-2</v>
      </c>
      <c r="Q240">
        <v>1.0999999999999999E-2</v>
      </c>
      <c r="R240">
        <v>12.848800000000001</v>
      </c>
      <c r="S240">
        <v>9.7729999999999997</v>
      </c>
      <c r="T240">
        <v>0</v>
      </c>
      <c r="U240">
        <v>0</v>
      </c>
    </row>
    <row r="241" spans="1:21" x14ac:dyDescent="0.25">
      <c r="A241" t="s">
        <v>540</v>
      </c>
      <c r="B241" t="s">
        <v>24</v>
      </c>
      <c r="D241" t="s">
        <v>27</v>
      </c>
      <c r="E241">
        <v>1.3</v>
      </c>
      <c r="G241">
        <v>1.46</v>
      </c>
      <c r="H241">
        <v>12.911799999999999</v>
      </c>
      <c r="K241">
        <v>1.899</v>
      </c>
      <c r="L241">
        <v>3.359</v>
      </c>
      <c r="M241">
        <v>1.18</v>
      </c>
      <c r="N241">
        <v>0.106</v>
      </c>
      <c r="O241">
        <v>0.64200000000000002</v>
      </c>
      <c r="P241">
        <v>2.8000000000000001E-2</v>
      </c>
      <c r="Q241">
        <v>1.0999999999999999E-2</v>
      </c>
      <c r="R241">
        <v>4.0464000000000002</v>
      </c>
      <c r="S241">
        <v>3.4238</v>
      </c>
      <c r="T241">
        <v>0.92800000000000005</v>
      </c>
      <c r="U241">
        <v>0.62</v>
      </c>
    </row>
    <row r="242" spans="1:21" x14ac:dyDescent="0.25">
      <c r="A242" t="s">
        <v>263</v>
      </c>
      <c r="B242" t="s">
        <v>24</v>
      </c>
      <c r="D242" t="s">
        <v>30</v>
      </c>
      <c r="E242">
        <v>3.22</v>
      </c>
      <c r="G242">
        <v>5.843</v>
      </c>
      <c r="H242">
        <v>10.177</v>
      </c>
      <c r="K242">
        <v>1.821</v>
      </c>
      <c r="L242">
        <v>7.6639999999999997</v>
      </c>
      <c r="M242">
        <v>0.60399999999999998</v>
      </c>
      <c r="N242">
        <v>0.25</v>
      </c>
      <c r="O242">
        <v>0.35299999999999998</v>
      </c>
      <c r="P242">
        <v>1.2999999999999999E-2</v>
      </c>
      <c r="Q242">
        <v>1.0999999999999999E-2</v>
      </c>
      <c r="R242">
        <v>0.28370000000000001</v>
      </c>
      <c r="S242">
        <v>0.24</v>
      </c>
      <c r="T242">
        <v>1.038</v>
      </c>
      <c r="U242">
        <v>0.36</v>
      </c>
    </row>
    <row r="243" spans="1:21" x14ac:dyDescent="0.25">
      <c r="A243" t="s">
        <v>774</v>
      </c>
      <c r="B243" t="s">
        <v>24</v>
      </c>
      <c r="D243" t="s">
        <v>32</v>
      </c>
      <c r="E243">
        <v>2.6</v>
      </c>
      <c r="G243">
        <v>1.571</v>
      </c>
      <c r="H243">
        <v>9.5518999999999998</v>
      </c>
      <c r="K243">
        <v>1.0125999999999999</v>
      </c>
      <c r="L243">
        <v>2.5836000000000001</v>
      </c>
      <c r="M243">
        <v>0.36499999999999999</v>
      </c>
      <c r="N243">
        <v>0.19500000000000001</v>
      </c>
      <c r="O243">
        <v>0.51800000000000002</v>
      </c>
      <c r="P243">
        <v>1.4E-2</v>
      </c>
      <c r="Q243">
        <v>1.0999999999999999E-2</v>
      </c>
      <c r="R243">
        <v>18.087399999999999</v>
      </c>
      <c r="S243">
        <v>14.0923</v>
      </c>
      <c r="T243">
        <v>8.3209999999999997</v>
      </c>
      <c r="U243">
        <v>0.46</v>
      </c>
    </row>
    <row r="244" spans="1:21" x14ac:dyDescent="0.25">
      <c r="A244" t="s">
        <v>772</v>
      </c>
      <c r="B244" t="s">
        <v>24</v>
      </c>
      <c r="D244" t="s">
        <v>12</v>
      </c>
      <c r="E244">
        <v>1.89</v>
      </c>
      <c r="G244">
        <v>2.56</v>
      </c>
      <c r="H244">
        <v>10.452400000000001</v>
      </c>
      <c r="K244">
        <v>1.3411</v>
      </c>
      <c r="L244">
        <v>3.9011</v>
      </c>
      <c r="M244">
        <v>2.234</v>
      </c>
      <c r="N244">
        <v>6.8000000000000005E-2</v>
      </c>
      <c r="O244">
        <v>0.69899999999999995</v>
      </c>
      <c r="P244">
        <v>1.4999999999999999E-2</v>
      </c>
      <c r="Q244">
        <v>1.0999999999999999E-2</v>
      </c>
      <c r="R244">
        <v>11.824199999999999</v>
      </c>
      <c r="S244">
        <v>11.5115</v>
      </c>
      <c r="T244">
        <v>8.4309999999999992</v>
      </c>
      <c r="U244">
        <v>0.48</v>
      </c>
    </row>
    <row r="245" spans="1:21" x14ac:dyDescent="0.25">
      <c r="A245" t="s">
        <v>525</v>
      </c>
      <c r="B245" t="s">
        <v>24</v>
      </c>
      <c r="D245" t="s">
        <v>27</v>
      </c>
      <c r="E245">
        <v>0.83</v>
      </c>
      <c r="G245">
        <v>0.23799999999999999</v>
      </c>
      <c r="H245">
        <v>8.0386000000000006</v>
      </c>
      <c r="K245">
        <v>1.1839999999999999</v>
      </c>
      <c r="L245">
        <v>1.4219999999999999</v>
      </c>
      <c r="M245">
        <v>3.29</v>
      </c>
      <c r="N245">
        <v>7.6999999999999999E-2</v>
      </c>
      <c r="O245">
        <v>1.0089999999999999</v>
      </c>
      <c r="P245">
        <v>0.57399999999999995</v>
      </c>
      <c r="Q245">
        <v>1.0999999999999999E-2</v>
      </c>
      <c r="R245">
        <v>1.2605</v>
      </c>
      <c r="S245">
        <v>1.8343</v>
      </c>
      <c r="T245">
        <v>11.676</v>
      </c>
      <c r="U245">
        <v>0.63</v>
      </c>
    </row>
    <row r="246" spans="1:21" x14ac:dyDescent="0.25">
      <c r="A246" t="s">
        <v>993</v>
      </c>
      <c r="B246" t="s">
        <v>24</v>
      </c>
      <c r="D246" t="s">
        <v>11</v>
      </c>
      <c r="E246">
        <v>4.29</v>
      </c>
      <c r="G246">
        <v>5.1769999999999996</v>
      </c>
      <c r="H246">
        <v>20.0611</v>
      </c>
      <c r="K246">
        <v>1.9463999999999999</v>
      </c>
      <c r="L246">
        <v>7.1234000000000002</v>
      </c>
      <c r="M246">
        <v>0.68500000000000005</v>
      </c>
      <c r="N246">
        <v>0.105</v>
      </c>
      <c r="O246">
        <v>0.39600000000000002</v>
      </c>
      <c r="P246">
        <v>1.2E-2</v>
      </c>
      <c r="Q246">
        <v>1.0999999999999999E-2</v>
      </c>
      <c r="R246">
        <v>7.5797999999999996</v>
      </c>
      <c r="S246">
        <v>7.4608999999999996</v>
      </c>
      <c r="T246">
        <v>5.367</v>
      </c>
      <c r="U246">
        <v>0.41</v>
      </c>
    </row>
    <row r="247" spans="1:21" x14ac:dyDescent="0.25">
      <c r="A247" t="s">
        <v>281</v>
      </c>
      <c r="B247" t="s">
        <v>24</v>
      </c>
      <c r="D247" t="s">
        <v>22</v>
      </c>
      <c r="E247">
        <v>2.86</v>
      </c>
      <c r="G247">
        <v>2.9580000000000002</v>
      </c>
      <c r="H247">
        <v>15.348599999999999</v>
      </c>
      <c r="K247">
        <v>2.4239999999999999</v>
      </c>
      <c r="L247">
        <v>5.3819999999999997</v>
      </c>
      <c r="M247">
        <v>0.63700000000000001</v>
      </c>
      <c r="N247">
        <v>8.8999999999999996E-2</v>
      </c>
      <c r="O247">
        <v>0.78200000000000003</v>
      </c>
      <c r="P247">
        <v>8.9999999999999993E-3</v>
      </c>
      <c r="Q247">
        <v>1.0999999999999999E-2</v>
      </c>
      <c r="R247">
        <v>25.146699999999999</v>
      </c>
      <c r="S247">
        <v>21.429400000000001</v>
      </c>
      <c r="T247">
        <v>2.4260000000000002</v>
      </c>
      <c r="U247">
        <v>0.4</v>
      </c>
    </row>
    <row r="248" spans="1:21" x14ac:dyDescent="0.25">
      <c r="A248" t="s">
        <v>891</v>
      </c>
      <c r="B248" t="s">
        <v>24</v>
      </c>
      <c r="D248" t="s">
        <v>19</v>
      </c>
      <c r="E248">
        <v>2.63</v>
      </c>
      <c r="G248">
        <v>1.77</v>
      </c>
      <c r="H248">
        <v>7.4165999999999999</v>
      </c>
      <c r="K248">
        <v>2.1547000000000001</v>
      </c>
      <c r="L248">
        <v>3.9247000000000001</v>
      </c>
      <c r="M248">
        <v>1.2290000000000001</v>
      </c>
      <c r="N248">
        <v>0.1</v>
      </c>
      <c r="O248">
        <v>0.40699999999999997</v>
      </c>
      <c r="P248">
        <v>8.6999999999999994E-2</v>
      </c>
      <c r="Q248">
        <v>1.0999999999999999E-2</v>
      </c>
      <c r="R248">
        <v>22.2913</v>
      </c>
      <c r="S248">
        <v>19.079499999999999</v>
      </c>
      <c r="T248">
        <v>8.3369999999999997</v>
      </c>
      <c r="U248">
        <v>0.54</v>
      </c>
    </row>
    <row r="249" spans="1:21" x14ac:dyDescent="0.25">
      <c r="A249" t="s">
        <v>1069</v>
      </c>
      <c r="B249" t="s">
        <v>24</v>
      </c>
      <c r="D249" t="s">
        <v>30</v>
      </c>
      <c r="E249">
        <v>1.48</v>
      </c>
      <c r="G249">
        <v>2.1619999999999999</v>
      </c>
      <c r="H249">
        <v>7.4208999999999996</v>
      </c>
      <c r="K249">
        <v>1.36</v>
      </c>
      <c r="L249">
        <v>3.5219999999999998</v>
      </c>
      <c r="M249">
        <v>1.137</v>
      </c>
      <c r="N249">
        <v>0.127</v>
      </c>
      <c r="O249">
        <v>0.435</v>
      </c>
      <c r="P249">
        <v>2.5000000000000001E-2</v>
      </c>
      <c r="Q249">
        <v>1.0999999999999999E-2</v>
      </c>
      <c r="R249">
        <v>5.3544999999999998</v>
      </c>
      <c r="S249">
        <v>4.5305999999999997</v>
      </c>
      <c r="T249">
        <v>11.028</v>
      </c>
      <c r="U249">
        <v>0.42</v>
      </c>
    </row>
    <row r="250" spans="1:21" x14ac:dyDescent="0.25">
      <c r="A250" t="s">
        <v>688</v>
      </c>
      <c r="B250" t="s">
        <v>24</v>
      </c>
      <c r="D250" t="s">
        <v>13</v>
      </c>
      <c r="E250">
        <v>1.43</v>
      </c>
      <c r="G250">
        <v>1.2270000000000001</v>
      </c>
      <c r="H250">
        <v>10.428800000000001</v>
      </c>
      <c r="K250">
        <v>1.5669999999999999</v>
      </c>
      <c r="L250">
        <v>2.794</v>
      </c>
      <c r="M250">
        <v>0.69099999999999995</v>
      </c>
      <c r="N250">
        <v>8.1000000000000003E-2</v>
      </c>
      <c r="O250">
        <v>0.66500000000000004</v>
      </c>
      <c r="P250">
        <v>1.7000000000000001E-2</v>
      </c>
      <c r="Q250">
        <v>1.0999999999999999E-2</v>
      </c>
      <c r="R250">
        <v>16.816400000000002</v>
      </c>
      <c r="S250">
        <v>16.607099999999999</v>
      </c>
      <c r="T250">
        <v>0</v>
      </c>
      <c r="U250">
        <v>0</v>
      </c>
    </row>
    <row r="251" spans="1:21" x14ac:dyDescent="0.25">
      <c r="A251" t="s">
        <v>621</v>
      </c>
      <c r="B251" t="s">
        <v>24</v>
      </c>
      <c r="D251" t="s">
        <v>892</v>
      </c>
      <c r="E251">
        <v>1.49</v>
      </c>
      <c r="G251">
        <v>1.3049999999999999</v>
      </c>
      <c r="H251">
        <v>7.1296999999999997</v>
      </c>
      <c r="K251">
        <v>0.93720000000000003</v>
      </c>
      <c r="L251">
        <v>2.2422</v>
      </c>
      <c r="M251">
        <v>-3.4000000000000002E-2</v>
      </c>
      <c r="N251">
        <v>0.23300000000000001</v>
      </c>
      <c r="O251">
        <v>0.23799999999999999</v>
      </c>
      <c r="P251">
        <v>1.4E-2</v>
      </c>
      <c r="Q251">
        <v>1.0999999999999999E-2</v>
      </c>
      <c r="R251">
        <v>11.490399999999999</v>
      </c>
      <c r="S251">
        <v>8.1608999999999998</v>
      </c>
      <c r="T251">
        <v>1.2170000000000001</v>
      </c>
      <c r="U251">
        <v>0.56999999999999995</v>
      </c>
    </row>
    <row r="252" spans="1:21" x14ac:dyDescent="0.25">
      <c r="A252" t="s">
        <v>612</v>
      </c>
      <c r="B252" t="s">
        <v>24</v>
      </c>
      <c r="D252" t="s">
        <v>21</v>
      </c>
      <c r="E252">
        <v>1.25</v>
      </c>
      <c r="G252">
        <v>1.69</v>
      </c>
      <c r="H252">
        <v>9.0837000000000003</v>
      </c>
      <c r="K252">
        <v>1.7095</v>
      </c>
      <c r="L252">
        <v>3.3995000000000002</v>
      </c>
      <c r="M252">
        <v>1.165</v>
      </c>
      <c r="N252">
        <v>0.186</v>
      </c>
      <c r="O252">
        <v>0.58199999999999996</v>
      </c>
      <c r="P252">
        <v>8.0000000000000002E-3</v>
      </c>
      <c r="Q252">
        <v>1.0999999999999999E-2</v>
      </c>
      <c r="R252">
        <v>19.188500000000001</v>
      </c>
      <c r="S252">
        <v>14.895200000000001</v>
      </c>
      <c r="T252">
        <v>6.3159999999999998</v>
      </c>
      <c r="U252">
        <v>0.53</v>
      </c>
    </row>
    <row r="253" spans="1:21" x14ac:dyDescent="0.25">
      <c r="A253" t="s">
        <v>463</v>
      </c>
      <c r="B253" t="s">
        <v>24</v>
      </c>
      <c r="D253" t="s">
        <v>901</v>
      </c>
      <c r="E253">
        <v>2.21</v>
      </c>
      <c r="G253">
        <v>1.6879999999999999</v>
      </c>
      <c r="H253">
        <v>9.7517999999999994</v>
      </c>
      <c r="K253">
        <v>1.5528</v>
      </c>
      <c r="L253">
        <v>3.2408000000000001</v>
      </c>
      <c r="M253">
        <v>2.7189999999999999</v>
      </c>
      <c r="N253">
        <v>6.0999999999999999E-2</v>
      </c>
      <c r="O253">
        <v>0.81899999999999995</v>
      </c>
      <c r="P253">
        <v>1.9E-2</v>
      </c>
      <c r="Q253">
        <v>1.0999999999999999E-2</v>
      </c>
      <c r="R253">
        <v>1.9460999999999999</v>
      </c>
      <c r="S253">
        <v>2.3841000000000001</v>
      </c>
      <c r="T253">
        <v>0</v>
      </c>
      <c r="U253">
        <v>0</v>
      </c>
    </row>
    <row r="254" spans="1:21" x14ac:dyDescent="0.25">
      <c r="A254" t="s">
        <v>410</v>
      </c>
      <c r="B254" t="s">
        <v>24</v>
      </c>
      <c r="D254" t="s">
        <v>13</v>
      </c>
      <c r="E254">
        <v>3.1</v>
      </c>
      <c r="G254">
        <v>2.3250000000000002</v>
      </c>
      <c r="H254">
        <v>9.2643000000000004</v>
      </c>
      <c r="K254">
        <v>1.897</v>
      </c>
      <c r="L254">
        <v>4.2220000000000004</v>
      </c>
      <c r="M254">
        <v>0.4</v>
      </c>
      <c r="N254">
        <v>0.15</v>
      </c>
      <c r="O254">
        <v>0.35199999999999998</v>
      </c>
      <c r="P254">
        <v>1.2999999999999999E-2</v>
      </c>
      <c r="Q254">
        <v>1.0999999999999999E-2</v>
      </c>
      <c r="R254">
        <v>10.1945</v>
      </c>
      <c r="S254">
        <v>9.5157000000000007</v>
      </c>
      <c r="T254">
        <v>5.5049999999999999</v>
      </c>
      <c r="U254">
        <v>0.51</v>
      </c>
    </row>
    <row r="255" spans="1:21" x14ac:dyDescent="0.25">
      <c r="A255" t="s">
        <v>320</v>
      </c>
      <c r="B255" t="s">
        <v>24</v>
      </c>
      <c r="D255" t="s">
        <v>6</v>
      </c>
      <c r="E255">
        <v>3.63</v>
      </c>
      <c r="G255">
        <v>3.45</v>
      </c>
      <c r="H255">
        <v>9.3344000000000005</v>
      </c>
      <c r="K255">
        <v>1.8602000000000001</v>
      </c>
      <c r="L255">
        <v>5.3102</v>
      </c>
      <c r="M255">
        <v>0.29199999999999998</v>
      </c>
      <c r="N255">
        <v>0.255</v>
      </c>
      <c r="O255">
        <v>0.44900000000000001</v>
      </c>
      <c r="P255">
        <v>1.2999999999999999E-2</v>
      </c>
      <c r="Q255">
        <v>1.0999999999999999E-2</v>
      </c>
      <c r="R255">
        <v>18.4087</v>
      </c>
      <c r="S255">
        <v>15.1088</v>
      </c>
      <c r="T255">
        <v>3.129</v>
      </c>
      <c r="U255">
        <v>0.51</v>
      </c>
    </row>
    <row r="256" spans="1:21" x14ac:dyDescent="0.25">
      <c r="A256" t="s">
        <v>785</v>
      </c>
      <c r="B256" t="s">
        <v>24</v>
      </c>
      <c r="D256" t="s">
        <v>29</v>
      </c>
      <c r="E256">
        <v>2.78</v>
      </c>
      <c r="G256">
        <v>3.367</v>
      </c>
      <c r="H256">
        <v>9.6797000000000004</v>
      </c>
      <c r="K256">
        <v>1.4857</v>
      </c>
      <c r="L256">
        <v>4.8526999999999996</v>
      </c>
      <c r="M256">
        <v>0.69299999999999995</v>
      </c>
      <c r="N256">
        <v>5.6000000000000001E-2</v>
      </c>
      <c r="O256">
        <v>0.51</v>
      </c>
      <c r="P256">
        <v>1.4E-2</v>
      </c>
      <c r="Q256">
        <v>1.0999999999999999E-2</v>
      </c>
      <c r="R256">
        <v>8.2423999999999999</v>
      </c>
      <c r="S256">
        <v>10.107699999999999</v>
      </c>
      <c r="T256">
        <v>0</v>
      </c>
      <c r="U256">
        <v>0</v>
      </c>
    </row>
    <row r="257" spans="1:21" x14ac:dyDescent="0.25">
      <c r="A257" t="s">
        <v>488</v>
      </c>
      <c r="B257" t="s">
        <v>24</v>
      </c>
      <c r="D257" t="s">
        <v>27</v>
      </c>
      <c r="E257">
        <v>3.33</v>
      </c>
      <c r="G257">
        <v>2.3460000000000001</v>
      </c>
      <c r="H257">
        <v>13.7226</v>
      </c>
      <c r="K257">
        <v>1.8740000000000001</v>
      </c>
      <c r="L257">
        <v>4.22</v>
      </c>
      <c r="M257">
        <v>0.76400000000000001</v>
      </c>
      <c r="N257">
        <v>9.2999999999999999E-2</v>
      </c>
      <c r="O257">
        <v>0.374</v>
      </c>
      <c r="P257">
        <v>1.2999999999999999E-2</v>
      </c>
      <c r="Q257">
        <v>1.0999999999999999E-2</v>
      </c>
      <c r="R257">
        <v>37.565100000000001</v>
      </c>
      <c r="S257">
        <v>25.930900000000001</v>
      </c>
      <c r="T257">
        <v>7.8719999999999999</v>
      </c>
      <c r="U257">
        <v>0.56999999999999995</v>
      </c>
    </row>
    <row r="258" spans="1:21" x14ac:dyDescent="0.25">
      <c r="A258" t="s">
        <v>770</v>
      </c>
      <c r="B258" t="s">
        <v>24</v>
      </c>
      <c r="D258" t="s">
        <v>33</v>
      </c>
      <c r="E258">
        <v>1.1499999999999999</v>
      </c>
      <c r="G258">
        <v>1.9590000000000001</v>
      </c>
      <c r="H258">
        <v>8.0500000000000007</v>
      </c>
      <c r="K258">
        <v>1.0144</v>
      </c>
      <c r="L258">
        <v>2.9733999999999998</v>
      </c>
      <c r="M258">
        <v>0.90700000000000003</v>
      </c>
      <c r="N258">
        <v>0.11899999999999999</v>
      </c>
      <c r="O258">
        <v>0.42299999999999999</v>
      </c>
      <c r="P258">
        <v>2.9000000000000001E-2</v>
      </c>
      <c r="Q258">
        <v>1.0999999999999999E-2</v>
      </c>
      <c r="R258">
        <v>14.852600000000001</v>
      </c>
      <c r="S258">
        <v>8.9187999999999992</v>
      </c>
      <c r="T258">
        <v>20.332999999999998</v>
      </c>
      <c r="U258">
        <v>0.56000000000000005</v>
      </c>
    </row>
    <row r="259" spans="1:21" x14ac:dyDescent="0.25">
      <c r="A259" t="s">
        <v>505</v>
      </c>
      <c r="B259" t="s">
        <v>24</v>
      </c>
      <c r="D259" t="s">
        <v>28</v>
      </c>
      <c r="E259">
        <v>1.7</v>
      </c>
      <c r="G259">
        <v>1.4330000000000001</v>
      </c>
      <c r="H259">
        <v>11.1067</v>
      </c>
      <c r="K259">
        <v>1.2692000000000001</v>
      </c>
      <c r="L259">
        <v>2.7021999999999999</v>
      </c>
      <c r="M259">
        <v>0.60299999999999998</v>
      </c>
      <c r="N259">
        <v>0.05</v>
      </c>
      <c r="O259">
        <v>0.80600000000000005</v>
      </c>
      <c r="P259">
        <v>1.4E-2</v>
      </c>
      <c r="Q259">
        <v>1.0999999999999999E-2</v>
      </c>
      <c r="R259">
        <v>9.8878000000000004</v>
      </c>
      <c r="S259">
        <v>13.6783</v>
      </c>
      <c r="T259">
        <v>1.506</v>
      </c>
      <c r="U259">
        <v>0.56000000000000005</v>
      </c>
    </row>
    <row r="260" spans="1:21" x14ac:dyDescent="0.25">
      <c r="A260" t="s">
        <v>243</v>
      </c>
      <c r="B260" t="s">
        <v>24</v>
      </c>
      <c r="D260" t="s">
        <v>19</v>
      </c>
      <c r="E260">
        <v>3.87</v>
      </c>
      <c r="G260">
        <v>6.6909999999999998</v>
      </c>
      <c r="H260">
        <v>14.4495</v>
      </c>
      <c r="K260">
        <v>2.1602000000000001</v>
      </c>
      <c r="L260">
        <v>8.8512000000000004</v>
      </c>
      <c r="M260">
        <v>0.97799999999999998</v>
      </c>
      <c r="N260">
        <v>0.121</v>
      </c>
      <c r="O260">
        <v>0.74</v>
      </c>
      <c r="P260">
        <v>1.0999999999999999E-2</v>
      </c>
      <c r="Q260">
        <v>1.0999999999999999E-2</v>
      </c>
      <c r="R260">
        <v>0.24840000000000001</v>
      </c>
      <c r="S260">
        <v>0.2102</v>
      </c>
      <c r="T260">
        <v>5.0339999999999998</v>
      </c>
      <c r="U260">
        <v>0.45</v>
      </c>
    </row>
    <row r="261" spans="1:21" x14ac:dyDescent="0.25">
      <c r="A261" t="s">
        <v>283</v>
      </c>
      <c r="B261" t="s">
        <v>24</v>
      </c>
      <c r="D261" t="s">
        <v>9</v>
      </c>
      <c r="E261">
        <v>2.75</v>
      </c>
      <c r="G261">
        <v>2.97</v>
      </c>
      <c r="H261">
        <v>11.38</v>
      </c>
      <c r="K261">
        <v>1.1499999999999999</v>
      </c>
      <c r="L261">
        <v>3.6827999999999999</v>
      </c>
      <c r="M261">
        <v>0.36</v>
      </c>
      <c r="N261">
        <v>0.317</v>
      </c>
      <c r="O261">
        <v>0.29499999999999998</v>
      </c>
      <c r="P261">
        <v>1.2999999999999999E-2</v>
      </c>
      <c r="Q261">
        <v>1.0999999999999999E-2</v>
      </c>
      <c r="R261">
        <v>0.45440000000000003</v>
      </c>
      <c r="S261">
        <v>0.9919</v>
      </c>
      <c r="T261">
        <v>1.4379999999999999</v>
      </c>
      <c r="U261">
        <v>0.44</v>
      </c>
    </row>
    <row r="262" spans="1:21" x14ac:dyDescent="0.25">
      <c r="A262" t="s">
        <v>603</v>
      </c>
      <c r="B262" t="s">
        <v>24</v>
      </c>
      <c r="D262" t="s">
        <v>8</v>
      </c>
      <c r="E262">
        <v>1.04</v>
      </c>
      <c r="G262">
        <v>0.89600000000000002</v>
      </c>
      <c r="H262">
        <v>11.9673</v>
      </c>
      <c r="K262">
        <v>1.2490000000000001</v>
      </c>
      <c r="L262">
        <v>2.145</v>
      </c>
      <c r="M262">
        <v>2.3220000000000001</v>
      </c>
      <c r="N262">
        <v>0.10199999999999999</v>
      </c>
      <c r="O262">
        <v>0.35299999999999998</v>
      </c>
      <c r="P262">
        <v>0.02</v>
      </c>
      <c r="Q262">
        <v>1.0999999999999999E-2</v>
      </c>
      <c r="R262">
        <v>2.8201999999999998</v>
      </c>
      <c r="S262">
        <v>2.3862000000000001</v>
      </c>
      <c r="T262">
        <v>0</v>
      </c>
      <c r="U262">
        <v>0</v>
      </c>
    </row>
    <row r="263" spans="1:21" x14ac:dyDescent="0.25">
      <c r="A263" t="s">
        <v>502</v>
      </c>
      <c r="B263" t="s">
        <v>24</v>
      </c>
      <c r="D263" t="s">
        <v>9</v>
      </c>
      <c r="E263">
        <v>1.82</v>
      </c>
      <c r="G263">
        <v>0.505</v>
      </c>
      <c r="H263">
        <v>7.0382999999999996</v>
      </c>
      <c r="K263">
        <v>1.3179000000000001</v>
      </c>
      <c r="L263">
        <v>1.8229</v>
      </c>
      <c r="M263">
        <v>1.38</v>
      </c>
      <c r="N263">
        <v>0.113</v>
      </c>
      <c r="O263">
        <v>0.747</v>
      </c>
      <c r="P263">
        <v>1.0999999999999999E-2</v>
      </c>
      <c r="Q263">
        <v>1.0999999999999999E-2</v>
      </c>
      <c r="R263">
        <v>5.3712999999999997</v>
      </c>
      <c r="S263">
        <v>4.0518000000000001</v>
      </c>
      <c r="T263">
        <v>18.065999999999999</v>
      </c>
      <c r="U263">
        <v>0.59</v>
      </c>
    </row>
    <row r="264" spans="1:21" x14ac:dyDescent="0.25">
      <c r="A264" t="s">
        <v>916</v>
      </c>
      <c r="B264" t="s">
        <v>24</v>
      </c>
      <c r="D264" t="s">
        <v>32</v>
      </c>
      <c r="E264">
        <v>1.1299999999999999</v>
      </c>
      <c r="G264">
        <v>1.2649999999999999</v>
      </c>
      <c r="H264">
        <v>7.8803000000000001</v>
      </c>
      <c r="K264">
        <v>1.4052</v>
      </c>
      <c r="L264">
        <v>2.6701999999999999</v>
      </c>
      <c r="M264">
        <v>2.3119999999999998</v>
      </c>
      <c r="N264">
        <v>0.42199999999999999</v>
      </c>
      <c r="O264">
        <v>0.38500000000000001</v>
      </c>
      <c r="P264">
        <v>1.7999999999999999E-2</v>
      </c>
      <c r="Q264">
        <v>1.0999999999999999E-2</v>
      </c>
      <c r="R264">
        <v>15.157400000000001</v>
      </c>
      <c r="S264">
        <v>7.0026999999999999</v>
      </c>
      <c r="T264">
        <v>5.3460000000000001</v>
      </c>
      <c r="U264">
        <v>0.51</v>
      </c>
    </row>
    <row r="265" spans="1:21" x14ac:dyDescent="0.25">
      <c r="A265" t="s">
        <v>331</v>
      </c>
      <c r="B265" t="s">
        <v>24</v>
      </c>
      <c r="D265" t="s">
        <v>87</v>
      </c>
      <c r="E265">
        <v>2.29</v>
      </c>
      <c r="G265">
        <v>3.2440000000000002</v>
      </c>
      <c r="H265">
        <v>12.166399999999999</v>
      </c>
      <c r="K265">
        <v>1.9765999999999999</v>
      </c>
      <c r="L265">
        <v>5.2206000000000001</v>
      </c>
      <c r="M265">
        <v>0.66200000000000003</v>
      </c>
      <c r="N265">
        <v>0.26200000000000001</v>
      </c>
      <c r="O265">
        <v>0.47099999999999997</v>
      </c>
      <c r="P265">
        <v>1.2999999999999999E-2</v>
      </c>
      <c r="Q265">
        <v>1.0999999999999999E-2</v>
      </c>
      <c r="R265">
        <v>0.44359999999999999</v>
      </c>
      <c r="S265">
        <v>0.83430000000000004</v>
      </c>
      <c r="T265">
        <v>17.591000000000001</v>
      </c>
      <c r="U265">
        <v>0.62</v>
      </c>
    </row>
    <row r="266" spans="1:21" x14ac:dyDescent="0.25">
      <c r="A266" t="s">
        <v>483</v>
      </c>
      <c r="B266" t="s">
        <v>24</v>
      </c>
      <c r="D266" t="s">
        <v>20</v>
      </c>
      <c r="E266">
        <v>1.19</v>
      </c>
      <c r="G266">
        <v>1.6539999999999999</v>
      </c>
      <c r="H266">
        <v>14.9232</v>
      </c>
      <c r="K266">
        <v>1.8209</v>
      </c>
      <c r="L266">
        <v>3.4748999999999999</v>
      </c>
      <c r="M266">
        <v>0.47899999999999998</v>
      </c>
      <c r="N266">
        <v>0.08</v>
      </c>
      <c r="O266">
        <v>0.59899999999999998</v>
      </c>
      <c r="P266">
        <v>1.4999999999999999E-2</v>
      </c>
      <c r="Q266">
        <v>1.0999999999999999E-2</v>
      </c>
      <c r="R266">
        <v>2.7524000000000002</v>
      </c>
      <c r="S266">
        <v>1.7532000000000001</v>
      </c>
      <c r="T266">
        <v>0</v>
      </c>
      <c r="U266">
        <v>0</v>
      </c>
    </row>
    <row r="267" spans="1:21" x14ac:dyDescent="0.25">
      <c r="A267" t="s">
        <v>399</v>
      </c>
      <c r="B267" t="s">
        <v>24</v>
      </c>
      <c r="D267" t="s">
        <v>27</v>
      </c>
      <c r="E267">
        <v>1.35</v>
      </c>
      <c r="G267">
        <v>1.8089999999999999</v>
      </c>
      <c r="H267">
        <v>7.2428999999999997</v>
      </c>
      <c r="K267">
        <v>0.85489999999999999</v>
      </c>
      <c r="L267">
        <v>2.6638999999999999</v>
      </c>
      <c r="M267">
        <v>0.81</v>
      </c>
      <c r="N267">
        <v>0.216</v>
      </c>
      <c r="O267">
        <v>0.20399999999999999</v>
      </c>
      <c r="P267">
        <v>1.0999999999999999E-2</v>
      </c>
      <c r="Q267">
        <v>1.0999999999999999E-2</v>
      </c>
      <c r="R267">
        <v>0.59309999999999996</v>
      </c>
      <c r="S267">
        <v>1.0017</v>
      </c>
      <c r="T267">
        <v>0</v>
      </c>
      <c r="U267">
        <v>0</v>
      </c>
    </row>
    <row r="268" spans="1:21" x14ac:dyDescent="0.25">
      <c r="A268" t="s">
        <v>800</v>
      </c>
      <c r="B268" t="s">
        <v>24</v>
      </c>
      <c r="D268" t="s">
        <v>33</v>
      </c>
      <c r="E268">
        <v>0.88</v>
      </c>
      <c r="G268">
        <v>1.7030000000000001</v>
      </c>
      <c r="H268">
        <v>7.8037999999999998</v>
      </c>
      <c r="K268">
        <v>1.0259</v>
      </c>
      <c r="L268">
        <v>2.7288999999999999</v>
      </c>
      <c r="M268">
        <v>1.1599999999999999</v>
      </c>
      <c r="N268">
        <v>0.33500000000000002</v>
      </c>
      <c r="O268">
        <v>0.69399999999999995</v>
      </c>
      <c r="P268">
        <v>2.5000000000000001E-2</v>
      </c>
      <c r="Q268">
        <v>1.0999999999999999E-2</v>
      </c>
      <c r="R268">
        <v>4.1245000000000003</v>
      </c>
      <c r="S268">
        <v>3.7117</v>
      </c>
      <c r="T268">
        <v>17.937999999999999</v>
      </c>
      <c r="U268">
        <v>0.45</v>
      </c>
    </row>
    <row r="269" spans="1:21" x14ac:dyDescent="0.25">
      <c r="A269" t="s">
        <v>676</v>
      </c>
      <c r="B269" t="s">
        <v>24</v>
      </c>
      <c r="D269" t="s">
        <v>14</v>
      </c>
      <c r="E269">
        <v>1.29</v>
      </c>
      <c r="G269">
        <v>1.649</v>
      </c>
      <c r="H269">
        <v>7.0655000000000001</v>
      </c>
      <c r="K269">
        <v>1.2996000000000001</v>
      </c>
      <c r="L269">
        <v>2.9485999999999999</v>
      </c>
      <c r="M269">
        <v>0.35299999999999998</v>
      </c>
      <c r="N269">
        <v>6.6000000000000003E-2</v>
      </c>
      <c r="O269">
        <v>0.49299999999999999</v>
      </c>
      <c r="P269">
        <v>1.2999999999999999E-2</v>
      </c>
      <c r="Q269">
        <v>1.0999999999999999E-2</v>
      </c>
      <c r="R269">
        <v>5.0039999999999996</v>
      </c>
      <c r="S269">
        <v>6.0486000000000004</v>
      </c>
      <c r="T269">
        <v>1.639</v>
      </c>
      <c r="U269">
        <v>0.44</v>
      </c>
    </row>
    <row r="270" spans="1:21" x14ac:dyDescent="0.25">
      <c r="A270" t="s">
        <v>587</v>
      </c>
      <c r="B270" t="s">
        <v>24</v>
      </c>
      <c r="D270" t="s">
        <v>32</v>
      </c>
      <c r="E270">
        <v>2.68</v>
      </c>
      <c r="G270">
        <v>1.0089999999999999</v>
      </c>
      <c r="H270">
        <v>15.619300000000001</v>
      </c>
      <c r="K270">
        <v>1.6658999999999999</v>
      </c>
      <c r="L270">
        <v>2.6749000000000001</v>
      </c>
      <c r="M270">
        <v>1.085</v>
      </c>
      <c r="N270">
        <v>0.34</v>
      </c>
      <c r="O270">
        <v>0.49399999999999999</v>
      </c>
      <c r="P270">
        <v>1.2999999999999999E-2</v>
      </c>
      <c r="Q270">
        <v>1.0999999999999999E-2</v>
      </c>
      <c r="R270">
        <v>0.97470000000000001</v>
      </c>
      <c r="S270">
        <v>0.78500000000000003</v>
      </c>
      <c r="T270">
        <v>0</v>
      </c>
      <c r="U270">
        <v>0</v>
      </c>
    </row>
    <row r="271" spans="1:21" x14ac:dyDescent="0.25">
      <c r="A271" t="s">
        <v>1018</v>
      </c>
      <c r="B271" t="s">
        <v>24</v>
      </c>
      <c r="D271" t="s">
        <v>1157</v>
      </c>
      <c r="E271">
        <v>0.97</v>
      </c>
      <c r="G271">
        <v>2.109</v>
      </c>
      <c r="H271">
        <v>7.1448999999999998</v>
      </c>
      <c r="K271">
        <v>0.94299999999999995</v>
      </c>
      <c r="L271">
        <v>3.052</v>
      </c>
      <c r="M271">
        <v>1.6220000000000001</v>
      </c>
      <c r="N271">
        <v>8.6999999999999994E-2</v>
      </c>
      <c r="O271">
        <v>0.28799999999999998</v>
      </c>
      <c r="P271">
        <v>1.2E-2</v>
      </c>
      <c r="Q271">
        <v>1.0999999999999999E-2</v>
      </c>
      <c r="R271">
        <v>3.2892999999999999</v>
      </c>
      <c r="S271">
        <v>2.8136999999999999</v>
      </c>
      <c r="T271">
        <v>0</v>
      </c>
      <c r="U271">
        <v>0</v>
      </c>
    </row>
    <row r="272" spans="1:21" x14ac:dyDescent="0.25">
      <c r="A272" t="s">
        <v>425</v>
      </c>
      <c r="B272" t="s">
        <v>24</v>
      </c>
      <c r="D272" t="s">
        <v>31</v>
      </c>
      <c r="E272">
        <v>2.0699999999999998</v>
      </c>
      <c r="G272">
        <v>1.536</v>
      </c>
      <c r="H272">
        <v>9.8183000000000007</v>
      </c>
      <c r="K272">
        <v>1.6940999999999999</v>
      </c>
      <c r="L272">
        <v>3.2301000000000002</v>
      </c>
      <c r="M272">
        <v>3.2130000000000001</v>
      </c>
      <c r="N272">
        <v>7.4999999999999997E-2</v>
      </c>
      <c r="O272">
        <v>0.39500000000000002</v>
      </c>
      <c r="P272">
        <v>1.6E-2</v>
      </c>
      <c r="Q272">
        <v>1.0999999999999999E-2</v>
      </c>
      <c r="R272">
        <v>3.2309999999999999</v>
      </c>
      <c r="S272">
        <v>2.0863</v>
      </c>
      <c r="T272">
        <v>0</v>
      </c>
      <c r="U272">
        <v>0</v>
      </c>
    </row>
    <row r="273" spans="1:21" x14ac:dyDescent="0.25">
      <c r="A273" t="s">
        <v>317</v>
      </c>
      <c r="B273" t="s">
        <v>24</v>
      </c>
      <c r="D273" t="s">
        <v>12</v>
      </c>
      <c r="E273">
        <v>3.15</v>
      </c>
      <c r="G273">
        <v>2.5950000000000002</v>
      </c>
      <c r="H273">
        <v>15.281700000000001</v>
      </c>
      <c r="K273">
        <v>2.4828000000000001</v>
      </c>
      <c r="L273">
        <v>5.0777999999999999</v>
      </c>
      <c r="M273">
        <v>0.78700000000000003</v>
      </c>
      <c r="N273">
        <v>0.39200000000000002</v>
      </c>
      <c r="O273">
        <v>1.177</v>
      </c>
      <c r="P273">
        <v>1.2E-2</v>
      </c>
      <c r="Q273">
        <v>1.0999999999999999E-2</v>
      </c>
      <c r="R273">
        <v>42.413800000000002</v>
      </c>
      <c r="S273">
        <v>24.9209</v>
      </c>
      <c r="T273">
        <v>0.84499999999999997</v>
      </c>
      <c r="U273">
        <v>0.67</v>
      </c>
    </row>
    <row r="274" spans="1:21" x14ac:dyDescent="0.25">
      <c r="A274" t="s">
        <v>254</v>
      </c>
      <c r="B274" t="s">
        <v>24</v>
      </c>
      <c r="D274" t="s">
        <v>2</v>
      </c>
      <c r="E274">
        <v>2.98</v>
      </c>
      <c r="G274">
        <v>5.2290000000000001</v>
      </c>
      <c r="H274">
        <v>15.8825</v>
      </c>
      <c r="K274">
        <v>1.3058000000000001</v>
      </c>
      <c r="L274">
        <v>6.5347999999999997</v>
      </c>
      <c r="M274">
        <v>0.34200000000000003</v>
      </c>
      <c r="N274">
        <v>0.154</v>
      </c>
      <c r="O274">
        <v>0.49399999999999999</v>
      </c>
      <c r="P274">
        <v>7.0000000000000001E-3</v>
      </c>
      <c r="Q274">
        <v>1.0999999999999999E-2</v>
      </c>
      <c r="R274">
        <v>0.29680000000000001</v>
      </c>
      <c r="S274">
        <v>0.25109999999999999</v>
      </c>
      <c r="T274">
        <v>0</v>
      </c>
      <c r="U274">
        <v>0</v>
      </c>
    </row>
    <row r="275" spans="1:21" x14ac:dyDescent="0.25">
      <c r="A275" t="s">
        <v>366</v>
      </c>
      <c r="B275" t="s">
        <v>24</v>
      </c>
      <c r="D275" t="s">
        <v>23</v>
      </c>
      <c r="E275">
        <v>2.94</v>
      </c>
      <c r="G275">
        <v>2.3010000000000002</v>
      </c>
      <c r="H275">
        <v>18.691600000000001</v>
      </c>
      <c r="K275">
        <v>1.7611000000000001</v>
      </c>
      <c r="L275">
        <v>4.0621</v>
      </c>
      <c r="M275">
        <v>0.16200000000000001</v>
      </c>
      <c r="N275">
        <v>0.11700000000000001</v>
      </c>
      <c r="O275">
        <v>0.35299999999999998</v>
      </c>
      <c r="P275">
        <v>1.4E-2</v>
      </c>
      <c r="Q275">
        <v>1.0999999999999999E-2</v>
      </c>
      <c r="R275">
        <v>6.3475000000000001</v>
      </c>
      <c r="S275">
        <v>3.4607999999999999</v>
      </c>
      <c r="T275">
        <v>10.744</v>
      </c>
      <c r="U275">
        <v>0.67</v>
      </c>
    </row>
    <row r="276" spans="1:21" x14ac:dyDescent="0.25">
      <c r="A276" t="s">
        <v>1041</v>
      </c>
      <c r="B276" t="s">
        <v>24</v>
      </c>
      <c r="D276" t="s">
        <v>28</v>
      </c>
      <c r="E276">
        <v>1.24</v>
      </c>
      <c r="G276">
        <v>2.4390000000000001</v>
      </c>
      <c r="H276">
        <v>6.7668999999999997</v>
      </c>
      <c r="K276">
        <v>1.5829</v>
      </c>
      <c r="L276">
        <v>4.0218999999999996</v>
      </c>
      <c r="M276">
        <v>4.798</v>
      </c>
      <c r="N276">
        <v>0.129</v>
      </c>
      <c r="O276">
        <v>0.755</v>
      </c>
      <c r="P276">
        <v>2.5000000000000001E-2</v>
      </c>
      <c r="Q276">
        <v>1.0999999999999999E-2</v>
      </c>
      <c r="R276">
        <v>6.5453000000000001</v>
      </c>
      <c r="S276">
        <v>5.6963999999999997</v>
      </c>
      <c r="T276">
        <v>0</v>
      </c>
      <c r="U276">
        <v>0</v>
      </c>
    </row>
    <row r="277" spans="1:21" x14ac:dyDescent="0.25">
      <c r="A277" t="s">
        <v>567</v>
      </c>
      <c r="B277" t="s">
        <v>24</v>
      </c>
      <c r="D277" t="s">
        <v>34</v>
      </c>
      <c r="E277">
        <v>1.52</v>
      </c>
      <c r="G277">
        <v>1.81</v>
      </c>
      <c r="H277">
        <v>7.1052</v>
      </c>
      <c r="K277">
        <v>1.5852999999999999</v>
      </c>
      <c r="L277">
        <v>3.3953000000000002</v>
      </c>
      <c r="M277">
        <v>-3.2000000000000001E-2</v>
      </c>
      <c r="N277">
        <v>6.4000000000000001E-2</v>
      </c>
      <c r="O277">
        <v>0.39400000000000002</v>
      </c>
      <c r="P277">
        <v>1.4E-2</v>
      </c>
      <c r="Q277">
        <v>1.0999999999999999E-2</v>
      </c>
      <c r="R277">
        <v>15.450200000000001</v>
      </c>
      <c r="S277">
        <v>11.2819</v>
      </c>
      <c r="T277">
        <v>11.46</v>
      </c>
      <c r="U277">
        <v>0.55000000000000004</v>
      </c>
    </row>
    <row r="278" spans="1:21" x14ac:dyDescent="0.25">
      <c r="A278" t="s">
        <v>358</v>
      </c>
      <c r="B278" t="s">
        <v>24</v>
      </c>
      <c r="D278" t="s">
        <v>14</v>
      </c>
      <c r="E278">
        <v>2.99</v>
      </c>
      <c r="G278">
        <v>3.294</v>
      </c>
      <c r="H278">
        <v>10.317299999999999</v>
      </c>
      <c r="K278">
        <v>2.1936</v>
      </c>
      <c r="L278">
        <v>5.4875999999999996</v>
      </c>
      <c r="M278">
        <v>0.52900000000000003</v>
      </c>
      <c r="N278">
        <v>3.3000000000000002E-2</v>
      </c>
      <c r="O278">
        <v>0.54700000000000004</v>
      </c>
      <c r="P278">
        <v>1.2999999999999999E-2</v>
      </c>
      <c r="Q278">
        <v>1.0999999999999999E-2</v>
      </c>
      <c r="R278">
        <v>1.1583000000000001</v>
      </c>
      <c r="S278">
        <v>1.2611000000000001</v>
      </c>
      <c r="T278">
        <v>4.1959999999999997</v>
      </c>
      <c r="U278">
        <v>0.49</v>
      </c>
    </row>
    <row r="279" spans="1:21" x14ac:dyDescent="0.25">
      <c r="A279" t="s">
        <v>1014</v>
      </c>
      <c r="B279" t="s">
        <v>24</v>
      </c>
      <c r="D279" t="s">
        <v>28</v>
      </c>
      <c r="E279">
        <v>1.49</v>
      </c>
      <c r="G279">
        <v>1.2150000000000001</v>
      </c>
      <c r="H279">
        <v>10.9497</v>
      </c>
      <c r="K279">
        <v>1.6521999999999999</v>
      </c>
      <c r="L279">
        <v>2.8672</v>
      </c>
      <c r="M279">
        <v>0.16700000000000001</v>
      </c>
      <c r="N279">
        <v>0.111</v>
      </c>
      <c r="O279">
        <v>0.72499999999999998</v>
      </c>
      <c r="P279">
        <v>2.1999999999999999E-2</v>
      </c>
      <c r="Q279">
        <v>1.0999999999999999E-2</v>
      </c>
      <c r="R279">
        <v>3.3980000000000001</v>
      </c>
      <c r="S279">
        <v>2.8752</v>
      </c>
      <c r="T279">
        <v>0.08</v>
      </c>
      <c r="U279">
        <v>2.4500000000000002</v>
      </c>
    </row>
    <row r="280" spans="1:21" x14ac:dyDescent="0.25">
      <c r="A280" t="s">
        <v>564</v>
      </c>
      <c r="B280" t="s">
        <v>24</v>
      </c>
      <c r="D280" t="s">
        <v>12</v>
      </c>
      <c r="E280">
        <v>2.61</v>
      </c>
      <c r="G280">
        <v>2.9489999999999998</v>
      </c>
      <c r="H280">
        <v>12.4986</v>
      </c>
      <c r="K280">
        <v>1.6875</v>
      </c>
      <c r="L280">
        <v>4.6364999999999998</v>
      </c>
      <c r="M280">
        <v>0.86899999999999999</v>
      </c>
      <c r="N280">
        <v>0.152</v>
      </c>
      <c r="O280">
        <v>0.48499999999999999</v>
      </c>
      <c r="P280">
        <v>1.2999999999999999E-2</v>
      </c>
      <c r="Q280">
        <v>1.0999999999999999E-2</v>
      </c>
      <c r="R280">
        <v>24.9361</v>
      </c>
      <c r="S280">
        <v>14.276400000000001</v>
      </c>
      <c r="T280">
        <v>0.93799999999999994</v>
      </c>
      <c r="U280">
        <v>0.53</v>
      </c>
    </row>
    <row r="281" spans="1:21" x14ac:dyDescent="0.25">
      <c r="A281" t="s">
        <v>694</v>
      </c>
      <c r="B281" t="s">
        <v>24</v>
      </c>
      <c r="D281" t="s">
        <v>4</v>
      </c>
      <c r="E281">
        <v>0.91</v>
      </c>
      <c r="G281">
        <v>1.028</v>
      </c>
      <c r="H281">
        <v>4.6771000000000003</v>
      </c>
      <c r="K281">
        <v>0.42320000000000002</v>
      </c>
      <c r="L281">
        <v>1.4512</v>
      </c>
      <c r="M281">
        <v>0.39900000000000002</v>
      </c>
      <c r="N281">
        <v>6.7000000000000004E-2</v>
      </c>
      <c r="O281">
        <v>0.253</v>
      </c>
      <c r="P281">
        <v>1.4999999999999999E-2</v>
      </c>
      <c r="Q281">
        <v>1.0999999999999999E-2</v>
      </c>
      <c r="R281">
        <v>13.029400000000001</v>
      </c>
      <c r="S281">
        <v>11.2324</v>
      </c>
      <c r="T281">
        <v>17.262</v>
      </c>
      <c r="U281">
        <v>0.53</v>
      </c>
    </row>
    <row r="282" spans="1:21" x14ac:dyDescent="0.25">
      <c r="A282" t="s">
        <v>494</v>
      </c>
      <c r="B282" t="s">
        <v>24</v>
      </c>
      <c r="D282" t="s">
        <v>28</v>
      </c>
      <c r="E282">
        <v>1.39</v>
      </c>
      <c r="G282">
        <v>3.8740000000000001</v>
      </c>
      <c r="H282">
        <v>12.588900000000001</v>
      </c>
      <c r="K282">
        <v>1.2427999999999999</v>
      </c>
      <c r="L282">
        <v>5.1167999999999996</v>
      </c>
      <c r="M282">
        <v>0.17</v>
      </c>
      <c r="N282">
        <v>0.152</v>
      </c>
      <c r="O282">
        <v>0.65700000000000003</v>
      </c>
      <c r="P282">
        <v>1.2999999999999999E-2</v>
      </c>
      <c r="Q282">
        <v>1.0999999999999999E-2</v>
      </c>
      <c r="R282">
        <v>1.5451999999999999</v>
      </c>
      <c r="S282">
        <v>1.3073999999999999</v>
      </c>
      <c r="T282">
        <v>0</v>
      </c>
      <c r="U282">
        <v>0</v>
      </c>
    </row>
    <row r="283" spans="1:21" x14ac:dyDescent="0.25">
      <c r="A283" t="s">
        <v>672</v>
      </c>
      <c r="B283" t="s">
        <v>24</v>
      </c>
      <c r="D283" t="s">
        <v>7</v>
      </c>
      <c r="E283">
        <v>1.94</v>
      </c>
      <c r="G283">
        <v>2.86</v>
      </c>
      <c r="H283">
        <v>5.4817999999999998</v>
      </c>
      <c r="K283">
        <v>0.94440000000000002</v>
      </c>
      <c r="L283">
        <v>3.8043999999999998</v>
      </c>
      <c r="M283">
        <v>0.19600000000000001</v>
      </c>
      <c r="N283">
        <v>0.222</v>
      </c>
      <c r="O283">
        <v>0.252</v>
      </c>
      <c r="P283">
        <v>1.4999999999999999E-2</v>
      </c>
      <c r="Q283">
        <v>1.0999999999999999E-2</v>
      </c>
      <c r="R283">
        <v>1.2733000000000001</v>
      </c>
      <c r="S283">
        <v>4.0774999999999997</v>
      </c>
      <c r="T283">
        <v>0</v>
      </c>
      <c r="U283">
        <v>0</v>
      </c>
    </row>
    <row r="284" spans="1:21" x14ac:dyDescent="0.25">
      <c r="A284" t="s">
        <v>747</v>
      </c>
      <c r="B284" t="s">
        <v>24</v>
      </c>
      <c r="D284" t="s">
        <v>21</v>
      </c>
      <c r="E284">
        <v>2.82</v>
      </c>
      <c r="G284">
        <v>3.016</v>
      </c>
      <c r="H284">
        <v>8.3201000000000001</v>
      </c>
      <c r="K284">
        <v>1.3653999999999999</v>
      </c>
      <c r="L284">
        <v>4.3814000000000002</v>
      </c>
      <c r="M284">
        <v>0.51900000000000002</v>
      </c>
      <c r="N284">
        <v>0.14000000000000001</v>
      </c>
      <c r="O284">
        <v>0.55000000000000004</v>
      </c>
      <c r="P284">
        <v>1.4E-2</v>
      </c>
      <c r="Q284">
        <v>1.0999999999999999E-2</v>
      </c>
      <c r="R284">
        <v>6.2926000000000002</v>
      </c>
      <c r="S284">
        <v>6.8009000000000004</v>
      </c>
      <c r="T284">
        <v>0</v>
      </c>
      <c r="U284">
        <v>0</v>
      </c>
    </row>
    <row r="285" spans="1:21" x14ac:dyDescent="0.25">
      <c r="A285" t="s">
        <v>482</v>
      </c>
      <c r="B285" t="s">
        <v>24</v>
      </c>
      <c r="D285" t="s">
        <v>26</v>
      </c>
      <c r="E285">
        <v>1.79</v>
      </c>
      <c r="G285">
        <v>2.6709999999999998</v>
      </c>
      <c r="H285">
        <v>6.8250000000000002</v>
      </c>
      <c r="K285">
        <v>1.0269999999999999</v>
      </c>
      <c r="L285">
        <v>3.698</v>
      </c>
      <c r="M285">
        <v>0.58599999999999997</v>
      </c>
      <c r="N285">
        <v>0.04</v>
      </c>
      <c r="O285">
        <v>0.45700000000000002</v>
      </c>
      <c r="P285">
        <v>1.2E-2</v>
      </c>
      <c r="Q285">
        <v>1.0999999999999999E-2</v>
      </c>
      <c r="R285">
        <v>22.173999999999999</v>
      </c>
      <c r="S285">
        <v>16.922599999999999</v>
      </c>
      <c r="T285">
        <v>4.532</v>
      </c>
      <c r="U285">
        <v>0.55000000000000004</v>
      </c>
    </row>
    <row r="286" spans="1:21" x14ac:dyDescent="0.25">
      <c r="A286" t="s">
        <v>298</v>
      </c>
      <c r="B286" t="s">
        <v>24</v>
      </c>
      <c r="D286" t="s">
        <v>26</v>
      </c>
      <c r="E286">
        <v>2.41</v>
      </c>
      <c r="G286">
        <v>1.198</v>
      </c>
      <c r="H286">
        <v>11.805400000000001</v>
      </c>
      <c r="K286">
        <v>2.5367999999999999</v>
      </c>
      <c r="L286">
        <v>3.7347999999999999</v>
      </c>
      <c r="M286">
        <v>1.2490000000000001</v>
      </c>
      <c r="N286">
        <v>8.6999999999999994E-2</v>
      </c>
      <c r="O286">
        <v>0.92700000000000005</v>
      </c>
      <c r="P286">
        <v>0.125</v>
      </c>
      <c r="Q286">
        <v>1.0999999999999999E-2</v>
      </c>
      <c r="R286">
        <v>8.4859000000000009</v>
      </c>
      <c r="S286">
        <v>7.4810999999999996</v>
      </c>
      <c r="T286">
        <v>8.0909999999999993</v>
      </c>
      <c r="U286">
        <v>0.56000000000000005</v>
      </c>
    </row>
    <row r="287" spans="1:21" x14ac:dyDescent="0.25">
      <c r="A287" t="s">
        <v>665</v>
      </c>
      <c r="B287" t="s">
        <v>24</v>
      </c>
      <c r="D287" t="s">
        <v>20</v>
      </c>
      <c r="E287">
        <v>1.39</v>
      </c>
      <c r="G287">
        <v>2.246</v>
      </c>
      <c r="H287">
        <v>7.8033999999999999</v>
      </c>
      <c r="K287">
        <v>0.98760000000000003</v>
      </c>
      <c r="L287">
        <v>3.2336</v>
      </c>
      <c r="M287">
        <v>0.80500000000000005</v>
      </c>
      <c r="N287">
        <v>0.17</v>
      </c>
      <c r="O287">
        <v>0.751</v>
      </c>
      <c r="P287">
        <v>1.4E-2</v>
      </c>
      <c r="Q287">
        <v>1.0999999999999999E-2</v>
      </c>
      <c r="R287">
        <v>3.6680999999999999</v>
      </c>
      <c r="S287">
        <v>3.6680999999999999</v>
      </c>
      <c r="T287">
        <v>6.6790000000000003</v>
      </c>
      <c r="U287">
        <v>0.51</v>
      </c>
    </row>
    <row r="288" spans="1:21" x14ac:dyDescent="0.25">
      <c r="A288" t="s">
        <v>638</v>
      </c>
      <c r="B288" t="s">
        <v>24</v>
      </c>
      <c r="D288" t="s">
        <v>8</v>
      </c>
      <c r="E288">
        <v>1.67</v>
      </c>
      <c r="G288">
        <v>2.0760000000000001</v>
      </c>
      <c r="H288">
        <v>9.5015999999999998</v>
      </c>
      <c r="K288">
        <v>1.1353</v>
      </c>
      <c r="L288">
        <v>3.2113</v>
      </c>
      <c r="M288">
        <v>0.245</v>
      </c>
      <c r="N288">
        <v>0.21099999999999999</v>
      </c>
      <c r="O288">
        <v>0.41299999999999998</v>
      </c>
      <c r="P288">
        <v>1.4999999999999999E-2</v>
      </c>
      <c r="Q288">
        <v>1.0999999999999999E-2</v>
      </c>
      <c r="R288">
        <v>15.8933</v>
      </c>
      <c r="S288">
        <v>10.4815</v>
      </c>
      <c r="T288">
        <v>0</v>
      </c>
      <c r="U288">
        <v>0</v>
      </c>
    </row>
    <row r="289" spans="1:21" x14ac:dyDescent="0.25">
      <c r="A289" t="s">
        <v>794</v>
      </c>
      <c r="B289" t="s">
        <v>24</v>
      </c>
      <c r="D289" t="s">
        <v>26</v>
      </c>
      <c r="E289">
        <v>2.58</v>
      </c>
      <c r="G289">
        <v>2.2162000000000002</v>
      </c>
      <c r="H289">
        <v>10.1594</v>
      </c>
      <c r="K289">
        <v>2.1478999999999999</v>
      </c>
      <c r="L289">
        <v>3.5430000000000001</v>
      </c>
      <c r="M289">
        <v>0.41599999999999998</v>
      </c>
      <c r="N289">
        <v>6.5000000000000002E-2</v>
      </c>
      <c r="O289">
        <v>0.64500000000000002</v>
      </c>
      <c r="P289">
        <v>1.7000000000000001E-2</v>
      </c>
      <c r="Q289">
        <v>1.0999999999999999E-2</v>
      </c>
      <c r="R289">
        <v>3.3658000000000001</v>
      </c>
      <c r="S289">
        <v>3.7835000000000001</v>
      </c>
      <c r="T289">
        <v>3.5569999999999999</v>
      </c>
      <c r="U289">
        <v>0.56999999999999995</v>
      </c>
    </row>
    <row r="290" spans="1:21" x14ac:dyDescent="0.25">
      <c r="A290" t="s">
        <v>959</v>
      </c>
      <c r="B290" t="s">
        <v>24</v>
      </c>
      <c r="D290" t="s">
        <v>6</v>
      </c>
      <c r="E290">
        <v>1</v>
      </c>
      <c r="G290">
        <v>1.6579999999999999</v>
      </c>
      <c r="H290">
        <v>11.865</v>
      </c>
      <c r="K290">
        <v>2.4289000000000001</v>
      </c>
      <c r="L290">
        <v>4.0869</v>
      </c>
      <c r="M290">
        <v>0.81899999999999995</v>
      </c>
      <c r="N290">
        <v>0.115</v>
      </c>
      <c r="O290">
        <v>0.41199999999999998</v>
      </c>
      <c r="P290">
        <v>0.03</v>
      </c>
      <c r="Q290">
        <v>1.0999999999999999E-2</v>
      </c>
      <c r="R290">
        <v>4.6412000000000004</v>
      </c>
      <c r="S290">
        <v>3.927</v>
      </c>
      <c r="T290">
        <v>-0.157</v>
      </c>
      <c r="U290">
        <v>0.73</v>
      </c>
    </row>
    <row r="291" spans="1:21" x14ac:dyDescent="0.25">
      <c r="A291" t="s">
        <v>456</v>
      </c>
      <c r="B291" t="s">
        <v>24</v>
      </c>
      <c r="D291" t="s">
        <v>25</v>
      </c>
      <c r="E291">
        <v>1.7</v>
      </c>
      <c r="G291">
        <v>2.012</v>
      </c>
      <c r="H291">
        <v>13.132899999999999</v>
      </c>
      <c r="K291">
        <v>1.4339</v>
      </c>
      <c r="L291">
        <v>3.4459</v>
      </c>
      <c r="M291">
        <v>1.7849999999999999</v>
      </c>
      <c r="N291">
        <v>0.14499999999999999</v>
      </c>
      <c r="O291">
        <v>0.42799999999999999</v>
      </c>
      <c r="P291">
        <v>1.0999999999999999E-2</v>
      </c>
      <c r="Q291">
        <v>1.0999999999999999E-2</v>
      </c>
      <c r="R291">
        <v>0.58440000000000003</v>
      </c>
      <c r="S291">
        <v>0.4335</v>
      </c>
      <c r="T291">
        <v>4.1909999999999998</v>
      </c>
      <c r="U291">
        <v>0.4</v>
      </c>
    </row>
    <row r="292" spans="1:21" x14ac:dyDescent="0.25">
      <c r="A292" t="s">
        <v>705</v>
      </c>
      <c r="B292" t="s">
        <v>24</v>
      </c>
      <c r="D292" t="s">
        <v>6</v>
      </c>
      <c r="E292">
        <v>1.19</v>
      </c>
      <c r="G292">
        <v>1.5680000000000001</v>
      </c>
      <c r="H292">
        <v>3.9554</v>
      </c>
      <c r="K292">
        <v>1.0583</v>
      </c>
      <c r="L292">
        <v>2.6263000000000001</v>
      </c>
      <c r="M292">
        <v>1.375</v>
      </c>
      <c r="N292">
        <v>8.6999999999999994E-2</v>
      </c>
      <c r="O292">
        <v>0.80500000000000005</v>
      </c>
      <c r="P292">
        <v>2.3E-2</v>
      </c>
      <c r="Q292">
        <v>1.0999999999999999E-2</v>
      </c>
      <c r="R292">
        <v>4.3545999999999996</v>
      </c>
      <c r="S292">
        <v>4.8791000000000002</v>
      </c>
      <c r="T292">
        <v>6.0549999999999997</v>
      </c>
      <c r="U292">
        <v>0.53</v>
      </c>
    </row>
    <row r="293" spans="1:21" x14ac:dyDescent="0.25">
      <c r="A293" t="s">
        <v>451</v>
      </c>
      <c r="B293" t="s">
        <v>24</v>
      </c>
      <c r="D293" t="s">
        <v>25</v>
      </c>
      <c r="E293">
        <v>2.4</v>
      </c>
      <c r="G293">
        <v>2.1120000000000001</v>
      </c>
      <c r="H293">
        <v>13.263999999999999</v>
      </c>
      <c r="K293">
        <v>2.0933000000000002</v>
      </c>
      <c r="L293">
        <v>4.2053000000000003</v>
      </c>
      <c r="M293">
        <v>1.591</v>
      </c>
      <c r="N293">
        <v>0.25700000000000001</v>
      </c>
      <c r="O293">
        <v>0.69199999999999995</v>
      </c>
      <c r="P293">
        <v>1.2E-2</v>
      </c>
      <c r="Q293">
        <v>1.0999999999999999E-2</v>
      </c>
      <c r="R293">
        <v>0.56579999999999997</v>
      </c>
      <c r="S293">
        <v>0.67569999999999997</v>
      </c>
      <c r="T293">
        <v>0</v>
      </c>
      <c r="U293">
        <v>0</v>
      </c>
    </row>
    <row r="294" spans="1:21" x14ac:dyDescent="0.25">
      <c r="A294" t="s">
        <v>1043</v>
      </c>
      <c r="B294" t="s">
        <v>24</v>
      </c>
      <c r="D294" t="s">
        <v>15</v>
      </c>
      <c r="E294">
        <v>1.47</v>
      </c>
      <c r="G294">
        <v>1.669</v>
      </c>
      <c r="H294">
        <v>6.6066000000000003</v>
      </c>
      <c r="K294">
        <v>1.5263</v>
      </c>
      <c r="L294">
        <v>3.1953</v>
      </c>
      <c r="M294">
        <v>0.23</v>
      </c>
      <c r="N294">
        <v>0.12</v>
      </c>
      <c r="O294">
        <v>0.97299999999999998</v>
      </c>
      <c r="P294">
        <v>2.3E-2</v>
      </c>
      <c r="Q294">
        <v>1.0999999999999999E-2</v>
      </c>
      <c r="R294">
        <v>6.4931000000000001</v>
      </c>
      <c r="S294">
        <v>8.4111999999999991</v>
      </c>
      <c r="T294">
        <v>15.175000000000001</v>
      </c>
      <c r="U294">
        <v>0.51</v>
      </c>
    </row>
    <row r="295" spans="1:21" x14ac:dyDescent="0.25">
      <c r="A295" t="s">
        <v>460</v>
      </c>
      <c r="B295" t="s">
        <v>24</v>
      </c>
      <c r="D295" t="s">
        <v>2</v>
      </c>
      <c r="E295">
        <v>2.1</v>
      </c>
      <c r="G295">
        <v>2.9180000000000001</v>
      </c>
      <c r="H295">
        <v>9.8533000000000008</v>
      </c>
      <c r="K295">
        <v>2.0335999999999999</v>
      </c>
      <c r="L295">
        <v>4.9516</v>
      </c>
      <c r="M295">
        <v>1.9</v>
      </c>
      <c r="N295">
        <v>4.9000000000000002E-2</v>
      </c>
      <c r="O295">
        <v>0.79100000000000004</v>
      </c>
      <c r="P295">
        <v>1.2999999999999999E-2</v>
      </c>
      <c r="Q295">
        <v>1.0999999999999999E-2</v>
      </c>
      <c r="R295">
        <v>13.4682</v>
      </c>
      <c r="S295">
        <v>7.0117000000000003</v>
      </c>
      <c r="T295">
        <v>4.6760000000000002</v>
      </c>
      <c r="U295">
        <v>0.56000000000000005</v>
      </c>
    </row>
    <row r="296" spans="1:21" x14ac:dyDescent="0.25">
      <c r="A296" t="s">
        <v>607</v>
      </c>
      <c r="B296" t="s">
        <v>24</v>
      </c>
      <c r="D296" t="s">
        <v>14</v>
      </c>
      <c r="E296">
        <v>3.22</v>
      </c>
      <c r="G296">
        <v>3.9910000000000001</v>
      </c>
      <c r="H296">
        <v>9.9808000000000003</v>
      </c>
      <c r="K296">
        <v>1.5454000000000001</v>
      </c>
      <c r="L296">
        <v>5.5364000000000004</v>
      </c>
      <c r="M296">
        <v>3.6999999999999998E-2</v>
      </c>
      <c r="N296">
        <v>3.1E-2</v>
      </c>
      <c r="O296">
        <v>0.71299999999999997</v>
      </c>
      <c r="P296">
        <v>1.2999999999999999E-2</v>
      </c>
      <c r="Q296">
        <v>1.0999999999999999E-2</v>
      </c>
      <c r="R296">
        <v>27.680499999999999</v>
      </c>
      <c r="S296">
        <v>22.509799999999998</v>
      </c>
      <c r="T296">
        <v>13.865</v>
      </c>
      <c r="U296">
        <v>0.5</v>
      </c>
    </row>
    <row r="297" spans="1:21" x14ac:dyDescent="0.25">
      <c r="A297" t="s">
        <v>321</v>
      </c>
      <c r="B297" t="s">
        <v>24</v>
      </c>
      <c r="D297" t="s">
        <v>17</v>
      </c>
      <c r="E297">
        <v>2.6</v>
      </c>
      <c r="G297">
        <v>3.9359999999999999</v>
      </c>
      <c r="H297">
        <v>11.7965</v>
      </c>
      <c r="K297">
        <v>2.3792</v>
      </c>
      <c r="L297">
        <v>6.3151999999999999</v>
      </c>
      <c r="M297">
        <v>0.39800000000000002</v>
      </c>
      <c r="N297">
        <v>0.1</v>
      </c>
      <c r="O297">
        <v>0.54500000000000004</v>
      </c>
      <c r="P297">
        <v>1.2999999999999999E-2</v>
      </c>
      <c r="Q297">
        <v>1.0999999999999999E-2</v>
      </c>
      <c r="R297">
        <v>6.5423999999999998</v>
      </c>
      <c r="S297">
        <v>4.7680999999999996</v>
      </c>
      <c r="T297">
        <v>4.601</v>
      </c>
      <c r="U297">
        <v>0.56999999999999995</v>
      </c>
    </row>
    <row r="298" spans="1:21" x14ac:dyDescent="0.25">
      <c r="A298" t="s">
        <v>565</v>
      </c>
      <c r="B298" t="s">
        <v>24</v>
      </c>
      <c r="D298" t="s">
        <v>11</v>
      </c>
      <c r="E298">
        <v>1.43</v>
      </c>
      <c r="G298">
        <v>1.821</v>
      </c>
      <c r="H298">
        <v>12.263199999999999</v>
      </c>
      <c r="K298">
        <v>1.8839999999999999</v>
      </c>
      <c r="L298">
        <v>3.7050000000000001</v>
      </c>
      <c r="M298">
        <v>1.7110000000000001</v>
      </c>
      <c r="N298">
        <v>0.44700000000000001</v>
      </c>
      <c r="O298">
        <v>0.215</v>
      </c>
      <c r="P298">
        <v>1.4E-2</v>
      </c>
      <c r="Q298">
        <v>1.0999999999999999E-2</v>
      </c>
      <c r="R298">
        <v>12.539099999999999</v>
      </c>
      <c r="S298">
        <v>11.1302</v>
      </c>
      <c r="T298">
        <v>5.7030000000000003</v>
      </c>
      <c r="U298">
        <v>0.54</v>
      </c>
    </row>
    <row r="299" spans="1:21" x14ac:dyDescent="0.25">
      <c r="A299" t="s">
        <v>778</v>
      </c>
      <c r="B299" t="s">
        <v>24</v>
      </c>
      <c r="D299" t="s">
        <v>21</v>
      </c>
      <c r="E299">
        <v>1.39</v>
      </c>
      <c r="G299">
        <v>1.0680000000000001</v>
      </c>
      <c r="H299">
        <v>9.6796000000000006</v>
      </c>
      <c r="K299">
        <v>0.98199999999999998</v>
      </c>
      <c r="L299">
        <v>2.0499999999999998</v>
      </c>
      <c r="M299">
        <v>1.784</v>
      </c>
      <c r="N299">
        <v>0.158</v>
      </c>
      <c r="O299">
        <v>0.33700000000000002</v>
      </c>
      <c r="P299">
        <v>1.4E-2</v>
      </c>
      <c r="Q299">
        <v>1.0999999999999999E-2</v>
      </c>
      <c r="R299">
        <v>6.8453999999999997</v>
      </c>
      <c r="S299">
        <v>8.3274000000000008</v>
      </c>
      <c r="T299">
        <v>0</v>
      </c>
      <c r="U299">
        <v>0</v>
      </c>
    </row>
    <row r="300" spans="1:21" x14ac:dyDescent="0.25">
      <c r="A300" t="s">
        <v>337</v>
      </c>
      <c r="B300" t="s">
        <v>24</v>
      </c>
      <c r="D300" t="s">
        <v>18</v>
      </c>
      <c r="E300">
        <v>1.67</v>
      </c>
      <c r="G300">
        <v>2.1030000000000002</v>
      </c>
      <c r="H300">
        <v>14.9422</v>
      </c>
      <c r="K300">
        <v>1.669</v>
      </c>
      <c r="L300">
        <v>3.7719999999999998</v>
      </c>
      <c r="M300">
        <v>0.66</v>
      </c>
      <c r="N300">
        <v>0.22900000000000001</v>
      </c>
      <c r="O300">
        <v>0.92400000000000004</v>
      </c>
      <c r="P300">
        <v>1.2999999999999999E-2</v>
      </c>
      <c r="Q300">
        <v>1.0999999999999999E-2</v>
      </c>
      <c r="R300">
        <v>11.7676</v>
      </c>
      <c r="S300">
        <v>14.8626</v>
      </c>
      <c r="T300">
        <v>7.4539999999999997</v>
      </c>
      <c r="U300">
        <v>0.57999999999999996</v>
      </c>
    </row>
    <row r="301" spans="1:21" x14ac:dyDescent="0.25">
      <c r="A301" t="s">
        <v>473</v>
      </c>
      <c r="B301" t="s">
        <v>24</v>
      </c>
      <c r="D301" t="s">
        <v>11</v>
      </c>
      <c r="E301">
        <v>2.0099999999999998</v>
      </c>
      <c r="G301">
        <v>1.5289999999999999</v>
      </c>
      <c r="H301">
        <v>9.9436999999999998</v>
      </c>
      <c r="K301">
        <v>1.9192</v>
      </c>
      <c r="L301">
        <v>3.4481999999999999</v>
      </c>
      <c r="M301">
        <v>0.84399999999999997</v>
      </c>
      <c r="N301">
        <v>0.109</v>
      </c>
      <c r="O301">
        <v>0.61899999999999999</v>
      </c>
      <c r="P301">
        <v>1.0999999999999999E-2</v>
      </c>
      <c r="Q301">
        <v>1.0999999999999999E-2</v>
      </c>
      <c r="R301">
        <v>31.5822</v>
      </c>
      <c r="S301">
        <v>23.552600000000002</v>
      </c>
      <c r="T301">
        <v>10.103</v>
      </c>
      <c r="U301">
        <v>0.56000000000000005</v>
      </c>
    </row>
    <row r="302" spans="1:21" x14ac:dyDescent="0.25">
      <c r="A302" t="s">
        <v>898</v>
      </c>
      <c r="B302" t="s">
        <v>24</v>
      </c>
      <c r="D302" t="s">
        <v>16</v>
      </c>
      <c r="E302">
        <v>0.92</v>
      </c>
      <c r="G302">
        <v>1.528</v>
      </c>
      <c r="H302">
        <v>6.4701000000000004</v>
      </c>
      <c r="K302">
        <v>0.89249999999999996</v>
      </c>
      <c r="L302">
        <v>2.4205000000000001</v>
      </c>
      <c r="M302">
        <v>0.34699999999999998</v>
      </c>
      <c r="N302">
        <v>8.5000000000000006E-2</v>
      </c>
      <c r="O302">
        <v>0.499</v>
      </c>
      <c r="P302">
        <v>1.6E-2</v>
      </c>
      <c r="Q302">
        <v>1.0999999999999999E-2</v>
      </c>
      <c r="R302">
        <v>29.965900000000001</v>
      </c>
      <c r="S302">
        <v>19.9359</v>
      </c>
      <c r="T302">
        <v>1.2090000000000001</v>
      </c>
      <c r="U302">
        <v>0.42</v>
      </c>
    </row>
    <row r="303" spans="1:21" x14ac:dyDescent="0.25">
      <c r="A303" t="s">
        <v>359</v>
      </c>
      <c r="B303" t="s">
        <v>24</v>
      </c>
      <c r="D303" t="s">
        <v>16</v>
      </c>
      <c r="E303">
        <v>3.45</v>
      </c>
      <c r="G303">
        <v>5.4459999999999997</v>
      </c>
      <c r="H303">
        <v>9.5139999999999993</v>
      </c>
      <c r="K303">
        <v>1.2649999999999999</v>
      </c>
      <c r="L303">
        <v>6.7110000000000003</v>
      </c>
      <c r="M303">
        <v>0.32200000000000001</v>
      </c>
      <c r="N303">
        <v>0.21299999999999999</v>
      </c>
      <c r="O303">
        <v>0.40699999999999997</v>
      </c>
      <c r="P303">
        <v>1.0999999999999999E-2</v>
      </c>
      <c r="Q303">
        <v>1.0999999999999999E-2</v>
      </c>
      <c r="R303">
        <v>0.44829999999999998</v>
      </c>
      <c r="S303">
        <v>1.4149</v>
      </c>
      <c r="T303">
        <v>5.484</v>
      </c>
      <c r="U303">
        <v>0.53</v>
      </c>
    </row>
    <row r="304" spans="1:21" x14ac:dyDescent="0.25">
      <c r="A304" t="s">
        <v>466</v>
      </c>
      <c r="B304" t="s">
        <v>24</v>
      </c>
      <c r="D304" t="s">
        <v>7</v>
      </c>
      <c r="E304">
        <v>2.88</v>
      </c>
      <c r="G304">
        <v>2.4780000000000002</v>
      </c>
      <c r="H304">
        <v>9.8709000000000007</v>
      </c>
      <c r="K304">
        <v>2.2067999999999999</v>
      </c>
      <c r="L304">
        <v>4.6848000000000001</v>
      </c>
      <c r="M304">
        <v>0.64</v>
      </c>
      <c r="N304">
        <v>3.4000000000000002E-2</v>
      </c>
      <c r="O304">
        <v>0.57299999999999995</v>
      </c>
      <c r="P304">
        <v>1.0999999999999999E-2</v>
      </c>
      <c r="Q304">
        <v>1.0999999999999999E-2</v>
      </c>
      <c r="R304">
        <v>33.293399999999998</v>
      </c>
      <c r="S304">
        <v>23.783300000000001</v>
      </c>
      <c r="T304">
        <v>0</v>
      </c>
      <c r="U304">
        <v>0</v>
      </c>
    </row>
    <row r="305" spans="1:21" x14ac:dyDescent="0.25">
      <c r="A305" t="s">
        <v>793</v>
      </c>
      <c r="B305" t="s">
        <v>24</v>
      </c>
      <c r="D305" t="s">
        <v>32</v>
      </c>
      <c r="E305">
        <v>0.91</v>
      </c>
      <c r="G305">
        <v>2.2010000000000001</v>
      </c>
      <c r="H305">
        <v>9.6372</v>
      </c>
      <c r="K305">
        <v>1.4734</v>
      </c>
      <c r="L305">
        <v>3.6743999999999999</v>
      </c>
      <c r="M305">
        <v>7.5999999999999998E-2</v>
      </c>
      <c r="N305">
        <v>9.7000000000000003E-2</v>
      </c>
      <c r="O305">
        <v>0.34</v>
      </c>
      <c r="P305">
        <v>1.9E-2</v>
      </c>
      <c r="Q305">
        <v>1.0999999999999999E-2</v>
      </c>
      <c r="R305">
        <v>12.4575</v>
      </c>
      <c r="S305">
        <v>18.134599999999999</v>
      </c>
      <c r="T305">
        <v>8.6029999999999998</v>
      </c>
      <c r="U305">
        <v>0.51</v>
      </c>
    </row>
    <row r="306" spans="1:21" x14ac:dyDescent="0.25">
      <c r="A306" t="s">
        <v>406</v>
      </c>
      <c r="B306" t="s">
        <v>24</v>
      </c>
      <c r="D306" t="s">
        <v>5</v>
      </c>
      <c r="E306">
        <v>2.2400000000000002</v>
      </c>
      <c r="G306">
        <v>2.52</v>
      </c>
      <c r="H306">
        <v>7.4253999999999998</v>
      </c>
      <c r="K306">
        <v>0.81579999999999997</v>
      </c>
      <c r="L306">
        <v>3.3357999999999999</v>
      </c>
      <c r="M306">
        <v>0.16</v>
      </c>
      <c r="N306">
        <v>0.121</v>
      </c>
      <c r="O306">
        <v>1</v>
      </c>
      <c r="P306">
        <v>1.2E-2</v>
      </c>
      <c r="Q306">
        <v>1.0999999999999999E-2</v>
      </c>
      <c r="R306">
        <v>11.8064</v>
      </c>
      <c r="S306">
        <v>13.8675</v>
      </c>
      <c r="T306">
        <v>3.3250000000000002</v>
      </c>
      <c r="U306">
        <v>0.55000000000000004</v>
      </c>
    </row>
    <row r="307" spans="1:21" x14ac:dyDescent="0.25">
      <c r="A307" t="s">
        <v>314</v>
      </c>
      <c r="B307" t="s">
        <v>24</v>
      </c>
      <c r="D307" t="s">
        <v>31</v>
      </c>
      <c r="E307">
        <v>1.99</v>
      </c>
      <c r="G307">
        <v>3.093</v>
      </c>
      <c r="H307">
        <v>16.536300000000001</v>
      </c>
      <c r="K307">
        <v>2.1612</v>
      </c>
      <c r="L307">
        <v>5.2542</v>
      </c>
      <c r="M307">
        <v>0.90700000000000003</v>
      </c>
      <c r="N307">
        <v>0.14899999999999999</v>
      </c>
      <c r="O307">
        <v>1.2150000000000001</v>
      </c>
      <c r="P307">
        <v>1.2999999999999999E-2</v>
      </c>
      <c r="Q307">
        <v>1.0999999999999999E-2</v>
      </c>
      <c r="R307">
        <v>14.089399999999999</v>
      </c>
      <c r="S307">
        <v>11.855</v>
      </c>
      <c r="T307">
        <v>13.191000000000001</v>
      </c>
      <c r="U307">
        <v>0.65</v>
      </c>
    </row>
    <row r="308" spans="1:21" x14ac:dyDescent="0.25">
      <c r="A308" t="s">
        <v>919</v>
      </c>
      <c r="B308" t="s">
        <v>24</v>
      </c>
      <c r="D308" t="s">
        <v>1107</v>
      </c>
      <c r="E308">
        <v>1.02</v>
      </c>
      <c r="G308">
        <v>1.68</v>
      </c>
      <c r="H308">
        <v>12.0131</v>
      </c>
      <c r="K308">
        <v>1.8452999999999999</v>
      </c>
      <c r="L308">
        <v>3.5253000000000001</v>
      </c>
      <c r="M308">
        <v>2.8929999999999998</v>
      </c>
      <c r="N308">
        <v>0.128</v>
      </c>
      <c r="O308">
        <v>0.43</v>
      </c>
      <c r="P308">
        <v>2.3E-2</v>
      </c>
      <c r="Q308">
        <v>1.0999999999999999E-2</v>
      </c>
      <c r="R308">
        <v>13.467499999999999</v>
      </c>
      <c r="S308">
        <v>10.116199999999999</v>
      </c>
      <c r="T308">
        <v>6.7679999999999998</v>
      </c>
      <c r="U308">
        <v>0.55000000000000004</v>
      </c>
    </row>
    <row r="309" spans="1:21" x14ac:dyDescent="0.25">
      <c r="A309" t="s">
        <v>722</v>
      </c>
      <c r="B309" t="s">
        <v>24</v>
      </c>
      <c r="D309" t="s">
        <v>9</v>
      </c>
      <c r="E309">
        <v>1.51</v>
      </c>
      <c r="G309">
        <v>1.7789999999999999</v>
      </c>
      <c r="H309">
        <v>8.2702000000000009</v>
      </c>
      <c r="K309">
        <v>1.0879000000000001</v>
      </c>
      <c r="L309">
        <v>2.8668999999999998</v>
      </c>
      <c r="M309">
        <v>0.35699999999999998</v>
      </c>
      <c r="N309">
        <v>0.35899999999999999</v>
      </c>
      <c r="O309">
        <v>1.3149999999999999</v>
      </c>
      <c r="P309">
        <v>1.9E-2</v>
      </c>
      <c r="Q309">
        <v>1.0999999999999999E-2</v>
      </c>
      <c r="R309">
        <v>8.4338999999999995</v>
      </c>
      <c r="S309">
        <v>9.2359000000000009</v>
      </c>
      <c r="T309">
        <v>3.5569999999999999</v>
      </c>
      <c r="U309">
        <v>0.56999999999999995</v>
      </c>
    </row>
    <row r="310" spans="1:21" x14ac:dyDescent="0.25">
      <c r="A310" t="s">
        <v>714</v>
      </c>
      <c r="B310" t="s">
        <v>24</v>
      </c>
      <c r="D310" t="s">
        <v>8</v>
      </c>
      <c r="E310">
        <v>0.79</v>
      </c>
      <c r="G310">
        <v>1.425</v>
      </c>
      <c r="H310">
        <v>5.5895999999999999</v>
      </c>
      <c r="K310">
        <v>0.68530000000000002</v>
      </c>
      <c r="L310">
        <v>2.1103000000000001</v>
      </c>
      <c r="M310">
        <v>2.5659999999999998</v>
      </c>
      <c r="N310">
        <v>0.111</v>
      </c>
      <c r="O310">
        <v>0.38200000000000001</v>
      </c>
      <c r="P310">
        <v>2.1000000000000001E-2</v>
      </c>
      <c r="Q310">
        <v>1.0999999999999999E-2</v>
      </c>
      <c r="R310">
        <v>9.5494000000000003</v>
      </c>
      <c r="S310">
        <v>13.8866</v>
      </c>
      <c r="T310">
        <v>6.0000000000000001E-3</v>
      </c>
      <c r="U310">
        <v>0.96</v>
      </c>
    </row>
    <row r="311" spans="1:21" x14ac:dyDescent="0.25">
      <c r="A311" t="s">
        <v>341</v>
      </c>
      <c r="B311" t="s">
        <v>24</v>
      </c>
      <c r="D311" t="s">
        <v>31</v>
      </c>
      <c r="E311">
        <v>3.67</v>
      </c>
      <c r="G311">
        <v>2.5169999999999999</v>
      </c>
      <c r="H311">
        <v>14.2623</v>
      </c>
      <c r="K311">
        <v>4.0548000000000002</v>
      </c>
      <c r="L311">
        <v>6.5717999999999996</v>
      </c>
      <c r="M311">
        <v>0.53</v>
      </c>
      <c r="N311">
        <v>0.249</v>
      </c>
      <c r="O311">
        <v>0.46899999999999997</v>
      </c>
      <c r="P311">
        <v>1.2E-2</v>
      </c>
      <c r="Q311">
        <v>1.0999999999999999E-2</v>
      </c>
      <c r="R311">
        <v>7.3880999999999997</v>
      </c>
      <c r="S311">
        <v>9.0348000000000006</v>
      </c>
      <c r="T311">
        <v>0.85199999999999998</v>
      </c>
      <c r="U311">
        <v>0.66</v>
      </c>
    </row>
    <row r="312" spans="1:21" x14ac:dyDescent="0.25">
      <c r="A312" t="s">
        <v>808</v>
      </c>
      <c r="B312" t="s">
        <v>24</v>
      </c>
      <c r="D312" t="s">
        <v>18</v>
      </c>
      <c r="E312">
        <v>1.1599999999999999</v>
      </c>
      <c r="G312">
        <v>2.9550000000000001</v>
      </c>
      <c r="H312">
        <v>6.4114000000000004</v>
      </c>
      <c r="K312">
        <v>0.73980000000000001</v>
      </c>
      <c r="L312">
        <v>3.6947999999999999</v>
      </c>
      <c r="M312">
        <v>6.8000000000000005E-2</v>
      </c>
      <c r="N312">
        <v>0.10100000000000001</v>
      </c>
      <c r="O312">
        <v>0.59299999999999997</v>
      </c>
      <c r="P312">
        <v>2.5000000000000001E-2</v>
      </c>
      <c r="Q312">
        <v>1.0999999999999999E-2</v>
      </c>
      <c r="R312">
        <v>15.4884</v>
      </c>
      <c r="S312">
        <v>10.2134</v>
      </c>
      <c r="T312">
        <v>0.70099999999999996</v>
      </c>
      <c r="U312">
        <v>0.52</v>
      </c>
    </row>
    <row r="313" spans="1:21" x14ac:dyDescent="0.25">
      <c r="A313" t="s">
        <v>627</v>
      </c>
      <c r="B313" t="s">
        <v>24</v>
      </c>
      <c r="D313" t="s">
        <v>893</v>
      </c>
      <c r="E313">
        <v>1.22</v>
      </c>
      <c r="G313">
        <v>2.0630000000000002</v>
      </c>
      <c r="H313">
        <v>8.3668999999999993</v>
      </c>
      <c r="K313">
        <v>0.95199999999999996</v>
      </c>
      <c r="L313">
        <v>3.0150000000000001</v>
      </c>
      <c r="M313">
        <v>5.62</v>
      </c>
      <c r="N313">
        <v>0.11700000000000001</v>
      </c>
      <c r="O313">
        <v>0.71</v>
      </c>
      <c r="P313">
        <v>0.03</v>
      </c>
      <c r="Q313">
        <v>1.0999999999999999E-2</v>
      </c>
      <c r="R313">
        <v>4.7797999999999998</v>
      </c>
      <c r="S313">
        <v>4.0442999999999998</v>
      </c>
      <c r="T313">
        <v>26.356999999999999</v>
      </c>
      <c r="U313">
        <v>0.51</v>
      </c>
    </row>
    <row r="314" spans="1:21" x14ac:dyDescent="0.25">
      <c r="A314" t="s">
        <v>434</v>
      </c>
      <c r="B314" t="s">
        <v>24</v>
      </c>
      <c r="D314" t="s">
        <v>32</v>
      </c>
      <c r="E314">
        <v>1.39</v>
      </c>
      <c r="G314">
        <v>1.929</v>
      </c>
      <c r="H314">
        <v>9.8557000000000006</v>
      </c>
      <c r="K314">
        <v>1.0596000000000001</v>
      </c>
      <c r="L314">
        <v>2.9885999999999999</v>
      </c>
      <c r="M314">
        <v>1.7989999999999999</v>
      </c>
      <c r="N314">
        <v>0.50900000000000001</v>
      </c>
      <c r="O314">
        <v>0.42399999999999999</v>
      </c>
      <c r="P314">
        <v>1.2999999999999999E-2</v>
      </c>
      <c r="Q314">
        <v>1.0999999999999999E-2</v>
      </c>
      <c r="R314">
        <v>18.7273</v>
      </c>
      <c r="S314">
        <v>17.035299999999999</v>
      </c>
      <c r="T314">
        <v>0.26100000000000001</v>
      </c>
      <c r="U314">
        <v>0.79</v>
      </c>
    </row>
    <row r="315" spans="1:21" x14ac:dyDescent="0.25">
      <c r="A315" t="s">
        <v>375</v>
      </c>
      <c r="B315" t="s">
        <v>24</v>
      </c>
      <c r="D315" t="s">
        <v>32</v>
      </c>
      <c r="E315">
        <v>2.34</v>
      </c>
      <c r="G315">
        <v>1.9379999999999999</v>
      </c>
      <c r="H315">
        <v>10.9251</v>
      </c>
      <c r="K315">
        <v>1.4565999999999999</v>
      </c>
      <c r="L315">
        <v>3.3946000000000001</v>
      </c>
      <c r="M315">
        <v>0.3</v>
      </c>
      <c r="N315">
        <v>6.5000000000000002E-2</v>
      </c>
      <c r="O315">
        <v>0.46800000000000003</v>
      </c>
      <c r="P315">
        <v>1.2999999999999999E-2</v>
      </c>
      <c r="Q315">
        <v>1.0999999999999999E-2</v>
      </c>
      <c r="R315">
        <v>27.960599999999999</v>
      </c>
      <c r="S315">
        <v>18.626799999999999</v>
      </c>
      <c r="T315">
        <v>5.5620000000000003</v>
      </c>
      <c r="U315">
        <v>0.54</v>
      </c>
    </row>
    <row r="316" spans="1:21" x14ac:dyDescent="0.25">
      <c r="A316" t="s">
        <v>615</v>
      </c>
      <c r="B316" t="s">
        <v>24</v>
      </c>
      <c r="D316" t="s">
        <v>1159</v>
      </c>
      <c r="E316">
        <v>3.11</v>
      </c>
      <c r="G316">
        <v>2.552</v>
      </c>
      <c r="H316">
        <v>9.9982000000000006</v>
      </c>
      <c r="K316">
        <v>1.7383</v>
      </c>
      <c r="L316">
        <v>4.2903000000000002</v>
      </c>
      <c r="M316">
        <v>0.66700000000000004</v>
      </c>
      <c r="N316">
        <v>3.9E-2</v>
      </c>
      <c r="O316">
        <v>0.53400000000000003</v>
      </c>
      <c r="P316">
        <v>1.2E-2</v>
      </c>
      <c r="Q316">
        <v>1.0999999999999999E-2</v>
      </c>
      <c r="R316">
        <v>27.727</v>
      </c>
      <c r="S316">
        <v>22.158899999999999</v>
      </c>
      <c r="T316">
        <v>7.141</v>
      </c>
      <c r="U316">
        <v>0.56000000000000005</v>
      </c>
    </row>
    <row r="317" spans="1:21" x14ac:dyDescent="0.25">
      <c r="A317" t="s">
        <v>266</v>
      </c>
      <c r="B317" t="s">
        <v>24</v>
      </c>
      <c r="D317" t="s">
        <v>34</v>
      </c>
      <c r="E317">
        <v>2.93</v>
      </c>
      <c r="G317">
        <v>4.4690000000000003</v>
      </c>
      <c r="H317">
        <v>13.3667</v>
      </c>
      <c r="K317">
        <v>2.4222000000000001</v>
      </c>
      <c r="L317">
        <v>6.8912000000000004</v>
      </c>
      <c r="M317">
        <v>0.70399999999999996</v>
      </c>
      <c r="N317">
        <v>0.17699999999999999</v>
      </c>
      <c r="O317">
        <v>0.50600000000000001</v>
      </c>
      <c r="P317">
        <v>1.2999999999999999E-2</v>
      </c>
      <c r="Q317">
        <v>1.0999999999999999E-2</v>
      </c>
      <c r="R317">
        <v>32.034100000000002</v>
      </c>
      <c r="S317">
        <v>18.314</v>
      </c>
      <c r="T317">
        <v>4.1779999999999999</v>
      </c>
      <c r="U317">
        <v>0.56000000000000005</v>
      </c>
    </row>
    <row r="318" spans="1:21" x14ac:dyDescent="0.25">
      <c r="A318" t="s">
        <v>546</v>
      </c>
      <c r="B318" t="s">
        <v>24</v>
      </c>
      <c r="D318" t="s">
        <v>34</v>
      </c>
      <c r="E318">
        <v>2.98</v>
      </c>
      <c r="G318">
        <v>2.2410000000000001</v>
      </c>
      <c r="H318">
        <v>12.122400000000001</v>
      </c>
      <c r="K318">
        <v>2.3759999999999999</v>
      </c>
      <c r="L318">
        <v>4.617</v>
      </c>
      <c r="M318">
        <v>1.486</v>
      </c>
      <c r="N318">
        <v>0.224</v>
      </c>
      <c r="O318">
        <v>0.58399999999999996</v>
      </c>
      <c r="P318">
        <v>1.2999999999999999E-2</v>
      </c>
      <c r="Q318">
        <v>1.0999999999999999E-2</v>
      </c>
      <c r="R318">
        <v>5.08</v>
      </c>
      <c r="S318">
        <v>4.5244</v>
      </c>
      <c r="T318">
        <v>19.736999999999998</v>
      </c>
      <c r="U318">
        <v>0.52</v>
      </c>
    </row>
    <row r="319" spans="1:21" x14ac:dyDescent="0.25">
      <c r="A319" t="s">
        <v>863</v>
      </c>
      <c r="B319" t="s">
        <v>24</v>
      </c>
      <c r="D319" t="s">
        <v>15</v>
      </c>
      <c r="E319">
        <v>2.46</v>
      </c>
      <c r="G319">
        <v>1.3360000000000001</v>
      </c>
      <c r="H319">
        <v>16.562200000000001</v>
      </c>
      <c r="K319">
        <v>2.536</v>
      </c>
      <c r="L319">
        <v>3.8719999999999999</v>
      </c>
      <c r="M319">
        <v>0.307</v>
      </c>
      <c r="N319">
        <v>6.3E-2</v>
      </c>
      <c r="O319">
        <v>0.42599999999999999</v>
      </c>
      <c r="P319">
        <v>1.7000000000000001E-2</v>
      </c>
      <c r="Q319">
        <v>1.0999999999999999E-2</v>
      </c>
      <c r="R319">
        <v>4.0781000000000001</v>
      </c>
      <c r="S319">
        <v>4.2255000000000003</v>
      </c>
      <c r="T319">
        <v>0</v>
      </c>
      <c r="U319">
        <v>0</v>
      </c>
    </row>
    <row r="320" spans="1:21" x14ac:dyDescent="0.25">
      <c r="A320" t="s">
        <v>961</v>
      </c>
      <c r="B320" t="s">
        <v>24</v>
      </c>
      <c r="D320" t="s">
        <v>8</v>
      </c>
      <c r="E320">
        <v>1.52</v>
      </c>
      <c r="G320">
        <v>1.881</v>
      </c>
      <c r="H320">
        <v>8.1690000000000005</v>
      </c>
      <c r="K320">
        <v>1.9279999999999999</v>
      </c>
      <c r="L320">
        <v>3.8090000000000002</v>
      </c>
      <c r="M320">
        <v>0.60699999999999998</v>
      </c>
      <c r="N320">
        <v>0.10299999999999999</v>
      </c>
      <c r="O320">
        <v>0.36899999999999999</v>
      </c>
      <c r="P320">
        <v>2.7E-2</v>
      </c>
      <c r="Q320">
        <v>1.0999999999999999E-2</v>
      </c>
      <c r="R320">
        <v>16.131699999999999</v>
      </c>
      <c r="S320">
        <v>13.358700000000001</v>
      </c>
      <c r="T320">
        <v>12.414</v>
      </c>
      <c r="U320">
        <v>0.56000000000000005</v>
      </c>
    </row>
    <row r="321" spans="1:21" x14ac:dyDescent="0.25">
      <c r="A321" t="s">
        <v>273</v>
      </c>
      <c r="B321" t="s">
        <v>24</v>
      </c>
      <c r="D321" t="s">
        <v>25</v>
      </c>
      <c r="E321">
        <v>3.45</v>
      </c>
      <c r="G321">
        <v>4.2050000000000001</v>
      </c>
      <c r="H321">
        <v>13.097799999999999</v>
      </c>
      <c r="K321">
        <v>2.0461999999999998</v>
      </c>
      <c r="L321">
        <v>6.2511999999999999</v>
      </c>
      <c r="M321">
        <v>0.47699999999999998</v>
      </c>
      <c r="N321">
        <v>0.158</v>
      </c>
      <c r="O321">
        <v>0.49399999999999999</v>
      </c>
      <c r="P321">
        <v>7.0000000000000001E-3</v>
      </c>
      <c r="Q321">
        <v>1.0999999999999999E-2</v>
      </c>
      <c r="R321">
        <v>38.526699999999998</v>
      </c>
      <c r="S321">
        <v>27.7195</v>
      </c>
      <c r="T321">
        <v>27.033999999999999</v>
      </c>
      <c r="U321">
        <v>0.56000000000000005</v>
      </c>
    </row>
    <row r="322" spans="1:21" x14ac:dyDescent="0.25">
      <c r="A322" t="s">
        <v>662</v>
      </c>
      <c r="B322" t="s">
        <v>24</v>
      </c>
      <c r="D322" t="s">
        <v>29</v>
      </c>
      <c r="E322">
        <v>1</v>
      </c>
      <c r="G322">
        <v>1.956</v>
      </c>
      <c r="H322">
        <v>7.5782999999999996</v>
      </c>
      <c r="K322">
        <v>2.1315</v>
      </c>
      <c r="L322">
        <v>4.0875000000000004</v>
      </c>
      <c r="M322">
        <v>0.48199999999999998</v>
      </c>
      <c r="N322">
        <v>6.7000000000000004E-2</v>
      </c>
      <c r="O322">
        <v>0.78400000000000003</v>
      </c>
      <c r="P322">
        <v>1.4E-2</v>
      </c>
      <c r="Q322">
        <v>1.0999999999999999E-2</v>
      </c>
      <c r="R322">
        <v>0.8165</v>
      </c>
      <c r="S322">
        <v>0.69089999999999996</v>
      </c>
      <c r="T322">
        <v>6.383</v>
      </c>
      <c r="U322">
        <v>0.53</v>
      </c>
    </row>
    <row r="323" spans="1:21" x14ac:dyDescent="0.25">
      <c r="A323" t="s">
        <v>1015</v>
      </c>
      <c r="B323" t="s">
        <v>24</v>
      </c>
      <c r="D323" t="s">
        <v>34</v>
      </c>
      <c r="E323">
        <v>1.68</v>
      </c>
      <c r="G323">
        <v>2.54</v>
      </c>
      <c r="H323">
        <v>9.8637999999999995</v>
      </c>
      <c r="K323">
        <v>1.8675999999999999</v>
      </c>
      <c r="L323">
        <v>4.4076000000000004</v>
      </c>
      <c r="M323">
        <v>1.522</v>
      </c>
      <c r="N323">
        <v>0.34799999999999998</v>
      </c>
      <c r="O323">
        <v>0.86399999999999999</v>
      </c>
      <c r="P323">
        <v>1.4999999999999999E-2</v>
      </c>
      <c r="Q323">
        <v>1.0999999999999999E-2</v>
      </c>
      <c r="R323">
        <v>4.2386999999999997</v>
      </c>
      <c r="S323">
        <v>4.6006</v>
      </c>
      <c r="T323">
        <v>3.004</v>
      </c>
      <c r="U323">
        <v>0.53</v>
      </c>
    </row>
    <row r="324" spans="1:21" x14ac:dyDescent="0.25">
      <c r="A324" t="s">
        <v>803</v>
      </c>
      <c r="B324" t="s">
        <v>24</v>
      </c>
      <c r="D324" t="s">
        <v>33</v>
      </c>
      <c r="E324">
        <v>1.23</v>
      </c>
      <c r="G324">
        <v>2.2829999999999999</v>
      </c>
      <c r="H324">
        <v>10.292299999999999</v>
      </c>
      <c r="K324">
        <v>1.7347999999999999</v>
      </c>
      <c r="L324">
        <v>4.0178000000000003</v>
      </c>
      <c r="M324">
        <v>0.35599999999999998</v>
      </c>
      <c r="N324">
        <v>0.13700000000000001</v>
      </c>
      <c r="O324">
        <v>0.48599999999999999</v>
      </c>
      <c r="P324">
        <v>3.2000000000000001E-2</v>
      </c>
      <c r="Q324">
        <v>1.0999999999999999E-2</v>
      </c>
      <c r="R324">
        <v>10.7263</v>
      </c>
      <c r="S324">
        <v>7.9040999999999997</v>
      </c>
      <c r="T324">
        <v>10.742000000000001</v>
      </c>
      <c r="U324">
        <v>0.57999999999999996</v>
      </c>
    </row>
    <row r="325" spans="1:21" x14ac:dyDescent="0.25">
      <c r="A325" t="s">
        <v>257</v>
      </c>
      <c r="B325" t="s">
        <v>24</v>
      </c>
      <c r="D325" t="s">
        <v>19</v>
      </c>
      <c r="E325">
        <v>3.6</v>
      </c>
      <c r="G325">
        <v>3.79</v>
      </c>
      <c r="H325">
        <v>20.934799999999999</v>
      </c>
      <c r="K325">
        <v>3.1360000000000001</v>
      </c>
      <c r="L325">
        <v>6.9260000000000002</v>
      </c>
      <c r="M325">
        <v>0.73199999999999998</v>
      </c>
      <c r="N325">
        <v>0.14299999999999999</v>
      </c>
      <c r="O325">
        <v>0.39500000000000002</v>
      </c>
      <c r="P325">
        <v>8.9999999999999993E-3</v>
      </c>
      <c r="Q325">
        <v>1.0999999999999999E-2</v>
      </c>
      <c r="R325">
        <v>14.207700000000001</v>
      </c>
      <c r="S325">
        <v>11.726800000000001</v>
      </c>
      <c r="T325">
        <v>11.037000000000001</v>
      </c>
      <c r="U325">
        <v>0.55000000000000004</v>
      </c>
    </row>
    <row r="326" spans="1:21" x14ac:dyDescent="0.25">
      <c r="A326" t="s">
        <v>413</v>
      </c>
      <c r="B326" t="s">
        <v>24</v>
      </c>
      <c r="D326" t="s">
        <v>4</v>
      </c>
      <c r="E326">
        <v>2.79</v>
      </c>
      <c r="G326">
        <v>2.4849999999999999</v>
      </c>
      <c r="H326">
        <v>18.888100000000001</v>
      </c>
      <c r="K326">
        <v>2.9041999999999999</v>
      </c>
      <c r="L326">
        <v>5.3891999999999998</v>
      </c>
      <c r="M326">
        <v>0.29199999999999998</v>
      </c>
      <c r="N326">
        <v>0.2</v>
      </c>
      <c r="O326">
        <v>0.317</v>
      </c>
      <c r="P326">
        <v>1.2999999999999999E-2</v>
      </c>
      <c r="Q326">
        <v>1.0999999999999999E-2</v>
      </c>
      <c r="R326">
        <v>5.7317999999999998</v>
      </c>
      <c r="S326">
        <v>7.8532999999999999</v>
      </c>
      <c r="T326">
        <v>5.5129999999999999</v>
      </c>
      <c r="U326">
        <v>0.56999999999999995</v>
      </c>
    </row>
    <row r="327" spans="1:21" x14ac:dyDescent="0.25">
      <c r="A327" t="s">
        <v>295</v>
      </c>
      <c r="B327" t="s">
        <v>24</v>
      </c>
      <c r="D327" t="s">
        <v>19</v>
      </c>
      <c r="E327">
        <v>1.05</v>
      </c>
      <c r="G327">
        <v>1.1839999999999999</v>
      </c>
      <c r="H327">
        <v>10.853400000000001</v>
      </c>
      <c r="K327">
        <v>1.7688999999999999</v>
      </c>
      <c r="L327">
        <v>2.9529000000000001</v>
      </c>
      <c r="M327">
        <v>2.157</v>
      </c>
      <c r="N327">
        <v>0.32800000000000001</v>
      </c>
      <c r="O327">
        <v>0.51500000000000001</v>
      </c>
      <c r="P327">
        <v>0.80600000000000005</v>
      </c>
      <c r="Q327">
        <v>1.0999999999999999E-2</v>
      </c>
      <c r="R327">
        <v>1.7738</v>
      </c>
      <c r="S327">
        <v>2.9333</v>
      </c>
      <c r="T327">
        <v>0</v>
      </c>
      <c r="U327">
        <v>0</v>
      </c>
    </row>
    <row r="328" spans="1:21" x14ac:dyDescent="0.25">
      <c r="A328" t="s">
        <v>568</v>
      </c>
      <c r="B328" t="s">
        <v>24</v>
      </c>
      <c r="D328" t="s">
        <v>6</v>
      </c>
      <c r="E328">
        <v>1.26</v>
      </c>
      <c r="G328">
        <v>0.99199999999999999</v>
      </c>
      <c r="H328">
        <v>8.2789999999999999</v>
      </c>
      <c r="K328">
        <v>1.0903</v>
      </c>
      <c r="L328">
        <v>2.0823</v>
      </c>
      <c r="M328">
        <v>0.93799999999999994</v>
      </c>
      <c r="N328">
        <v>0.39</v>
      </c>
      <c r="O328">
        <v>0.67600000000000005</v>
      </c>
      <c r="P328">
        <v>0.52500000000000002</v>
      </c>
      <c r="Q328">
        <v>1.0999999999999999E-2</v>
      </c>
      <c r="R328">
        <v>3.8551000000000002</v>
      </c>
      <c r="S328">
        <v>3.8959000000000001</v>
      </c>
      <c r="T328">
        <v>6.9939999999999998</v>
      </c>
      <c r="U328">
        <v>0.52</v>
      </c>
    </row>
    <row r="329" spans="1:21" x14ac:dyDescent="0.25">
      <c r="A329" t="s">
        <v>377</v>
      </c>
      <c r="B329" t="s">
        <v>24</v>
      </c>
      <c r="D329" t="s">
        <v>21</v>
      </c>
      <c r="E329">
        <v>3.11</v>
      </c>
      <c r="G329">
        <v>1.9870000000000001</v>
      </c>
      <c r="H329">
        <v>8.5105000000000004</v>
      </c>
      <c r="K329">
        <v>0.9476</v>
      </c>
      <c r="L329">
        <v>2.9346000000000001</v>
      </c>
      <c r="M329">
        <v>1.645</v>
      </c>
      <c r="N329">
        <v>4.5999999999999999E-2</v>
      </c>
      <c r="O329">
        <v>0.42499999999999999</v>
      </c>
      <c r="P329">
        <v>1.0999999999999999E-2</v>
      </c>
      <c r="Q329">
        <v>1.0999999999999999E-2</v>
      </c>
      <c r="R329">
        <v>1.7099</v>
      </c>
      <c r="S329">
        <v>2.5499000000000001</v>
      </c>
      <c r="T329">
        <v>5.1680000000000001</v>
      </c>
      <c r="U329">
        <v>0.54</v>
      </c>
    </row>
    <row r="330" spans="1:21" x14ac:dyDescent="0.25">
      <c r="A330" t="s">
        <v>716</v>
      </c>
      <c r="B330" t="s">
        <v>24</v>
      </c>
      <c r="D330" t="s">
        <v>21</v>
      </c>
      <c r="E330">
        <v>2.0699999999999998</v>
      </c>
      <c r="G330">
        <v>1.1040000000000001</v>
      </c>
      <c r="H330">
        <v>6.2779999999999996</v>
      </c>
      <c r="K330">
        <v>1.1822999999999999</v>
      </c>
      <c r="L330">
        <v>2.2863000000000002</v>
      </c>
      <c r="M330">
        <v>0.70099999999999996</v>
      </c>
      <c r="N330">
        <v>9.9000000000000005E-2</v>
      </c>
      <c r="O330">
        <v>0.29499999999999998</v>
      </c>
      <c r="P330">
        <v>1.4E-2</v>
      </c>
      <c r="Q330">
        <v>1.0999999999999999E-2</v>
      </c>
      <c r="R330">
        <v>1.7172000000000001</v>
      </c>
      <c r="S330">
        <v>1.3481000000000001</v>
      </c>
      <c r="T330">
        <v>0.48083144230337327</v>
      </c>
    </row>
    <row r="331" spans="1:21" x14ac:dyDescent="0.25">
      <c r="A331" t="s">
        <v>396</v>
      </c>
      <c r="B331" t="s">
        <v>24</v>
      </c>
      <c r="D331" t="s">
        <v>34</v>
      </c>
      <c r="E331">
        <v>2.15</v>
      </c>
      <c r="G331">
        <v>4.351</v>
      </c>
      <c r="H331">
        <v>14.5977</v>
      </c>
      <c r="K331">
        <v>2.3296000000000001</v>
      </c>
      <c r="L331">
        <v>6.6806000000000001</v>
      </c>
      <c r="M331">
        <v>-4.2000000000000003E-2</v>
      </c>
      <c r="N331">
        <v>0.114</v>
      </c>
      <c r="O331">
        <v>0.498</v>
      </c>
      <c r="P331">
        <v>1.2E-2</v>
      </c>
      <c r="Q331">
        <v>1.0999999999999999E-2</v>
      </c>
      <c r="R331">
        <v>3.2787999999999999</v>
      </c>
      <c r="S331">
        <v>3.2852999999999999</v>
      </c>
      <c r="T331">
        <v>0.48083144230337327</v>
      </c>
    </row>
    <row r="332" spans="1:21" x14ac:dyDescent="0.25">
      <c r="A332" t="s">
        <v>1094</v>
      </c>
      <c r="B332" t="s">
        <v>24</v>
      </c>
      <c r="D332" t="s">
        <v>33</v>
      </c>
      <c r="E332">
        <v>2.88</v>
      </c>
      <c r="G332">
        <v>2.274</v>
      </c>
      <c r="H332">
        <v>8.7994000000000003</v>
      </c>
      <c r="K332">
        <v>1.9864999999999999</v>
      </c>
      <c r="L332">
        <v>4.2605000000000004</v>
      </c>
      <c r="M332">
        <v>0.77900000000000003</v>
      </c>
      <c r="N332" s="1">
        <v>0.113</v>
      </c>
      <c r="O332">
        <v>0.64100000000000001</v>
      </c>
      <c r="P332">
        <v>2.1000000000000001E-2</v>
      </c>
      <c r="Q332">
        <v>1.0999999999999999E-2</v>
      </c>
      <c r="R332">
        <v>14.8475</v>
      </c>
      <c r="S332">
        <v>12.623699999999999</v>
      </c>
      <c r="T332">
        <v>0.48083144230337327</v>
      </c>
    </row>
    <row r="333" spans="1:21" x14ac:dyDescent="0.25">
      <c r="A333" t="s">
        <v>339</v>
      </c>
      <c r="B333" t="s">
        <v>24</v>
      </c>
      <c r="D333" t="s">
        <v>15</v>
      </c>
      <c r="E333">
        <v>3.67</v>
      </c>
      <c r="G333">
        <v>4.2750000000000004</v>
      </c>
      <c r="H333">
        <v>9.4868000000000006</v>
      </c>
      <c r="K333">
        <v>1.0376000000000001</v>
      </c>
      <c r="L333">
        <v>5.3125999999999998</v>
      </c>
      <c r="M333">
        <v>0.75900000000000001</v>
      </c>
      <c r="N333">
        <v>0.188</v>
      </c>
      <c r="O333">
        <v>0.32400000000000001</v>
      </c>
      <c r="P333">
        <v>1.2999999999999999E-2</v>
      </c>
      <c r="Q333">
        <v>1.0999999999999999E-2</v>
      </c>
      <c r="R333">
        <v>2.8086000000000002</v>
      </c>
      <c r="S333">
        <v>1.7009000000000001</v>
      </c>
      <c r="T333">
        <v>0.48083144230337327</v>
      </c>
    </row>
    <row r="334" spans="1:21" x14ac:dyDescent="0.25">
      <c r="A334" t="s">
        <v>250</v>
      </c>
      <c r="B334" t="s">
        <v>24</v>
      </c>
      <c r="D334" t="s">
        <v>27</v>
      </c>
      <c r="E334">
        <v>2.4</v>
      </c>
      <c r="G334">
        <v>2.8050000000000002</v>
      </c>
      <c r="H334">
        <v>14.4337</v>
      </c>
      <c r="K334">
        <v>3.1943000000000001</v>
      </c>
      <c r="L334">
        <v>5.9992999999999999</v>
      </c>
      <c r="M334">
        <v>0.83899999999999997</v>
      </c>
      <c r="N334">
        <v>0.121</v>
      </c>
      <c r="O334">
        <v>0.23899999999999999</v>
      </c>
      <c r="P334">
        <v>1.2999999999999999E-2</v>
      </c>
      <c r="Q334">
        <v>1.0999999999999999E-2</v>
      </c>
      <c r="R334">
        <v>4.7603999999999997</v>
      </c>
      <c r="S334">
        <v>3.9369000000000001</v>
      </c>
      <c r="T334">
        <v>0.48083144230337327</v>
      </c>
    </row>
    <row r="335" spans="1:21" x14ac:dyDescent="0.25">
      <c r="A335" t="s">
        <v>982</v>
      </c>
      <c r="B335" t="s">
        <v>24</v>
      </c>
      <c r="D335" t="s">
        <v>29</v>
      </c>
      <c r="E335">
        <v>2.8</v>
      </c>
      <c r="G335">
        <v>2.0699999999999998</v>
      </c>
      <c r="H335">
        <v>12.153600000000001</v>
      </c>
      <c r="K335">
        <v>2.7160000000000002</v>
      </c>
      <c r="L335">
        <v>4.7859999999999996</v>
      </c>
      <c r="M335">
        <v>2.12</v>
      </c>
      <c r="N335">
        <v>0.04</v>
      </c>
      <c r="O335">
        <v>0.95499999999999996</v>
      </c>
      <c r="P335">
        <v>8.0000000000000002E-3</v>
      </c>
      <c r="Q335">
        <v>1.0999999999999999E-2</v>
      </c>
      <c r="R335">
        <v>6.6395</v>
      </c>
      <c r="S335">
        <v>11.405900000000001</v>
      </c>
      <c r="T335">
        <v>0.48083144230337327</v>
      </c>
    </row>
    <row r="336" spans="1:21" x14ac:dyDescent="0.25">
      <c r="A336" t="s">
        <v>597</v>
      </c>
      <c r="B336" t="s">
        <v>24</v>
      </c>
      <c r="D336" t="s">
        <v>29</v>
      </c>
      <c r="E336">
        <v>2.0299999999999998</v>
      </c>
      <c r="G336">
        <v>1.827</v>
      </c>
      <c r="H336">
        <v>13.5974</v>
      </c>
      <c r="K336">
        <v>2.4523000000000001</v>
      </c>
      <c r="L336">
        <v>4.2793000000000001</v>
      </c>
      <c r="M336">
        <v>3.698</v>
      </c>
      <c r="N336">
        <v>4.4999999999999998E-2</v>
      </c>
      <c r="O336">
        <v>0.77600000000000002</v>
      </c>
      <c r="P336">
        <v>1.2999999999999999E-2</v>
      </c>
      <c r="Q336">
        <v>1.0999999999999999E-2</v>
      </c>
      <c r="R336">
        <v>1.2421</v>
      </c>
      <c r="S336">
        <v>1.7828999999999999</v>
      </c>
      <c r="T336">
        <v>8.5879999999999992</v>
      </c>
      <c r="U336">
        <v>0.55000000000000004</v>
      </c>
    </row>
    <row r="337" spans="1:21" x14ac:dyDescent="0.25">
      <c r="A337" t="s">
        <v>307</v>
      </c>
      <c r="B337" t="s">
        <v>24</v>
      </c>
      <c r="D337" t="s">
        <v>1160</v>
      </c>
      <c r="E337">
        <v>2.76</v>
      </c>
      <c r="G337">
        <v>2.93</v>
      </c>
      <c r="H337">
        <v>10.561400000000001</v>
      </c>
      <c r="K337">
        <v>1.9154</v>
      </c>
      <c r="L337">
        <v>4.8453999999999997</v>
      </c>
      <c r="M337">
        <v>0.439</v>
      </c>
      <c r="N337">
        <v>0.129</v>
      </c>
      <c r="O337">
        <v>0.438</v>
      </c>
      <c r="P337">
        <v>1.2E-2</v>
      </c>
      <c r="Q337">
        <v>1.0999999999999999E-2</v>
      </c>
      <c r="R337">
        <v>36.5762</v>
      </c>
      <c r="S337">
        <v>21.741</v>
      </c>
      <c r="T337">
        <v>4.4560000000000004</v>
      </c>
      <c r="U337">
        <v>0.56000000000000005</v>
      </c>
    </row>
    <row r="338" spans="1:21" x14ac:dyDescent="0.25">
      <c r="A338" t="s">
        <v>589</v>
      </c>
      <c r="B338" t="s">
        <v>24</v>
      </c>
      <c r="D338" t="s">
        <v>1161</v>
      </c>
      <c r="E338">
        <v>0.8</v>
      </c>
      <c r="G338">
        <v>0.76300000000000001</v>
      </c>
      <c r="H338">
        <v>7.1744000000000003</v>
      </c>
      <c r="K338">
        <v>0.54810000000000003</v>
      </c>
      <c r="L338">
        <v>1.3110999999999999</v>
      </c>
      <c r="M338">
        <v>1.4730000000000001</v>
      </c>
      <c r="N338">
        <v>5.5E-2</v>
      </c>
      <c r="O338">
        <v>0.70399999999999996</v>
      </c>
      <c r="P338">
        <v>0.01</v>
      </c>
      <c r="Q338">
        <v>1.0999999999999999E-2</v>
      </c>
      <c r="R338">
        <v>1.9211</v>
      </c>
      <c r="S338">
        <v>4.2203999999999997</v>
      </c>
      <c r="T338">
        <v>11.305999999999999</v>
      </c>
      <c r="U338">
        <v>0.51</v>
      </c>
    </row>
    <row r="339" spans="1:21" x14ac:dyDescent="0.25">
      <c r="A339" t="s">
        <v>996</v>
      </c>
      <c r="B339" t="s">
        <v>24</v>
      </c>
      <c r="D339" t="s">
        <v>7</v>
      </c>
      <c r="E339">
        <v>2.13</v>
      </c>
      <c r="G339">
        <v>2.581</v>
      </c>
      <c r="H339">
        <v>10.4846</v>
      </c>
      <c r="K339">
        <v>2.1444000000000001</v>
      </c>
      <c r="L339">
        <v>4.7253999999999996</v>
      </c>
      <c r="M339">
        <v>0.38400000000000001</v>
      </c>
      <c r="N339">
        <v>5.5E-2</v>
      </c>
      <c r="O339">
        <v>0.51300000000000001</v>
      </c>
      <c r="P339">
        <v>1.4E-2</v>
      </c>
      <c r="Q339">
        <v>1.0999999999999999E-2</v>
      </c>
      <c r="R339">
        <v>9.5088000000000008</v>
      </c>
      <c r="S339">
        <v>6.7611999999999997</v>
      </c>
      <c r="T339">
        <v>4.9349999999999996</v>
      </c>
      <c r="U339">
        <v>0.54</v>
      </c>
    </row>
    <row r="340" spans="1:21" x14ac:dyDescent="0.25">
      <c r="A340" t="s">
        <v>701</v>
      </c>
      <c r="B340" t="s">
        <v>24</v>
      </c>
      <c r="D340" t="s">
        <v>13</v>
      </c>
      <c r="E340">
        <v>2.1800000000000002</v>
      </c>
      <c r="G340">
        <v>1.738</v>
      </c>
      <c r="H340">
        <v>6.3490000000000002</v>
      </c>
      <c r="K340">
        <v>1.0919000000000001</v>
      </c>
      <c r="L340">
        <v>2.8298999999999999</v>
      </c>
      <c r="M340">
        <v>0.57499999999999996</v>
      </c>
      <c r="N340">
        <v>0.14799999999999999</v>
      </c>
      <c r="O340">
        <v>1.0629999999999999</v>
      </c>
      <c r="P340">
        <v>1.7999999999999999E-2</v>
      </c>
      <c r="Q340">
        <v>1.0999999999999999E-2</v>
      </c>
      <c r="R340">
        <v>17.6538</v>
      </c>
      <c r="S340">
        <v>16.825700000000001</v>
      </c>
      <c r="T340">
        <v>11.234999999999999</v>
      </c>
      <c r="U340">
        <v>0.54</v>
      </c>
    </row>
    <row r="341" spans="1:21" x14ac:dyDescent="0.25">
      <c r="A341" t="s">
        <v>372</v>
      </c>
      <c r="B341" t="s">
        <v>24</v>
      </c>
      <c r="D341" t="s">
        <v>32</v>
      </c>
      <c r="E341">
        <v>2.94</v>
      </c>
      <c r="G341">
        <v>2.5430000000000001</v>
      </c>
      <c r="H341">
        <v>10.1769</v>
      </c>
      <c r="K341">
        <v>1.4038999999999999</v>
      </c>
      <c r="L341">
        <v>3.9468999999999999</v>
      </c>
      <c r="M341">
        <v>0.33500000000000002</v>
      </c>
      <c r="N341">
        <v>0.20100000000000001</v>
      </c>
      <c r="O341">
        <v>0.71699999999999997</v>
      </c>
      <c r="P341">
        <v>1.2999999999999999E-2</v>
      </c>
      <c r="Q341">
        <v>1.0999999999999999E-2</v>
      </c>
      <c r="R341">
        <v>0.89710000000000001</v>
      </c>
      <c r="S341">
        <v>1.1296999999999999</v>
      </c>
      <c r="T341">
        <v>0.85299999999999998</v>
      </c>
      <c r="U341">
        <v>0.2</v>
      </c>
    </row>
    <row r="342" spans="1:21" x14ac:dyDescent="0.25">
      <c r="A342" t="s">
        <v>641</v>
      </c>
      <c r="B342" t="s">
        <v>24</v>
      </c>
      <c r="D342" t="s">
        <v>12</v>
      </c>
      <c r="E342">
        <v>0.5</v>
      </c>
      <c r="G342">
        <v>1.714</v>
      </c>
      <c r="H342">
        <v>10.1531</v>
      </c>
      <c r="K342">
        <v>2.2930999999999999</v>
      </c>
      <c r="L342">
        <v>4.0071000000000003</v>
      </c>
      <c r="M342">
        <v>1.4419999999999999</v>
      </c>
      <c r="N342">
        <v>0.13600000000000001</v>
      </c>
      <c r="O342">
        <v>0.46800000000000003</v>
      </c>
      <c r="P342">
        <v>2.7E-2</v>
      </c>
      <c r="Q342">
        <v>1.0999999999999999E-2</v>
      </c>
      <c r="R342">
        <v>7.8181000000000003</v>
      </c>
      <c r="S342">
        <v>6.3085000000000004</v>
      </c>
      <c r="T342">
        <v>-1.4999999999999999E-2</v>
      </c>
      <c r="U342">
        <v>0.92</v>
      </c>
    </row>
    <row r="343" spans="1:21" x14ac:dyDescent="0.25">
      <c r="A343" t="s">
        <v>547</v>
      </c>
      <c r="B343" t="s">
        <v>24</v>
      </c>
      <c r="D343" t="s">
        <v>26</v>
      </c>
      <c r="E343">
        <v>1.83</v>
      </c>
      <c r="G343">
        <v>1.071</v>
      </c>
      <c r="H343">
        <v>11.3188</v>
      </c>
      <c r="K343">
        <v>1.383</v>
      </c>
      <c r="L343">
        <v>2.4540000000000002</v>
      </c>
      <c r="M343">
        <v>0.52400000000000002</v>
      </c>
      <c r="N343">
        <v>0.23499999999999999</v>
      </c>
      <c r="O343">
        <v>0.42099999999999999</v>
      </c>
      <c r="P343">
        <v>1.2999999999999999E-2</v>
      </c>
      <c r="Q343">
        <v>1.0999999999999999E-2</v>
      </c>
      <c r="R343">
        <v>1.4619</v>
      </c>
      <c r="S343">
        <v>1.0566</v>
      </c>
      <c r="T343">
        <v>0.56599999999999995</v>
      </c>
      <c r="U343">
        <v>-0.05</v>
      </c>
    </row>
    <row r="344" spans="1:21" x14ac:dyDescent="0.25">
      <c r="A344" t="s">
        <v>442</v>
      </c>
      <c r="B344" t="s">
        <v>24</v>
      </c>
      <c r="D344" t="s">
        <v>5</v>
      </c>
      <c r="E344">
        <v>2.69</v>
      </c>
      <c r="G344">
        <v>1.52</v>
      </c>
      <c r="H344">
        <v>11.167899999999999</v>
      </c>
      <c r="K344">
        <v>1.4914000000000001</v>
      </c>
      <c r="L344">
        <v>3.0114000000000001</v>
      </c>
      <c r="M344">
        <v>1.3420000000000001</v>
      </c>
      <c r="N344">
        <v>0.126</v>
      </c>
      <c r="O344">
        <v>1.2</v>
      </c>
      <c r="P344">
        <v>1.2999999999999999E-2</v>
      </c>
      <c r="Q344">
        <v>1.0999999999999999E-2</v>
      </c>
      <c r="R344">
        <v>2.3039999999999998</v>
      </c>
      <c r="S344">
        <v>4.8532000000000002</v>
      </c>
      <c r="T344">
        <v>5.8979999999999997</v>
      </c>
      <c r="U344">
        <v>0.56000000000000005</v>
      </c>
    </row>
    <row r="345" spans="1:21" x14ac:dyDescent="0.25">
      <c r="A345" t="s">
        <v>598</v>
      </c>
      <c r="B345" t="s">
        <v>24</v>
      </c>
      <c r="D345" t="s">
        <v>5</v>
      </c>
      <c r="E345">
        <v>2.46</v>
      </c>
      <c r="G345">
        <v>2.2909999999999999</v>
      </c>
      <c r="H345">
        <v>10.248900000000001</v>
      </c>
      <c r="K345">
        <v>1.7455000000000001</v>
      </c>
      <c r="L345">
        <v>4.0365000000000002</v>
      </c>
      <c r="M345">
        <v>0.23699999999999999</v>
      </c>
      <c r="N345">
        <v>0.11600000000000001</v>
      </c>
      <c r="O345">
        <v>0.60599999999999998</v>
      </c>
      <c r="P345">
        <v>1.2999999999999999E-2</v>
      </c>
      <c r="Q345">
        <v>1.0999999999999999E-2</v>
      </c>
      <c r="R345">
        <v>0.38540000000000002</v>
      </c>
      <c r="S345">
        <v>0.58860000000000001</v>
      </c>
      <c r="T345">
        <v>0.64900000000000002</v>
      </c>
      <c r="U345">
        <v>0.32</v>
      </c>
    </row>
    <row r="346" spans="1:21" x14ac:dyDescent="0.25">
      <c r="A346" t="s">
        <v>310</v>
      </c>
      <c r="B346" t="s">
        <v>24</v>
      </c>
      <c r="D346" t="s">
        <v>30</v>
      </c>
      <c r="E346">
        <v>3</v>
      </c>
      <c r="G346">
        <v>1.466</v>
      </c>
      <c r="H346">
        <v>9.2759</v>
      </c>
      <c r="K346">
        <v>1.9171</v>
      </c>
      <c r="L346">
        <v>3.3831000000000002</v>
      </c>
      <c r="M346">
        <v>1.173</v>
      </c>
      <c r="N346">
        <v>0.21</v>
      </c>
      <c r="O346">
        <v>0.17699999999999999</v>
      </c>
      <c r="P346">
        <v>0.158</v>
      </c>
      <c r="Q346">
        <v>1.0999999999999999E-2</v>
      </c>
      <c r="R346">
        <v>0.58609999999999995</v>
      </c>
      <c r="S346">
        <v>1.4407000000000001</v>
      </c>
      <c r="T346">
        <v>5.1669999999999998</v>
      </c>
      <c r="U346">
        <v>0.37</v>
      </c>
    </row>
    <row r="347" spans="1:21" x14ac:dyDescent="0.25">
      <c r="A347" t="s">
        <v>704</v>
      </c>
      <c r="B347" t="s">
        <v>24</v>
      </c>
      <c r="D347" t="s">
        <v>21</v>
      </c>
      <c r="E347">
        <v>2.4500000000000002</v>
      </c>
      <c r="G347">
        <v>2.4129999999999998</v>
      </c>
      <c r="H347">
        <v>11.6996</v>
      </c>
      <c r="K347">
        <v>1.762</v>
      </c>
      <c r="L347">
        <v>4.1749999999999998</v>
      </c>
      <c r="M347">
        <v>0.66200000000000003</v>
      </c>
      <c r="N347">
        <v>4.9000000000000002E-2</v>
      </c>
      <c r="O347">
        <v>0.55700000000000005</v>
      </c>
      <c r="P347">
        <v>0.01</v>
      </c>
      <c r="Q347">
        <v>1.0999999999999999E-2</v>
      </c>
      <c r="R347">
        <v>6.3175999999999997</v>
      </c>
      <c r="S347">
        <v>6.5452000000000004</v>
      </c>
      <c r="T347">
        <v>9.4830000000000005</v>
      </c>
      <c r="U347">
        <v>0.53</v>
      </c>
    </row>
    <row r="348" spans="1:21" x14ac:dyDescent="0.25">
      <c r="A348" t="s">
        <v>352</v>
      </c>
      <c r="B348" t="s">
        <v>24</v>
      </c>
      <c r="D348" t="s">
        <v>17</v>
      </c>
      <c r="E348">
        <v>1.73</v>
      </c>
      <c r="G348">
        <v>2.327</v>
      </c>
      <c r="H348">
        <v>11.3032</v>
      </c>
      <c r="K348">
        <v>1.5691999999999999</v>
      </c>
      <c r="L348">
        <v>3.8961999999999999</v>
      </c>
      <c r="M348">
        <v>0.27</v>
      </c>
      <c r="N348">
        <v>3.9E-2</v>
      </c>
      <c r="O348">
        <v>0.46400000000000002</v>
      </c>
      <c r="P348">
        <v>1.0999999999999999E-2</v>
      </c>
      <c r="Q348">
        <v>1.0999999999999999E-2</v>
      </c>
      <c r="R348">
        <v>14.1921</v>
      </c>
      <c r="S348">
        <v>11.2806</v>
      </c>
      <c r="T348">
        <v>1.5960000000000001</v>
      </c>
      <c r="U348">
        <v>0.5</v>
      </c>
    </row>
    <row r="349" spans="1:21" x14ac:dyDescent="0.25">
      <c r="A349" t="s">
        <v>382</v>
      </c>
      <c r="B349" t="s">
        <v>24</v>
      </c>
      <c r="D349" t="s">
        <v>1163</v>
      </c>
      <c r="E349">
        <v>3</v>
      </c>
      <c r="G349">
        <v>2.7490000000000001</v>
      </c>
      <c r="H349">
        <v>14.4247</v>
      </c>
      <c r="K349">
        <v>2.5388000000000002</v>
      </c>
      <c r="L349">
        <v>5.2877999999999998</v>
      </c>
      <c r="M349">
        <v>0.59799999999999998</v>
      </c>
      <c r="N349">
        <v>9.4E-2</v>
      </c>
      <c r="O349">
        <v>0.371</v>
      </c>
      <c r="P349">
        <v>1.0999999999999999E-2</v>
      </c>
      <c r="Q349">
        <v>1.0999999999999999E-2</v>
      </c>
      <c r="R349">
        <v>1.0462</v>
      </c>
      <c r="S349">
        <v>1.3488</v>
      </c>
      <c r="T349">
        <v>4.3079999999999998</v>
      </c>
      <c r="U349">
        <v>0.55000000000000004</v>
      </c>
    </row>
    <row r="350" spans="1:21" x14ac:dyDescent="0.25">
      <c r="A350" t="s">
        <v>1070</v>
      </c>
      <c r="B350" t="s">
        <v>24</v>
      </c>
      <c r="D350" t="s">
        <v>32</v>
      </c>
      <c r="E350">
        <v>2.68</v>
      </c>
      <c r="G350">
        <v>1.6120000000000001</v>
      </c>
      <c r="H350">
        <v>12.502700000000001</v>
      </c>
      <c r="K350">
        <v>1.5353000000000001</v>
      </c>
      <c r="L350">
        <v>3.1473</v>
      </c>
      <c r="M350">
        <v>1.722</v>
      </c>
      <c r="N350">
        <v>7.9000000000000001E-2</v>
      </c>
      <c r="O350">
        <v>0.25700000000000001</v>
      </c>
      <c r="P350">
        <v>1.6E-2</v>
      </c>
      <c r="Q350">
        <v>1.0999999999999999E-2</v>
      </c>
      <c r="R350">
        <v>2.3788</v>
      </c>
      <c r="S350">
        <v>2.0127000000000002</v>
      </c>
      <c r="T350">
        <v>0</v>
      </c>
      <c r="U350">
        <v>0</v>
      </c>
    </row>
    <row r="351" spans="1:21" x14ac:dyDescent="0.25">
      <c r="A351" t="s">
        <v>501</v>
      </c>
      <c r="B351" t="s">
        <v>24</v>
      </c>
      <c r="D351" t="s">
        <v>11</v>
      </c>
      <c r="E351">
        <v>3.66</v>
      </c>
      <c r="G351">
        <v>1.4219999999999999</v>
      </c>
      <c r="H351">
        <v>12.0885</v>
      </c>
      <c r="K351">
        <v>3.2770999999999999</v>
      </c>
      <c r="L351">
        <v>4.6990999999999996</v>
      </c>
      <c r="M351">
        <v>1.0029999999999999</v>
      </c>
      <c r="N351">
        <v>3.5999999999999997E-2</v>
      </c>
      <c r="O351">
        <v>0.501</v>
      </c>
      <c r="P351">
        <v>1.2999999999999999E-2</v>
      </c>
      <c r="Q351">
        <v>1.0999999999999999E-2</v>
      </c>
      <c r="R351">
        <v>0.3785</v>
      </c>
      <c r="S351">
        <v>0.50319999999999998</v>
      </c>
      <c r="T351">
        <v>10.789</v>
      </c>
      <c r="U351">
        <v>0.45</v>
      </c>
    </row>
    <row r="352" spans="1:21" x14ac:dyDescent="0.25">
      <c r="A352" t="s">
        <v>1164</v>
      </c>
      <c r="B352" t="s">
        <v>24</v>
      </c>
      <c r="D352" t="s">
        <v>25</v>
      </c>
      <c r="E352">
        <v>1.69</v>
      </c>
      <c r="G352">
        <v>2.34</v>
      </c>
      <c r="H352">
        <v>11.2902</v>
      </c>
      <c r="K352">
        <v>1.244</v>
      </c>
      <c r="L352">
        <v>3.5840000000000001</v>
      </c>
      <c r="M352">
        <v>0.2</v>
      </c>
      <c r="N352">
        <v>0.114</v>
      </c>
      <c r="O352">
        <v>0.38200000000000001</v>
      </c>
      <c r="P352">
        <v>2.1999999999999999E-2</v>
      </c>
      <c r="Q352">
        <v>1.0999999999999999E-2</v>
      </c>
      <c r="R352">
        <v>4.3159000000000001</v>
      </c>
      <c r="S352">
        <v>3.6518000000000002</v>
      </c>
      <c r="T352">
        <v>10.019</v>
      </c>
      <c r="U352">
        <v>0.76</v>
      </c>
    </row>
    <row r="353" spans="1:21" x14ac:dyDescent="0.25">
      <c r="A353" t="s">
        <v>600</v>
      </c>
      <c r="B353" t="s">
        <v>24</v>
      </c>
      <c r="D353" t="s">
        <v>4</v>
      </c>
      <c r="E353">
        <v>1.55</v>
      </c>
      <c r="G353">
        <v>1.43</v>
      </c>
      <c r="H353">
        <v>9.8181999999999992</v>
      </c>
      <c r="K353">
        <v>1.4120999999999999</v>
      </c>
      <c r="L353">
        <v>2.8420999999999998</v>
      </c>
      <c r="M353">
        <v>0.192</v>
      </c>
      <c r="N353">
        <v>0.23699999999999999</v>
      </c>
      <c r="O353">
        <v>0.26800000000000002</v>
      </c>
      <c r="P353">
        <v>1.2999999999999999E-2</v>
      </c>
      <c r="Q353">
        <v>1.0999999999999999E-2</v>
      </c>
      <c r="R353">
        <v>0.48209999999999997</v>
      </c>
      <c r="S353">
        <v>0.40789999999999998</v>
      </c>
      <c r="T353">
        <v>20.946999999999999</v>
      </c>
      <c r="U353">
        <v>0.63</v>
      </c>
    </row>
    <row r="354" spans="1:21" x14ac:dyDescent="0.25">
      <c r="A354" t="s">
        <v>458</v>
      </c>
      <c r="B354" t="s">
        <v>24</v>
      </c>
      <c r="D354" t="s">
        <v>26</v>
      </c>
      <c r="E354">
        <v>1.25</v>
      </c>
      <c r="G354">
        <v>3.1480000000000001</v>
      </c>
      <c r="H354">
        <v>9.8712</v>
      </c>
      <c r="K354">
        <v>1.5274000000000001</v>
      </c>
      <c r="L354">
        <v>4.6753999999999998</v>
      </c>
      <c r="M354">
        <v>0.192</v>
      </c>
      <c r="N354">
        <v>0.122</v>
      </c>
      <c r="O354">
        <v>0.61</v>
      </c>
      <c r="P354">
        <v>1.2E-2</v>
      </c>
      <c r="Q354">
        <v>1.0999999999999999E-2</v>
      </c>
      <c r="R354">
        <v>0.73660000000000003</v>
      </c>
      <c r="S354">
        <v>1.0932999999999999</v>
      </c>
      <c r="T354">
        <v>7.5919999999999996</v>
      </c>
      <c r="U354">
        <v>0.51</v>
      </c>
    </row>
    <row r="355" spans="1:21" x14ac:dyDescent="0.25">
      <c r="A355" t="s">
        <v>302</v>
      </c>
      <c r="B355" t="s">
        <v>24</v>
      </c>
      <c r="D355" t="s">
        <v>10</v>
      </c>
      <c r="E355">
        <v>3.22</v>
      </c>
      <c r="G355">
        <v>2.4550000000000001</v>
      </c>
      <c r="H355">
        <v>13.4787</v>
      </c>
      <c r="K355">
        <v>2.3123999999999998</v>
      </c>
      <c r="L355">
        <v>4.7674000000000003</v>
      </c>
      <c r="M355">
        <v>0.33900000000000002</v>
      </c>
      <c r="N355">
        <v>2.5999999999999999E-2</v>
      </c>
      <c r="O355">
        <v>0.59</v>
      </c>
      <c r="P355">
        <v>1.2E-2</v>
      </c>
      <c r="Q355">
        <v>1.0999999999999999E-2</v>
      </c>
      <c r="R355">
        <v>36.928100000000001</v>
      </c>
      <c r="S355">
        <v>20.861999999999998</v>
      </c>
      <c r="T355">
        <v>0.187</v>
      </c>
      <c r="U355">
        <v>0.67</v>
      </c>
    </row>
    <row r="356" spans="1:21" x14ac:dyDescent="0.25">
      <c r="A356" t="s">
        <v>789</v>
      </c>
      <c r="B356" t="s">
        <v>24</v>
      </c>
      <c r="D356" t="s">
        <v>141</v>
      </c>
      <c r="E356">
        <v>1.46</v>
      </c>
      <c r="G356">
        <v>2.5950000000000002</v>
      </c>
      <c r="H356">
        <v>9.4626000000000001</v>
      </c>
      <c r="K356">
        <v>1.5931999999999999</v>
      </c>
      <c r="L356">
        <v>4.1882000000000001</v>
      </c>
      <c r="M356">
        <v>0.318</v>
      </c>
      <c r="N356">
        <v>0.13400000000000001</v>
      </c>
      <c r="O356">
        <v>0.81599999999999995</v>
      </c>
      <c r="P356">
        <v>3.2000000000000001E-2</v>
      </c>
      <c r="Q356">
        <v>1.0999999999999999E-2</v>
      </c>
      <c r="R356">
        <v>6.1186999999999996</v>
      </c>
      <c r="S356">
        <v>5.1772</v>
      </c>
      <c r="T356">
        <v>4.0880000000000001</v>
      </c>
      <c r="U356">
        <v>0.48</v>
      </c>
    </row>
    <row r="357" spans="1:21" x14ac:dyDescent="0.25">
      <c r="A357" t="s">
        <v>311</v>
      </c>
      <c r="B357" t="s">
        <v>24</v>
      </c>
      <c r="D357" t="s">
        <v>1165</v>
      </c>
      <c r="E357">
        <v>2.21</v>
      </c>
      <c r="G357">
        <v>2.9950000000000001</v>
      </c>
      <c r="H357">
        <v>15.859500000000001</v>
      </c>
      <c r="K357">
        <v>1.4638</v>
      </c>
      <c r="L357">
        <v>4.4588000000000001</v>
      </c>
      <c r="M357">
        <v>0.38500000000000001</v>
      </c>
      <c r="N357">
        <v>0.375</v>
      </c>
      <c r="O357">
        <v>0.318</v>
      </c>
      <c r="P357">
        <v>1.0999999999999999E-2</v>
      </c>
      <c r="Q357">
        <v>1.0999999999999999E-2</v>
      </c>
      <c r="R357">
        <v>0.37540000000000001</v>
      </c>
      <c r="S357">
        <v>0.31769999999999998</v>
      </c>
      <c r="T357">
        <v>6.2169999999999996</v>
      </c>
      <c r="U357">
        <v>0.39</v>
      </c>
    </row>
    <row r="358" spans="1:21" x14ac:dyDescent="0.25">
      <c r="A358" t="s">
        <v>669</v>
      </c>
      <c r="B358" t="s">
        <v>24</v>
      </c>
      <c r="D358" t="s">
        <v>9</v>
      </c>
      <c r="E358">
        <v>1.25</v>
      </c>
      <c r="G358">
        <v>1.27</v>
      </c>
      <c r="H358">
        <v>5.4527999999999999</v>
      </c>
      <c r="K358">
        <v>0.94189999999999996</v>
      </c>
      <c r="L358">
        <v>2.2119</v>
      </c>
      <c r="M358">
        <v>0.878</v>
      </c>
      <c r="N358">
        <v>0.188</v>
      </c>
      <c r="O358">
        <v>0.36799999999999999</v>
      </c>
      <c r="P358">
        <v>1.2999999999999999E-2</v>
      </c>
      <c r="Q358">
        <v>1.0999999999999999E-2</v>
      </c>
      <c r="R358">
        <v>9.4115000000000002</v>
      </c>
      <c r="S358">
        <v>13.620699999999999</v>
      </c>
      <c r="T358">
        <v>0.75800000000000001</v>
      </c>
      <c r="U358">
        <v>0.39</v>
      </c>
    </row>
    <row r="359" spans="1:21" x14ac:dyDescent="0.25">
      <c r="A359" t="s">
        <v>576</v>
      </c>
      <c r="B359" t="s">
        <v>24</v>
      </c>
      <c r="D359" t="s">
        <v>16</v>
      </c>
      <c r="E359">
        <v>0.78</v>
      </c>
      <c r="G359">
        <v>0.83599999999999997</v>
      </c>
      <c r="H359">
        <v>10.1409</v>
      </c>
      <c r="K359">
        <v>1.7050000000000001</v>
      </c>
      <c r="L359">
        <v>2.5409999999999999</v>
      </c>
      <c r="M359">
        <v>2.347</v>
      </c>
      <c r="N359">
        <v>0.26400000000000001</v>
      </c>
      <c r="O359">
        <v>0.93600000000000005</v>
      </c>
      <c r="P359">
        <v>1.6E-2</v>
      </c>
      <c r="Q359">
        <v>1.0999999999999999E-2</v>
      </c>
      <c r="R359">
        <v>2.4136000000000002</v>
      </c>
      <c r="S359">
        <v>3.4018000000000002</v>
      </c>
      <c r="T359">
        <v>4.2990000000000004</v>
      </c>
      <c r="U359">
        <v>0.55000000000000004</v>
      </c>
    </row>
    <row r="360" spans="1:21" x14ac:dyDescent="0.25">
      <c r="A360" t="s">
        <v>787</v>
      </c>
      <c r="B360" t="s">
        <v>24</v>
      </c>
      <c r="D360" t="s">
        <v>28</v>
      </c>
      <c r="E360">
        <v>1.23</v>
      </c>
      <c r="G360">
        <v>2.1829999999999998</v>
      </c>
      <c r="H360">
        <v>11.09</v>
      </c>
      <c r="K360">
        <v>1.5555000000000001</v>
      </c>
      <c r="L360">
        <v>3.7385000000000002</v>
      </c>
      <c r="M360">
        <v>1.456</v>
      </c>
      <c r="N360">
        <v>0.13600000000000001</v>
      </c>
      <c r="O360">
        <v>0.48</v>
      </c>
      <c r="P360">
        <v>3.1E-2</v>
      </c>
      <c r="Q360">
        <v>1.0999999999999999E-2</v>
      </c>
      <c r="R360">
        <v>6.3231000000000002</v>
      </c>
      <c r="S360">
        <v>5.3501000000000003</v>
      </c>
      <c r="T360">
        <v>18.088000000000001</v>
      </c>
      <c r="U360">
        <v>0.59</v>
      </c>
    </row>
    <row r="361" spans="1:21" x14ac:dyDescent="0.25">
      <c r="A361" t="s">
        <v>1016</v>
      </c>
      <c r="B361" t="s">
        <v>24</v>
      </c>
      <c r="D361" t="s">
        <v>33</v>
      </c>
      <c r="E361">
        <v>3.02</v>
      </c>
      <c r="G361">
        <v>2.419</v>
      </c>
      <c r="H361">
        <v>8.8628</v>
      </c>
      <c r="K361">
        <v>1.42</v>
      </c>
      <c r="L361">
        <v>3.839</v>
      </c>
      <c r="M361">
        <v>0.16300000000000001</v>
      </c>
      <c r="N361">
        <v>0.78500000000000003</v>
      </c>
      <c r="O361">
        <v>1.157</v>
      </c>
      <c r="P361">
        <v>1.7999999999999999E-2</v>
      </c>
      <c r="Q361">
        <v>1.0999999999999999E-2</v>
      </c>
      <c r="R361">
        <v>2.9489999999999998</v>
      </c>
      <c r="S361">
        <v>2.7902</v>
      </c>
      <c r="T361">
        <v>2.6890000000000001</v>
      </c>
      <c r="U361">
        <v>0.11</v>
      </c>
    </row>
    <row r="362" spans="1:21" x14ac:dyDescent="0.25">
      <c r="A362" t="s">
        <v>499</v>
      </c>
      <c r="B362" t="s">
        <v>24</v>
      </c>
      <c r="D362" t="s">
        <v>28</v>
      </c>
      <c r="E362">
        <v>2.27</v>
      </c>
      <c r="G362">
        <v>2.2010000000000001</v>
      </c>
      <c r="H362">
        <v>11.625299999999999</v>
      </c>
      <c r="K362">
        <v>1.6531</v>
      </c>
      <c r="L362">
        <v>3.8540999999999999</v>
      </c>
      <c r="M362">
        <v>0.74099999999999999</v>
      </c>
      <c r="N362">
        <v>0.32100000000000001</v>
      </c>
      <c r="O362">
        <v>0.26</v>
      </c>
      <c r="P362">
        <v>1.0999999999999999E-2</v>
      </c>
      <c r="Q362">
        <v>1.0999999999999999E-2</v>
      </c>
      <c r="R362">
        <v>29.587299999999999</v>
      </c>
      <c r="S362">
        <v>19.081</v>
      </c>
      <c r="T362">
        <v>0</v>
      </c>
      <c r="U362">
        <v>0</v>
      </c>
    </row>
    <row r="363" spans="1:21" x14ac:dyDescent="0.25">
      <c r="A363" t="s">
        <v>290</v>
      </c>
      <c r="B363" t="s">
        <v>24</v>
      </c>
      <c r="D363" t="s">
        <v>30</v>
      </c>
      <c r="E363">
        <v>3.32</v>
      </c>
      <c r="G363">
        <v>4.5650000000000004</v>
      </c>
      <c r="H363">
        <v>16.656500000000001</v>
      </c>
      <c r="K363">
        <v>2.4386000000000001</v>
      </c>
      <c r="L363">
        <v>7.0035999999999996</v>
      </c>
      <c r="M363">
        <v>9.5000000000000001E-2</v>
      </c>
      <c r="N363">
        <v>0.27</v>
      </c>
      <c r="O363">
        <v>0.46800000000000003</v>
      </c>
      <c r="P363">
        <v>1.2999999999999999E-2</v>
      </c>
      <c r="Q363">
        <v>1.0999999999999999E-2</v>
      </c>
      <c r="R363">
        <v>0.34589999999999999</v>
      </c>
      <c r="S363">
        <v>0.37019999999999997</v>
      </c>
      <c r="T363">
        <v>12.117000000000001</v>
      </c>
      <c r="U363">
        <v>0.45</v>
      </c>
    </row>
    <row r="364" spans="1:21" x14ac:dyDescent="0.25">
      <c r="A364" t="s">
        <v>967</v>
      </c>
      <c r="B364" t="s">
        <v>24</v>
      </c>
      <c r="D364" t="s">
        <v>17</v>
      </c>
      <c r="E364">
        <v>2.5</v>
      </c>
      <c r="G364">
        <v>2.411</v>
      </c>
      <c r="H364">
        <v>10.9712</v>
      </c>
      <c r="K364">
        <v>1.6040000000000001</v>
      </c>
      <c r="L364">
        <v>4.0149999999999997</v>
      </c>
      <c r="M364">
        <v>0.79800000000000004</v>
      </c>
      <c r="N364">
        <v>6.0999999999999999E-2</v>
      </c>
      <c r="O364">
        <v>0.64100000000000001</v>
      </c>
      <c r="P364">
        <v>1.7000000000000001E-2</v>
      </c>
      <c r="Q364">
        <v>1.0999999999999999E-2</v>
      </c>
      <c r="R364">
        <v>3.6490999999999998</v>
      </c>
      <c r="S364">
        <v>2.0059</v>
      </c>
      <c r="T364">
        <v>4.4139999999999997</v>
      </c>
      <c r="U364">
        <v>0.56999999999999995</v>
      </c>
    </row>
    <row r="365" spans="1:21" x14ac:dyDescent="0.25">
      <c r="A365" t="s">
        <v>579</v>
      </c>
      <c r="B365" t="s">
        <v>24</v>
      </c>
      <c r="D365" t="s">
        <v>7</v>
      </c>
      <c r="E365">
        <v>1.1599999999999999</v>
      </c>
      <c r="G365">
        <v>2.2120000000000002</v>
      </c>
      <c r="H365">
        <v>11.594099999999999</v>
      </c>
      <c r="K365">
        <v>1.4770000000000001</v>
      </c>
      <c r="L365">
        <v>3.6890000000000001</v>
      </c>
      <c r="M365">
        <v>1.2529999999999999</v>
      </c>
      <c r="N365">
        <v>0.13100000000000001</v>
      </c>
      <c r="O365">
        <v>0.46400000000000002</v>
      </c>
      <c r="P365">
        <v>3.1E-2</v>
      </c>
      <c r="Q365">
        <v>1.0999999999999999E-2</v>
      </c>
      <c r="R365">
        <v>6.4303999999999997</v>
      </c>
      <c r="S365">
        <v>5.5305</v>
      </c>
      <c r="T365">
        <v>7.4889999999999999</v>
      </c>
      <c r="U365">
        <v>0.56000000000000005</v>
      </c>
    </row>
    <row r="366" spans="1:21" x14ac:dyDescent="0.25">
      <c r="A366" t="s">
        <v>470</v>
      </c>
      <c r="B366" t="s">
        <v>24</v>
      </c>
      <c r="D366" t="s">
        <v>87</v>
      </c>
      <c r="E366">
        <v>0.68</v>
      </c>
      <c r="G366">
        <v>1.651</v>
      </c>
      <c r="H366">
        <v>7.9705000000000004</v>
      </c>
      <c r="K366">
        <v>1.2825</v>
      </c>
      <c r="L366">
        <v>2.9335</v>
      </c>
      <c r="M366">
        <v>0.46500000000000002</v>
      </c>
      <c r="N366">
        <v>0.158</v>
      </c>
      <c r="O366">
        <v>0.81499999999999995</v>
      </c>
      <c r="P366">
        <v>1.2E-2</v>
      </c>
      <c r="Q366">
        <v>1.0999999999999999E-2</v>
      </c>
      <c r="R366">
        <v>24.482099999999999</v>
      </c>
      <c r="S366">
        <v>16.453900000000001</v>
      </c>
      <c r="T366">
        <v>0.57299999999999995</v>
      </c>
      <c r="U366">
        <v>0.31</v>
      </c>
    </row>
    <row r="367" spans="1:21" x14ac:dyDescent="0.25">
      <c r="A367" t="s">
        <v>744</v>
      </c>
      <c r="B367" t="s">
        <v>24</v>
      </c>
      <c r="D367" t="s">
        <v>23</v>
      </c>
      <c r="E367">
        <v>1.99</v>
      </c>
      <c r="G367">
        <v>0.82899999999999996</v>
      </c>
      <c r="H367">
        <v>10.1106</v>
      </c>
      <c r="K367">
        <v>1.1903999999999999</v>
      </c>
      <c r="L367">
        <v>2.0194000000000001</v>
      </c>
      <c r="M367">
        <v>0.26700000000000002</v>
      </c>
      <c r="N367">
        <v>7.0999999999999994E-2</v>
      </c>
      <c r="O367">
        <v>0.71199999999999997</v>
      </c>
      <c r="P367">
        <v>1.4999999999999999E-2</v>
      </c>
      <c r="Q367">
        <v>1.0999999999999999E-2</v>
      </c>
      <c r="R367">
        <v>0.90029999999999999</v>
      </c>
      <c r="S367">
        <v>1.4500999999999999</v>
      </c>
      <c r="T367">
        <v>9.5890000000000004</v>
      </c>
      <c r="U367">
        <v>0.46</v>
      </c>
    </row>
    <row r="368" spans="1:21" x14ac:dyDescent="0.25">
      <c r="A368" t="s">
        <v>593</v>
      </c>
      <c r="B368" t="s">
        <v>24</v>
      </c>
      <c r="D368" t="s">
        <v>22</v>
      </c>
      <c r="E368">
        <v>2.2599999999999998</v>
      </c>
      <c r="G368">
        <v>3.0510000000000002</v>
      </c>
      <c r="H368">
        <v>11.7728</v>
      </c>
      <c r="K368">
        <v>1.8458000000000001</v>
      </c>
      <c r="L368">
        <v>4.8967999999999998</v>
      </c>
      <c r="M368">
        <v>0.13200000000000001</v>
      </c>
      <c r="N368">
        <v>0.152</v>
      </c>
      <c r="O368">
        <v>0.43</v>
      </c>
      <c r="P368">
        <v>1.4E-2</v>
      </c>
      <c r="Q368">
        <v>1.0999999999999999E-2</v>
      </c>
      <c r="R368">
        <v>4.1069000000000004</v>
      </c>
      <c r="S368">
        <v>3.9832000000000001</v>
      </c>
      <c r="T368">
        <v>9.2910000000000004</v>
      </c>
      <c r="U368">
        <v>0.54</v>
      </c>
    </row>
    <row r="369" spans="1:21" x14ac:dyDescent="0.25">
      <c r="A369" t="s">
        <v>1169</v>
      </c>
      <c r="B369" t="s">
        <v>24</v>
      </c>
      <c r="D369" t="s">
        <v>4</v>
      </c>
      <c r="E369">
        <v>1.77</v>
      </c>
      <c r="G369">
        <v>1.3380000000000001</v>
      </c>
      <c r="H369">
        <v>11.0989</v>
      </c>
      <c r="K369">
        <v>1.24</v>
      </c>
      <c r="L369">
        <v>2.5779999999999998</v>
      </c>
      <c r="M369">
        <v>0.19700000000000001</v>
      </c>
      <c r="N369">
        <v>0.113</v>
      </c>
      <c r="O369">
        <v>0.64500000000000002</v>
      </c>
      <c r="P369">
        <v>2.1000000000000001E-2</v>
      </c>
      <c r="Q369">
        <v>1.0999999999999999E-2</v>
      </c>
      <c r="R369">
        <v>4.2744</v>
      </c>
      <c r="S369">
        <v>3.6166</v>
      </c>
      <c r="T369">
        <v>1.048</v>
      </c>
      <c r="U369">
        <v>0.62</v>
      </c>
    </row>
    <row r="370" spans="1:21" x14ac:dyDescent="0.25">
      <c r="A370" t="s">
        <v>371</v>
      </c>
      <c r="B370" t="s">
        <v>24</v>
      </c>
      <c r="D370" t="s">
        <v>16</v>
      </c>
      <c r="E370">
        <v>3.35</v>
      </c>
      <c r="G370">
        <v>1.4990000000000001</v>
      </c>
      <c r="H370">
        <v>13.741400000000001</v>
      </c>
      <c r="K370">
        <v>2.9769999999999999</v>
      </c>
      <c r="L370">
        <v>4.476</v>
      </c>
      <c r="M370">
        <v>0.997</v>
      </c>
      <c r="N370">
        <v>2.8000000000000001E-2</v>
      </c>
      <c r="O370">
        <v>1.2310000000000001</v>
      </c>
      <c r="P370">
        <v>1.0999999999999999E-2</v>
      </c>
      <c r="Q370">
        <v>1.0999999999999999E-2</v>
      </c>
      <c r="R370">
        <v>0.32919999999999999</v>
      </c>
      <c r="S370">
        <v>0.24390000000000001</v>
      </c>
      <c r="T370">
        <v>12.396000000000001</v>
      </c>
      <c r="U370">
        <v>0.5</v>
      </c>
    </row>
    <row r="371" spans="1:21" x14ac:dyDescent="0.25">
      <c r="A371" t="s">
        <v>625</v>
      </c>
      <c r="B371" t="s">
        <v>24</v>
      </c>
      <c r="D371" t="s">
        <v>20</v>
      </c>
      <c r="E371">
        <v>1.38</v>
      </c>
      <c r="G371">
        <v>1.411</v>
      </c>
      <c r="H371">
        <v>9.9781999999999993</v>
      </c>
      <c r="K371">
        <v>1.7309000000000001</v>
      </c>
      <c r="L371">
        <v>3.1419000000000001</v>
      </c>
      <c r="M371">
        <v>1.3120000000000001</v>
      </c>
      <c r="N371">
        <v>0.48599999999999999</v>
      </c>
      <c r="O371">
        <v>0.53200000000000003</v>
      </c>
      <c r="P371">
        <v>1.4E-2</v>
      </c>
      <c r="Q371">
        <v>1.0999999999999999E-2</v>
      </c>
      <c r="R371">
        <v>3.415</v>
      </c>
      <c r="S371">
        <v>3.4769000000000001</v>
      </c>
      <c r="T371">
        <v>3.2970000000000002</v>
      </c>
      <c r="U371">
        <v>0.52</v>
      </c>
    </row>
    <row r="372" spans="1:21" x14ac:dyDescent="0.25">
      <c r="A372" t="s">
        <v>1017</v>
      </c>
      <c r="B372" t="s">
        <v>24</v>
      </c>
      <c r="D372" t="s">
        <v>928</v>
      </c>
      <c r="E372">
        <v>1.26</v>
      </c>
      <c r="G372">
        <v>2.1520000000000001</v>
      </c>
      <c r="H372">
        <v>7.2408000000000001</v>
      </c>
      <c r="K372">
        <v>1.0843</v>
      </c>
      <c r="L372">
        <v>3.2363</v>
      </c>
      <c r="M372">
        <v>2.3239999999999998</v>
      </c>
      <c r="N372">
        <v>0.13300000000000001</v>
      </c>
      <c r="O372">
        <v>1.1439999999999999</v>
      </c>
      <c r="P372">
        <v>3.1E-2</v>
      </c>
      <c r="Q372">
        <v>1.0999999999999999E-2</v>
      </c>
      <c r="R372">
        <v>6.5914999999999999</v>
      </c>
      <c r="S372">
        <v>5.6691000000000003</v>
      </c>
      <c r="T372">
        <v>3.589</v>
      </c>
      <c r="U372">
        <v>0.52</v>
      </c>
    </row>
    <row r="373" spans="1:21" x14ac:dyDescent="0.25">
      <c r="A373" t="s">
        <v>261</v>
      </c>
      <c r="B373" t="s">
        <v>3</v>
      </c>
      <c r="D373" t="s">
        <v>31</v>
      </c>
      <c r="E373">
        <v>1.87</v>
      </c>
      <c r="G373">
        <v>2.7</v>
      </c>
      <c r="H373">
        <v>14.461399999999999</v>
      </c>
      <c r="K373">
        <v>1.556</v>
      </c>
      <c r="L373">
        <v>3.4550000000000001</v>
      </c>
      <c r="M373">
        <v>1.2669999999999999</v>
      </c>
      <c r="N373">
        <v>0.51100000000000001</v>
      </c>
      <c r="O373">
        <v>0.44600000000000001</v>
      </c>
      <c r="P373">
        <v>1E-3</v>
      </c>
      <c r="Q373">
        <v>2E-3</v>
      </c>
      <c r="R373">
        <v>0</v>
      </c>
      <c r="S373">
        <v>0</v>
      </c>
      <c r="T373">
        <v>1.887</v>
      </c>
      <c r="U373">
        <v>0.52</v>
      </c>
    </row>
    <row r="374" spans="1:21" x14ac:dyDescent="0.25">
      <c r="A374" t="s">
        <v>539</v>
      </c>
      <c r="B374" t="s">
        <v>3</v>
      </c>
      <c r="D374" t="s">
        <v>23</v>
      </c>
      <c r="E374">
        <v>2.25</v>
      </c>
      <c r="G374">
        <v>2.7850000000000001</v>
      </c>
      <c r="H374">
        <v>8.2011000000000003</v>
      </c>
      <c r="K374">
        <v>0.79330000000000001</v>
      </c>
      <c r="L374">
        <v>3.5783</v>
      </c>
      <c r="M374">
        <v>0.56699999999999995</v>
      </c>
      <c r="N374">
        <v>1.1160000000000001</v>
      </c>
      <c r="O374">
        <v>0.217</v>
      </c>
      <c r="P374">
        <v>1E-3</v>
      </c>
      <c r="Q374">
        <v>2E-3</v>
      </c>
      <c r="R374">
        <v>0</v>
      </c>
      <c r="S374">
        <v>0</v>
      </c>
      <c r="T374">
        <v>5.7869999999999999</v>
      </c>
      <c r="U374">
        <v>0.48</v>
      </c>
    </row>
    <row r="375" spans="1:21" x14ac:dyDescent="0.25">
      <c r="A375" t="s">
        <v>259</v>
      </c>
      <c r="B375" t="s">
        <v>3</v>
      </c>
      <c r="D375" t="s">
        <v>10</v>
      </c>
      <c r="E375">
        <v>3.45</v>
      </c>
      <c r="G375">
        <v>6.6310000000000002</v>
      </c>
      <c r="H375">
        <v>8.5465</v>
      </c>
      <c r="K375">
        <v>0.67390000000000005</v>
      </c>
      <c r="L375">
        <v>7.3048999999999999</v>
      </c>
      <c r="M375">
        <v>0.13300000000000001</v>
      </c>
      <c r="N375">
        <v>1.244</v>
      </c>
      <c r="O375">
        <v>0.57499999999999996</v>
      </c>
      <c r="P375">
        <v>1E-3</v>
      </c>
      <c r="Q375">
        <v>2E-3</v>
      </c>
      <c r="R375">
        <v>0</v>
      </c>
      <c r="S375">
        <v>0</v>
      </c>
      <c r="T375">
        <v>10.084</v>
      </c>
      <c r="U375">
        <v>0.47</v>
      </c>
    </row>
    <row r="376" spans="1:21" x14ac:dyDescent="0.25">
      <c r="A376" t="s">
        <v>363</v>
      </c>
      <c r="B376" t="s">
        <v>3</v>
      </c>
      <c r="D376" t="s">
        <v>28</v>
      </c>
      <c r="E376">
        <v>0.75</v>
      </c>
      <c r="G376">
        <v>3.6150000000000002</v>
      </c>
      <c r="H376">
        <v>6.8410000000000002</v>
      </c>
      <c r="K376">
        <v>0.36680000000000001</v>
      </c>
      <c r="L376">
        <v>3.9817999999999998</v>
      </c>
      <c r="M376">
        <v>0.30499999999999999</v>
      </c>
      <c r="N376">
        <v>0.79</v>
      </c>
      <c r="O376">
        <v>0.65100000000000002</v>
      </c>
      <c r="P376">
        <v>1E-3</v>
      </c>
      <c r="Q376">
        <v>2E-3</v>
      </c>
      <c r="R376">
        <v>0</v>
      </c>
      <c r="S376">
        <v>0</v>
      </c>
      <c r="T376">
        <v>6.4720000000000004</v>
      </c>
      <c r="U376">
        <v>0.52</v>
      </c>
    </row>
    <row r="377" spans="1:21" x14ac:dyDescent="0.25">
      <c r="A377" t="s">
        <v>531</v>
      </c>
      <c r="B377" t="s">
        <v>3</v>
      </c>
      <c r="D377" t="s">
        <v>18</v>
      </c>
      <c r="E377">
        <v>0.6</v>
      </c>
      <c r="G377">
        <v>3.0329999999999999</v>
      </c>
      <c r="H377">
        <v>7.1237000000000004</v>
      </c>
      <c r="K377">
        <v>0.43659999999999999</v>
      </c>
      <c r="L377">
        <v>3.4695999999999998</v>
      </c>
      <c r="M377">
        <v>0.105</v>
      </c>
      <c r="N377">
        <v>0.94599999999999995</v>
      </c>
      <c r="O377">
        <v>0.83799999999999997</v>
      </c>
      <c r="P377">
        <v>1E-3</v>
      </c>
      <c r="Q377">
        <v>2E-3</v>
      </c>
      <c r="R377">
        <v>0</v>
      </c>
      <c r="S377">
        <v>0</v>
      </c>
      <c r="T377">
        <v>2.8559999999999999</v>
      </c>
      <c r="U377">
        <v>0.59</v>
      </c>
    </row>
    <row r="378" spans="1:21" x14ac:dyDescent="0.25">
      <c r="A378" t="s">
        <v>282</v>
      </c>
      <c r="B378" t="s">
        <v>3</v>
      </c>
      <c r="D378" t="s">
        <v>28</v>
      </c>
      <c r="E378">
        <v>2</v>
      </c>
      <c r="G378">
        <v>3.4790000000000001</v>
      </c>
      <c r="H378">
        <v>8.7251999999999992</v>
      </c>
      <c r="K378">
        <v>0.58460000000000001</v>
      </c>
      <c r="L378">
        <v>4.0636000000000001</v>
      </c>
      <c r="M378">
        <v>0.23300000000000001</v>
      </c>
      <c r="N378">
        <v>1.8540000000000001</v>
      </c>
      <c r="O378">
        <v>0.16600000000000001</v>
      </c>
      <c r="P378">
        <v>1E-3</v>
      </c>
      <c r="Q378">
        <v>2E-3</v>
      </c>
      <c r="R378">
        <v>0</v>
      </c>
      <c r="S378">
        <v>0</v>
      </c>
      <c r="T378">
        <v>11.324</v>
      </c>
      <c r="U378">
        <v>0.51</v>
      </c>
    </row>
    <row r="379" spans="1:21" x14ac:dyDescent="0.25">
      <c r="A379" t="s">
        <v>922</v>
      </c>
      <c r="B379" t="s">
        <v>3</v>
      </c>
      <c r="D379" t="s">
        <v>21</v>
      </c>
      <c r="E379">
        <v>0.75</v>
      </c>
      <c r="G379">
        <v>2.8450000000000002</v>
      </c>
      <c r="H379">
        <v>7.3018999999999998</v>
      </c>
      <c r="K379">
        <v>0.46500000000000002</v>
      </c>
      <c r="L379">
        <v>3.31</v>
      </c>
      <c r="M379">
        <v>0.23300000000000001</v>
      </c>
      <c r="N379">
        <v>0.73099999999999998</v>
      </c>
      <c r="O379">
        <v>0.29799999999999999</v>
      </c>
      <c r="P379">
        <v>1E-3</v>
      </c>
      <c r="Q379">
        <v>2E-3</v>
      </c>
      <c r="R379">
        <v>0</v>
      </c>
      <c r="S379">
        <v>0</v>
      </c>
      <c r="T379">
        <v>7.0110000000000001</v>
      </c>
      <c r="U379">
        <v>0.49</v>
      </c>
    </row>
    <row r="380" spans="1:21" x14ac:dyDescent="0.25">
      <c r="A380" t="s">
        <v>868</v>
      </c>
      <c r="B380" t="s">
        <v>3</v>
      </c>
      <c r="D380" t="s">
        <v>7</v>
      </c>
      <c r="E380">
        <v>0.8</v>
      </c>
      <c r="G380">
        <v>2.5870000000000002</v>
      </c>
      <c r="H380">
        <v>7.7485999999999997</v>
      </c>
      <c r="K380">
        <v>0.47360000000000002</v>
      </c>
      <c r="L380">
        <v>3.0606</v>
      </c>
      <c r="M380">
        <v>1.5940000000000001</v>
      </c>
      <c r="N380">
        <v>0.72</v>
      </c>
      <c r="O380">
        <v>0.42</v>
      </c>
      <c r="P380">
        <v>1E-3</v>
      </c>
      <c r="Q380">
        <v>2E-3</v>
      </c>
      <c r="R380">
        <v>0</v>
      </c>
      <c r="S380">
        <v>0</v>
      </c>
      <c r="T380">
        <v>21.363</v>
      </c>
      <c r="U380">
        <v>0.57999999999999996</v>
      </c>
    </row>
    <row r="381" spans="1:21" x14ac:dyDescent="0.25">
      <c r="A381" t="s">
        <v>925</v>
      </c>
      <c r="B381" t="s">
        <v>3</v>
      </c>
      <c r="D381" t="s">
        <v>6</v>
      </c>
      <c r="E381">
        <v>0.25</v>
      </c>
      <c r="G381">
        <v>1.698</v>
      </c>
      <c r="H381">
        <v>10.7004</v>
      </c>
      <c r="K381">
        <v>0.74519999999999997</v>
      </c>
      <c r="L381">
        <v>2.4432</v>
      </c>
      <c r="M381">
        <v>1.2430000000000001</v>
      </c>
      <c r="N381">
        <v>0.81599999999999995</v>
      </c>
      <c r="O381">
        <v>0.78900000000000003</v>
      </c>
      <c r="P381">
        <v>1E-3</v>
      </c>
      <c r="Q381">
        <v>2E-3</v>
      </c>
      <c r="R381">
        <v>0</v>
      </c>
      <c r="S381">
        <v>0</v>
      </c>
      <c r="T381">
        <v>1.9730000000000001</v>
      </c>
      <c r="U381">
        <v>0.55000000000000004</v>
      </c>
    </row>
    <row r="382" spans="1:21" x14ac:dyDescent="0.25">
      <c r="A382" t="s">
        <v>325</v>
      </c>
      <c r="B382" t="s">
        <v>3</v>
      </c>
      <c r="D382" t="s">
        <v>2</v>
      </c>
      <c r="E382">
        <v>0.25</v>
      </c>
      <c r="G382">
        <v>2.7730000000000001</v>
      </c>
      <c r="H382">
        <v>7.0138999999999996</v>
      </c>
      <c r="K382">
        <v>0.55759999999999998</v>
      </c>
      <c r="L382">
        <v>3.3306</v>
      </c>
      <c r="M382">
        <v>0.70299999999999996</v>
      </c>
      <c r="N382">
        <v>1.002</v>
      </c>
      <c r="O382">
        <v>0.41099999999999998</v>
      </c>
      <c r="P382">
        <v>2E-3</v>
      </c>
      <c r="Q382">
        <v>2E-3</v>
      </c>
      <c r="R382">
        <v>0</v>
      </c>
      <c r="S382">
        <v>0</v>
      </c>
      <c r="T382">
        <v>3.798</v>
      </c>
      <c r="U382">
        <v>0.54</v>
      </c>
    </row>
    <row r="383" spans="1:21" x14ac:dyDescent="0.25">
      <c r="A383" t="s">
        <v>691</v>
      </c>
      <c r="B383" t="s">
        <v>3</v>
      </c>
      <c r="D383" t="s">
        <v>28</v>
      </c>
      <c r="E383">
        <v>1.4</v>
      </c>
      <c r="G383">
        <v>3.0169999999999999</v>
      </c>
      <c r="H383">
        <v>7.9989999999999997</v>
      </c>
      <c r="K383">
        <v>0.39639999999999997</v>
      </c>
      <c r="L383">
        <v>3.4134000000000002</v>
      </c>
      <c r="M383">
        <v>0.26300000000000001</v>
      </c>
      <c r="N383">
        <v>0.75800000000000001</v>
      </c>
      <c r="O383">
        <v>0.312</v>
      </c>
      <c r="P383">
        <v>1E-3</v>
      </c>
      <c r="Q383">
        <v>2E-3</v>
      </c>
      <c r="R383">
        <v>0</v>
      </c>
      <c r="S383">
        <v>0</v>
      </c>
      <c r="T383">
        <v>3.7770000000000001</v>
      </c>
      <c r="U383">
        <v>0.49</v>
      </c>
    </row>
    <row r="384" spans="1:21" x14ac:dyDescent="0.25">
      <c r="A384" t="s">
        <v>400</v>
      </c>
      <c r="B384" t="s">
        <v>3</v>
      </c>
      <c r="D384" t="s">
        <v>1120</v>
      </c>
      <c r="E384">
        <v>1.27</v>
      </c>
      <c r="G384">
        <v>2.1669999999999998</v>
      </c>
      <c r="H384">
        <v>8.0470000000000006</v>
      </c>
      <c r="K384">
        <v>0.90090000000000003</v>
      </c>
      <c r="L384">
        <v>3.0678999999999998</v>
      </c>
      <c r="M384">
        <v>1.22</v>
      </c>
      <c r="N384">
        <v>0.63800000000000001</v>
      </c>
      <c r="O384">
        <v>0.59699999999999998</v>
      </c>
      <c r="P384">
        <v>1E-3</v>
      </c>
      <c r="Q384">
        <v>2E-3</v>
      </c>
      <c r="R384">
        <v>0</v>
      </c>
      <c r="S384">
        <v>0</v>
      </c>
      <c r="T384">
        <v>3.1E-2</v>
      </c>
      <c r="U384">
        <v>1.1599999999999999</v>
      </c>
    </row>
    <row r="385" spans="1:21" x14ac:dyDescent="0.25">
      <c r="A385" t="s">
        <v>384</v>
      </c>
      <c r="B385" t="s">
        <v>3</v>
      </c>
      <c r="D385" t="s">
        <v>34</v>
      </c>
      <c r="E385">
        <v>1.1000000000000001</v>
      </c>
      <c r="G385">
        <v>5.0730000000000004</v>
      </c>
      <c r="H385">
        <v>10.193300000000001</v>
      </c>
      <c r="K385">
        <v>1.0599000000000001</v>
      </c>
      <c r="L385">
        <v>6.1329000000000002</v>
      </c>
      <c r="M385">
        <v>0.71399999999999997</v>
      </c>
      <c r="N385">
        <v>0.99199999999999999</v>
      </c>
      <c r="O385">
        <v>0.373</v>
      </c>
      <c r="P385">
        <v>1E-3</v>
      </c>
      <c r="Q385">
        <v>2E-3</v>
      </c>
      <c r="R385">
        <v>0</v>
      </c>
      <c r="S385">
        <v>0</v>
      </c>
      <c r="T385">
        <v>0</v>
      </c>
      <c r="U385">
        <v>0</v>
      </c>
    </row>
    <row r="386" spans="1:21" x14ac:dyDescent="0.25">
      <c r="A386" t="s">
        <v>441</v>
      </c>
      <c r="B386" t="s">
        <v>3</v>
      </c>
      <c r="D386" t="s">
        <v>31</v>
      </c>
      <c r="E386">
        <v>2.5</v>
      </c>
      <c r="G386">
        <v>4.7240000000000002</v>
      </c>
      <c r="H386">
        <v>8.2606999999999999</v>
      </c>
      <c r="K386">
        <v>0.60389999999999999</v>
      </c>
      <c r="L386">
        <v>5.3278999999999996</v>
      </c>
      <c r="M386">
        <v>0.69299999999999995</v>
      </c>
      <c r="N386">
        <v>0.81299999999999994</v>
      </c>
      <c r="O386">
        <v>0.36599999999999999</v>
      </c>
      <c r="P386">
        <v>1E-3</v>
      </c>
      <c r="Q386">
        <v>2E-3</v>
      </c>
      <c r="R386">
        <v>0</v>
      </c>
      <c r="S386">
        <v>0</v>
      </c>
      <c r="T386">
        <v>10.635999999999999</v>
      </c>
      <c r="U386">
        <v>0.47</v>
      </c>
    </row>
    <row r="387" spans="1:21" x14ac:dyDescent="0.25">
      <c r="A387" t="s">
        <v>271</v>
      </c>
      <c r="B387" t="s">
        <v>3</v>
      </c>
      <c r="D387" t="s">
        <v>34</v>
      </c>
      <c r="E387">
        <v>2.65</v>
      </c>
      <c r="G387">
        <v>4.8460000000000001</v>
      </c>
      <c r="H387">
        <v>11.962300000000001</v>
      </c>
      <c r="K387">
        <v>0.98650000000000004</v>
      </c>
      <c r="L387">
        <v>5.8324999999999996</v>
      </c>
      <c r="M387">
        <v>0.22500000000000001</v>
      </c>
      <c r="N387">
        <v>1.2509999999999999</v>
      </c>
      <c r="O387">
        <v>0.19600000000000001</v>
      </c>
      <c r="P387">
        <v>1E-3</v>
      </c>
      <c r="Q387">
        <v>2E-3</v>
      </c>
      <c r="R387">
        <v>0</v>
      </c>
      <c r="S387">
        <v>0</v>
      </c>
      <c r="T387">
        <v>0</v>
      </c>
      <c r="U387">
        <v>0</v>
      </c>
    </row>
    <row r="388" spans="1:21" x14ac:dyDescent="0.25">
      <c r="A388" t="s">
        <v>427</v>
      </c>
      <c r="B388" t="s">
        <v>3</v>
      </c>
      <c r="D388" t="s">
        <v>34</v>
      </c>
      <c r="E388">
        <v>1.21</v>
      </c>
      <c r="G388">
        <v>3.694</v>
      </c>
      <c r="H388">
        <v>8.4413</v>
      </c>
      <c r="K388">
        <v>0.68989999999999996</v>
      </c>
      <c r="L388">
        <v>4.3838999999999997</v>
      </c>
      <c r="M388">
        <v>0.111</v>
      </c>
      <c r="N388">
        <v>0.70399999999999996</v>
      </c>
      <c r="O388">
        <v>0.24099999999999999</v>
      </c>
      <c r="P388">
        <v>2E-3</v>
      </c>
      <c r="Q388">
        <v>2E-3</v>
      </c>
      <c r="R388">
        <v>0</v>
      </c>
      <c r="S388">
        <v>0</v>
      </c>
      <c r="T388">
        <v>4.6109999999999998</v>
      </c>
      <c r="U388">
        <v>0.53</v>
      </c>
    </row>
    <row r="389" spans="1:21" x14ac:dyDescent="0.25">
      <c r="A389" t="s">
        <v>1074</v>
      </c>
      <c r="B389" t="s">
        <v>3</v>
      </c>
      <c r="D389" t="s">
        <v>18</v>
      </c>
      <c r="E389">
        <v>2.4900000000000002</v>
      </c>
      <c r="G389">
        <v>4.3929999999999998</v>
      </c>
      <c r="H389">
        <v>9.1931999999999992</v>
      </c>
      <c r="K389">
        <v>0.68120000000000003</v>
      </c>
      <c r="L389">
        <v>5.0742000000000003</v>
      </c>
      <c r="M389">
        <v>0.08</v>
      </c>
      <c r="N389">
        <v>0.89400000000000002</v>
      </c>
      <c r="O389">
        <v>0.17</v>
      </c>
      <c r="P389">
        <v>1E-3</v>
      </c>
      <c r="Q389">
        <v>2E-3</v>
      </c>
      <c r="R389">
        <v>0</v>
      </c>
      <c r="S389">
        <v>0</v>
      </c>
      <c r="T389">
        <v>6.02</v>
      </c>
      <c r="U389">
        <v>0.48</v>
      </c>
    </row>
    <row r="390" spans="1:21" x14ac:dyDescent="0.25">
      <c r="A390" t="s">
        <v>246</v>
      </c>
      <c r="B390" t="s">
        <v>3</v>
      </c>
      <c r="D390" t="s">
        <v>11</v>
      </c>
      <c r="E390">
        <v>3.95</v>
      </c>
      <c r="G390">
        <v>5.8339999999999996</v>
      </c>
      <c r="H390">
        <v>11.425000000000001</v>
      </c>
      <c r="K390">
        <v>1.2121</v>
      </c>
      <c r="L390">
        <v>7.0461</v>
      </c>
      <c r="M390">
        <v>0.35699999999999998</v>
      </c>
      <c r="N390">
        <v>1</v>
      </c>
      <c r="O390">
        <v>0.43099999999999999</v>
      </c>
      <c r="P390">
        <v>1E-3</v>
      </c>
      <c r="Q390">
        <v>2E-3</v>
      </c>
      <c r="R390">
        <v>0</v>
      </c>
      <c r="S390">
        <v>0</v>
      </c>
      <c r="T390">
        <v>5.3</v>
      </c>
      <c r="U390">
        <v>0.54</v>
      </c>
    </row>
    <row r="391" spans="1:21" x14ac:dyDescent="0.25">
      <c r="A391" t="s">
        <v>706</v>
      </c>
      <c r="B391" t="s">
        <v>3</v>
      </c>
      <c r="D391" t="s">
        <v>21</v>
      </c>
      <c r="E391">
        <v>1.54</v>
      </c>
      <c r="G391">
        <v>2.5659999999999998</v>
      </c>
      <c r="H391">
        <v>6.6738</v>
      </c>
      <c r="K391">
        <v>0.52149999999999996</v>
      </c>
      <c r="L391">
        <v>3.0874999999999999</v>
      </c>
      <c r="M391">
        <v>0.503</v>
      </c>
      <c r="N391">
        <v>1.8340000000000001</v>
      </c>
      <c r="O391">
        <v>0.69899999999999995</v>
      </c>
      <c r="P391">
        <v>2E-3</v>
      </c>
      <c r="Q391">
        <v>2E-3</v>
      </c>
      <c r="R391">
        <v>0</v>
      </c>
      <c r="S391">
        <v>0</v>
      </c>
      <c r="T391">
        <v>1.05</v>
      </c>
      <c r="U391">
        <v>0.36</v>
      </c>
    </row>
    <row r="392" spans="1:21" x14ac:dyDescent="0.25">
      <c r="A392" t="s">
        <v>1021</v>
      </c>
      <c r="B392" t="s">
        <v>3</v>
      </c>
      <c r="D392" t="s">
        <v>1173</v>
      </c>
      <c r="E392">
        <v>2.58</v>
      </c>
      <c r="G392">
        <v>3.5489999999999999</v>
      </c>
      <c r="H392">
        <v>8.3666999999999998</v>
      </c>
      <c r="K392">
        <v>0.39</v>
      </c>
      <c r="L392">
        <v>3.9390000000000001</v>
      </c>
      <c r="M392">
        <v>0.31</v>
      </c>
      <c r="N392">
        <v>1.119</v>
      </c>
      <c r="O392">
        <v>0.33900000000000002</v>
      </c>
      <c r="P392">
        <v>1E-3</v>
      </c>
      <c r="Q392">
        <v>2E-3</v>
      </c>
      <c r="R392">
        <v>0</v>
      </c>
      <c r="S392">
        <v>0</v>
      </c>
      <c r="T392">
        <v>3.7469999999999999</v>
      </c>
      <c r="U392">
        <v>0.55000000000000004</v>
      </c>
    </row>
    <row r="393" spans="1:21" x14ac:dyDescent="0.25">
      <c r="A393" t="s">
        <v>489</v>
      </c>
      <c r="B393" t="s">
        <v>3</v>
      </c>
      <c r="D393" t="s">
        <v>5</v>
      </c>
      <c r="E393">
        <v>2.33</v>
      </c>
      <c r="G393">
        <v>3.9329999999999998</v>
      </c>
      <c r="H393">
        <v>9.7341999999999995</v>
      </c>
      <c r="K393">
        <v>0.87580000000000002</v>
      </c>
      <c r="L393">
        <v>4.8087999999999997</v>
      </c>
      <c r="M393">
        <v>0.10100000000000001</v>
      </c>
      <c r="N393">
        <v>1.054</v>
      </c>
      <c r="O393">
        <v>0.17499999999999999</v>
      </c>
      <c r="P393">
        <v>1E-3</v>
      </c>
      <c r="Q393">
        <v>2E-3</v>
      </c>
      <c r="R393">
        <v>0</v>
      </c>
      <c r="S393">
        <v>0</v>
      </c>
      <c r="T393">
        <v>2.4140000000000001</v>
      </c>
      <c r="U393">
        <v>0.53</v>
      </c>
    </row>
    <row r="394" spans="1:21" x14ac:dyDescent="0.25">
      <c r="A394" t="s">
        <v>509</v>
      </c>
      <c r="B394" t="s">
        <v>3</v>
      </c>
      <c r="D394" t="s">
        <v>32</v>
      </c>
      <c r="E394">
        <v>1.97</v>
      </c>
      <c r="G394">
        <v>1.91</v>
      </c>
      <c r="H394">
        <v>7.0335999999999999</v>
      </c>
      <c r="K394">
        <v>0.52039999999999997</v>
      </c>
      <c r="L394">
        <v>2.4304000000000001</v>
      </c>
      <c r="M394">
        <v>0.55700000000000005</v>
      </c>
      <c r="N394">
        <v>0.70099999999999996</v>
      </c>
      <c r="O394">
        <v>0.34699999999999998</v>
      </c>
      <c r="P394">
        <v>1E-3</v>
      </c>
      <c r="Q394">
        <v>2E-3</v>
      </c>
      <c r="R394">
        <v>0</v>
      </c>
      <c r="S394">
        <v>0</v>
      </c>
      <c r="T394">
        <v>8.3239999999999998</v>
      </c>
      <c r="U394">
        <v>0.33</v>
      </c>
    </row>
    <row r="395" spans="1:21" x14ac:dyDescent="0.25">
      <c r="A395" t="s">
        <v>875</v>
      </c>
      <c r="B395" t="s">
        <v>3</v>
      </c>
      <c r="D395" t="s">
        <v>12</v>
      </c>
      <c r="E395">
        <v>3.03</v>
      </c>
      <c r="G395">
        <v>4.6040000000000001</v>
      </c>
      <c r="H395">
        <v>5.4043000000000001</v>
      </c>
      <c r="K395">
        <v>0.59960000000000002</v>
      </c>
      <c r="L395">
        <v>5.2035999999999998</v>
      </c>
      <c r="M395">
        <v>0.76800000000000002</v>
      </c>
      <c r="N395">
        <v>0.94399999999999995</v>
      </c>
      <c r="O395">
        <v>0.94499999999999995</v>
      </c>
      <c r="P395">
        <v>1E-3</v>
      </c>
      <c r="Q395">
        <v>2E-3</v>
      </c>
      <c r="R395">
        <v>0</v>
      </c>
      <c r="S395">
        <v>0</v>
      </c>
      <c r="T395">
        <v>5.3040000000000003</v>
      </c>
      <c r="U395">
        <v>0.53</v>
      </c>
    </row>
    <row r="396" spans="1:21" x14ac:dyDescent="0.25">
      <c r="A396" t="s">
        <v>545</v>
      </c>
      <c r="B396" t="s">
        <v>3</v>
      </c>
      <c r="D396" t="s">
        <v>6</v>
      </c>
      <c r="E396">
        <v>1.39</v>
      </c>
      <c r="G396">
        <v>3.5339999999999998</v>
      </c>
      <c r="H396">
        <v>6.4576000000000002</v>
      </c>
      <c r="K396">
        <v>0.34799999999999998</v>
      </c>
      <c r="L396">
        <v>3.8820000000000001</v>
      </c>
      <c r="M396">
        <v>0.53800000000000003</v>
      </c>
      <c r="N396">
        <v>0.89</v>
      </c>
      <c r="O396">
        <v>0.95799999999999996</v>
      </c>
      <c r="P396">
        <v>2E-3</v>
      </c>
      <c r="Q396">
        <v>2E-3</v>
      </c>
      <c r="R396">
        <v>0</v>
      </c>
      <c r="S396">
        <v>0</v>
      </c>
      <c r="T396">
        <v>3.6789999999999998</v>
      </c>
      <c r="U396">
        <v>0.5</v>
      </c>
    </row>
    <row r="397" spans="1:21" x14ac:dyDescent="0.25">
      <c r="A397" t="s">
        <v>365</v>
      </c>
      <c r="B397" t="s">
        <v>3</v>
      </c>
      <c r="D397" t="s">
        <v>14</v>
      </c>
      <c r="E397">
        <v>0.78</v>
      </c>
      <c r="G397">
        <v>2.452</v>
      </c>
      <c r="H397">
        <v>5.8566000000000003</v>
      </c>
      <c r="K397">
        <v>0.3574</v>
      </c>
      <c r="L397">
        <v>2.8094000000000001</v>
      </c>
      <c r="M397">
        <v>0.57799999999999996</v>
      </c>
      <c r="N397">
        <v>0.621</v>
      </c>
      <c r="O397">
        <v>0.252</v>
      </c>
      <c r="P397">
        <v>1E-3</v>
      </c>
      <c r="Q397">
        <v>2E-3</v>
      </c>
      <c r="R397">
        <v>0</v>
      </c>
      <c r="S397">
        <v>0</v>
      </c>
      <c r="T397">
        <v>1.1639999999999999</v>
      </c>
      <c r="U397">
        <v>0.59</v>
      </c>
    </row>
    <row r="398" spans="1:21" x14ac:dyDescent="0.25">
      <c r="A398" t="s">
        <v>757</v>
      </c>
      <c r="B398" t="s">
        <v>3</v>
      </c>
      <c r="D398" t="s">
        <v>30</v>
      </c>
      <c r="E398">
        <v>1.6</v>
      </c>
      <c r="G398">
        <v>3.9580000000000002</v>
      </c>
      <c r="H398">
        <v>7.3604000000000003</v>
      </c>
      <c r="K398">
        <v>0.4446</v>
      </c>
      <c r="L398">
        <v>4.4025999999999996</v>
      </c>
      <c r="M398">
        <v>0.17499999999999999</v>
      </c>
      <c r="N398">
        <v>1.4279999999999999</v>
      </c>
      <c r="O398">
        <v>0.26500000000000001</v>
      </c>
      <c r="P398">
        <v>2E-3</v>
      </c>
      <c r="Q398">
        <v>2E-3</v>
      </c>
      <c r="R398">
        <v>0</v>
      </c>
      <c r="S398">
        <v>0</v>
      </c>
      <c r="T398">
        <v>17.600000000000001</v>
      </c>
      <c r="U398">
        <v>0.55000000000000004</v>
      </c>
    </row>
    <row r="399" spans="1:21" x14ac:dyDescent="0.25">
      <c r="A399" t="s">
        <v>343</v>
      </c>
      <c r="B399" t="s">
        <v>3</v>
      </c>
      <c r="D399" t="s">
        <v>23</v>
      </c>
      <c r="E399">
        <v>1.21</v>
      </c>
      <c r="G399">
        <v>2.2189999999999999</v>
      </c>
      <c r="H399">
        <v>6.2611999999999997</v>
      </c>
      <c r="K399">
        <v>0.61650000000000005</v>
      </c>
      <c r="L399">
        <v>2.8355000000000001</v>
      </c>
      <c r="M399">
        <v>1.048</v>
      </c>
      <c r="N399">
        <v>1.0129999999999999</v>
      </c>
      <c r="O399">
        <v>0.55000000000000004</v>
      </c>
      <c r="P399">
        <v>1E-3</v>
      </c>
      <c r="Q399">
        <v>2E-3</v>
      </c>
      <c r="R399">
        <v>0</v>
      </c>
      <c r="S399">
        <v>0</v>
      </c>
      <c r="T399">
        <v>2.58</v>
      </c>
      <c r="U399">
        <v>0.51</v>
      </c>
    </row>
    <row r="400" spans="1:21" x14ac:dyDescent="0.25">
      <c r="A400" t="s">
        <v>1056</v>
      </c>
      <c r="B400" t="s">
        <v>3</v>
      </c>
      <c r="D400" t="s">
        <v>1172</v>
      </c>
      <c r="E400">
        <v>2.15</v>
      </c>
      <c r="G400">
        <v>3.0129999999999999</v>
      </c>
      <c r="H400">
        <v>6.2359999999999998</v>
      </c>
      <c r="K400">
        <v>0.35620000000000002</v>
      </c>
      <c r="L400">
        <v>3.3692000000000002</v>
      </c>
      <c r="M400">
        <v>0.23599999999999999</v>
      </c>
      <c r="N400">
        <v>0.97</v>
      </c>
      <c r="O400">
        <v>0.3</v>
      </c>
      <c r="P400">
        <v>1E-3</v>
      </c>
      <c r="Q400">
        <v>2E-3</v>
      </c>
      <c r="R400">
        <v>0</v>
      </c>
      <c r="S400">
        <v>0</v>
      </c>
      <c r="T400">
        <v>5.2169999999999996</v>
      </c>
      <c r="U400">
        <v>0.5</v>
      </c>
    </row>
    <row r="401" spans="1:21" x14ac:dyDescent="0.25">
      <c r="A401" t="s">
        <v>267</v>
      </c>
      <c r="B401" t="s">
        <v>3</v>
      </c>
      <c r="D401" t="s">
        <v>16</v>
      </c>
      <c r="E401">
        <v>1.08</v>
      </c>
      <c r="G401">
        <v>1.8779999999999999</v>
      </c>
      <c r="H401">
        <v>9.5532000000000004</v>
      </c>
      <c r="K401">
        <v>0.62060000000000004</v>
      </c>
      <c r="L401">
        <v>2.4986000000000002</v>
      </c>
      <c r="M401">
        <v>1.262</v>
      </c>
      <c r="N401">
        <v>0.77800000000000002</v>
      </c>
      <c r="O401">
        <v>0.28599999999999998</v>
      </c>
      <c r="P401">
        <v>1E-3</v>
      </c>
      <c r="Q401">
        <v>2E-3</v>
      </c>
      <c r="R401">
        <v>0</v>
      </c>
      <c r="S401">
        <v>0</v>
      </c>
      <c r="T401">
        <v>0</v>
      </c>
      <c r="U401">
        <v>0</v>
      </c>
    </row>
    <row r="402" spans="1:21" x14ac:dyDescent="0.25">
      <c r="A402" t="s">
        <v>1057</v>
      </c>
      <c r="B402" t="s">
        <v>3</v>
      </c>
      <c r="D402" t="s">
        <v>19</v>
      </c>
      <c r="E402">
        <v>1.08</v>
      </c>
      <c r="G402">
        <v>3.9409999999999998</v>
      </c>
      <c r="H402">
        <v>6.9684999999999997</v>
      </c>
      <c r="K402">
        <v>0.57199999999999995</v>
      </c>
      <c r="L402">
        <v>4.5129999999999999</v>
      </c>
      <c r="M402">
        <v>0.92</v>
      </c>
      <c r="N402">
        <v>1.177</v>
      </c>
      <c r="O402">
        <v>0.57599999999999996</v>
      </c>
      <c r="P402">
        <v>1E-3</v>
      </c>
      <c r="Q402">
        <v>2E-3</v>
      </c>
      <c r="R402">
        <v>0</v>
      </c>
      <c r="S402">
        <v>0</v>
      </c>
      <c r="T402">
        <v>3.77</v>
      </c>
      <c r="U402">
        <v>0.54</v>
      </c>
    </row>
    <row r="403" spans="1:21" x14ac:dyDescent="0.25">
      <c r="A403" t="s">
        <v>1178</v>
      </c>
      <c r="B403" t="s">
        <v>3</v>
      </c>
      <c r="D403" t="s">
        <v>1179</v>
      </c>
      <c r="E403">
        <v>1.85</v>
      </c>
      <c r="G403">
        <v>4.1539999999999999</v>
      </c>
      <c r="H403">
        <v>8.3659999999999997</v>
      </c>
      <c r="K403">
        <v>0.84219999999999995</v>
      </c>
      <c r="L403">
        <v>4.9962</v>
      </c>
      <c r="M403">
        <v>0.23</v>
      </c>
      <c r="N403">
        <v>0.96199999999999997</v>
      </c>
      <c r="O403">
        <v>0.29699999999999999</v>
      </c>
      <c r="P403">
        <v>1E-3</v>
      </c>
      <c r="Q403">
        <v>2E-3</v>
      </c>
      <c r="R403">
        <v>0</v>
      </c>
      <c r="S403">
        <v>0</v>
      </c>
      <c r="T403">
        <v>9.9819999999999993</v>
      </c>
      <c r="U403">
        <v>0.55000000000000004</v>
      </c>
    </row>
    <row r="404" spans="1:21" x14ac:dyDescent="0.25">
      <c r="A404" t="s">
        <v>346</v>
      </c>
      <c r="B404" t="s">
        <v>3</v>
      </c>
      <c r="D404" t="s">
        <v>11</v>
      </c>
      <c r="E404">
        <v>1.75</v>
      </c>
      <c r="G404">
        <v>2.3210000000000002</v>
      </c>
      <c r="H404">
        <v>6.2786</v>
      </c>
      <c r="K404">
        <v>0.46739999999999998</v>
      </c>
      <c r="L404">
        <v>2.7884000000000002</v>
      </c>
      <c r="M404">
        <v>0.55700000000000005</v>
      </c>
      <c r="N404">
        <v>0.72</v>
      </c>
      <c r="O404">
        <v>8.7999999999999995E-2</v>
      </c>
      <c r="P404">
        <v>1E-3</v>
      </c>
      <c r="Q404">
        <v>2E-3</v>
      </c>
      <c r="R404">
        <v>0</v>
      </c>
      <c r="S404">
        <v>0</v>
      </c>
      <c r="T404">
        <v>12.827999999999999</v>
      </c>
      <c r="U404">
        <v>0.43</v>
      </c>
    </row>
    <row r="405" spans="1:21" x14ac:dyDescent="0.25">
      <c r="A405" t="s">
        <v>449</v>
      </c>
      <c r="B405" t="s">
        <v>3</v>
      </c>
      <c r="D405" t="s">
        <v>34</v>
      </c>
      <c r="E405">
        <v>0.87</v>
      </c>
      <c r="G405">
        <v>4.226</v>
      </c>
      <c r="H405">
        <v>8.1801999999999992</v>
      </c>
      <c r="K405">
        <v>0.95709999999999995</v>
      </c>
      <c r="L405">
        <v>5.1830999999999996</v>
      </c>
      <c r="M405">
        <v>2.9079999999999999</v>
      </c>
      <c r="N405">
        <v>0.64100000000000001</v>
      </c>
      <c r="O405">
        <v>0.28100000000000003</v>
      </c>
      <c r="P405">
        <v>1E-3</v>
      </c>
      <c r="Q405">
        <v>2E-3</v>
      </c>
      <c r="R405">
        <v>0</v>
      </c>
      <c r="S405">
        <v>0</v>
      </c>
      <c r="T405">
        <v>7.8630000000000004</v>
      </c>
      <c r="U405">
        <v>0.59</v>
      </c>
    </row>
    <row r="406" spans="1:21" x14ac:dyDescent="0.25">
      <c r="A406" t="s">
        <v>279</v>
      </c>
      <c r="B406" t="s">
        <v>3</v>
      </c>
      <c r="D406" t="s">
        <v>27</v>
      </c>
      <c r="E406">
        <v>3</v>
      </c>
      <c r="G406">
        <v>7.343</v>
      </c>
      <c r="H406">
        <v>12.886900000000001</v>
      </c>
      <c r="K406">
        <v>1.7987</v>
      </c>
      <c r="L406">
        <v>9.1417000000000002</v>
      </c>
      <c r="M406">
        <v>0.374</v>
      </c>
      <c r="N406">
        <v>0.51600000000000001</v>
      </c>
      <c r="O406">
        <v>0.83599999999999997</v>
      </c>
      <c r="P406">
        <v>1E-3</v>
      </c>
      <c r="Q406">
        <v>2E-3</v>
      </c>
      <c r="R406">
        <v>0</v>
      </c>
      <c r="S406">
        <v>0</v>
      </c>
      <c r="T406">
        <v>9.2479999999999993</v>
      </c>
      <c r="U406">
        <v>0.54</v>
      </c>
    </row>
    <row r="407" spans="1:21" x14ac:dyDescent="0.25">
      <c r="A407" t="s">
        <v>274</v>
      </c>
      <c r="B407" t="s">
        <v>3</v>
      </c>
      <c r="D407" t="s">
        <v>26</v>
      </c>
      <c r="E407">
        <v>3.11</v>
      </c>
      <c r="G407">
        <v>4.3419999999999996</v>
      </c>
      <c r="H407">
        <v>10.1088</v>
      </c>
      <c r="K407">
        <v>1.1121000000000001</v>
      </c>
      <c r="L407">
        <v>5.4541000000000004</v>
      </c>
      <c r="M407">
        <v>1.325</v>
      </c>
      <c r="N407">
        <v>0.82899999999999996</v>
      </c>
      <c r="O407">
        <v>0.33400000000000002</v>
      </c>
      <c r="P407">
        <v>1E-3</v>
      </c>
      <c r="Q407">
        <v>2E-3</v>
      </c>
      <c r="R407">
        <v>0</v>
      </c>
      <c r="S407">
        <v>0</v>
      </c>
      <c r="T407">
        <v>3.95</v>
      </c>
      <c r="U407">
        <v>0.33</v>
      </c>
    </row>
    <row r="408" spans="1:21" x14ac:dyDescent="0.25">
      <c r="A408" t="s">
        <v>1053</v>
      </c>
      <c r="B408" t="s">
        <v>3</v>
      </c>
      <c r="D408" t="s">
        <v>32</v>
      </c>
      <c r="E408">
        <v>1.61</v>
      </c>
      <c r="G408">
        <v>3.9089999999999998</v>
      </c>
      <c r="H408">
        <v>5.8944000000000001</v>
      </c>
      <c r="K408">
        <v>0.57369999999999999</v>
      </c>
      <c r="L408">
        <v>4.4827000000000004</v>
      </c>
      <c r="M408">
        <v>0.14899999999999999</v>
      </c>
      <c r="N408">
        <v>0.62</v>
      </c>
      <c r="O408">
        <v>0.48299999999999998</v>
      </c>
      <c r="P408">
        <v>1E-3</v>
      </c>
      <c r="Q408">
        <v>2E-3</v>
      </c>
      <c r="R408">
        <v>0</v>
      </c>
      <c r="S408">
        <v>0</v>
      </c>
      <c r="T408">
        <v>1.7170000000000001</v>
      </c>
      <c r="U408">
        <v>0.54</v>
      </c>
    </row>
    <row r="409" spans="1:21" x14ac:dyDescent="0.25">
      <c r="A409" t="s">
        <v>515</v>
      </c>
      <c r="B409" t="s">
        <v>3</v>
      </c>
      <c r="D409" t="s">
        <v>15</v>
      </c>
      <c r="E409">
        <v>0.74</v>
      </c>
      <c r="G409">
        <v>1.5669999999999999</v>
      </c>
      <c r="H409">
        <v>3.3498000000000001</v>
      </c>
      <c r="K409">
        <v>0.184</v>
      </c>
      <c r="L409">
        <v>1.7509999999999999</v>
      </c>
      <c r="M409">
        <v>1.3169999999999999</v>
      </c>
      <c r="N409">
        <v>0.96199999999999997</v>
      </c>
      <c r="O409">
        <v>1.163</v>
      </c>
      <c r="P409">
        <v>1E-3</v>
      </c>
      <c r="Q409">
        <v>2E-3</v>
      </c>
      <c r="R409">
        <v>0</v>
      </c>
      <c r="S409">
        <v>0</v>
      </c>
      <c r="T409">
        <v>8.7569999999999997</v>
      </c>
      <c r="U409">
        <v>0.47</v>
      </c>
    </row>
    <row r="410" spans="1:21" x14ac:dyDescent="0.25">
      <c r="A410" t="s">
        <v>936</v>
      </c>
      <c r="B410" t="s">
        <v>3</v>
      </c>
      <c r="D410" t="s">
        <v>10</v>
      </c>
      <c r="E410">
        <v>1.54</v>
      </c>
      <c r="G410">
        <v>4.9210000000000003</v>
      </c>
      <c r="H410">
        <v>6.9577</v>
      </c>
      <c r="K410">
        <v>0.26290000000000002</v>
      </c>
      <c r="L410">
        <v>5.1839000000000004</v>
      </c>
      <c r="M410">
        <v>0.59799999999999998</v>
      </c>
      <c r="N410">
        <v>1.0189999999999999</v>
      </c>
      <c r="O410">
        <v>9.8000000000000004E-2</v>
      </c>
      <c r="P410">
        <v>1E-3</v>
      </c>
      <c r="Q410">
        <v>2E-3</v>
      </c>
      <c r="R410">
        <v>0</v>
      </c>
      <c r="S410">
        <v>0</v>
      </c>
      <c r="T410">
        <v>7.0270000000000001</v>
      </c>
      <c r="U410">
        <v>0.54</v>
      </c>
    </row>
    <row r="411" spans="1:21" x14ac:dyDescent="0.25">
      <c r="A411" t="s">
        <v>395</v>
      </c>
      <c r="B411" t="s">
        <v>3</v>
      </c>
      <c r="D411" t="s">
        <v>25</v>
      </c>
      <c r="E411">
        <v>3.34</v>
      </c>
      <c r="G411">
        <v>4.8550000000000004</v>
      </c>
      <c r="H411">
        <v>8.6204000000000001</v>
      </c>
      <c r="K411">
        <v>0.62839999999999996</v>
      </c>
      <c r="L411">
        <v>5.4833999999999996</v>
      </c>
      <c r="M411">
        <v>0.30299999999999999</v>
      </c>
      <c r="N411">
        <v>0.32800000000000001</v>
      </c>
      <c r="O411">
        <v>0.33800000000000002</v>
      </c>
      <c r="P411">
        <v>1E-3</v>
      </c>
      <c r="Q411">
        <v>2E-3</v>
      </c>
      <c r="R411">
        <v>0</v>
      </c>
      <c r="S411">
        <v>0</v>
      </c>
      <c r="T411">
        <v>20.443999999999999</v>
      </c>
      <c r="U411">
        <v>0.55000000000000004</v>
      </c>
    </row>
    <row r="412" spans="1:21" x14ac:dyDescent="0.25">
      <c r="A412" t="s">
        <v>294</v>
      </c>
      <c r="B412" t="s">
        <v>3</v>
      </c>
      <c r="D412" t="s">
        <v>16</v>
      </c>
      <c r="E412">
        <v>3.6</v>
      </c>
      <c r="G412">
        <v>4.867</v>
      </c>
      <c r="H412">
        <v>11.6471</v>
      </c>
      <c r="K412">
        <v>1.2709999999999999</v>
      </c>
      <c r="L412">
        <v>5.6360000000000001</v>
      </c>
      <c r="M412">
        <v>0.97799999999999998</v>
      </c>
      <c r="N412">
        <v>0.58299999999999996</v>
      </c>
      <c r="O412">
        <v>0.38100000000000001</v>
      </c>
      <c r="P412">
        <v>1E-3</v>
      </c>
      <c r="Q412">
        <v>2E-3</v>
      </c>
      <c r="R412">
        <v>0</v>
      </c>
      <c r="S412">
        <v>0</v>
      </c>
      <c r="T412">
        <v>10.856</v>
      </c>
      <c r="U412">
        <v>0.66</v>
      </c>
    </row>
    <row r="413" spans="1:21" x14ac:dyDescent="0.25">
      <c r="A413" t="s">
        <v>387</v>
      </c>
      <c r="B413" t="s">
        <v>3</v>
      </c>
      <c r="D413" t="s">
        <v>8</v>
      </c>
      <c r="E413">
        <v>1.86</v>
      </c>
      <c r="G413">
        <v>4.2830000000000004</v>
      </c>
      <c r="H413">
        <v>8.6602999999999994</v>
      </c>
      <c r="K413">
        <v>0.95840000000000003</v>
      </c>
      <c r="L413">
        <v>5.2413999999999996</v>
      </c>
      <c r="M413">
        <v>1.4790000000000001</v>
      </c>
      <c r="N413">
        <v>0.50600000000000001</v>
      </c>
      <c r="O413">
        <v>0.19900000000000001</v>
      </c>
      <c r="P413">
        <v>1E-3</v>
      </c>
      <c r="Q413">
        <v>2E-3</v>
      </c>
      <c r="R413">
        <v>0</v>
      </c>
      <c r="S413">
        <v>0</v>
      </c>
      <c r="T413">
        <v>4.9580000000000002</v>
      </c>
      <c r="U413">
        <v>0.56000000000000005</v>
      </c>
    </row>
    <row r="414" spans="1:21" x14ac:dyDescent="0.25">
      <c r="A414" t="s">
        <v>431</v>
      </c>
      <c r="B414" t="s">
        <v>3</v>
      </c>
      <c r="D414" t="s">
        <v>31</v>
      </c>
      <c r="E414">
        <v>1.25</v>
      </c>
      <c r="G414">
        <v>2.661</v>
      </c>
      <c r="H414">
        <v>10.477499999999999</v>
      </c>
      <c r="K414">
        <v>0.78259999999999996</v>
      </c>
      <c r="L414">
        <v>3.4436</v>
      </c>
      <c r="M414">
        <v>0.30499999999999999</v>
      </c>
      <c r="N414">
        <v>0.748</v>
      </c>
      <c r="O414">
        <v>0.51400000000000001</v>
      </c>
      <c r="P414">
        <v>1E-3</v>
      </c>
      <c r="Q414">
        <v>2E-3</v>
      </c>
      <c r="R414">
        <v>0</v>
      </c>
      <c r="S414">
        <v>0</v>
      </c>
      <c r="T414">
        <v>7.0839999999999996</v>
      </c>
      <c r="U414">
        <v>0.56999999999999995</v>
      </c>
    </row>
    <row r="415" spans="1:21" x14ac:dyDescent="0.25">
      <c r="A415" t="s">
        <v>421</v>
      </c>
      <c r="B415" t="s">
        <v>3</v>
      </c>
      <c r="D415" t="s">
        <v>12</v>
      </c>
      <c r="E415">
        <v>1.65</v>
      </c>
      <c r="G415">
        <v>3.3820000000000001</v>
      </c>
      <c r="H415">
        <v>8.4918999999999993</v>
      </c>
      <c r="K415">
        <v>0.56559999999999999</v>
      </c>
      <c r="L415">
        <v>3.9476</v>
      </c>
      <c r="M415">
        <v>0.6</v>
      </c>
      <c r="N415">
        <v>0.83599999999999997</v>
      </c>
      <c r="O415">
        <v>0.69199999999999995</v>
      </c>
      <c r="P415">
        <v>1E-3</v>
      </c>
      <c r="Q415">
        <v>2E-3</v>
      </c>
      <c r="R415">
        <v>0</v>
      </c>
      <c r="S415">
        <v>0</v>
      </c>
      <c r="T415">
        <v>0.73</v>
      </c>
      <c r="U415">
        <v>0.65</v>
      </c>
    </row>
    <row r="416" spans="1:21" x14ac:dyDescent="0.25">
      <c r="A416" t="s">
        <v>1075</v>
      </c>
      <c r="B416" t="s">
        <v>3</v>
      </c>
      <c r="D416" t="s">
        <v>33</v>
      </c>
      <c r="E416">
        <v>1.22</v>
      </c>
      <c r="G416">
        <v>3.3980000000000001</v>
      </c>
      <c r="H416">
        <v>7.1417000000000002</v>
      </c>
      <c r="K416">
        <v>0.89859999999999995</v>
      </c>
      <c r="L416">
        <v>4.2965999999999998</v>
      </c>
      <c r="M416">
        <v>0.28299999999999997</v>
      </c>
      <c r="N416">
        <v>1.0229999999999999</v>
      </c>
      <c r="O416">
        <v>0.32100000000000001</v>
      </c>
      <c r="P416">
        <v>1E-3</v>
      </c>
      <c r="Q416">
        <v>2E-3</v>
      </c>
      <c r="R416">
        <v>0</v>
      </c>
      <c r="S416">
        <v>0</v>
      </c>
      <c r="T416">
        <v>4.7430000000000003</v>
      </c>
      <c r="U416">
        <v>0.28000000000000003</v>
      </c>
    </row>
    <row r="417" spans="1:21" x14ac:dyDescent="0.25">
      <c r="A417" t="s">
        <v>695</v>
      </c>
      <c r="B417" t="s">
        <v>3</v>
      </c>
      <c r="D417" t="s">
        <v>21</v>
      </c>
      <c r="E417">
        <v>1.45</v>
      </c>
      <c r="G417">
        <v>2.7879999999999998</v>
      </c>
      <c r="H417">
        <v>7.3635999999999999</v>
      </c>
      <c r="K417">
        <v>0.40300000000000002</v>
      </c>
      <c r="L417">
        <v>3.1909999999999998</v>
      </c>
      <c r="M417">
        <v>0.23799999999999999</v>
      </c>
      <c r="N417">
        <v>0.71299999999999997</v>
      </c>
      <c r="O417">
        <v>0.3</v>
      </c>
      <c r="P417">
        <v>2E-3</v>
      </c>
      <c r="Q417">
        <v>2E-3</v>
      </c>
      <c r="R417">
        <v>0</v>
      </c>
      <c r="S417">
        <v>0</v>
      </c>
      <c r="T417">
        <v>0</v>
      </c>
      <c r="U417">
        <v>0</v>
      </c>
    </row>
    <row r="418" spans="1:21" x14ac:dyDescent="0.25">
      <c r="A418" t="s">
        <v>305</v>
      </c>
      <c r="B418" t="s">
        <v>3</v>
      </c>
      <c r="D418" t="s">
        <v>23</v>
      </c>
      <c r="E418">
        <v>1.35</v>
      </c>
      <c r="G418">
        <v>2.7210000000000001</v>
      </c>
      <c r="H418">
        <v>7.5083000000000002</v>
      </c>
      <c r="K418">
        <v>0.31440000000000001</v>
      </c>
      <c r="L418">
        <v>3.0354000000000001</v>
      </c>
      <c r="M418">
        <v>0.88900000000000001</v>
      </c>
      <c r="N418">
        <v>1.649</v>
      </c>
      <c r="O418">
        <v>0.56100000000000005</v>
      </c>
      <c r="P418">
        <v>1E-3</v>
      </c>
      <c r="Q418">
        <v>2E-3</v>
      </c>
      <c r="R418">
        <v>0</v>
      </c>
      <c r="S418">
        <v>0</v>
      </c>
      <c r="T418">
        <v>18.02</v>
      </c>
      <c r="U418">
        <v>0.57999999999999996</v>
      </c>
    </row>
    <row r="419" spans="1:21" x14ac:dyDescent="0.25">
      <c r="A419" t="s">
        <v>414</v>
      </c>
      <c r="B419" t="s">
        <v>3</v>
      </c>
      <c r="D419" t="s">
        <v>34</v>
      </c>
      <c r="E419">
        <v>0.79</v>
      </c>
      <c r="G419">
        <v>2.2709999999999999</v>
      </c>
      <c r="H419">
        <v>5.3954000000000004</v>
      </c>
      <c r="K419">
        <v>0.29920000000000002</v>
      </c>
      <c r="L419">
        <v>2.5701999999999998</v>
      </c>
      <c r="M419">
        <v>1.4670000000000001</v>
      </c>
      <c r="N419">
        <v>0.755</v>
      </c>
      <c r="O419">
        <v>0.21099999999999999</v>
      </c>
      <c r="P419">
        <v>1E-3</v>
      </c>
      <c r="Q419">
        <v>2E-3</v>
      </c>
      <c r="R419">
        <v>0</v>
      </c>
      <c r="S419">
        <v>0</v>
      </c>
      <c r="T419">
        <v>4.5419999999999998</v>
      </c>
      <c r="U419">
        <v>0.54</v>
      </c>
    </row>
    <row r="420" spans="1:21" x14ac:dyDescent="0.25">
      <c r="A420" t="s">
        <v>1182</v>
      </c>
      <c r="B420" t="s">
        <v>3</v>
      </c>
      <c r="D420" t="s">
        <v>5</v>
      </c>
      <c r="E420">
        <v>1.08</v>
      </c>
      <c r="G420">
        <v>3.0870000000000002</v>
      </c>
      <c r="H420">
        <v>5.2472000000000003</v>
      </c>
      <c r="K420">
        <v>0.29089999999999999</v>
      </c>
      <c r="L420">
        <v>3.3778999999999999</v>
      </c>
      <c r="M420">
        <v>0.28999999999999998</v>
      </c>
      <c r="N420">
        <v>0.77900000000000003</v>
      </c>
      <c r="O420">
        <v>0.32300000000000001</v>
      </c>
      <c r="P420">
        <v>1E-3</v>
      </c>
      <c r="Q420">
        <v>2E-3</v>
      </c>
      <c r="R420">
        <v>0</v>
      </c>
      <c r="S420">
        <v>0</v>
      </c>
      <c r="T420">
        <v>0.85199999999999998</v>
      </c>
      <c r="U420">
        <v>0.21</v>
      </c>
    </row>
    <row r="421" spans="1:21" x14ac:dyDescent="0.25">
      <c r="A421" t="s">
        <v>1022</v>
      </c>
      <c r="B421" t="s">
        <v>3</v>
      </c>
      <c r="D421" t="s">
        <v>33</v>
      </c>
      <c r="E421">
        <v>1.39</v>
      </c>
      <c r="G421">
        <v>2.532</v>
      </c>
      <c r="H421">
        <v>9.8062000000000005</v>
      </c>
      <c r="K421">
        <v>0.9012</v>
      </c>
      <c r="L421">
        <v>3.4331999999999998</v>
      </c>
      <c r="M421">
        <v>2.1800000000000002</v>
      </c>
      <c r="N421">
        <v>0.86499999999999999</v>
      </c>
      <c r="O421">
        <v>0.47199999999999998</v>
      </c>
      <c r="P421">
        <v>1E-3</v>
      </c>
      <c r="Q421">
        <v>2E-3</v>
      </c>
      <c r="R421">
        <v>0</v>
      </c>
      <c r="S421">
        <v>0</v>
      </c>
      <c r="T421">
        <v>8.41</v>
      </c>
      <c r="U421">
        <v>0.47</v>
      </c>
    </row>
    <row r="422" spans="1:21" x14ac:dyDescent="0.25">
      <c r="A422" t="s">
        <v>270</v>
      </c>
      <c r="B422" t="s">
        <v>3</v>
      </c>
      <c r="D422" t="s">
        <v>10</v>
      </c>
      <c r="E422">
        <v>0.7</v>
      </c>
      <c r="G422">
        <v>1.786</v>
      </c>
      <c r="H422">
        <v>11.395200000000001</v>
      </c>
      <c r="K422">
        <v>0.65469999999999995</v>
      </c>
      <c r="L422">
        <v>2.4407000000000001</v>
      </c>
      <c r="M422">
        <v>0.66900000000000004</v>
      </c>
      <c r="N422">
        <v>1.6140000000000001</v>
      </c>
      <c r="O422">
        <v>0.56499999999999995</v>
      </c>
      <c r="P422">
        <v>1E-3</v>
      </c>
      <c r="Q422">
        <v>2E-3</v>
      </c>
      <c r="R422">
        <v>0</v>
      </c>
      <c r="S422">
        <v>0</v>
      </c>
      <c r="T422">
        <v>6.0999999999999999E-2</v>
      </c>
      <c r="U422">
        <v>0.59</v>
      </c>
    </row>
    <row r="423" spans="1:21" x14ac:dyDescent="0.25">
      <c r="A423" t="s">
        <v>880</v>
      </c>
      <c r="B423" t="s">
        <v>3</v>
      </c>
      <c r="D423" t="s">
        <v>30</v>
      </c>
      <c r="E423">
        <v>0.35</v>
      </c>
      <c r="G423">
        <v>3.4359999999999999</v>
      </c>
      <c r="H423">
        <v>8.7974999999999994</v>
      </c>
      <c r="K423">
        <v>0.70120000000000005</v>
      </c>
      <c r="L423">
        <v>4.1372</v>
      </c>
      <c r="M423">
        <v>0.33600000000000002</v>
      </c>
      <c r="N423">
        <v>0.80900000000000005</v>
      </c>
      <c r="O423">
        <v>0.33900000000000002</v>
      </c>
      <c r="P423">
        <v>2E-3</v>
      </c>
      <c r="Q423">
        <v>2E-3</v>
      </c>
      <c r="R423">
        <v>0</v>
      </c>
      <c r="S423">
        <v>0</v>
      </c>
      <c r="T423">
        <v>4.4660000000000002</v>
      </c>
      <c r="U423">
        <v>0.53</v>
      </c>
    </row>
    <row r="424" spans="1:21" x14ac:dyDescent="0.25">
      <c r="A424" t="s">
        <v>368</v>
      </c>
      <c r="B424" t="s">
        <v>3</v>
      </c>
      <c r="D424" t="s">
        <v>15</v>
      </c>
      <c r="E424">
        <v>2.79</v>
      </c>
      <c r="G424">
        <v>3.8660000000000001</v>
      </c>
      <c r="H424">
        <v>8.8504000000000005</v>
      </c>
      <c r="K424">
        <v>0.63919999999999999</v>
      </c>
      <c r="L424">
        <v>4.5052000000000003</v>
      </c>
      <c r="M424">
        <v>1.7999999999999999E-2</v>
      </c>
      <c r="N424">
        <v>1.59</v>
      </c>
      <c r="O424">
        <v>0.17499999999999999</v>
      </c>
      <c r="P424">
        <v>1E-3</v>
      </c>
      <c r="Q424">
        <v>2E-3</v>
      </c>
      <c r="R424">
        <v>0</v>
      </c>
      <c r="S424">
        <v>0</v>
      </c>
      <c r="T424">
        <v>1.534</v>
      </c>
      <c r="U424">
        <v>0.32</v>
      </c>
    </row>
    <row r="425" spans="1:21" x14ac:dyDescent="0.25">
      <c r="A425" t="s">
        <v>700</v>
      </c>
      <c r="B425" t="s">
        <v>3</v>
      </c>
      <c r="D425" t="s">
        <v>2</v>
      </c>
      <c r="E425">
        <v>2</v>
      </c>
      <c r="G425">
        <v>3.1789999999999998</v>
      </c>
      <c r="H425">
        <v>9.5932999999999993</v>
      </c>
      <c r="K425">
        <v>0.73850000000000005</v>
      </c>
      <c r="L425">
        <v>3.9175</v>
      </c>
      <c r="M425">
        <v>0.13200000000000001</v>
      </c>
      <c r="N425">
        <v>0.57999999999999996</v>
      </c>
      <c r="O425">
        <v>0.23300000000000001</v>
      </c>
      <c r="P425">
        <v>1E-3</v>
      </c>
      <c r="Q425">
        <v>2E-3</v>
      </c>
      <c r="R425">
        <v>0</v>
      </c>
      <c r="S425">
        <v>0</v>
      </c>
      <c r="T425">
        <v>0.20799999999999999</v>
      </c>
      <c r="U425">
        <v>0.7</v>
      </c>
    </row>
    <row r="426" spans="1:21" x14ac:dyDescent="0.25">
      <c r="A426" t="s">
        <v>287</v>
      </c>
      <c r="B426" t="s">
        <v>3</v>
      </c>
      <c r="D426" t="s">
        <v>15</v>
      </c>
      <c r="E426">
        <v>2.62</v>
      </c>
      <c r="G426">
        <v>1.8140000000000001</v>
      </c>
      <c r="H426">
        <v>15.139699999999999</v>
      </c>
      <c r="K426">
        <v>1.4901</v>
      </c>
      <c r="L426">
        <v>3.3041</v>
      </c>
      <c r="M426">
        <v>0.501</v>
      </c>
      <c r="N426">
        <v>0.498</v>
      </c>
      <c r="O426">
        <v>1.034</v>
      </c>
      <c r="P426">
        <v>1E-3</v>
      </c>
      <c r="Q426">
        <v>2E-3</v>
      </c>
      <c r="R426">
        <v>0</v>
      </c>
      <c r="S426">
        <v>0</v>
      </c>
      <c r="T426">
        <v>12.706</v>
      </c>
      <c r="U426">
        <v>0.55000000000000004</v>
      </c>
    </row>
    <row r="427" spans="1:21" x14ac:dyDescent="0.25">
      <c r="A427" t="s">
        <v>503</v>
      </c>
      <c r="B427" t="s">
        <v>3</v>
      </c>
      <c r="D427" t="s">
        <v>1183</v>
      </c>
      <c r="E427">
        <v>2.34</v>
      </c>
      <c r="G427">
        <v>2.3879999999999999</v>
      </c>
      <c r="H427">
        <v>9.0699000000000005</v>
      </c>
      <c r="K427">
        <v>0.50539999999999996</v>
      </c>
      <c r="L427">
        <v>2.8934000000000002</v>
      </c>
      <c r="M427">
        <v>0.14799999999999999</v>
      </c>
      <c r="N427">
        <v>0.57499999999999996</v>
      </c>
      <c r="O427">
        <v>0.501</v>
      </c>
      <c r="P427">
        <v>0</v>
      </c>
      <c r="Q427">
        <v>2E-3</v>
      </c>
      <c r="R427">
        <v>0</v>
      </c>
      <c r="S427">
        <v>0</v>
      </c>
      <c r="T427">
        <v>24.161999999999999</v>
      </c>
      <c r="U427">
        <v>0.57999999999999996</v>
      </c>
    </row>
    <row r="428" spans="1:21" x14ac:dyDescent="0.25">
      <c r="A428" t="s">
        <v>418</v>
      </c>
      <c r="B428" t="s">
        <v>3</v>
      </c>
      <c r="D428" t="s">
        <v>18</v>
      </c>
      <c r="E428">
        <v>2.46</v>
      </c>
      <c r="G428">
        <v>3.6909999999999998</v>
      </c>
      <c r="H428">
        <v>7.109</v>
      </c>
      <c r="K428">
        <v>0.44240000000000002</v>
      </c>
      <c r="L428">
        <v>4.1334</v>
      </c>
      <c r="M428">
        <v>0.27</v>
      </c>
      <c r="N428">
        <v>1.016</v>
      </c>
      <c r="O428">
        <v>0.105</v>
      </c>
      <c r="P428">
        <v>1E-3</v>
      </c>
      <c r="Q428">
        <v>2E-3</v>
      </c>
      <c r="R428">
        <v>0</v>
      </c>
      <c r="S428">
        <v>0</v>
      </c>
      <c r="T428">
        <v>4.3120000000000003</v>
      </c>
      <c r="U428">
        <v>0.55000000000000004</v>
      </c>
    </row>
    <row r="429" spans="1:21" x14ac:dyDescent="0.25">
      <c r="A429" t="s">
        <v>349</v>
      </c>
      <c r="B429" t="s">
        <v>3</v>
      </c>
      <c r="D429" t="s">
        <v>25</v>
      </c>
      <c r="E429">
        <v>0.5</v>
      </c>
      <c r="G429">
        <v>2.5510000000000002</v>
      </c>
      <c r="H429">
        <v>7.5438000000000001</v>
      </c>
      <c r="K429">
        <v>0.5</v>
      </c>
      <c r="L429">
        <v>3.0510000000000002</v>
      </c>
      <c r="M429">
        <v>1.1120000000000001</v>
      </c>
      <c r="N429">
        <v>0.66700000000000004</v>
      </c>
      <c r="O429">
        <v>0.55900000000000005</v>
      </c>
      <c r="P429">
        <v>2E-3</v>
      </c>
      <c r="Q429">
        <v>2E-3</v>
      </c>
      <c r="R429">
        <v>0</v>
      </c>
      <c r="S429">
        <v>0</v>
      </c>
      <c r="T429">
        <v>1.0389999999999999</v>
      </c>
      <c r="U429">
        <v>0.63</v>
      </c>
    </row>
    <row r="430" spans="1:21" x14ac:dyDescent="0.25">
      <c r="A430" t="s">
        <v>912</v>
      </c>
      <c r="B430" t="s">
        <v>3</v>
      </c>
      <c r="D430" t="s">
        <v>13</v>
      </c>
      <c r="E430">
        <v>1.2</v>
      </c>
      <c r="G430">
        <v>2.601</v>
      </c>
      <c r="H430">
        <v>5.2488999999999999</v>
      </c>
      <c r="K430">
        <v>0.58350000000000002</v>
      </c>
      <c r="L430">
        <v>3.1844999999999999</v>
      </c>
      <c r="M430">
        <v>0.12</v>
      </c>
      <c r="N430">
        <v>1.0820000000000001</v>
      </c>
      <c r="O430">
        <v>0.11899999999999999</v>
      </c>
      <c r="P430">
        <v>1E-3</v>
      </c>
      <c r="Q430">
        <v>2E-3</v>
      </c>
      <c r="R430">
        <v>0</v>
      </c>
      <c r="S430">
        <v>0</v>
      </c>
      <c r="T430">
        <v>2.044</v>
      </c>
      <c r="U430">
        <v>0.51</v>
      </c>
    </row>
    <row r="431" spans="1:21" x14ac:dyDescent="0.25">
      <c r="A431" t="s">
        <v>256</v>
      </c>
      <c r="B431" t="s">
        <v>3</v>
      </c>
      <c r="D431" t="s">
        <v>29</v>
      </c>
      <c r="E431">
        <v>3.39</v>
      </c>
      <c r="G431">
        <v>3.49</v>
      </c>
      <c r="H431">
        <v>9.8866999999999994</v>
      </c>
      <c r="K431">
        <v>1.2799</v>
      </c>
      <c r="L431">
        <v>4.7698999999999998</v>
      </c>
      <c r="M431">
        <v>0.79500000000000004</v>
      </c>
      <c r="N431">
        <v>0.95799999999999996</v>
      </c>
      <c r="O431">
        <v>0.40400000000000003</v>
      </c>
      <c r="P431">
        <v>1E-3</v>
      </c>
      <c r="Q431">
        <v>2E-3</v>
      </c>
      <c r="R431">
        <v>0</v>
      </c>
      <c r="S431">
        <v>0</v>
      </c>
      <c r="T431">
        <v>7.0469999999999997</v>
      </c>
      <c r="U431">
        <v>0.51</v>
      </c>
    </row>
    <row r="432" spans="1:21" x14ac:dyDescent="0.25">
      <c r="A432" t="s">
        <v>334</v>
      </c>
      <c r="B432" t="s">
        <v>3</v>
      </c>
      <c r="D432" t="s">
        <v>30</v>
      </c>
      <c r="E432">
        <v>3.05</v>
      </c>
      <c r="G432">
        <v>3.1640000000000001</v>
      </c>
      <c r="H432">
        <v>9.1007999999999996</v>
      </c>
      <c r="K432">
        <v>0.46129999999999999</v>
      </c>
      <c r="L432">
        <v>3.6253000000000002</v>
      </c>
      <c r="M432">
        <v>7.3999999999999996E-2</v>
      </c>
      <c r="N432">
        <v>0.58899999999999997</v>
      </c>
      <c r="O432">
        <v>0.16700000000000001</v>
      </c>
      <c r="P432">
        <v>1E-3</v>
      </c>
      <c r="Q432">
        <v>2E-3</v>
      </c>
      <c r="R432">
        <v>0</v>
      </c>
      <c r="S432">
        <v>0</v>
      </c>
      <c r="T432">
        <v>22.187999999999999</v>
      </c>
      <c r="U432">
        <v>0.66</v>
      </c>
    </row>
    <row r="433" spans="1:21" x14ac:dyDescent="0.25">
      <c r="A433" t="s">
        <v>480</v>
      </c>
      <c r="B433" t="s">
        <v>3</v>
      </c>
      <c r="D433" t="s">
        <v>18</v>
      </c>
      <c r="E433">
        <v>0.74</v>
      </c>
      <c r="G433">
        <v>0.93</v>
      </c>
      <c r="H433">
        <v>8.8816000000000006</v>
      </c>
      <c r="K433">
        <v>0.45090000000000002</v>
      </c>
      <c r="L433">
        <v>1.3809</v>
      </c>
      <c r="M433">
        <v>2.109</v>
      </c>
      <c r="N433">
        <v>0.66300000000000003</v>
      </c>
      <c r="O433">
        <v>0.16700000000000001</v>
      </c>
      <c r="P433">
        <v>1E-3</v>
      </c>
      <c r="Q433">
        <v>2E-3</v>
      </c>
      <c r="R433">
        <v>0</v>
      </c>
      <c r="S433">
        <v>0</v>
      </c>
      <c r="T433">
        <v>2.2810000000000001</v>
      </c>
      <c r="U433">
        <v>0.57999999999999996</v>
      </c>
    </row>
    <row r="434" spans="1:21" x14ac:dyDescent="0.25">
      <c r="A434" t="s">
        <v>1023</v>
      </c>
      <c r="B434" t="s">
        <v>3</v>
      </c>
      <c r="D434" t="s">
        <v>7</v>
      </c>
      <c r="E434">
        <v>2.0099999999999998</v>
      </c>
      <c r="G434">
        <v>2.7250000000000001</v>
      </c>
      <c r="H434">
        <v>7.9718999999999998</v>
      </c>
      <c r="K434">
        <v>0.70650000000000002</v>
      </c>
      <c r="L434">
        <v>3.4315000000000002</v>
      </c>
      <c r="M434">
        <v>0.29199999999999998</v>
      </c>
      <c r="N434">
        <v>0.76</v>
      </c>
      <c r="O434">
        <v>0.32200000000000001</v>
      </c>
      <c r="P434">
        <v>2E-3</v>
      </c>
      <c r="Q434">
        <v>2E-3</v>
      </c>
      <c r="R434">
        <v>0</v>
      </c>
      <c r="S434">
        <v>0</v>
      </c>
      <c r="T434">
        <v>3.4009999999999998</v>
      </c>
      <c r="U434">
        <v>0.44</v>
      </c>
    </row>
    <row r="435" spans="1:21" x14ac:dyDescent="0.25">
      <c r="A435" t="s">
        <v>702</v>
      </c>
      <c r="B435" t="s">
        <v>3</v>
      </c>
      <c r="D435" t="s">
        <v>26</v>
      </c>
      <c r="E435">
        <v>1.65</v>
      </c>
      <c r="G435">
        <v>2.9470000000000001</v>
      </c>
      <c r="H435">
        <v>8.1774000000000004</v>
      </c>
      <c r="K435">
        <v>0.42530000000000001</v>
      </c>
      <c r="L435">
        <v>3.3723000000000001</v>
      </c>
      <c r="M435">
        <v>0.95699999999999996</v>
      </c>
      <c r="N435">
        <v>0.82099999999999995</v>
      </c>
      <c r="O435">
        <v>0.19800000000000001</v>
      </c>
      <c r="P435">
        <v>1E-3</v>
      </c>
      <c r="Q435">
        <v>2E-3</v>
      </c>
      <c r="R435">
        <v>0</v>
      </c>
      <c r="S435">
        <v>0</v>
      </c>
      <c r="T435">
        <v>6.024</v>
      </c>
      <c r="U435">
        <v>0.47</v>
      </c>
    </row>
    <row r="436" spans="1:21" x14ac:dyDescent="0.25">
      <c r="A436" t="s">
        <v>299</v>
      </c>
      <c r="B436" t="s">
        <v>3</v>
      </c>
      <c r="D436" t="s">
        <v>9</v>
      </c>
      <c r="E436">
        <v>3.29</v>
      </c>
      <c r="G436">
        <v>4.2290000000000001</v>
      </c>
      <c r="H436">
        <v>8.2448999999999995</v>
      </c>
      <c r="K436">
        <v>0.72709999999999997</v>
      </c>
      <c r="L436">
        <v>4.9561000000000002</v>
      </c>
      <c r="M436">
        <v>1.014</v>
      </c>
      <c r="N436">
        <v>1.141</v>
      </c>
      <c r="O436">
        <v>0.29799999999999999</v>
      </c>
      <c r="P436">
        <v>1E-3</v>
      </c>
      <c r="Q436">
        <v>2E-3</v>
      </c>
      <c r="R436">
        <v>0</v>
      </c>
      <c r="S436">
        <v>0</v>
      </c>
      <c r="T436">
        <v>4.9589999999999996</v>
      </c>
      <c r="U436">
        <v>0.56000000000000005</v>
      </c>
    </row>
    <row r="437" spans="1:21" x14ac:dyDescent="0.25">
      <c r="A437" t="s">
        <v>945</v>
      </c>
      <c r="B437" t="s">
        <v>3</v>
      </c>
      <c r="D437" t="s">
        <v>6</v>
      </c>
      <c r="E437">
        <v>1.3</v>
      </c>
      <c r="G437">
        <v>2.444</v>
      </c>
      <c r="H437">
        <v>6.9372999999999996</v>
      </c>
      <c r="K437">
        <v>0.64800000000000002</v>
      </c>
      <c r="L437">
        <v>3.0920000000000001</v>
      </c>
      <c r="M437">
        <v>0.13500000000000001</v>
      </c>
      <c r="N437">
        <v>0.58499999999999996</v>
      </c>
      <c r="O437">
        <v>0.23599999999999999</v>
      </c>
      <c r="P437">
        <v>1E-3</v>
      </c>
      <c r="Q437">
        <v>2E-3</v>
      </c>
      <c r="R437">
        <v>0</v>
      </c>
      <c r="S437">
        <v>0</v>
      </c>
      <c r="T437">
        <v>3.677</v>
      </c>
      <c r="U437">
        <v>0.49</v>
      </c>
    </row>
    <row r="438" spans="1:21" x14ac:dyDescent="0.25">
      <c r="A438" t="s">
        <v>296</v>
      </c>
      <c r="B438" t="s">
        <v>3</v>
      </c>
      <c r="D438" t="s">
        <v>14</v>
      </c>
      <c r="E438">
        <v>1.93</v>
      </c>
      <c r="G438">
        <v>2.2280000000000002</v>
      </c>
      <c r="H438">
        <v>7.7770999999999999</v>
      </c>
      <c r="K438">
        <v>0.84740000000000004</v>
      </c>
      <c r="L438">
        <v>3.0754000000000001</v>
      </c>
      <c r="M438">
        <v>0.222</v>
      </c>
      <c r="N438">
        <v>0.68700000000000006</v>
      </c>
      <c r="O438">
        <v>0.38600000000000001</v>
      </c>
      <c r="P438">
        <v>1E-3</v>
      </c>
      <c r="Q438">
        <v>2E-3</v>
      </c>
      <c r="R438">
        <v>0</v>
      </c>
      <c r="S438">
        <v>0</v>
      </c>
      <c r="T438">
        <v>17.59</v>
      </c>
      <c r="U438">
        <v>0.57999999999999996</v>
      </c>
    </row>
    <row r="439" spans="1:21" x14ac:dyDescent="0.25">
      <c r="A439" t="s">
        <v>639</v>
      </c>
      <c r="B439" t="s">
        <v>3</v>
      </c>
      <c r="D439" t="s">
        <v>87</v>
      </c>
      <c r="E439">
        <v>2.29</v>
      </c>
      <c r="G439">
        <v>3.6789999999999998</v>
      </c>
      <c r="H439">
        <v>6.3028000000000004</v>
      </c>
      <c r="K439">
        <v>0.47299999999999998</v>
      </c>
      <c r="L439">
        <v>4.1520000000000001</v>
      </c>
      <c r="M439">
        <v>0.14399999999999999</v>
      </c>
      <c r="N439">
        <v>0.94699999999999995</v>
      </c>
      <c r="O439">
        <v>0.504</v>
      </c>
      <c r="P439">
        <v>1E-3</v>
      </c>
      <c r="Q439">
        <v>2E-3</v>
      </c>
      <c r="R439">
        <v>0</v>
      </c>
      <c r="S439">
        <v>0</v>
      </c>
      <c r="T439">
        <v>2.8879999999999999</v>
      </c>
      <c r="U439">
        <v>0.56999999999999995</v>
      </c>
    </row>
    <row r="440" spans="1:21" x14ac:dyDescent="0.25">
      <c r="A440" t="s">
        <v>972</v>
      </c>
      <c r="B440" t="s">
        <v>3</v>
      </c>
      <c r="D440" t="s">
        <v>13</v>
      </c>
      <c r="E440">
        <v>1.31</v>
      </c>
      <c r="G440">
        <v>3.6139999999999999</v>
      </c>
      <c r="H440">
        <v>4.8186</v>
      </c>
      <c r="K440">
        <v>0.40239999999999998</v>
      </c>
      <c r="L440">
        <v>4.0164</v>
      </c>
      <c r="M440">
        <v>0.42699999999999999</v>
      </c>
      <c r="N440">
        <v>0.77700000000000002</v>
      </c>
      <c r="O440">
        <v>0.28999999999999998</v>
      </c>
      <c r="P440">
        <v>1E-3</v>
      </c>
      <c r="Q440">
        <v>2E-3</v>
      </c>
      <c r="R440">
        <v>0</v>
      </c>
      <c r="S440">
        <v>0</v>
      </c>
      <c r="T440">
        <v>8.4280000000000008</v>
      </c>
      <c r="U440">
        <v>0.63</v>
      </c>
    </row>
    <row r="441" spans="1:21" x14ac:dyDescent="0.25">
      <c r="A441" t="s">
        <v>454</v>
      </c>
      <c r="B441" t="s">
        <v>3</v>
      </c>
      <c r="D441" t="s">
        <v>10</v>
      </c>
      <c r="E441">
        <v>0.7</v>
      </c>
      <c r="G441">
        <v>2.968</v>
      </c>
      <c r="H441">
        <v>7.1428000000000003</v>
      </c>
      <c r="K441">
        <v>0.36159999999999998</v>
      </c>
      <c r="L441">
        <v>3.3296000000000001</v>
      </c>
      <c r="M441">
        <v>1.631</v>
      </c>
      <c r="N441">
        <v>0.78300000000000003</v>
      </c>
      <c r="O441">
        <v>0.22500000000000001</v>
      </c>
      <c r="P441">
        <v>1E-3</v>
      </c>
      <c r="Q441">
        <v>2E-3</v>
      </c>
      <c r="R441">
        <v>0</v>
      </c>
      <c r="S441">
        <v>0</v>
      </c>
      <c r="T441">
        <v>1.9330000000000001</v>
      </c>
      <c r="U441">
        <v>0.5</v>
      </c>
    </row>
    <row r="442" spans="1:21" x14ac:dyDescent="0.25">
      <c r="A442" t="s">
        <v>946</v>
      </c>
      <c r="B442" t="s">
        <v>3</v>
      </c>
      <c r="D442" t="s">
        <v>6</v>
      </c>
      <c r="E442">
        <v>0.35</v>
      </c>
      <c r="G442">
        <v>2.9580000000000002</v>
      </c>
      <c r="H442">
        <v>8.4898000000000007</v>
      </c>
      <c r="K442">
        <v>0.48470000000000002</v>
      </c>
      <c r="L442">
        <v>3.4426999999999999</v>
      </c>
      <c r="M442">
        <v>0.34699999999999998</v>
      </c>
      <c r="N442">
        <v>1.109</v>
      </c>
      <c r="O442">
        <v>0.34</v>
      </c>
      <c r="P442">
        <v>2E-3</v>
      </c>
      <c r="Q442">
        <v>2E-3</v>
      </c>
      <c r="R442">
        <v>0</v>
      </c>
      <c r="S442">
        <v>0</v>
      </c>
      <c r="T442">
        <v>6.2169999999999996</v>
      </c>
      <c r="U442">
        <v>0.41</v>
      </c>
    </row>
    <row r="443" spans="1:21" x14ac:dyDescent="0.25">
      <c r="A443" t="s">
        <v>1186</v>
      </c>
      <c r="B443" t="s">
        <v>3</v>
      </c>
      <c r="D443" t="s">
        <v>21</v>
      </c>
      <c r="E443">
        <v>1.81</v>
      </c>
      <c r="G443">
        <v>3.15</v>
      </c>
      <c r="H443">
        <v>3.8252000000000002</v>
      </c>
      <c r="K443">
        <v>0.18410000000000001</v>
      </c>
      <c r="L443">
        <v>3.3340999999999998</v>
      </c>
      <c r="M443">
        <v>0.11700000000000001</v>
      </c>
      <c r="N443">
        <v>0.91400000000000003</v>
      </c>
      <c r="O443">
        <v>0.42399999999999999</v>
      </c>
      <c r="P443">
        <v>1E-3</v>
      </c>
      <c r="Q443">
        <v>2E-3</v>
      </c>
      <c r="R443">
        <v>0</v>
      </c>
      <c r="S443">
        <v>0</v>
      </c>
      <c r="T443">
        <v>24.117000000000001</v>
      </c>
      <c r="U443">
        <v>0.45</v>
      </c>
    </row>
    <row r="444" spans="1:21" x14ac:dyDescent="0.25">
      <c r="A444" t="s">
        <v>369</v>
      </c>
      <c r="B444" t="s">
        <v>3</v>
      </c>
      <c r="D444" t="s">
        <v>12</v>
      </c>
      <c r="E444">
        <v>1.53</v>
      </c>
      <c r="G444">
        <v>5.22</v>
      </c>
      <c r="H444">
        <v>11.3886</v>
      </c>
      <c r="K444">
        <v>0.71040000000000003</v>
      </c>
      <c r="L444">
        <v>5.9303999999999997</v>
      </c>
      <c r="M444">
        <v>0.23200000000000001</v>
      </c>
      <c r="N444">
        <v>1.03</v>
      </c>
      <c r="O444">
        <v>0.21</v>
      </c>
      <c r="P444">
        <v>1E-3</v>
      </c>
      <c r="Q444">
        <v>2E-3</v>
      </c>
      <c r="R444">
        <v>0</v>
      </c>
      <c r="S444">
        <v>0</v>
      </c>
      <c r="T444">
        <v>0.98699999999999999</v>
      </c>
      <c r="U444">
        <v>0.06</v>
      </c>
    </row>
    <row r="445" spans="1:21" x14ac:dyDescent="0.25">
      <c r="A445" t="s">
        <v>244</v>
      </c>
      <c r="B445" t="s">
        <v>3</v>
      </c>
      <c r="D445" t="s">
        <v>25</v>
      </c>
      <c r="E445">
        <v>2</v>
      </c>
      <c r="G445">
        <v>3.0939999999999999</v>
      </c>
      <c r="H445">
        <v>7.0427</v>
      </c>
      <c r="K445">
        <v>0.57779999999999998</v>
      </c>
      <c r="L445">
        <v>3.6718000000000002</v>
      </c>
      <c r="M445">
        <v>1.359</v>
      </c>
      <c r="N445">
        <v>0.95799999999999996</v>
      </c>
      <c r="O445">
        <v>0.48099999999999998</v>
      </c>
      <c r="P445">
        <v>1E-3</v>
      </c>
      <c r="Q445">
        <v>2E-3</v>
      </c>
      <c r="R445">
        <v>0</v>
      </c>
      <c r="S445">
        <v>0</v>
      </c>
      <c r="T445">
        <v>5.57</v>
      </c>
      <c r="U445">
        <v>0.59</v>
      </c>
    </row>
    <row r="446" spans="1:21" x14ac:dyDescent="0.25">
      <c r="A446" t="s">
        <v>624</v>
      </c>
      <c r="B446" t="s">
        <v>3</v>
      </c>
      <c r="D446" t="s">
        <v>33</v>
      </c>
      <c r="E446">
        <v>0</v>
      </c>
      <c r="G446">
        <v>3.0070000000000001</v>
      </c>
      <c r="H446">
        <v>7.7083000000000004</v>
      </c>
      <c r="K446">
        <v>0.43980000000000002</v>
      </c>
      <c r="L446">
        <v>3.4468000000000001</v>
      </c>
      <c r="M446">
        <v>0.36299999999999999</v>
      </c>
      <c r="N446">
        <v>1.6180000000000001</v>
      </c>
      <c r="O446">
        <v>0.34699999999999998</v>
      </c>
      <c r="P446">
        <v>2E-3</v>
      </c>
      <c r="Q446">
        <v>2E-3</v>
      </c>
      <c r="R446">
        <v>0</v>
      </c>
      <c r="S446">
        <v>0</v>
      </c>
      <c r="T446">
        <v>10.065</v>
      </c>
      <c r="U446">
        <v>0.45</v>
      </c>
    </row>
    <row r="447" spans="1:21" x14ac:dyDescent="0.25">
      <c r="A447" t="s">
        <v>1073</v>
      </c>
      <c r="B447" t="s">
        <v>3</v>
      </c>
      <c r="D447" t="s">
        <v>27</v>
      </c>
      <c r="E447">
        <v>2.35</v>
      </c>
      <c r="G447">
        <v>4.08</v>
      </c>
      <c r="H447">
        <v>7.6963999999999997</v>
      </c>
      <c r="K447">
        <v>0.63560000000000005</v>
      </c>
      <c r="L447">
        <v>4.7156000000000002</v>
      </c>
      <c r="M447">
        <v>0.255</v>
      </c>
      <c r="N447">
        <v>0.38600000000000001</v>
      </c>
      <c r="O447">
        <v>0.27900000000000003</v>
      </c>
      <c r="P447">
        <v>0</v>
      </c>
      <c r="Q447">
        <v>2E-3</v>
      </c>
      <c r="R447">
        <v>0</v>
      </c>
      <c r="S447">
        <v>0</v>
      </c>
      <c r="T447">
        <v>4.9560000000000004</v>
      </c>
      <c r="U447">
        <v>0.56999999999999995</v>
      </c>
    </row>
    <row r="448" spans="1:21" x14ac:dyDescent="0.25">
      <c r="A448" t="s">
        <v>885</v>
      </c>
      <c r="B448" t="s">
        <v>3</v>
      </c>
      <c r="D448" t="s">
        <v>22</v>
      </c>
      <c r="E448">
        <v>1.69</v>
      </c>
      <c r="G448">
        <v>3.7090000000000001</v>
      </c>
      <c r="H448">
        <v>8.7563999999999993</v>
      </c>
      <c r="K448">
        <v>0.60470000000000002</v>
      </c>
      <c r="L448">
        <v>4.3136999999999999</v>
      </c>
      <c r="M448">
        <v>1.9910000000000001</v>
      </c>
      <c r="N448">
        <v>0.84699999999999998</v>
      </c>
      <c r="O448">
        <v>1.2010000000000001</v>
      </c>
      <c r="P448">
        <v>1E-3</v>
      </c>
      <c r="Q448">
        <v>2E-3</v>
      </c>
      <c r="R448">
        <v>0</v>
      </c>
      <c r="S448">
        <v>0</v>
      </c>
      <c r="T448">
        <v>4.2270000000000003</v>
      </c>
      <c r="U448">
        <v>0.44</v>
      </c>
    </row>
    <row r="449" spans="1:21" x14ac:dyDescent="0.25">
      <c r="A449" t="s">
        <v>950</v>
      </c>
      <c r="B449" t="s">
        <v>3</v>
      </c>
      <c r="D449" t="s">
        <v>23</v>
      </c>
      <c r="E449">
        <v>1.96</v>
      </c>
      <c r="G449">
        <v>3.887</v>
      </c>
      <c r="H449">
        <v>7.3422999999999998</v>
      </c>
      <c r="K449">
        <v>0.56630000000000003</v>
      </c>
      <c r="L449">
        <v>4.4532999999999996</v>
      </c>
      <c r="M449">
        <v>0.161</v>
      </c>
      <c r="N449">
        <v>1.661</v>
      </c>
      <c r="O449">
        <v>0.55600000000000005</v>
      </c>
      <c r="P449">
        <v>2E-3</v>
      </c>
      <c r="Q449">
        <v>2E-3</v>
      </c>
      <c r="R449">
        <v>0</v>
      </c>
      <c r="S449">
        <v>0</v>
      </c>
      <c r="T449">
        <v>4.968</v>
      </c>
      <c r="U449">
        <v>0.55000000000000004</v>
      </c>
    </row>
    <row r="450" spans="1:21" x14ac:dyDescent="0.25">
      <c r="A450" t="s">
        <v>390</v>
      </c>
      <c r="B450" t="s">
        <v>3</v>
      </c>
      <c r="D450" t="s">
        <v>33</v>
      </c>
      <c r="E450">
        <v>0.7</v>
      </c>
      <c r="G450">
        <v>1.2849999999999999</v>
      </c>
      <c r="H450">
        <v>5.4692999999999996</v>
      </c>
      <c r="K450">
        <v>0.29289999999999999</v>
      </c>
      <c r="L450">
        <v>1.5779000000000001</v>
      </c>
      <c r="M450">
        <v>1.093</v>
      </c>
      <c r="N450">
        <v>1.133</v>
      </c>
      <c r="O450">
        <v>0.496</v>
      </c>
      <c r="P450">
        <v>1E-3</v>
      </c>
      <c r="Q450">
        <v>2E-3</v>
      </c>
      <c r="R450">
        <v>0</v>
      </c>
      <c r="S450">
        <v>0</v>
      </c>
      <c r="T450">
        <v>13.103999999999999</v>
      </c>
      <c r="U450">
        <v>0.59</v>
      </c>
    </row>
    <row r="451" spans="1:21" x14ac:dyDescent="0.25">
      <c r="A451" t="s">
        <v>316</v>
      </c>
      <c r="B451" t="s">
        <v>3</v>
      </c>
      <c r="D451" t="s">
        <v>30</v>
      </c>
      <c r="E451">
        <v>0.5</v>
      </c>
      <c r="G451">
        <v>2.911</v>
      </c>
      <c r="H451">
        <v>8.2972000000000001</v>
      </c>
      <c r="K451">
        <v>0.47849999999999998</v>
      </c>
      <c r="L451">
        <v>3.3895</v>
      </c>
      <c r="M451">
        <v>0.41199999999999998</v>
      </c>
      <c r="N451">
        <v>0.93400000000000005</v>
      </c>
      <c r="O451">
        <v>0.51500000000000001</v>
      </c>
      <c r="P451">
        <v>2E-3</v>
      </c>
      <c r="Q451">
        <v>2E-3</v>
      </c>
      <c r="R451">
        <v>0</v>
      </c>
      <c r="S451">
        <v>0</v>
      </c>
      <c r="T451">
        <v>10.08</v>
      </c>
      <c r="U451">
        <v>0.59</v>
      </c>
    </row>
    <row r="452" spans="1:21" x14ac:dyDescent="0.25">
      <c r="A452" t="s">
        <v>516</v>
      </c>
      <c r="B452" t="s">
        <v>3</v>
      </c>
      <c r="D452" t="s">
        <v>12</v>
      </c>
      <c r="E452">
        <v>1.06</v>
      </c>
      <c r="G452">
        <v>2.871</v>
      </c>
      <c r="H452">
        <v>7.5674000000000001</v>
      </c>
      <c r="K452">
        <v>0.45639999999999997</v>
      </c>
      <c r="L452">
        <v>3.3273999999999999</v>
      </c>
      <c r="M452">
        <v>0.92400000000000004</v>
      </c>
      <c r="N452">
        <v>0.81299999999999994</v>
      </c>
      <c r="O452">
        <v>0.38700000000000001</v>
      </c>
      <c r="P452">
        <v>2E-3</v>
      </c>
      <c r="Q452">
        <v>2E-3</v>
      </c>
      <c r="R452">
        <v>0</v>
      </c>
      <c r="S452">
        <v>0</v>
      </c>
      <c r="T452">
        <v>5.1420000000000003</v>
      </c>
      <c r="U452">
        <v>0.54</v>
      </c>
    </row>
    <row r="453" spans="1:21" x14ac:dyDescent="0.25">
      <c r="A453" t="s">
        <v>693</v>
      </c>
      <c r="B453" t="s">
        <v>3</v>
      </c>
      <c r="D453" t="s">
        <v>33</v>
      </c>
      <c r="E453">
        <v>1.1000000000000001</v>
      </c>
      <c r="G453">
        <v>2.8010000000000002</v>
      </c>
      <c r="H453">
        <v>5.7782</v>
      </c>
      <c r="K453">
        <v>0.3085</v>
      </c>
      <c r="L453">
        <v>3.1095000000000002</v>
      </c>
      <c r="M453">
        <v>1.468</v>
      </c>
      <c r="N453">
        <v>1.1759999999999999</v>
      </c>
      <c r="O453">
        <v>0.88200000000000001</v>
      </c>
      <c r="P453">
        <v>2E-3</v>
      </c>
      <c r="Q453">
        <v>2E-3</v>
      </c>
      <c r="R453">
        <v>0</v>
      </c>
      <c r="S453">
        <v>0</v>
      </c>
      <c r="T453">
        <v>3.38</v>
      </c>
      <c r="U453">
        <v>0.51</v>
      </c>
    </row>
    <row r="454" spans="1:21" x14ac:dyDescent="0.25">
      <c r="A454" t="s">
        <v>433</v>
      </c>
      <c r="B454" t="s">
        <v>3</v>
      </c>
      <c r="D454" t="s">
        <v>16</v>
      </c>
      <c r="E454">
        <v>1.03</v>
      </c>
      <c r="G454">
        <v>2.4079999999999999</v>
      </c>
      <c r="H454">
        <v>6.9996999999999998</v>
      </c>
      <c r="K454">
        <v>0.57199999999999995</v>
      </c>
      <c r="L454">
        <v>2.98</v>
      </c>
      <c r="M454">
        <v>0.59899999999999998</v>
      </c>
      <c r="N454">
        <v>0.61099999999999999</v>
      </c>
      <c r="O454">
        <v>0.249</v>
      </c>
      <c r="P454">
        <v>1E-3</v>
      </c>
      <c r="Q454">
        <v>2E-3</v>
      </c>
      <c r="R454">
        <v>0</v>
      </c>
      <c r="S454">
        <v>0</v>
      </c>
      <c r="T454">
        <v>9.31</v>
      </c>
      <c r="U454">
        <v>0.47</v>
      </c>
    </row>
    <row r="455" spans="1:21" x14ac:dyDescent="0.25">
      <c r="A455" t="s">
        <v>478</v>
      </c>
      <c r="B455" t="s">
        <v>3</v>
      </c>
      <c r="D455" t="s">
        <v>6</v>
      </c>
      <c r="E455">
        <v>2.5</v>
      </c>
      <c r="G455">
        <v>3.86</v>
      </c>
      <c r="H455">
        <v>10.7418</v>
      </c>
      <c r="K455">
        <v>0.59989999999999999</v>
      </c>
      <c r="L455">
        <v>4.4599000000000002</v>
      </c>
      <c r="M455">
        <v>1.9219999999999999</v>
      </c>
      <c r="N455">
        <v>1.1579999999999999</v>
      </c>
      <c r="O455">
        <v>0.65700000000000003</v>
      </c>
      <c r="P455">
        <v>1E-3</v>
      </c>
      <c r="Q455">
        <v>2E-3</v>
      </c>
      <c r="R455">
        <v>0</v>
      </c>
      <c r="S455">
        <v>0</v>
      </c>
      <c r="T455">
        <v>3.4020000000000001</v>
      </c>
      <c r="U455">
        <v>0.54</v>
      </c>
    </row>
    <row r="456" spans="1:21" x14ac:dyDescent="0.25">
      <c r="A456" t="s">
        <v>513</v>
      </c>
      <c r="B456" t="s">
        <v>3</v>
      </c>
      <c r="D456" t="s">
        <v>1193</v>
      </c>
      <c r="E456">
        <v>1.49</v>
      </c>
      <c r="G456">
        <v>3.2069999999999999</v>
      </c>
      <c r="H456">
        <v>10.253299999999999</v>
      </c>
      <c r="K456">
        <v>0.34389999999999998</v>
      </c>
      <c r="L456">
        <v>3.5508999999999999</v>
      </c>
      <c r="M456">
        <v>0.39700000000000002</v>
      </c>
      <c r="N456">
        <v>0.755</v>
      </c>
      <c r="O456">
        <v>0.71099999999999997</v>
      </c>
      <c r="P456">
        <v>1E-3</v>
      </c>
      <c r="Q456">
        <v>2E-3</v>
      </c>
      <c r="R456">
        <v>0</v>
      </c>
      <c r="S456">
        <v>0</v>
      </c>
      <c r="T456">
        <v>13.683999999999999</v>
      </c>
      <c r="U456">
        <v>0.52</v>
      </c>
    </row>
    <row r="457" spans="1:21" x14ac:dyDescent="0.25">
      <c r="A457" t="s">
        <v>297</v>
      </c>
      <c r="B457" t="s">
        <v>3</v>
      </c>
      <c r="D457" t="s">
        <v>19</v>
      </c>
      <c r="E457">
        <v>1.93</v>
      </c>
      <c r="G457">
        <v>6.657</v>
      </c>
      <c r="H457">
        <v>8.6282999999999994</v>
      </c>
      <c r="K457">
        <v>0.53790000000000004</v>
      </c>
      <c r="L457">
        <v>7.1948999999999996</v>
      </c>
      <c r="M457">
        <v>0.65900000000000003</v>
      </c>
      <c r="N457">
        <v>1.125</v>
      </c>
      <c r="O457">
        <v>0.311</v>
      </c>
      <c r="P457">
        <v>1E-3</v>
      </c>
      <c r="Q457">
        <v>2E-3</v>
      </c>
      <c r="R457">
        <v>0</v>
      </c>
      <c r="S457">
        <v>0</v>
      </c>
      <c r="T457">
        <v>1.6870000000000001</v>
      </c>
      <c r="U457">
        <v>0.34</v>
      </c>
    </row>
    <row r="458" spans="1:21" x14ac:dyDescent="0.25">
      <c r="A458" t="s">
        <v>350</v>
      </c>
      <c r="B458" t="s">
        <v>3</v>
      </c>
      <c r="D458" t="s">
        <v>17</v>
      </c>
      <c r="E458">
        <v>3.2</v>
      </c>
      <c r="G458">
        <v>5.944</v>
      </c>
      <c r="H458">
        <v>9.3406000000000002</v>
      </c>
      <c r="K458">
        <v>0.75349999999999995</v>
      </c>
      <c r="L458">
        <v>6.6974999999999998</v>
      </c>
      <c r="M458">
        <v>0.26200000000000001</v>
      </c>
      <c r="N458">
        <v>0.72299999999999998</v>
      </c>
      <c r="O458">
        <v>0.23799999999999999</v>
      </c>
      <c r="P458">
        <v>1E-3</v>
      </c>
      <c r="Q458">
        <v>2E-3</v>
      </c>
      <c r="R458">
        <v>0</v>
      </c>
      <c r="S458">
        <v>0</v>
      </c>
      <c r="T458">
        <v>17.937999999999999</v>
      </c>
      <c r="U458">
        <v>0.56999999999999995</v>
      </c>
    </row>
    <row r="459" spans="1:21" x14ac:dyDescent="0.25">
      <c r="A459" t="s">
        <v>275</v>
      </c>
      <c r="B459" t="s">
        <v>3</v>
      </c>
      <c r="D459" t="s">
        <v>30</v>
      </c>
      <c r="E459">
        <v>2.66</v>
      </c>
      <c r="G459">
        <v>5.2480000000000002</v>
      </c>
      <c r="H459">
        <v>6.73</v>
      </c>
      <c r="K459">
        <v>0.53100000000000003</v>
      </c>
      <c r="L459">
        <v>5.7789999999999999</v>
      </c>
      <c r="M459">
        <v>0.879</v>
      </c>
      <c r="N459">
        <v>1.554</v>
      </c>
      <c r="O459">
        <v>0.54800000000000004</v>
      </c>
      <c r="P459">
        <v>1E-3</v>
      </c>
      <c r="Q459">
        <v>2E-3</v>
      </c>
      <c r="R459">
        <v>0</v>
      </c>
      <c r="S459">
        <v>0</v>
      </c>
      <c r="T459">
        <v>0</v>
      </c>
      <c r="U459">
        <v>0</v>
      </c>
    </row>
    <row r="460" spans="1:21" x14ac:dyDescent="0.25">
      <c r="A460" t="s">
        <v>251</v>
      </c>
      <c r="B460" t="s">
        <v>3</v>
      </c>
      <c r="D460" t="s">
        <v>2</v>
      </c>
      <c r="E460">
        <v>2.42</v>
      </c>
      <c r="G460">
        <v>4.0599999999999996</v>
      </c>
      <c r="H460">
        <v>8.8612000000000002</v>
      </c>
      <c r="K460">
        <v>0.57520000000000004</v>
      </c>
      <c r="L460">
        <v>4.6352000000000002</v>
      </c>
      <c r="M460">
        <v>2.5910000000000002</v>
      </c>
      <c r="N460">
        <v>0.998</v>
      </c>
      <c r="O460">
        <v>0.41899999999999998</v>
      </c>
      <c r="P460">
        <v>1E-3</v>
      </c>
      <c r="Q460">
        <v>2E-3</v>
      </c>
      <c r="R460">
        <v>0</v>
      </c>
      <c r="S460">
        <v>0</v>
      </c>
      <c r="T460">
        <v>17.872</v>
      </c>
      <c r="U460">
        <v>0.5</v>
      </c>
    </row>
    <row r="461" spans="1:21" x14ac:dyDescent="0.25">
      <c r="A461" t="s">
        <v>544</v>
      </c>
      <c r="B461" t="s">
        <v>3</v>
      </c>
      <c r="D461" t="s">
        <v>9</v>
      </c>
      <c r="E461">
        <v>1.56</v>
      </c>
      <c r="G461">
        <v>1.6020000000000001</v>
      </c>
      <c r="H461">
        <v>6.7206999999999999</v>
      </c>
      <c r="K461">
        <v>0.73380000000000001</v>
      </c>
      <c r="L461">
        <v>2.3357999999999999</v>
      </c>
      <c r="M461">
        <v>1.0999999999999999E-2</v>
      </c>
      <c r="N461">
        <v>0.55400000000000005</v>
      </c>
      <c r="O461">
        <v>0.105</v>
      </c>
      <c r="P461">
        <v>1E-3</v>
      </c>
      <c r="Q461">
        <v>2E-3</v>
      </c>
      <c r="R461">
        <v>0</v>
      </c>
      <c r="S461">
        <v>0</v>
      </c>
      <c r="T461">
        <v>3.8</v>
      </c>
      <c r="U461">
        <v>0.57999999999999996</v>
      </c>
    </row>
    <row r="462" spans="1:21" x14ac:dyDescent="0.25">
      <c r="A462" t="s">
        <v>323</v>
      </c>
      <c r="B462" t="s">
        <v>3</v>
      </c>
      <c r="D462" t="s">
        <v>9</v>
      </c>
      <c r="E462">
        <v>1.81</v>
      </c>
      <c r="G462">
        <v>1.577</v>
      </c>
      <c r="H462">
        <v>8.4196000000000009</v>
      </c>
      <c r="K462">
        <v>0.4924</v>
      </c>
      <c r="L462">
        <v>2.0693999999999999</v>
      </c>
      <c r="M462">
        <v>2.5470000000000002</v>
      </c>
      <c r="N462">
        <v>0.91300000000000003</v>
      </c>
      <c r="O462">
        <v>0.69899999999999995</v>
      </c>
      <c r="P462">
        <v>1E-3</v>
      </c>
      <c r="Q462">
        <v>2E-3</v>
      </c>
      <c r="R462">
        <v>0</v>
      </c>
      <c r="S462">
        <v>0</v>
      </c>
      <c r="T462">
        <v>8.8219999999999992</v>
      </c>
      <c r="U462">
        <v>0.56000000000000005</v>
      </c>
    </row>
    <row r="463" spans="1:21" x14ac:dyDescent="0.25">
      <c r="A463" t="s">
        <v>956</v>
      </c>
      <c r="B463" t="s">
        <v>3</v>
      </c>
      <c r="D463" t="s">
        <v>23</v>
      </c>
      <c r="E463">
        <v>1.45</v>
      </c>
      <c r="G463">
        <v>3.6970000000000001</v>
      </c>
      <c r="H463">
        <v>7.7173999999999996</v>
      </c>
      <c r="K463">
        <v>0.49280000000000002</v>
      </c>
      <c r="L463">
        <v>4.1898</v>
      </c>
      <c r="M463">
        <v>3.448</v>
      </c>
      <c r="N463">
        <v>0.70799999999999996</v>
      </c>
      <c r="O463">
        <v>0.63200000000000001</v>
      </c>
      <c r="P463">
        <v>2E-3</v>
      </c>
      <c r="Q463">
        <v>2E-3</v>
      </c>
      <c r="R463">
        <v>0</v>
      </c>
      <c r="S463">
        <v>0</v>
      </c>
      <c r="T463">
        <v>2.5049999999999999</v>
      </c>
      <c r="U463">
        <v>0.53</v>
      </c>
    </row>
    <row r="464" spans="1:21" x14ac:dyDescent="0.25">
      <c r="A464" t="s">
        <v>608</v>
      </c>
      <c r="B464" t="s">
        <v>3</v>
      </c>
      <c r="D464" t="s">
        <v>14</v>
      </c>
      <c r="E464">
        <v>1.05</v>
      </c>
      <c r="G464">
        <v>2.9119999999999999</v>
      </c>
      <c r="H464">
        <v>6.3583999999999996</v>
      </c>
      <c r="K464">
        <v>0.37940000000000002</v>
      </c>
      <c r="L464">
        <v>3.2913999999999999</v>
      </c>
      <c r="M464">
        <v>0.39200000000000002</v>
      </c>
      <c r="N464">
        <v>0.95</v>
      </c>
      <c r="O464">
        <v>0.372</v>
      </c>
      <c r="P464">
        <v>2E-3</v>
      </c>
      <c r="Q464">
        <v>2E-3</v>
      </c>
      <c r="R464">
        <v>0</v>
      </c>
      <c r="S464">
        <v>0</v>
      </c>
      <c r="T464">
        <v>3.97</v>
      </c>
      <c r="U464">
        <v>0.56999999999999995</v>
      </c>
    </row>
    <row r="465" spans="1:21" x14ac:dyDescent="0.25">
      <c r="A465" t="s">
        <v>1020</v>
      </c>
      <c r="B465" t="s">
        <v>3</v>
      </c>
      <c r="D465" t="s">
        <v>17</v>
      </c>
      <c r="E465">
        <v>1.1299999999999999</v>
      </c>
      <c r="G465">
        <v>1.8089999999999999</v>
      </c>
      <c r="H465">
        <v>10.616199999999999</v>
      </c>
      <c r="K465">
        <v>0.65249999999999997</v>
      </c>
      <c r="L465">
        <v>2.4615</v>
      </c>
      <c r="M465">
        <v>0.96299999999999997</v>
      </c>
      <c r="N465">
        <v>0.91</v>
      </c>
      <c r="O465">
        <v>0.51200000000000001</v>
      </c>
      <c r="P465">
        <v>1E-3</v>
      </c>
      <c r="Q465">
        <v>2E-3</v>
      </c>
      <c r="R465">
        <v>0</v>
      </c>
      <c r="S465">
        <v>0</v>
      </c>
      <c r="T465">
        <v>2.85</v>
      </c>
      <c r="U465">
        <v>0.38</v>
      </c>
    </row>
    <row r="466" spans="1:21" x14ac:dyDescent="0.25">
      <c r="A466" t="s">
        <v>329</v>
      </c>
      <c r="B466" t="s">
        <v>3</v>
      </c>
      <c r="D466" t="s">
        <v>20</v>
      </c>
      <c r="E466">
        <v>2.96</v>
      </c>
      <c r="G466">
        <v>4.8079999999999998</v>
      </c>
      <c r="H466">
        <v>9.1515000000000004</v>
      </c>
      <c r="K466">
        <v>0.7198</v>
      </c>
      <c r="L466">
        <v>5.5278</v>
      </c>
      <c r="M466">
        <v>0.31</v>
      </c>
      <c r="N466">
        <v>0.72799999999999998</v>
      </c>
      <c r="O466">
        <v>0.36799999999999999</v>
      </c>
      <c r="P466">
        <v>1E-3</v>
      </c>
      <c r="Q466">
        <v>2E-3</v>
      </c>
      <c r="R466">
        <v>0</v>
      </c>
      <c r="S466">
        <v>0</v>
      </c>
      <c r="T466">
        <v>3.6960000000000002</v>
      </c>
      <c r="U466">
        <v>0.56000000000000005</v>
      </c>
    </row>
    <row r="467" spans="1:21" x14ac:dyDescent="0.25">
      <c r="A467" t="s">
        <v>391</v>
      </c>
      <c r="B467" t="s">
        <v>3</v>
      </c>
      <c r="D467" t="s">
        <v>1172</v>
      </c>
      <c r="E467">
        <v>2.75</v>
      </c>
      <c r="G467">
        <v>3.3719999999999999</v>
      </c>
      <c r="H467">
        <v>11.5639</v>
      </c>
      <c r="K467">
        <v>0.89639999999999997</v>
      </c>
      <c r="L467">
        <v>4.2683999999999997</v>
      </c>
      <c r="M467">
        <v>0.13600000000000001</v>
      </c>
      <c r="N467">
        <v>1.5209999999999999</v>
      </c>
      <c r="O467">
        <v>0.49399999999999999</v>
      </c>
      <c r="P467">
        <v>1E-3</v>
      </c>
      <c r="Q467">
        <v>2E-3</v>
      </c>
      <c r="R467">
        <v>0</v>
      </c>
      <c r="S467">
        <v>0</v>
      </c>
      <c r="T467">
        <v>14.215</v>
      </c>
      <c r="U467">
        <v>0.55000000000000004</v>
      </c>
    </row>
    <row r="468" spans="1:21" x14ac:dyDescent="0.25">
      <c r="A468" t="s">
        <v>1198</v>
      </c>
      <c r="B468" t="s">
        <v>3</v>
      </c>
      <c r="D468" t="s">
        <v>5</v>
      </c>
      <c r="E468">
        <v>1.81</v>
      </c>
      <c r="G468">
        <v>2.65</v>
      </c>
      <c r="H468">
        <v>9.9166000000000007</v>
      </c>
      <c r="K468">
        <v>0.5121</v>
      </c>
      <c r="L468">
        <v>3.1621000000000001</v>
      </c>
      <c r="M468">
        <v>0.26400000000000001</v>
      </c>
      <c r="N468">
        <v>1.248</v>
      </c>
      <c r="O468">
        <v>0.313</v>
      </c>
      <c r="P468">
        <v>1E-3</v>
      </c>
      <c r="Q468">
        <v>2E-3</v>
      </c>
      <c r="R468">
        <v>0</v>
      </c>
      <c r="S468">
        <v>0</v>
      </c>
      <c r="T468">
        <v>10.819000000000001</v>
      </c>
      <c r="U468">
        <v>0.51</v>
      </c>
    </row>
    <row r="469" spans="1:21" x14ac:dyDescent="0.25">
      <c r="A469" t="s">
        <v>348</v>
      </c>
      <c r="B469" t="s">
        <v>3</v>
      </c>
      <c r="D469" t="s">
        <v>31</v>
      </c>
      <c r="E469">
        <v>1.83</v>
      </c>
      <c r="G469">
        <v>4.1230000000000002</v>
      </c>
      <c r="H469">
        <v>9.1841000000000008</v>
      </c>
      <c r="K469">
        <v>0.5544</v>
      </c>
      <c r="L469">
        <v>4.6773999999999996</v>
      </c>
      <c r="M469">
        <v>0.72299999999999998</v>
      </c>
      <c r="N469">
        <v>0.77200000000000002</v>
      </c>
      <c r="O469">
        <v>0.21299999999999999</v>
      </c>
      <c r="P469">
        <v>1E-3</v>
      </c>
      <c r="Q469">
        <v>2E-3</v>
      </c>
      <c r="R469">
        <v>0</v>
      </c>
      <c r="S469">
        <v>0</v>
      </c>
      <c r="T469">
        <v>0</v>
      </c>
      <c r="U469">
        <v>0</v>
      </c>
    </row>
    <row r="470" spans="1:21" x14ac:dyDescent="0.25">
      <c r="A470" t="s">
        <v>864</v>
      </c>
      <c r="B470" t="s">
        <v>3</v>
      </c>
      <c r="D470" t="s">
        <v>4</v>
      </c>
      <c r="E470">
        <v>1.69</v>
      </c>
      <c r="G470">
        <v>2.5870000000000002</v>
      </c>
      <c r="H470">
        <v>6.7351999999999999</v>
      </c>
      <c r="K470">
        <v>0.24829999999999999</v>
      </c>
      <c r="L470">
        <v>2.8353000000000002</v>
      </c>
      <c r="M470">
        <v>0.36199999999999999</v>
      </c>
      <c r="N470">
        <v>0.56599999999999995</v>
      </c>
      <c r="O470">
        <v>0.55000000000000004</v>
      </c>
      <c r="P470">
        <v>1E-3</v>
      </c>
      <c r="Q470">
        <v>2E-3</v>
      </c>
      <c r="R470">
        <v>0</v>
      </c>
      <c r="S470">
        <v>0</v>
      </c>
      <c r="T470">
        <v>2.2410000000000001</v>
      </c>
      <c r="U470">
        <v>0.47</v>
      </c>
    </row>
    <row r="471" spans="1:21" x14ac:dyDescent="0.25">
      <c r="A471" t="s">
        <v>1199</v>
      </c>
      <c r="B471" t="s">
        <v>3</v>
      </c>
      <c r="D471" t="s">
        <v>5</v>
      </c>
      <c r="E471">
        <v>1.94</v>
      </c>
      <c r="G471">
        <v>3.089</v>
      </c>
      <c r="H471">
        <v>6.9093999999999998</v>
      </c>
      <c r="K471">
        <v>0.35720000000000002</v>
      </c>
      <c r="L471">
        <v>3.4462000000000002</v>
      </c>
      <c r="M471">
        <v>0.94199999999999995</v>
      </c>
      <c r="N471">
        <v>1.3240000000000001</v>
      </c>
      <c r="O471">
        <v>0.66600000000000004</v>
      </c>
      <c r="P471">
        <v>1E-3</v>
      </c>
      <c r="Q471">
        <v>2E-3</v>
      </c>
      <c r="R471">
        <v>0</v>
      </c>
      <c r="S471">
        <v>0</v>
      </c>
      <c r="T471">
        <v>16.334</v>
      </c>
      <c r="U471">
        <v>0.54</v>
      </c>
    </row>
    <row r="472" spans="1:21" x14ac:dyDescent="0.25">
      <c r="A472" t="s">
        <v>626</v>
      </c>
      <c r="B472" t="s">
        <v>3</v>
      </c>
      <c r="D472" t="s">
        <v>25</v>
      </c>
      <c r="E472">
        <v>0.3</v>
      </c>
      <c r="G472">
        <v>3.1640000000000001</v>
      </c>
      <c r="H472">
        <v>9.8143999999999991</v>
      </c>
      <c r="K472">
        <v>0.65029999999999999</v>
      </c>
      <c r="L472">
        <v>3.8142999999999998</v>
      </c>
      <c r="M472">
        <v>2.7269999999999999</v>
      </c>
      <c r="N472">
        <v>0.64</v>
      </c>
      <c r="O472">
        <v>0.57199999999999995</v>
      </c>
      <c r="P472">
        <v>2E-3</v>
      </c>
      <c r="Q472">
        <v>2E-3</v>
      </c>
      <c r="R472">
        <v>0</v>
      </c>
      <c r="S472">
        <v>0</v>
      </c>
      <c r="T472">
        <v>0.88200000000000001</v>
      </c>
      <c r="U472">
        <v>0.34</v>
      </c>
    </row>
    <row r="473" spans="1:21" x14ac:dyDescent="0.25">
      <c r="A473" t="s">
        <v>289</v>
      </c>
      <c r="B473" t="s">
        <v>3</v>
      </c>
      <c r="D473" t="s">
        <v>8</v>
      </c>
      <c r="E473">
        <v>3.85</v>
      </c>
      <c r="G473">
        <v>6.7919999999999998</v>
      </c>
      <c r="H473">
        <v>9.1748999999999992</v>
      </c>
      <c r="K473">
        <v>0.55640000000000001</v>
      </c>
      <c r="L473">
        <v>7.3483999999999998</v>
      </c>
      <c r="M473">
        <v>0.48899999999999999</v>
      </c>
      <c r="N473">
        <v>0.27600000000000002</v>
      </c>
      <c r="O473">
        <v>0.46</v>
      </c>
      <c r="P473">
        <v>1E-3</v>
      </c>
      <c r="Q473">
        <v>2E-3</v>
      </c>
      <c r="R473">
        <v>0</v>
      </c>
      <c r="S473">
        <v>0</v>
      </c>
      <c r="T473">
        <v>23.045000000000002</v>
      </c>
      <c r="U473">
        <v>0.46</v>
      </c>
    </row>
    <row r="474" spans="1:21" x14ac:dyDescent="0.25">
      <c r="A474" t="s">
        <v>303</v>
      </c>
      <c r="B474" t="s">
        <v>3</v>
      </c>
      <c r="D474" t="s">
        <v>22</v>
      </c>
      <c r="E474">
        <v>2.4300000000000002</v>
      </c>
      <c r="G474">
        <v>3.6389999999999998</v>
      </c>
      <c r="H474">
        <v>9.4124999999999996</v>
      </c>
      <c r="K474">
        <v>0.54779999999999995</v>
      </c>
      <c r="L474">
        <v>4.1867999999999999</v>
      </c>
      <c r="M474">
        <v>0.374</v>
      </c>
      <c r="N474">
        <v>1.468</v>
      </c>
      <c r="O474">
        <v>0.56499999999999995</v>
      </c>
      <c r="P474">
        <v>1E-3</v>
      </c>
      <c r="Q474">
        <v>2E-3</v>
      </c>
      <c r="R474">
        <v>0</v>
      </c>
      <c r="S474">
        <v>0</v>
      </c>
      <c r="T474">
        <v>7.8730000000000002</v>
      </c>
      <c r="U474">
        <v>0.47</v>
      </c>
    </row>
    <row r="475" spans="1:21" x14ac:dyDescent="0.25">
      <c r="A475" t="s">
        <v>280</v>
      </c>
      <c r="B475" t="s">
        <v>3</v>
      </c>
      <c r="D475" t="s">
        <v>4</v>
      </c>
      <c r="E475">
        <v>3.08</v>
      </c>
      <c r="G475">
        <v>4.6509999999999998</v>
      </c>
      <c r="H475">
        <v>10.0817</v>
      </c>
      <c r="K475">
        <v>0.96899999999999997</v>
      </c>
      <c r="L475">
        <v>5.62</v>
      </c>
      <c r="M475">
        <v>1.389</v>
      </c>
      <c r="N475">
        <v>0.47299999999999998</v>
      </c>
      <c r="O475">
        <v>0.67300000000000004</v>
      </c>
      <c r="P475">
        <v>1E-3</v>
      </c>
      <c r="Q475">
        <v>2E-3</v>
      </c>
      <c r="R475">
        <v>0</v>
      </c>
      <c r="S475">
        <v>0</v>
      </c>
      <c r="T475">
        <v>22.771000000000001</v>
      </c>
      <c r="U475">
        <v>0.46</v>
      </c>
    </row>
    <row r="476" spans="1:21" x14ac:dyDescent="0.25">
      <c r="A476" t="s">
        <v>322</v>
      </c>
      <c r="B476" t="s">
        <v>3</v>
      </c>
      <c r="D476" t="s">
        <v>32</v>
      </c>
      <c r="E476">
        <v>0.75</v>
      </c>
      <c r="G476">
        <v>2.46</v>
      </c>
      <c r="H476">
        <v>9.0393000000000008</v>
      </c>
      <c r="K476">
        <v>0.82699999999999996</v>
      </c>
      <c r="L476">
        <v>3.2869999999999999</v>
      </c>
      <c r="M476">
        <v>1.218</v>
      </c>
      <c r="N476">
        <v>1.2250000000000001</v>
      </c>
      <c r="O476">
        <v>0.28399999999999997</v>
      </c>
      <c r="P476">
        <v>2E-3</v>
      </c>
      <c r="Q476">
        <v>2E-3</v>
      </c>
      <c r="R476">
        <v>0</v>
      </c>
      <c r="S476">
        <v>0</v>
      </c>
      <c r="T476">
        <v>0.21099999999999999</v>
      </c>
      <c r="U476">
        <v>0.79</v>
      </c>
    </row>
    <row r="477" spans="1:21" x14ac:dyDescent="0.25">
      <c r="A477" t="s">
        <v>572</v>
      </c>
      <c r="B477" t="s">
        <v>3</v>
      </c>
      <c r="D477" t="s">
        <v>29</v>
      </c>
      <c r="E477">
        <v>1.54</v>
      </c>
      <c r="G477">
        <v>3.907</v>
      </c>
      <c r="H477">
        <v>4.2911000000000001</v>
      </c>
      <c r="K477">
        <v>0.17699999999999999</v>
      </c>
      <c r="L477">
        <v>4.0839999999999996</v>
      </c>
      <c r="M477">
        <v>0.44</v>
      </c>
      <c r="N477">
        <v>1.4419999999999999</v>
      </c>
      <c r="O477">
        <v>0.47399999999999998</v>
      </c>
      <c r="P477">
        <v>1E-3</v>
      </c>
      <c r="Q477">
        <v>2E-3</v>
      </c>
      <c r="R477">
        <v>0</v>
      </c>
      <c r="S477">
        <v>0</v>
      </c>
      <c r="T477">
        <v>13.898999999999999</v>
      </c>
      <c r="U477">
        <v>0.51</v>
      </c>
    </row>
    <row r="478" spans="1:21" x14ac:dyDescent="0.25">
      <c r="A478" t="s">
        <v>240</v>
      </c>
      <c r="B478" t="s">
        <v>3</v>
      </c>
      <c r="D478" t="s">
        <v>7</v>
      </c>
      <c r="E478">
        <v>3.63</v>
      </c>
      <c r="G478">
        <v>4.7039999999999997</v>
      </c>
      <c r="H478">
        <v>14.625</v>
      </c>
      <c r="K478">
        <v>1.5999000000000001</v>
      </c>
      <c r="L478">
        <v>6.3038999999999996</v>
      </c>
      <c r="M478">
        <v>0.49299999999999999</v>
      </c>
      <c r="N478">
        <v>1.1879999999999999</v>
      </c>
      <c r="O478">
        <v>0.246</v>
      </c>
      <c r="P478">
        <v>1E-3</v>
      </c>
      <c r="Q478">
        <v>2E-3</v>
      </c>
      <c r="R478">
        <v>0</v>
      </c>
      <c r="S478">
        <v>0</v>
      </c>
      <c r="T478">
        <v>21.099</v>
      </c>
      <c r="U478">
        <v>0.54</v>
      </c>
    </row>
    <row r="479" spans="1:21" x14ac:dyDescent="0.25">
      <c r="A479" t="s">
        <v>897</v>
      </c>
      <c r="B479" t="s">
        <v>3</v>
      </c>
      <c r="D479" t="s">
        <v>7</v>
      </c>
      <c r="E479">
        <v>1.03</v>
      </c>
      <c r="G479">
        <v>3.0179999999999998</v>
      </c>
      <c r="H479">
        <v>5.9058000000000002</v>
      </c>
      <c r="K479">
        <v>0.29459999999999997</v>
      </c>
      <c r="L479">
        <v>3.3126000000000002</v>
      </c>
      <c r="M479">
        <v>0.53700000000000003</v>
      </c>
      <c r="N479">
        <v>1.129</v>
      </c>
      <c r="O479">
        <v>0.24199999999999999</v>
      </c>
      <c r="P479">
        <v>1E-3</v>
      </c>
      <c r="Q479">
        <v>2E-3</v>
      </c>
      <c r="R479">
        <v>0</v>
      </c>
      <c r="S479">
        <v>0</v>
      </c>
      <c r="T479">
        <v>17.393999999999998</v>
      </c>
      <c r="U479">
        <v>0.71</v>
      </c>
    </row>
    <row r="480" spans="1:21" x14ac:dyDescent="0.25">
      <c r="A480" t="s">
        <v>361</v>
      </c>
      <c r="B480" t="s">
        <v>3</v>
      </c>
      <c r="D480" t="s">
        <v>20</v>
      </c>
      <c r="E480">
        <v>1.24</v>
      </c>
      <c r="G480">
        <v>2.9279999999999999</v>
      </c>
      <c r="H480">
        <v>10.0664</v>
      </c>
      <c r="K480">
        <v>0.87050000000000005</v>
      </c>
      <c r="L480">
        <v>3.7985000000000002</v>
      </c>
      <c r="M480">
        <v>0.77500000000000002</v>
      </c>
      <c r="N480">
        <v>1.349</v>
      </c>
      <c r="O480">
        <v>0.14099999999999999</v>
      </c>
      <c r="P480">
        <v>1E-3</v>
      </c>
      <c r="Q480">
        <v>2E-3</v>
      </c>
      <c r="R480">
        <v>0</v>
      </c>
      <c r="S480">
        <v>0</v>
      </c>
      <c r="T480">
        <v>2.76</v>
      </c>
      <c r="U480">
        <v>0.62</v>
      </c>
    </row>
    <row r="481" spans="1:21" x14ac:dyDescent="0.25">
      <c r="A481" t="s">
        <v>445</v>
      </c>
      <c r="B481" t="s">
        <v>3</v>
      </c>
      <c r="D481" t="s">
        <v>17</v>
      </c>
      <c r="E481">
        <v>1.59</v>
      </c>
      <c r="G481">
        <v>3.3239999999999998</v>
      </c>
      <c r="H481">
        <v>7.0290999999999997</v>
      </c>
      <c r="K481">
        <v>0.48359999999999997</v>
      </c>
      <c r="L481">
        <v>3.8075999999999999</v>
      </c>
      <c r="M481">
        <v>0.23899999999999999</v>
      </c>
      <c r="N481">
        <v>0.89600000000000002</v>
      </c>
      <c r="O481">
        <v>0.5</v>
      </c>
      <c r="P481">
        <v>2E-3</v>
      </c>
      <c r="Q481">
        <v>2E-3</v>
      </c>
      <c r="R481">
        <v>0</v>
      </c>
      <c r="S481">
        <v>0</v>
      </c>
      <c r="T481">
        <v>0.61099999999999999</v>
      </c>
      <c r="U481">
        <v>0.71</v>
      </c>
    </row>
    <row r="482" spans="1:21" x14ac:dyDescent="0.25">
      <c r="A482" t="s">
        <v>1099</v>
      </c>
      <c r="B482" t="s">
        <v>3</v>
      </c>
      <c r="D482" t="s">
        <v>87</v>
      </c>
      <c r="E482">
        <v>0.75</v>
      </c>
      <c r="G482">
        <v>3.4319999999999999</v>
      </c>
      <c r="H482">
        <v>5.9435000000000002</v>
      </c>
      <c r="K482">
        <v>0.3629</v>
      </c>
      <c r="L482">
        <v>3.7949000000000002</v>
      </c>
      <c r="M482">
        <v>2.101</v>
      </c>
      <c r="N482">
        <v>0.91500000000000004</v>
      </c>
      <c r="O482">
        <v>0.27900000000000003</v>
      </c>
      <c r="P482">
        <v>1E-3</v>
      </c>
      <c r="Q482">
        <v>2E-3</v>
      </c>
      <c r="R482">
        <v>0</v>
      </c>
      <c r="S482">
        <v>0</v>
      </c>
      <c r="T482">
        <v>4.3019999999999996</v>
      </c>
      <c r="U482">
        <v>0.64</v>
      </c>
    </row>
    <row r="483" spans="1:21" x14ac:dyDescent="0.25">
      <c r="A483" t="s">
        <v>439</v>
      </c>
      <c r="B483" t="s">
        <v>3</v>
      </c>
      <c r="D483" t="s">
        <v>11</v>
      </c>
      <c r="E483">
        <v>0.99</v>
      </c>
      <c r="G483">
        <v>2.7810000000000001</v>
      </c>
      <c r="H483">
        <v>3.6320999999999999</v>
      </c>
      <c r="K483">
        <v>0.34360000000000002</v>
      </c>
      <c r="L483">
        <v>3.1246</v>
      </c>
      <c r="M483">
        <v>0.437</v>
      </c>
      <c r="N483">
        <v>0.65200000000000002</v>
      </c>
      <c r="O483">
        <v>0.25</v>
      </c>
      <c r="P483">
        <v>1E-3</v>
      </c>
      <c r="Q483">
        <v>2E-3</v>
      </c>
      <c r="R483">
        <v>0</v>
      </c>
      <c r="S483">
        <v>0</v>
      </c>
      <c r="T483">
        <v>9.7420000000000009</v>
      </c>
      <c r="U483">
        <v>0.44</v>
      </c>
    </row>
    <row r="484" spans="1:21" x14ac:dyDescent="0.25">
      <c r="A484" t="s">
        <v>643</v>
      </c>
      <c r="B484" t="s">
        <v>3</v>
      </c>
      <c r="D484" t="s">
        <v>14</v>
      </c>
      <c r="E484">
        <v>2.14</v>
      </c>
      <c r="G484">
        <v>3.7040000000000002</v>
      </c>
      <c r="H484">
        <v>5.3757999999999999</v>
      </c>
      <c r="K484">
        <v>0.22989999999999999</v>
      </c>
      <c r="L484">
        <v>3.9339</v>
      </c>
      <c r="M484">
        <v>0.52500000000000002</v>
      </c>
      <c r="N484">
        <v>0.71399999999999997</v>
      </c>
      <c r="O484">
        <v>0.19400000000000001</v>
      </c>
      <c r="P484">
        <v>1E-3</v>
      </c>
      <c r="Q484">
        <v>2E-3</v>
      </c>
      <c r="R484">
        <v>0</v>
      </c>
      <c r="S484">
        <v>0</v>
      </c>
      <c r="T484">
        <v>0.80900000000000005</v>
      </c>
      <c r="U484">
        <v>0.63</v>
      </c>
    </row>
    <row r="485" spans="1:21" x14ac:dyDescent="0.25">
      <c r="A485" t="s">
        <v>380</v>
      </c>
      <c r="B485" t="s">
        <v>3</v>
      </c>
      <c r="D485" t="s">
        <v>13</v>
      </c>
      <c r="E485">
        <v>2.5</v>
      </c>
      <c r="G485">
        <v>4.6100000000000003</v>
      </c>
      <c r="H485">
        <v>8.5584000000000007</v>
      </c>
      <c r="K485">
        <v>0.62060000000000004</v>
      </c>
      <c r="L485">
        <v>5.2305999999999999</v>
      </c>
      <c r="M485">
        <v>0.879</v>
      </c>
      <c r="N485">
        <v>1.0760000000000001</v>
      </c>
      <c r="O485">
        <v>0.69599999999999995</v>
      </c>
      <c r="P485">
        <v>1E-3</v>
      </c>
      <c r="Q485">
        <v>2E-3</v>
      </c>
      <c r="R485">
        <v>0</v>
      </c>
      <c r="S485">
        <v>0</v>
      </c>
      <c r="T485">
        <v>8.7050000000000001</v>
      </c>
      <c r="U485">
        <v>0.53</v>
      </c>
    </row>
    <row r="486" spans="1:21" x14ac:dyDescent="0.25">
      <c r="A486" t="s">
        <v>408</v>
      </c>
      <c r="B486" t="s">
        <v>3</v>
      </c>
      <c r="D486" t="s">
        <v>140</v>
      </c>
      <c r="E486">
        <v>1.03</v>
      </c>
      <c r="G486">
        <v>2.0640000000000001</v>
      </c>
      <c r="H486">
        <v>10.896699999999999</v>
      </c>
      <c r="K486">
        <v>0.72040000000000004</v>
      </c>
      <c r="L486">
        <v>2.7844000000000002</v>
      </c>
      <c r="M486">
        <v>0.27700000000000002</v>
      </c>
      <c r="N486">
        <v>1.0169999999999999</v>
      </c>
      <c r="O486">
        <v>0.629</v>
      </c>
      <c r="P486">
        <v>1E-3</v>
      </c>
      <c r="Q486">
        <v>2E-3</v>
      </c>
      <c r="R486">
        <v>0</v>
      </c>
      <c r="S486">
        <v>0</v>
      </c>
      <c r="T486">
        <v>0.99</v>
      </c>
      <c r="U486">
        <v>0.39</v>
      </c>
    </row>
    <row r="487" spans="1:21" x14ac:dyDescent="0.25">
      <c r="A487" t="s">
        <v>746</v>
      </c>
      <c r="B487" t="s">
        <v>3</v>
      </c>
      <c r="D487" t="s">
        <v>20</v>
      </c>
      <c r="E487">
        <v>0.98</v>
      </c>
      <c r="G487">
        <v>2.5619999999999998</v>
      </c>
      <c r="H487">
        <v>6.3468</v>
      </c>
      <c r="K487">
        <v>0.28649999999999998</v>
      </c>
      <c r="L487">
        <v>2.8485</v>
      </c>
      <c r="M487">
        <v>0.80400000000000005</v>
      </c>
      <c r="N487">
        <v>0.82199999999999995</v>
      </c>
      <c r="O487">
        <v>0.21299999999999999</v>
      </c>
      <c r="P487">
        <v>1E-3</v>
      </c>
      <c r="Q487">
        <v>2E-3</v>
      </c>
      <c r="R487">
        <v>0</v>
      </c>
      <c r="S487">
        <v>0</v>
      </c>
      <c r="T487">
        <v>14.686</v>
      </c>
      <c r="U487">
        <v>0.41</v>
      </c>
    </row>
    <row r="488" spans="1:21" x14ac:dyDescent="0.25">
      <c r="A488" t="s">
        <v>265</v>
      </c>
      <c r="B488" t="s">
        <v>3</v>
      </c>
      <c r="D488" t="s">
        <v>21</v>
      </c>
      <c r="E488">
        <v>3.11</v>
      </c>
      <c r="G488">
        <v>2.3919999999999999</v>
      </c>
      <c r="H488">
        <v>10.5573</v>
      </c>
      <c r="K488">
        <v>0.70550000000000002</v>
      </c>
      <c r="L488">
        <v>3.0975000000000001</v>
      </c>
      <c r="M488">
        <v>0.93300000000000005</v>
      </c>
      <c r="N488">
        <v>1.2110000000000001</v>
      </c>
      <c r="O488">
        <v>0.64800000000000002</v>
      </c>
      <c r="P488">
        <v>1E-3</v>
      </c>
      <c r="Q488">
        <v>2E-3</v>
      </c>
      <c r="R488">
        <v>0</v>
      </c>
      <c r="S488">
        <v>0</v>
      </c>
      <c r="T488">
        <v>4.3099999999999996</v>
      </c>
      <c r="U488">
        <v>0.41</v>
      </c>
    </row>
    <row r="489" spans="1:21" x14ac:dyDescent="0.25">
      <c r="A489" t="s">
        <v>367</v>
      </c>
      <c r="B489" t="s">
        <v>3</v>
      </c>
      <c r="D489" t="s">
        <v>2</v>
      </c>
      <c r="E489">
        <v>3.1</v>
      </c>
      <c r="G489">
        <v>4.8049999999999997</v>
      </c>
      <c r="H489">
        <v>10.825200000000001</v>
      </c>
      <c r="K489">
        <v>0.88039999999999996</v>
      </c>
      <c r="L489">
        <v>5.6853999999999996</v>
      </c>
      <c r="M489">
        <v>0.45200000000000001</v>
      </c>
      <c r="N489">
        <v>1.1850000000000001</v>
      </c>
      <c r="O489">
        <v>0.42399999999999999</v>
      </c>
      <c r="P489">
        <v>1E-3</v>
      </c>
      <c r="Q489">
        <v>2E-3</v>
      </c>
      <c r="R489">
        <v>0</v>
      </c>
      <c r="S489">
        <v>0</v>
      </c>
      <c r="T489">
        <v>2.1230000000000002</v>
      </c>
      <c r="U489">
        <v>0.57999999999999996</v>
      </c>
    </row>
    <row r="490" spans="1:21" x14ac:dyDescent="0.25">
      <c r="A490" t="s">
        <v>315</v>
      </c>
      <c r="B490" t="s">
        <v>3</v>
      </c>
      <c r="D490" t="s">
        <v>28</v>
      </c>
      <c r="E490">
        <v>2.95</v>
      </c>
      <c r="G490">
        <v>4.5679999999999996</v>
      </c>
      <c r="H490">
        <v>7.5678999999999998</v>
      </c>
      <c r="K490">
        <v>0.5968</v>
      </c>
      <c r="L490">
        <v>5.1647999999999996</v>
      </c>
      <c r="M490">
        <v>0.27400000000000002</v>
      </c>
      <c r="N490">
        <v>0.82099999999999995</v>
      </c>
      <c r="O490">
        <v>0.25800000000000001</v>
      </c>
      <c r="P490">
        <v>1E-3</v>
      </c>
      <c r="Q490">
        <v>2E-3</v>
      </c>
      <c r="R490">
        <v>0</v>
      </c>
      <c r="S490">
        <v>0</v>
      </c>
      <c r="T490">
        <v>3.8969999999999998</v>
      </c>
      <c r="U490">
        <v>0.44</v>
      </c>
    </row>
    <row r="491" spans="1:21" x14ac:dyDescent="0.25">
      <c r="A491" t="s">
        <v>1205</v>
      </c>
      <c r="B491" t="s">
        <v>3</v>
      </c>
      <c r="D491" t="s">
        <v>27</v>
      </c>
      <c r="E491">
        <v>1.44</v>
      </c>
      <c r="G491">
        <v>2.1230000000000002</v>
      </c>
      <c r="H491">
        <v>10.753</v>
      </c>
      <c r="K491">
        <v>0.53839999999999999</v>
      </c>
      <c r="L491">
        <v>2.6614</v>
      </c>
      <c r="M491">
        <v>0.76800000000000002</v>
      </c>
      <c r="N491">
        <v>1.538</v>
      </c>
      <c r="O491">
        <v>0.26900000000000002</v>
      </c>
      <c r="P491">
        <v>1E-3</v>
      </c>
      <c r="Q491">
        <v>2E-3</v>
      </c>
      <c r="R491">
        <v>0</v>
      </c>
      <c r="S491">
        <v>0</v>
      </c>
      <c r="T491">
        <v>0.53500000000000003</v>
      </c>
      <c r="U491">
        <v>0.61</v>
      </c>
    </row>
    <row r="492" spans="1:21" x14ac:dyDescent="0.25">
      <c r="A492" t="s">
        <v>284</v>
      </c>
      <c r="B492" t="s">
        <v>3</v>
      </c>
      <c r="D492" t="s">
        <v>15</v>
      </c>
      <c r="E492">
        <v>2.83</v>
      </c>
      <c r="G492">
        <v>2.8809999999999998</v>
      </c>
      <c r="H492">
        <v>7.4320000000000004</v>
      </c>
      <c r="K492">
        <v>0.68389999999999995</v>
      </c>
      <c r="L492">
        <v>3.5649000000000002</v>
      </c>
      <c r="M492">
        <v>0.51600000000000001</v>
      </c>
      <c r="N492">
        <v>1.0620000000000001</v>
      </c>
      <c r="O492">
        <v>0.28499999999999998</v>
      </c>
      <c r="P492">
        <v>1E-3</v>
      </c>
      <c r="Q492">
        <v>2E-3</v>
      </c>
      <c r="R492">
        <v>0</v>
      </c>
      <c r="S492">
        <v>0</v>
      </c>
      <c r="T492">
        <v>8.26</v>
      </c>
      <c r="U492">
        <v>0.43</v>
      </c>
    </row>
    <row r="493" spans="1:21" x14ac:dyDescent="0.25">
      <c r="A493" t="s">
        <v>777</v>
      </c>
      <c r="B493" t="s">
        <v>3</v>
      </c>
      <c r="D493" t="s">
        <v>17</v>
      </c>
      <c r="E493">
        <v>1.38</v>
      </c>
      <c r="G493">
        <v>3.9929999999999999</v>
      </c>
      <c r="H493">
        <v>10.431699999999999</v>
      </c>
      <c r="K493">
        <v>0.59730000000000005</v>
      </c>
      <c r="L493">
        <v>4.5903</v>
      </c>
      <c r="M493">
        <v>1.607</v>
      </c>
      <c r="N493">
        <v>1.0269999999999999</v>
      </c>
      <c r="O493">
        <v>0.247</v>
      </c>
      <c r="P493">
        <v>1E-3</v>
      </c>
      <c r="Q493">
        <v>2E-3</v>
      </c>
      <c r="R493">
        <v>0</v>
      </c>
      <c r="S493">
        <v>0</v>
      </c>
      <c r="T493">
        <v>0.56799999999999995</v>
      </c>
      <c r="U493">
        <v>0.59</v>
      </c>
    </row>
    <row r="494" spans="1:21" x14ac:dyDescent="0.25">
      <c r="A494" t="s">
        <v>560</v>
      </c>
      <c r="B494" t="s">
        <v>3</v>
      </c>
      <c r="D494" t="s">
        <v>30</v>
      </c>
      <c r="E494">
        <v>1.46</v>
      </c>
      <c r="G494">
        <v>3.157</v>
      </c>
      <c r="H494">
        <v>5.577</v>
      </c>
      <c r="K494">
        <v>0.38779999999999998</v>
      </c>
      <c r="L494">
        <v>3.5448</v>
      </c>
      <c r="M494">
        <v>1.9239999999999999</v>
      </c>
      <c r="N494">
        <v>1.1870000000000001</v>
      </c>
      <c r="O494">
        <v>0.20799999999999999</v>
      </c>
      <c r="P494">
        <v>1E-3</v>
      </c>
      <c r="Q494">
        <v>2E-3</v>
      </c>
      <c r="R494">
        <v>0</v>
      </c>
      <c r="S494">
        <v>0</v>
      </c>
      <c r="T494">
        <v>1.9890000000000001</v>
      </c>
      <c r="U494">
        <v>0.65</v>
      </c>
    </row>
    <row r="495" spans="1:21" x14ac:dyDescent="0.25">
      <c r="A495" t="s">
        <v>964</v>
      </c>
      <c r="B495" t="s">
        <v>3</v>
      </c>
      <c r="D495" t="s">
        <v>34</v>
      </c>
      <c r="E495">
        <v>2.59</v>
      </c>
      <c r="G495">
        <v>4.4720000000000004</v>
      </c>
      <c r="H495">
        <v>9.4502000000000006</v>
      </c>
      <c r="K495">
        <v>0.86560000000000004</v>
      </c>
      <c r="L495">
        <v>5.3376000000000001</v>
      </c>
      <c r="M495">
        <v>0.48199999999999998</v>
      </c>
      <c r="N495">
        <v>0.57399999999999995</v>
      </c>
      <c r="O495">
        <v>0.27</v>
      </c>
      <c r="P495">
        <v>1E-3</v>
      </c>
      <c r="Q495">
        <v>2E-3</v>
      </c>
      <c r="R495">
        <v>0</v>
      </c>
      <c r="S495">
        <v>0</v>
      </c>
      <c r="T495">
        <v>2.5350000000000001</v>
      </c>
      <c r="U495">
        <v>0.56999999999999995</v>
      </c>
    </row>
    <row r="496" spans="1:21" x14ac:dyDescent="0.25">
      <c r="A496" t="s">
        <v>304</v>
      </c>
      <c r="B496" t="s">
        <v>3</v>
      </c>
      <c r="D496" t="s">
        <v>14</v>
      </c>
      <c r="E496">
        <v>2.8</v>
      </c>
      <c r="G496">
        <v>3.4529999999999998</v>
      </c>
      <c r="H496">
        <v>8.3782999999999994</v>
      </c>
      <c r="K496">
        <v>0.77900000000000003</v>
      </c>
      <c r="L496">
        <v>4.2320000000000002</v>
      </c>
      <c r="M496">
        <v>0.27500000000000002</v>
      </c>
      <c r="N496">
        <v>1.097</v>
      </c>
      <c r="O496">
        <v>0.33300000000000002</v>
      </c>
      <c r="P496">
        <v>1E-3</v>
      </c>
      <c r="Q496">
        <v>2E-3</v>
      </c>
      <c r="R496">
        <v>0</v>
      </c>
      <c r="S496">
        <v>0</v>
      </c>
      <c r="T496">
        <v>0.871</v>
      </c>
      <c r="U496">
        <v>0.83</v>
      </c>
    </row>
    <row r="497" spans="1:21" x14ac:dyDescent="0.25">
      <c r="A497" t="s">
        <v>411</v>
      </c>
      <c r="B497" t="s">
        <v>3</v>
      </c>
      <c r="D497" t="s">
        <v>32</v>
      </c>
      <c r="E497">
        <v>1.34</v>
      </c>
      <c r="G497">
        <v>1.6419999999999999</v>
      </c>
      <c r="H497">
        <v>6.4081000000000001</v>
      </c>
      <c r="K497">
        <v>0.36759999999999998</v>
      </c>
      <c r="L497">
        <v>2.0095999999999998</v>
      </c>
      <c r="M497">
        <v>0.77500000000000002</v>
      </c>
      <c r="N497">
        <v>1.198</v>
      </c>
      <c r="O497">
        <v>0.53</v>
      </c>
      <c r="P497">
        <v>1E-3</v>
      </c>
      <c r="Q497">
        <v>2E-3</v>
      </c>
      <c r="R497">
        <v>0</v>
      </c>
      <c r="S497">
        <v>0</v>
      </c>
      <c r="T497">
        <v>2.9409999999999998</v>
      </c>
      <c r="U497">
        <v>0.43</v>
      </c>
    </row>
    <row r="498" spans="1:21" x14ac:dyDescent="0.25">
      <c r="A498" t="s">
        <v>614</v>
      </c>
      <c r="B498" t="s">
        <v>3</v>
      </c>
      <c r="D498" t="s">
        <v>25</v>
      </c>
      <c r="E498">
        <v>3.96</v>
      </c>
      <c r="G498">
        <v>3.2</v>
      </c>
      <c r="H498">
        <v>6.6036999999999999</v>
      </c>
      <c r="K498">
        <v>0.4254</v>
      </c>
      <c r="L498">
        <v>3.6254</v>
      </c>
      <c r="M498">
        <v>0.41799999999999998</v>
      </c>
      <c r="N498">
        <v>0.91600000000000004</v>
      </c>
      <c r="O498">
        <v>0.29799999999999999</v>
      </c>
      <c r="P498">
        <v>2E-3</v>
      </c>
      <c r="Q498">
        <v>2E-3</v>
      </c>
      <c r="R498">
        <v>0</v>
      </c>
      <c r="S498">
        <v>0</v>
      </c>
      <c r="T498">
        <v>1.252</v>
      </c>
      <c r="U498">
        <v>0.53</v>
      </c>
    </row>
    <row r="499" spans="1:21" x14ac:dyDescent="0.25">
      <c r="A499" t="s">
        <v>381</v>
      </c>
      <c r="B499" t="s">
        <v>3</v>
      </c>
      <c r="D499" t="s">
        <v>7</v>
      </c>
      <c r="E499">
        <v>2.77</v>
      </c>
      <c r="G499">
        <v>4.194</v>
      </c>
      <c r="H499">
        <v>9.3228000000000009</v>
      </c>
      <c r="K499">
        <v>0.63570000000000004</v>
      </c>
      <c r="L499">
        <v>4.8296999999999999</v>
      </c>
      <c r="M499">
        <v>0.13</v>
      </c>
      <c r="N499">
        <v>0.95099999999999996</v>
      </c>
      <c r="O499">
        <v>1.0209999999999999</v>
      </c>
      <c r="P499">
        <v>1E-3</v>
      </c>
      <c r="Q499">
        <v>2E-3</v>
      </c>
      <c r="R499">
        <v>0</v>
      </c>
      <c r="S499">
        <v>0</v>
      </c>
      <c r="T499">
        <v>1.621</v>
      </c>
      <c r="U499">
        <v>0.39</v>
      </c>
    </row>
    <row r="500" spans="1:21" x14ac:dyDescent="0.25">
      <c r="A500" t="s">
        <v>241</v>
      </c>
      <c r="B500" t="s">
        <v>3</v>
      </c>
      <c r="D500" t="s">
        <v>19</v>
      </c>
      <c r="E500">
        <v>3.18</v>
      </c>
      <c r="G500">
        <v>5.2619999999999996</v>
      </c>
      <c r="H500">
        <v>8.7537000000000003</v>
      </c>
      <c r="K500">
        <v>0.7339</v>
      </c>
      <c r="L500">
        <v>5.9958999999999998</v>
      </c>
      <c r="M500">
        <v>0.73099999999999998</v>
      </c>
      <c r="N500">
        <v>1.0549999999999999</v>
      </c>
      <c r="O500">
        <v>0.39</v>
      </c>
      <c r="P500">
        <v>1E-3</v>
      </c>
      <c r="Q500">
        <v>2E-3</v>
      </c>
      <c r="R500">
        <v>0</v>
      </c>
      <c r="S500">
        <v>0</v>
      </c>
      <c r="T500">
        <v>5.5060000000000002</v>
      </c>
      <c r="U500">
        <v>0.62</v>
      </c>
    </row>
    <row r="501" spans="1:21" x14ac:dyDescent="0.25">
      <c r="A501" t="s">
        <v>1024</v>
      </c>
      <c r="B501" t="s">
        <v>3</v>
      </c>
      <c r="D501" t="s">
        <v>13</v>
      </c>
      <c r="E501">
        <v>1.37</v>
      </c>
      <c r="G501">
        <v>3.5489999999999999</v>
      </c>
      <c r="H501">
        <v>7.7656999999999998</v>
      </c>
      <c r="K501">
        <v>0.47689999999999999</v>
      </c>
      <c r="L501">
        <v>4.0259</v>
      </c>
      <c r="M501">
        <v>0.31900000000000001</v>
      </c>
      <c r="N501">
        <v>0.77900000000000003</v>
      </c>
      <c r="O501">
        <v>0.69599999999999995</v>
      </c>
      <c r="P501">
        <v>2E-3</v>
      </c>
      <c r="Q501">
        <v>2E-3</v>
      </c>
      <c r="R501">
        <v>0</v>
      </c>
      <c r="S501">
        <v>0</v>
      </c>
      <c r="T501">
        <v>3.4039999999999999</v>
      </c>
      <c r="U501">
        <v>0.4</v>
      </c>
    </row>
    <row r="502" spans="1:21" x14ac:dyDescent="0.25">
      <c r="A502" t="s">
        <v>393</v>
      </c>
      <c r="B502" t="s">
        <v>3</v>
      </c>
      <c r="D502" t="s">
        <v>87</v>
      </c>
      <c r="E502">
        <v>2.74</v>
      </c>
      <c r="G502">
        <v>4.5010000000000003</v>
      </c>
      <c r="H502">
        <v>6.4127999999999998</v>
      </c>
      <c r="K502">
        <v>0.58109999999999995</v>
      </c>
      <c r="L502">
        <v>5.0820999999999996</v>
      </c>
      <c r="M502">
        <v>1.0620000000000001</v>
      </c>
      <c r="N502">
        <v>0.66400000000000003</v>
      </c>
      <c r="O502">
        <v>0.55100000000000005</v>
      </c>
      <c r="P502">
        <v>1E-3</v>
      </c>
      <c r="Q502">
        <v>2E-3</v>
      </c>
      <c r="R502">
        <v>0</v>
      </c>
      <c r="S502">
        <v>0</v>
      </c>
      <c r="T502">
        <v>0.317</v>
      </c>
      <c r="U502">
        <v>0.61</v>
      </c>
    </row>
    <row r="503" spans="1:21" x14ac:dyDescent="0.25">
      <c r="A503" t="s">
        <v>443</v>
      </c>
      <c r="B503" t="s">
        <v>3</v>
      </c>
      <c r="D503" t="s">
        <v>902</v>
      </c>
      <c r="E503">
        <v>1.08</v>
      </c>
      <c r="G503">
        <v>2.714</v>
      </c>
      <c r="H503">
        <v>7.2488000000000001</v>
      </c>
      <c r="K503">
        <v>0.42549999999999999</v>
      </c>
      <c r="L503">
        <v>3.1395</v>
      </c>
      <c r="M503">
        <v>0.313</v>
      </c>
      <c r="N503">
        <v>0.77600000000000002</v>
      </c>
      <c r="O503">
        <v>0.32900000000000001</v>
      </c>
      <c r="P503">
        <v>2E-3</v>
      </c>
      <c r="Q503">
        <v>2E-3</v>
      </c>
      <c r="R503">
        <v>0</v>
      </c>
      <c r="S503">
        <v>0</v>
      </c>
      <c r="T503">
        <v>3.899</v>
      </c>
      <c r="U503">
        <v>0.48</v>
      </c>
    </row>
    <row r="504" spans="1:21" x14ac:dyDescent="0.25">
      <c r="A504" t="s">
        <v>326</v>
      </c>
      <c r="B504" t="s">
        <v>3</v>
      </c>
      <c r="D504" t="s">
        <v>23</v>
      </c>
      <c r="E504">
        <v>2.72</v>
      </c>
      <c r="G504">
        <v>3.089</v>
      </c>
      <c r="H504">
        <v>10.535299999999999</v>
      </c>
      <c r="K504">
        <v>0.64870000000000005</v>
      </c>
      <c r="L504">
        <v>3.7376999999999998</v>
      </c>
      <c r="M504">
        <v>0.318</v>
      </c>
      <c r="N504">
        <v>0.59</v>
      </c>
      <c r="O504">
        <v>0.55200000000000005</v>
      </c>
      <c r="P504">
        <v>1E-3</v>
      </c>
      <c r="Q504">
        <v>2E-3</v>
      </c>
      <c r="R504">
        <v>0</v>
      </c>
      <c r="S504">
        <v>0</v>
      </c>
      <c r="T504">
        <v>0</v>
      </c>
      <c r="U504">
        <v>0</v>
      </c>
    </row>
    <row r="505" spans="1:21" x14ac:dyDescent="0.25">
      <c r="A505" t="s">
        <v>1212</v>
      </c>
      <c r="E505">
        <v>2.8</v>
      </c>
      <c r="G505">
        <v>5.25</v>
      </c>
      <c r="H505">
        <v>9.35</v>
      </c>
      <c r="K505">
        <v>0.56420569105691032</v>
      </c>
      <c r="L505">
        <v>5.8142056910569107</v>
      </c>
      <c r="M505">
        <v>0.72532439024390227</v>
      </c>
      <c r="N505">
        <v>0.74021382113821133</v>
      </c>
      <c r="O505">
        <v>0.3</v>
      </c>
      <c r="P505">
        <v>1E-3</v>
      </c>
      <c r="Q505">
        <v>2.8300000000000089E-2</v>
      </c>
      <c r="R505">
        <v>0</v>
      </c>
      <c r="S505">
        <v>0</v>
      </c>
      <c r="T505">
        <v>16.367999999999999</v>
      </c>
      <c r="U505">
        <v>0.56999999999999995</v>
      </c>
    </row>
    <row r="506" spans="1:21" x14ac:dyDescent="0.25">
      <c r="A506" t="s">
        <v>1213</v>
      </c>
      <c r="E506">
        <v>2.75</v>
      </c>
      <c r="G506">
        <v>3.5</v>
      </c>
      <c r="H506">
        <v>9.7578966581323261</v>
      </c>
      <c r="K506">
        <v>1.5092845461078923</v>
      </c>
      <c r="L506">
        <v>5.0092999999999996</v>
      </c>
      <c r="M506">
        <v>0.91530200107802184</v>
      </c>
      <c r="N506">
        <v>0.12831274536226045</v>
      </c>
      <c r="O506">
        <v>0.79613901540672971</v>
      </c>
      <c r="P506">
        <v>0.16636878228450772</v>
      </c>
      <c r="Q506">
        <v>2.8299999999999902E-2</v>
      </c>
      <c r="R506">
        <v>3</v>
      </c>
      <c r="S506">
        <v>2.5</v>
      </c>
      <c r="T506">
        <v>11.481999999999999</v>
      </c>
      <c r="U506">
        <v>0.39</v>
      </c>
    </row>
    <row r="507" spans="1:21" x14ac:dyDescent="0.25">
      <c r="A507" t="s">
        <v>1214</v>
      </c>
      <c r="E507">
        <v>1.5</v>
      </c>
      <c r="F507">
        <v>1.543186578628218</v>
      </c>
      <c r="G507">
        <v>2.1010432354130151</v>
      </c>
      <c r="H507">
        <v>9.7578966581323261</v>
      </c>
      <c r="I507">
        <v>0.14839629879171734</v>
      </c>
      <c r="J507">
        <v>1.4781173000044918</v>
      </c>
      <c r="K507">
        <v>1.5092845461078923</v>
      </c>
      <c r="L507">
        <v>3.6073056820733926</v>
      </c>
      <c r="M507">
        <v>0.91530200107802184</v>
      </c>
      <c r="N507">
        <v>0.12831274536226045</v>
      </c>
      <c r="O507">
        <v>0.79613901540672971</v>
      </c>
      <c r="P507">
        <v>0.16636878228450772</v>
      </c>
      <c r="Q507">
        <v>2.8299999999999902E-2</v>
      </c>
      <c r="R507">
        <v>1.5</v>
      </c>
      <c r="S507">
        <v>1.5</v>
      </c>
      <c r="T507">
        <v>5.0709999999999997</v>
      </c>
      <c r="U507">
        <v>0.37</v>
      </c>
    </row>
    <row r="508" spans="1:21" x14ac:dyDescent="0.25">
      <c r="A508" t="s">
        <v>1215</v>
      </c>
      <c r="E508">
        <v>1.35</v>
      </c>
      <c r="F508">
        <v>1.543186578628218</v>
      </c>
      <c r="G508">
        <v>2.1010432354130151</v>
      </c>
      <c r="H508">
        <v>9.7578966581323261</v>
      </c>
      <c r="I508">
        <v>0.14839629879171734</v>
      </c>
      <c r="J508">
        <v>1.4781173000044918</v>
      </c>
      <c r="K508">
        <v>1.5092845461078923</v>
      </c>
      <c r="L508">
        <v>3.6073056820733926</v>
      </c>
      <c r="M508">
        <v>0.91530200107802184</v>
      </c>
      <c r="N508">
        <v>0.12831274536226045</v>
      </c>
      <c r="O508">
        <v>0.79613901540672971</v>
      </c>
      <c r="P508">
        <v>0.16636878228450772</v>
      </c>
      <c r="Q508">
        <v>2.8299999999999902E-2</v>
      </c>
      <c r="R508">
        <v>1</v>
      </c>
      <c r="S508">
        <v>1</v>
      </c>
      <c r="T508">
        <v>1.25</v>
      </c>
      <c r="U508">
        <v>0.68</v>
      </c>
    </row>
    <row r="509" spans="1:21" x14ac:dyDescent="0.25">
      <c r="A509" t="s">
        <v>262</v>
      </c>
      <c r="E509">
        <v>3.35</v>
      </c>
      <c r="F509">
        <v>1.543186578628218</v>
      </c>
      <c r="G509">
        <v>2.25</v>
      </c>
      <c r="H509">
        <v>11</v>
      </c>
      <c r="I509">
        <v>0.14839629879171734</v>
      </c>
      <c r="J509">
        <v>1.4781173000044918</v>
      </c>
      <c r="K509">
        <v>2</v>
      </c>
      <c r="L509">
        <v>3.6073056820733926</v>
      </c>
      <c r="M509">
        <v>0.91530200107802184</v>
      </c>
      <c r="N509">
        <v>0.12831274536226045</v>
      </c>
      <c r="O509">
        <v>0.9</v>
      </c>
      <c r="P509">
        <v>0.16636878228450772</v>
      </c>
      <c r="Q509">
        <v>2.8299999999999902E-2</v>
      </c>
      <c r="R509">
        <v>12.5</v>
      </c>
      <c r="S509">
        <v>10.5</v>
      </c>
      <c r="T509">
        <v>-1E-3</v>
      </c>
      <c r="U509">
        <v>1.06</v>
      </c>
    </row>
    <row r="510" spans="1:21" x14ac:dyDescent="0.25">
      <c r="A510" t="s">
        <v>1216</v>
      </c>
      <c r="E510">
        <v>0.6</v>
      </c>
      <c r="F510">
        <v>1.543186578628218</v>
      </c>
      <c r="G510">
        <v>2.1010432354130151</v>
      </c>
      <c r="H510">
        <v>9.7578966581323261</v>
      </c>
      <c r="I510">
        <v>0.14839629879171734</v>
      </c>
      <c r="J510">
        <v>1.4781173000044918</v>
      </c>
      <c r="K510">
        <v>1.5092845461078923</v>
      </c>
      <c r="L510">
        <v>3.6073056820733926</v>
      </c>
      <c r="M510">
        <v>0.91530200107802184</v>
      </c>
      <c r="N510">
        <v>0.12831274536226045</v>
      </c>
      <c r="O510">
        <v>0.79613901540672971</v>
      </c>
      <c r="P510">
        <v>0.16636878228450772</v>
      </c>
      <c r="Q510">
        <v>2.8299999999999902E-2</v>
      </c>
      <c r="R510">
        <v>1</v>
      </c>
      <c r="S510">
        <v>1</v>
      </c>
      <c r="T510">
        <v>13.868</v>
      </c>
      <c r="U510">
        <v>0.62</v>
      </c>
    </row>
    <row r="511" spans="1:21" x14ac:dyDescent="0.25">
      <c r="A511" t="s">
        <v>1217</v>
      </c>
      <c r="E511">
        <v>2.5</v>
      </c>
      <c r="F511">
        <v>1.543186578628218</v>
      </c>
      <c r="G511">
        <v>2.1010432354130151</v>
      </c>
      <c r="H511">
        <v>11.5</v>
      </c>
      <c r="I511">
        <v>0.14839629879171734</v>
      </c>
      <c r="J511">
        <v>1.4781173000044918</v>
      </c>
      <c r="K511">
        <v>2</v>
      </c>
      <c r="L511">
        <v>3.6073056820733926</v>
      </c>
      <c r="M511">
        <v>0.91530200107802184</v>
      </c>
      <c r="N511">
        <v>0.12831274536226045</v>
      </c>
      <c r="O511">
        <v>0.79613901540672971</v>
      </c>
      <c r="P511">
        <v>0.16636878228450772</v>
      </c>
      <c r="Q511">
        <v>2.8299999999999902E-2</v>
      </c>
      <c r="R511">
        <v>8.3870492094506588</v>
      </c>
      <c r="S511">
        <v>7.1478056663522453</v>
      </c>
      <c r="T511">
        <v>0.77100000000000002</v>
      </c>
      <c r="U511">
        <v>0.5</v>
      </c>
    </row>
    <row r="512" spans="1:21" x14ac:dyDescent="0.25">
      <c r="A512" t="s">
        <v>1218</v>
      </c>
      <c r="E512">
        <v>2.5</v>
      </c>
      <c r="F512">
        <v>1.543186578628218</v>
      </c>
      <c r="G512">
        <v>2.1010432354130151</v>
      </c>
      <c r="H512">
        <v>9.7578966581323261</v>
      </c>
      <c r="I512">
        <v>0.14839629879171734</v>
      </c>
      <c r="J512">
        <v>1.4781173000044918</v>
      </c>
      <c r="K512">
        <v>1.5092845461078923</v>
      </c>
      <c r="L512">
        <v>3.6073056820733926</v>
      </c>
      <c r="M512">
        <v>0.91530200107802184</v>
      </c>
      <c r="N512">
        <v>0.12831274536226045</v>
      </c>
      <c r="O512">
        <v>0.79613901540672971</v>
      </c>
      <c r="P512">
        <v>0.16636878228450772</v>
      </c>
      <c r="Q512">
        <v>2.8299999999999902E-2</v>
      </c>
      <c r="R512">
        <v>8.3870492094506588</v>
      </c>
      <c r="S512">
        <v>7.1478056663522453</v>
      </c>
      <c r="T512">
        <v>0.39700000000000002</v>
      </c>
      <c r="U512">
        <v>0.64</v>
      </c>
    </row>
    <row r="513" spans="1:21" x14ac:dyDescent="0.25">
      <c r="A513" t="s">
        <v>1068</v>
      </c>
      <c r="E513">
        <v>1.8</v>
      </c>
      <c r="F513">
        <v>1.543186578628218</v>
      </c>
      <c r="G513">
        <v>2.1010432354130151</v>
      </c>
      <c r="H513">
        <v>9.7578966581323261</v>
      </c>
      <c r="I513">
        <v>0.14839629879171734</v>
      </c>
      <c r="J513">
        <v>1.4781173000044918</v>
      </c>
      <c r="K513">
        <v>1.5092845461078923</v>
      </c>
      <c r="L513">
        <v>3.6073056820733926</v>
      </c>
      <c r="M513">
        <v>0.91530200107802184</v>
      </c>
      <c r="N513">
        <v>0.12831274536226045</v>
      </c>
      <c r="O513">
        <v>0.79613901540672971</v>
      </c>
      <c r="P513">
        <v>0.16636878228450772</v>
      </c>
      <c r="Q513">
        <v>2.8299999999999902E-2</v>
      </c>
      <c r="R513">
        <v>8.3870492094506588</v>
      </c>
      <c r="S513">
        <v>7.1478056663522453</v>
      </c>
      <c r="T513">
        <v>0</v>
      </c>
      <c r="U513">
        <v>0</v>
      </c>
    </row>
    <row r="514" spans="1:21" x14ac:dyDescent="0.25">
      <c r="A514" t="s">
        <v>1189</v>
      </c>
      <c r="E514">
        <v>0.75</v>
      </c>
      <c r="F514">
        <v>0.40564146341463436</v>
      </c>
      <c r="G514">
        <v>3.1811512195121963</v>
      </c>
      <c r="H514">
        <v>9.0483902439024355</v>
      </c>
      <c r="I514">
        <v>7.7960162601625999E-2</v>
      </c>
      <c r="J514">
        <v>0.72276260162601635</v>
      </c>
      <c r="K514">
        <v>0.56420569105691032</v>
      </c>
      <c r="L514">
        <v>3.7453569105691056</v>
      </c>
      <c r="M514">
        <v>0.72532439024390227</v>
      </c>
      <c r="N514">
        <v>0.74021382113821133</v>
      </c>
      <c r="O514">
        <v>0.56982357723577215</v>
      </c>
      <c r="P514">
        <v>0.11649918699186985</v>
      </c>
      <c r="Q514">
        <v>2.8300000000000089E-2</v>
      </c>
      <c r="R514">
        <v>0</v>
      </c>
      <c r="S514">
        <v>0</v>
      </c>
      <c r="T514">
        <v>14.076000000000001</v>
      </c>
      <c r="U514">
        <v>0.5</v>
      </c>
    </row>
    <row r="515" spans="1:21" x14ac:dyDescent="0.25">
      <c r="A515" t="s">
        <v>1150</v>
      </c>
      <c r="E515">
        <v>0.5</v>
      </c>
      <c r="F515">
        <v>1.543186578628218</v>
      </c>
      <c r="G515">
        <v>2.1010432354130151</v>
      </c>
      <c r="H515">
        <v>9.7578966581323261</v>
      </c>
      <c r="I515">
        <v>0.14839629879171734</v>
      </c>
      <c r="J515">
        <v>1.4781173000044918</v>
      </c>
      <c r="K515">
        <v>1.5092845461078923</v>
      </c>
      <c r="L515">
        <v>3.6073056820733926</v>
      </c>
      <c r="M515">
        <v>0.91530200107802184</v>
      </c>
      <c r="N515">
        <v>0.12831274536226045</v>
      </c>
      <c r="O515">
        <v>0.79613901540672971</v>
      </c>
      <c r="P515">
        <v>0.16636878228450772</v>
      </c>
      <c r="Q515">
        <v>2.8299999999999902E-2</v>
      </c>
      <c r="R515">
        <v>8.3870492094506588</v>
      </c>
      <c r="S515">
        <v>7.1478056663522453</v>
      </c>
      <c r="T515">
        <v>9.2669999999999995</v>
      </c>
      <c r="U515">
        <v>0.55000000000000004</v>
      </c>
    </row>
    <row r="516" spans="1:21" x14ac:dyDescent="0.25">
      <c r="A516" t="s">
        <v>1211</v>
      </c>
      <c r="E516">
        <v>1.25</v>
      </c>
      <c r="F516">
        <v>1.543186578628218</v>
      </c>
      <c r="G516">
        <v>2.1010432354130151</v>
      </c>
      <c r="H516">
        <v>9.7578966581323261</v>
      </c>
      <c r="I516">
        <v>0.14839629879171734</v>
      </c>
      <c r="J516">
        <v>1.4781173000044918</v>
      </c>
      <c r="K516">
        <v>1.5092845461078923</v>
      </c>
      <c r="L516">
        <v>3.6073056820733926</v>
      </c>
      <c r="M516">
        <v>0.91530200107802184</v>
      </c>
      <c r="N516">
        <v>0.12831274536226045</v>
      </c>
      <c r="O516">
        <v>0.79613901540672971</v>
      </c>
      <c r="P516">
        <v>0.16636878228450772</v>
      </c>
      <c r="Q516">
        <v>2.8299999999999902E-2</v>
      </c>
      <c r="R516">
        <v>1.5</v>
      </c>
      <c r="S516">
        <v>1.5</v>
      </c>
      <c r="T516">
        <v>3.6</v>
      </c>
      <c r="U516">
        <v>0.4</v>
      </c>
    </row>
    <row r="517" spans="1:21" x14ac:dyDescent="0.25">
      <c r="A517" t="s">
        <v>1210</v>
      </c>
      <c r="E517">
        <v>1.5</v>
      </c>
      <c r="F517">
        <v>1.543186578628218</v>
      </c>
      <c r="G517">
        <v>2.1010432354130151</v>
      </c>
      <c r="H517">
        <v>9.7578966581323261</v>
      </c>
      <c r="I517">
        <v>0.14839629879171734</v>
      </c>
      <c r="J517">
        <v>1.4781173000044918</v>
      </c>
      <c r="K517">
        <v>1.5092845461078923</v>
      </c>
      <c r="L517">
        <v>3.6073056820733926</v>
      </c>
      <c r="M517">
        <v>0.91530200107802184</v>
      </c>
      <c r="N517">
        <v>0.12831274536226045</v>
      </c>
      <c r="O517">
        <v>0.79613901540672971</v>
      </c>
      <c r="P517">
        <v>0.16636878228450772</v>
      </c>
      <c r="Q517">
        <v>2.8299999999999902E-2</v>
      </c>
      <c r="R517">
        <v>1.5</v>
      </c>
      <c r="S517">
        <v>1.5</v>
      </c>
      <c r="T517">
        <v>2.6150000000000002</v>
      </c>
      <c r="U517">
        <v>0.56000000000000005</v>
      </c>
    </row>
    <row r="518" spans="1:21" x14ac:dyDescent="0.25">
      <c r="A518" t="s">
        <v>1220</v>
      </c>
      <c r="E518">
        <v>2.75</v>
      </c>
      <c r="G518">
        <v>3.5</v>
      </c>
      <c r="H518">
        <v>11</v>
      </c>
      <c r="K518">
        <v>1.5092845461078923</v>
      </c>
      <c r="L518">
        <v>5.0092999999999996</v>
      </c>
      <c r="M518">
        <v>0.91530200107802184</v>
      </c>
      <c r="N518">
        <v>0.12831274536226045</v>
      </c>
      <c r="O518">
        <v>0.79613901540672971</v>
      </c>
      <c r="P518">
        <v>0.16636878228450772</v>
      </c>
      <c r="Q518">
        <v>2.8299999999999902E-2</v>
      </c>
      <c r="R518">
        <v>12.5</v>
      </c>
      <c r="S518">
        <v>10.5</v>
      </c>
      <c r="T518">
        <v>1.698</v>
      </c>
      <c r="U518">
        <v>0.39</v>
      </c>
    </row>
    <row r="519" spans="1:21" x14ac:dyDescent="0.25">
      <c r="A519" t="s">
        <v>1221</v>
      </c>
      <c r="E519">
        <v>2.25</v>
      </c>
      <c r="F519">
        <v>1.543186578628218</v>
      </c>
      <c r="G519">
        <v>2.1010432354130151</v>
      </c>
      <c r="H519">
        <v>9.7578966581323261</v>
      </c>
      <c r="I519">
        <v>0.14839629879171734</v>
      </c>
      <c r="J519">
        <v>1.4781173000044918</v>
      </c>
      <c r="K519">
        <v>1.5092845461078923</v>
      </c>
      <c r="L519">
        <v>3.6073056820733926</v>
      </c>
      <c r="M519">
        <v>0.91530200107802184</v>
      </c>
      <c r="N519">
        <v>0.12831274536226045</v>
      </c>
      <c r="O519">
        <v>0.79613901540672971</v>
      </c>
      <c r="P519">
        <v>0.16636878228450772</v>
      </c>
      <c r="Q519">
        <v>2.8299999999999902E-2</v>
      </c>
      <c r="R519">
        <v>8.3870492094506588</v>
      </c>
      <c r="S519">
        <v>7.1478056663522453</v>
      </c>
      <c r="T519">
        <v>10.337999999999999</v>
      </c>
      <c r="U519">
        <v>0.57999999999999996</v>
      </c>
    </row>
    <row r="520" spans="1:21" x14ac:dyDescent="0.25">
      <c r="A520" t="s">
        <v>1224</v>
      </c>
      <c r="E520">
        <v>2</v>
      </c>
      <c r="F520">
        <v>0.40564146341463436</v>
      </c>
      <c r="G520">
        <v>3.1811512195121963</v>
      </c>
      <c r="H520">
        <v>9.0483902439024355</v>
      </c>
      <c r="I520">
        <v>7.7960162601625999E-2</v>
      </c>
      <c r="J520">
        <v>0.72276260162601635</v>
      </c>
      <c r="K520">
        <v>0.56420569105691032</v>
      </c>
      <c r="L520">
        <v>3.7453569105691056</v>
      </c>
      <c r="M520">
        <v>0.72532439024390227</v>
      </c>
      <c r="N520">
        <v>0.74021382113821133</v>
      </c>
      <c r="O520">
        <v>0.56982357723577215</v>
      </c>
      <c r="P520">
        <v>0.11649918699186985</v>
      </c>
      <c r="Q520">
        <v>2.8300000000000089E-2</v>
      </c>
      <c r="R520">
        <v>0</v>
      </c>
      <c r="S520">
        <v>0</v>
      </c>
      <c r="T520">
        <v>23.768000000000001</v>
      </c>
      <c r="U520">
        <v>0.59</v>
      </c>
    </row>
    <row r="521" spans="1:21" x14ac:dyDescent="0.25">
      <c r="A521" t="s">
        <v>1177</v>
      </c>
      <c r="E521">
        <v>1.7612195121951217</v>
      </c>
      <c r="F521">
        <v>0.40564146341463436</v>
      </c>
      <c r="G521">
        <v>3.1811512195121963</v>
      </c>
      <c r="H521">
        <v>9.0483902439024355</v>
      </c>
      <c r="I521">
        <v>7.7960162601625999E-2</v>
      </c>
      <c r="J521">
        <v>0.72276260162601635</v>
      </c>
      <c r="K521">
        <v>0.56420569105691032</v>
      </c>
      <c r="L521">
        <v>3.7453569105691056</v>
      </c>
      <c r="M521">
        <v>0.72532439024390227</v>
      </c>
      <c r="N521">
        <v>0.74021382113821133</v>
      </c>
      <c r="O521">
        <v>0.56982357723577215</v>
      </c>
      <c r="P521">
        <v>0.11649918699186985</v>
      </c>
      <c r="Q521">
        <v>2.8300000000000089E-2</v>
      </c>
      <c r="R521">
        <v>0</v>
      </c>
      <c r="S521">
        <v>0</v>
      </c>
      <c r="T521">
        <v>3.0960000000000001</v>
      </c>
      <c r="U521">
        <v>0.54</v>
      </c>
    </row>
    <row r="522" spans="1:21" x14ac:dyDescent="0.25">
      <c r="A522" t="s">
        <v>1071</v>
      </c>
      <c r="E522">
        <v>2.25</v>
      </c>
      <c r="F522">
        <v>0.40564146341463436</v>
      </c>
      <c r="G522">
        <v>3.75</v>
      </c>
      <c r="H522">
        <v>9.75</v>
      </c>
      <c r="I522">
        <v>7.7960162601625999E-2</v>
      </c>
      <c r="J522">
        <v>0.72276260162601635</v>
      </c>
      <c r="K522">
        <v>0.56420569105691032</v>
      </c>
      <c r="L522">
        <f>Table2[[#This Row],[Assists]]+Table2[[#This Row],[G3]]</f>
        <v>4.3142056910569107</v>
      </c>
      <c r="M522">
        <v>0.72532439024390227</v>
      </c>
      <c r="N522">
        <v>0.74021382113821133</v>
      </c>
      <c r="O522">
        <v>0.56982357723577215</v>
      </c>
      <c r="P522">
        <v>0.11649918699186985</v>
      </c>
      <c r="Q522">
        <v>2.8300000000000089E-2</v>
      </c>
      <c r="R522">
        <v>0</v>
      </c>
      <c r="S522">
        <v>0</v>
      </c>
      <c r="T522">
        <v>1.5182113821138212E-2</v>
      </c>
    </row>
    <row r="523" spans="1:21" x14ac:dyDescent="0.25">
      <c r="A523" t="s">
        <v>1263</v>
      </c>
      <c r="E523">
        <v>1.1499999999999999</v>
      </c>
      <c r="F523">
        <v>0.40564146341463436</v>
      </c>
      <c r="G523">
        <v>3.1811512195121963</v>
      </c>
      <c r="H523">
        <v>9.0483902439024355</v>
      </c>
      <c r="I523">
        <v>7.7960162601625999E-2</v>
      </c>
      <c r="J523">
        <v>0.72276260162601635</v>
      </c>
      <c r="K523">
        <v>0.56420569105691032</v>
      </c>
      <c r="L523">
        <v>3.7453569105691056</v>
      </c>
      <c r="M523">
        <v>0.72532439024390227</v>
      </c>
      <c r="N523">
        <v>0.74021382113821133</v>
      </c>
      <c r="O523">
        <v>0.56982357723577215</v>
      </c>
      <c r="P523">
        <v>0.11649918699186985</v>
      </c>
      <c r="Q523">
        <v>2.8300000000000089E-2</v>
      </c>
      <c r="R523">
        <v>0</v>
      </c>
      <c r="S523">
        <v>0</v>
      </c>
      <c r="T523">
        <v>1.5182113821138212E-2</v>
      </c>
    </row>
    <row r="526" spans="1:21" x14ac:dyDescent="0.25">
      <c r="D526" t="s">
        <v>24</v>
      </c>
      <c r="E526">
        <v>1.9646788393298291</v>
      </c>
      <c r="F526">
        <v>1.543186578628218</v>
      </c>
      <c r="G526">
        <v>2.1010432354130151</v>
      </c>
      <c r="H526">
        <v>9.7578966581323261</v>
      </c>
      <c r="I526">
        <v>0.14839629879171734</v>
      </c>
      <c r="J526">
        <v>1.4781173000044918</v>
      </c>
      <c r="K526">
        <v>1.5092845461078923</v>
      </c>
      <c r="L526">
        <v>3.6073056820733926</v>
      </c>
      <c r="M526">
        <v>0.91530200107802184</v>
      </c>
      <c r="N526">
        <v>0.12831274536226045</v>
      </c>
      <c r="O526">
        <v>0.79613901540672971</v>
      </c>
      <c r="P526">
        <v>0.16636878228450772</v>
      </c>
      <c r="Q526">
        <v>2.8299999999999902E-2</v>
      </c>
      <c r="R526">
        <v>8.3870492094506588</v>
      </c>
      <c r="S526">
        <v>7.1478056663522453</v>
      </c>
      <c r="T526">
        <v>0.48083144230337327</v>
      </c>
    </row>
    <row r="527" spans="1:21" x14ac:dyDescent="0.25">
      <c r="D527" t="s">
        <v>3</v>
      </c>
      <c r="E527">
        <v>1.7612195121951217</v>
      </c>
      <c r="F527">
        <v>0.40564146341463436</v>
      </c>
      <c r="G527">
        <v>3.1811512195121963</v>
      </c>
      <c r="H527">
        <v>9.0483902439024355</v>
      </c>
      <c r="I527">
        <v>7.7960162601625999E-2</v>
      </c>
      <c r="J527">
        <v>0.72276260162601635</v>
      </c>
      <c r="K527">
        <v>0.56420569105691032</v>
      </c>
      <c r="L527">
        <v>3.7453569105691056</v>
      </c>
      <c r="M527">
        <v>0.72532439024390227</v>
      </c>
      <c r="N527">
        <v>0.74021382113821133</v>
      </c>
      <c r="O527">
        <v>0.56982357723577215</v>
      </c>
      <c r="P527">
        <v>0.11649918699186985</v>
      </c>
      <c r="Q527">
        <v>2.8300000000000089E-2</v>
      </c>
      <c r="R527">
        <v>6.1382113821138208E-4</v>
      </c>
      <c r="S527">
        <v>6.5121951219512201E-4</v>
      </c>
      <c r="T527">
        <v>1.5182113821138212E-2</v>
      </c>
    </row>
  </sheetData>
  <phoneticPr fontId="18"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623"/>
  <sheetViews>
    <sheetView topLeftCell="A604" workbookViewId="0">
      <selection activeCell="A619" sqref="A619:XFD635"/>
    </sheetView>
  </sheetViews>
  <sheetFormatPr defaultRowHeight="15" x14ac:dyDescent="0.25"/>
  <cols>
    <col min="1" max="1" width="24.5703125" bestFit="1" customWidth="1"/>
  </cols>
  <sheetData>
    <row r="1" spans="1:19" x14ac:dyDescent="0.25">
      <c r="A1" t="s">
        <v>0</v>
      </c>
      <c r="B1" t="s">
        <v>55</v>
      </c>
      <c r="C1" t="s">
        <v>54</v>
      </c>
      <c r="D1" t="s">
        <v>53</v>
      </c>
      <c r="E1" t="s">
        <v>52</v>
      </c>
      <c r="F1" t="s">
        <v>51</v>
      </c>
      <c r="G1" t="s">
        <v>50</v>
      </c>
      <c r="H1" t="s">
        <v>45</v>
      </c>
      <c r="I1" t="s">
        <v>49</v>
      </c>
      <c r="J1" t="s">
        <v>44</v>
      </c>
      <c r="K1" t="s">
        <v>43</v>
      </c>
      <c r="L1" t="s">
        <v>42</v>
      </c>
      <c r="M1" t="s">
        <v>41</v>
      </c>
      <c r="N1" t="s">
        <v>40</v>
      </c>
      <c r="O1" t="s">
        <v>56</v>
      </c>
      <c r="P1" t="s">
        <v>39</v>
      </c>
      <c r="Q1" t="s">
        <v>38</v>
      </c>
      <c r="R1" t="s">
        <v>37</v>
      </c>
      <c r="S1" t="s">
        <v>73</v>
      </c>
    </row>
    <row r="2" spans="1:19" x14ac:dyDescent="0.25">
      <c r="A2" t="s">
        <v>261</v>
      </c>
      <c r="B2" t="s">
        <v>3</v>
      </c>
      <c r="D2" t="s">
        <v>31</v>
      </c>
      <c r="E2">
        <v>3.01</v>
      </c>
      <c r="F2">
        <v>3.85E-2</v>
      </c>
      <c r="G2">
        <v>0.13489999999999999</v>
      </c>
      <c r="H2">
        <v>9.64E-2</v>
      </c>
      <c r="I2">
        <v>1.9426000000000001</v>
      </c>
      <c r="J2">
        <v>4.4477000000000002</v>
      </c>
      <c r="K2">
        <v>5.4541000000000004</v>
      </c>
      <c r="L2">
        <v>0.3296</v>
      </c>
      <c r="M2">
        <v>1.5800000000000002E-2</v>
      </c>
      <c r="N2">
        <v>1.09E-2</v>
      </c>
      <c r="O2">
        <v>0.84719999999999995</v>
      </c>
      <c r="P2">
        <v>0</v>
      </c>
      <c r="Q2">
        <v>0</v>
      </c>
      <c r="R2">
        <v>0.3926</v>
      </c>
      <c r="S2">
        <v>0.58120000000000005</v>
      </c>
    </row>
    <row r="3" spans="1:19" x14ac:dyDescent="0.25">
      <c r="A3" t="s">
        <v>259</v>
      </c>
      <c r="B3" t="s">
        <v>3</v>
      </c>
      <c r="D3" t="s">
        <v>10</v>
      </c>
      <c r="E3">
        <v>1.71</v>
      </c>
      <c r="F3">
        <v>0.13059999999999999</v>
      </c>
      <c r="G3">
        <v>1.2209000000000001</v>
      </c>
      <c r="H3">
        <v>1.0903</v>
      </c>
      <c r="I3">
        <v>3.1433</v>
      </c>
      <c r="J3">
        <v>0.40720000000000001</v>
      </c>
      <c r="K3">
        <v>7.2710999999999997</v>
      </c>
      <c r="L3">
        <v>0.3221</v>
      </c>
      <c r="M3">
        <v>1.5800000000000002E-2</v>
      </c>
      <c r="N3">
        <v>1.09E-2</v>
      </c>
      <c r="O3">
        <v>0.83220000000000005</v>
      </c>
      <c r="P3">
        <v>0</v>
      </c>
      <c r="Q3">
        <v>0</v>
      </c>
      <c r="R3">
        <v>0.3972</v>
      </c>
      <c r="S3">
        <v>0.83840000000000003</v>
      </c>
    </row>
    <row r="4" spans="1:19" x14ac:dyDescent="0.25">
      <c r="A4" t="s">
        <v>376</v>
      </c>
      <c r="B4" t="s">
        <v>3</v>
      </c>
      <c r="D4" t="s">
        <v>87</v>
      </c>
      <c r="E4">
        <v>2.87</v>
      </c>
      <c r="F4">
        <v>0</v>
      </c>
      <c r="G4">
        <v>0.30669999999999997</v>
      </c>
      <c r="H4">
        <v>0.30669999999999997</v>
      </c>
      <c r="I4">
        <v>1.1902999999999999</v>
      </c>
      <c r="J4">
        <v>2.9746000000000001</v>
      </c>
      <c r="K4">
        <v>9.3095999999999997</v>
      </c>
      <c r="L4">
        <v>0.50290000000000001</v>
      </c>
      <c r="M4">
        <v>1.5800000000000002E-2</v>
      </c>
      <c r="N4">
        <v>1.09E-2</v>
      </c>
      <c r="O4">
        <v>1.1938</v>
      </c>
      <c r="P4">
        <v>0</v>
      </c>
      <c r="Q4">
        <v>0</v>
      </c>
      <c r="R4">
        <v>0.38469999999999999</v>
      </c>
      <c r="S4">
        <v>0.38030000000000003</v>
      </c>
    </row>
    <row r="5" spans="1:19" x14ac:dyDescent="0.25">
      <c r="A5" t="s">
        <v>521</v>
      </c>
      <c r="B5" t="s">
        <v>24</v>
      </c>
      <c r="D5" t="s">
        <v>9</v>
      </c>
      <c r="E5">
        <v>2.15</v>
      </c>
      <c r="F5">
        <v>0.63649999999999995</v>
      </c>
      <c r="G5">
        <v>1.0929</v>
      </c>
      <c r="H5">
        <v>0.45639999999999997</v>
      </c>
      <c r="I5">
        <v>3.1147999999999998</v>
      </c>
      <c r="J5">
        <v>1.9086000000000001</v>
      </c>
      <c r="K5">
        <v>4.5332999999999997</v>
      </c>
      <c r="L5">
        <v>0.13819999999999999</v>
      </c>
      <c r="M5">
        <v>1.5800000000000002E-2</v>
      </c>
      <c r="N5">
        <v>1.09E-2</v>
      </c>
      <c r="O5">
        <v>0.46439999999999998</v>
      </c>
      <c r="P5">
        <v>30.930099999999999</v>
      </c>
      <c r="Q5">
        <v>41.812199999999997</v>
      </c>
      <c r="R5">
        <v>0.42520000000000002</v>
      </c>
      <c r="S5">
        <v>0.46350000000000002</v>
      </c>
    </row>
    <row r="6" spans="1:19" x14ac:dyDescent="0.25">
      <c r="A6" t="s">
        <v>444</v>
      </c>
      <c r="B6" t="s">
        <v>3</v>
      </c>
      <c r="D6" t="s">
        <v>20</v>
      </c>
      <c r="E6">
        <v>2.52</v>
      </c>
      <c r="F6">
        <v>0.1434</v>
      </c>
      <c r="G6">
        <v>0.4738</v>
      </c>
      <c r="H6">
        <v>0.33040000000000003</v>
      </c>
      <c r="I6">
        <v>1.4301999999999999</v>
      </c>
      <c r="J6">
        <v>1.6520999999999999</v>
      </c>
      <c r="K6">
        <v>11.6564</v>
      </c>
      <c r="L6">
        <v>0.33600000000000002</v>
      </c>
      <c r="M6">
        <v>1.5800000000000002E-2</v>
      </c>
      <c r="N6">
        <v>1.09E-2</v>
      </c>
      <c r="O6">
        <v>0.86</v>
      </c>
      <c r="P6">
        <v>0</v>
      </c>
      <c r="Q6">
        <v>0</v>
      </c>
      <c r="R6">
        <v>0.39550000000000002</v>
      </c>
      <c r="S6">
        <v>0.33739999999999998</v>
      </c>
    </row>
    <row r="7" spans="1:19" x14ac:dyDescent="0.25">
      <c r="A7" t="s">
        <v>335</v>
      </c>
      <c r="B7" t="s">
        <v>24</v>
      </c>
      <c r="D7" t="s">
        <v>26</v>
      </c>
      <c r="E7">
        <v>1.64</v>
      </c>
      <c r="F7">
        <v>0.73160000000000003</v>
      </c>
      <c r="G7">
        <v>1.2456</v>
      </c>
      <c r="H7">
        <v>0.51400000000000001</v>
      </c>
      <c r="I7">
        <v>6.2934000000000001</v>
      </c>
      <c r="J7">
        <v>3.2429999999999999</v>
      </c>
      <c r="K7">
        <v>3.032</v>
      </c>
      <c r="L7">
        <v>0.5645</v>
      </c>
      <c r="M7">
        <v>1.5800000000000002E-2</v>
      </c>
      <c r="N7">
        <v>1.09E-2</v>
      </c>
      <c r="O7">
        <v>1.3169999999999999</v>
      </c>
      <c r="P7">
        <v>0.75229999999999997</v>
      </c>
      <c r="Q7">
        <v>1.3032999999999999</v>
      </c>
      <c r="R7">
        <v>0.36599999999999999</v>
      </c>
      <c r="S7">
        <v>0.60329999999999995</v>
      </c>
    </row>
    <row r="8" spans="1:19" x14ac:dyDescent="0.25">
      <c r="A8" t="s">
        <v>363</v>
      </c>
      <c r="B8" t="s">
        <v>3</v>
      </c>
      <c r="D8" t="s">
        <v>28</v>
      </c>
      <c r="E8">
        <v>1.34</v>
      </c>
      <c r="F8">
        <v>9.0300000000000005E-2</v>
      </c>
      <c r="G8">
        <v>0.1817</v>
      </c>
      <c r="H8">
        <v>9.1399999999999995E-2</v>
      </c>
      <c r="I8">
        <v>2.8479999999999999</v>
      </c>
      <c r="J8">
        <v>0.80779999999999996</v>
      </c>
      <c r="K8">
        <v>14.5662</v>
      </c>
      <c r="L8">
        <v>8.1799999999999998E-2</v>
      </c>
      <c r="M8">
        <v>1.5800000000000002E-2</v>
      </c>
      <c r="N8">
        <v>1.09E-2</v>
      </c>
      <c r="O8">
        <v>0.35160000000000002</v>
      </c>
      <c r="P8">
        <v>0</v>
      </c>
      <c r="Q8">
        <v>0</v>
      </c>
      <c r="R8">
        <v>0.41739999999999999</v>
      </c>
      <c r="S8">
        <v>0.3387</v>
      </c>
    </row>
    <row r="9" spans="1:19" x14ac:dyDescent="0.25">
      <c r="A9" t="s">
        <v>278</v>
      </c>
      <c r="B9" t="s">
        <v>24</v>
      </c>
      <c r="D9" t="s">
        <v>31</v>
      </c>
      <c r="E9">
        <v>2.0299999999999998</v>
      </c>
      <c r="F9">
        <v>0.55059999999999998</v>
      </c>
      <c r="G9">
        <v>1.1466000000000001</v>
      </c>
      <c r="H9">
        <v>0.59599999999999997</v>
      </c>
      <c r="I9">
        <v>4.1087999999999996</v>
      </c>
      <c r="J9">
        <v>1.1978</v>
      </c>
      <c r="K9">
        <v>3.8502000000000001</v>
      </c>
      <c r="L9">
        <v>4.8099999999999997E-2</v>
      </c>
      <c r="M9">
        <v>1.5800000000000002E-2</v>
      </c>
      <c r="N9">
        <v>1.09E-2</v>
      </c>
      <c r="O9">
        <v>0.28420000000000001</v>
      </c>
      <c r="P9">
        <v>23.775099999999998</v>
      </c>
      <c r="Q9">
        <v>23.8339</v>
      </c>
      <c r="R9">
        <v>0.49940000000000001</v>
      </c>
      <c r="S9">
        <v>0.1178</v>
      </c>
    </row>
    <row r="10" spans="1:19" x14ac:dyDescent="0.25">
      <c r="A10" t="s">
        <v>523</v>
      </c>
      <c r="B10" t="s">
        <v>24</v>
      </c>
      <c r="D10" t="s">
        <v>9</v>
      </c>
      <c r="E10">
        <v>1.47</v>
      </c>
      <c r="F10">
        <v>0.28070000000000001</v>
      </c>
      <c r="G10">
        <v>0.42759999999999998</v>
      </c>
      <c r="H10">
        <v>0.1469</v>
      </c>
      <c r="I10">
        <v>3.6027</v>
      </c>
      <c r="J10">
        <v>0.4738</v>
      </c>
      <c r="K10">
        <v>6.1809000000000003</v>
      </c>
      <c r="L10">
        <v>0.5917</v>
      </c>
      <c r="M10">
        <v>1.5800000000000002E-2</v>
      </c>
      <c r="N10">
        <v>1.09E-2</v>
      </c>
      <c r="O10">
        <v>1.3714</v>
      </c>
      <c r="P10">
        <v>0.99390000000000001</v>
      </c>
      <c r="Q10">
        <v>0.80079999999999996</v>
      </c>
      <c r="R10">
        <v>0.55379999999999996</v>
      </c>
      <c r="S10">
        <v>0.74180000000000001</v>
      </c>
    </row>
    <row r="11" spans="1:19" x14ac:dyDescent="0.25">
      <c r="A11" t="s">
        <v>353</v>
      </c>
      <c r="B11" t="s">
        <v>24</v>
      </c>
      <c r="D11" t="s">
        <v>5</v>
      </c>
      <c r="E11">
        <v>1.45</v>
      </c>
      <c r="F11">
        <v>0.40789999999999998</v>
      </c>
      <c r="G11">
        <v>0.38</v>
      </c>
      <c r="H11">
        <v>0</v>
      </c>
      <c r="I11">
        <v>3.3083</v>
      </c>
      <c r="J11">
        <v>1.8049999999999999</v>
      </c>
      <c r="K11">
        <v>3.1898</v>
      </c>
      <c r="L11">
        <v>0.56130000000000002</v>
      </c>
      <c r="M11">
        <v>1.5800000000000002E-2</v>
      </c>
      <c r="N11">
        <v>1.09E-2</v>
      </c>
      <c r="O11">
        <v>1.3106</v>
      </c>
      <c r="P11">
        <v>0.91379999999999995</v>
      </c>
      <c r="Q11">
        <v>1.236</v>
      </c>
      <c r="R11">
        <v>0.42509999999999998</v>
      </c>
      <c r="S11">
        <v>0.4708</v>
      </c>
    </row>
    <row r="12" spans="1:19" x14ac:dyDescent="0.25">
      <c r="A12" t="s">
        <v>282</v>
      </c>
      <c r="B12" t="s">
        <v>3</v>
      </c>
      <c r="D12" t="s">
        <v>28</v>
      </c>
      <c r="E12">
        <v>2.63</v>
      </c>
      <c r="F12">
        <v>2.3999999999999998E-3</v>
      </c>
      <c r="G12">
        <v>0.38919999999999999</v>
      </c>
      <c r="H12">
        <v>0.38679999999999998</v>
      </c>
      <c r="I12">
        <v>2.1562000000000001</v>
      </c>
      <c r="J12">
        <v>1.4866999999999999</v>
      </c>
      <c r="K12">
        <v>9.6585000000000001</v>
      </c>
      <c r="L12">
        <v>0.50139999999999996</v>
      </c>
      <c r="M12">
        <v>1.5800000000000002E-2</v>
      </c>
      <c r="N12">
        <v>1.09E-2</v>
      </c>
      <c r="O12">
        <v>1.1908000000000001</v>
      </c>
      <c r="P12">
        <v>0</v>
      </c>
      <c r="Q12">
        <v>0</v>
      </c>
      <c r="R12">
        <v>0.44569999999999999</v>
      </c>
      <c r="S12">
        <v>0.3029</v>
      </c>
    </row>
    <row r="13" spans="1:19" x14ac:dyDescent="0.25">
      <c r="A13" t="s">
        <v>386</v>
      </c>
      <c r="B13" t="s">
        <v>24</v>
      </c>
      <c r="D13" t="s">
        <v>4</v>
      </c>
      <c r="E13">
        <v>1.54</v>
      </c>
      <c r="F13">
        <v>0.83599999999999997</v>
      </c>
      <c r="G13">
        <v>0.71399999999999997</v>
      </c>
      <c r="H13">
        <v>0</v>
      </c>
      <c r="I13">
        <v>6.1414999999999997</v>
      </c>
      <c r="J13">
        <v>2.7292000000000001</v>
      </c>
      <c r="K13">
        <v>4.7154999999999996</v>
      </c>
      <c r="L13">
        <v>0.41589999999999999</v>
      </c>
      <c r="M13">
        <v>1.5800000000000002E-2</v>
      </c>
      <c r="N13">
        <v>1.09E-2</v>
      </c>
      <c r="O13">
        <v>1.0198</v>
      </c>
      <c r="P13">
        <v>4.4634999999999998</v>
      </c>
      <c r="Q13">
        <v>7.1963999999999997</v>
      </c>
      <c r="R13">
        <v>0.38279999999999997</v>
      </c>
      <c r="S13">
        <v>0.14829999999999999</v>
      </c>
    </row>
    <row r="14" spans="1:19" x14ac:dyDescent="0.25">
      <c r="A14" t="s">
        <v>686</v>
      </c>
      <c r="B14" t="s">
        <v>24</v>
      </c>
      <c r="D14" t="s">
        <v>1113</v>
      </c>
      <c r="E14">
        <v>2.16</v>
      </c>
      <c r="F14">
        <v>0.1895</v>
      </c>
      <c r="G14">
        <v>0.28760000000000002</v>
      </c>
      <c r="H14">
        <v>9.8100000000000007E-2</v>
      </c>
      <c r="I14">
        <v>1.8742000000000001</v>
      </c>
      <c r="J14">
        <v>4.1500000000000002E-2</v>
      </c>
      <c r="K14">
        <v>4.8585000000000003</v>
      </c>
      <c r="L14">
        <v>0.12509999999999999</v>
      </c>
      <c r="M14">
        <v>1.5800000000000002E-2</v>
      </c>
      <c r="N14">
        <v>1.09E-2</v>
      </c>
      <c r="O14">
        <v>0.43819999999999998</v>
      </c>
      <c r="P14">
        <v>22.505199999999999</v>
      </c>
      <c r="Q14">
        <v>34.608600000000003</v>
      </c>
      <c r="R14">
        <v>0.39400000000000002</v>
      </c>
      <c r="S14">
        <v>0.56230000000000002</v>
      </c>
    </row>
    <row r="15" spans="1:19" x14ac:dyDescent="0.25">
      <c r="A15" t="s">
        <v>867</v>
      </c>
      <c r="B15" t="s">
        <v>3</v>
      </c>
      <c r="D15" t="s">
        <v>20</v>
      </c>
      <c r="E15">
        <v>2.04</v>
      </c>
      <c r="F15">
        <v>0</v>
      </c>
      <c r="G15">
        <v>0.17399999999999999</v>
      </c>
      <c r="H15">
        <v>0.17399999999999999</v>
      </c>
      <c r="I15">
        <v>0.89229999999999998</v>
      </c>
      <c r="J15">
        <v>3.7402000000000002</v>
      </c>
      <c r="K15">
        <v>9.9187999999999992</v>
      </c>
      <c r="L15">
        <v>0.32640000000000002</v>
      </c>
      <c r="M15">
        <v>1.5800000000000002E-2</v>
      </c>
      <c r="N15">
        <v>1.09E-2</v>
      </c>
      <c r="O15">
        <v>0.84079999999999999</v>
      </c>
      <c r="P15">
        <v>0</v>
      </c>
      <c r="Q15">
        <v>0</v>
      </c>
      <c r="R15">
        <v>0.3926</v>
      </c>
      <c r="S15">
        <v>0.31740000000000002</v>
      </c>
    </row>
    <row r="16" spans="1:19" x14ac:dyDescent="0.25">
      <c r="A16" t="s">
        <v>868</v>
      </c>
      <c r="B16" t="s">
        <v>3</v>
      </c>
      <c r="D16" t="s">
        <v>7</v>
      </c>
      <c r="E16">
        <v>2.09</v>
      </c>
      <c r="F16">
        <v>3.8600000000000002E-2</v>
      </c>
      <c r="G16">
        <v>0.2858</v>
      </c>
      <c r="H16">
        <v>0.2472</v>
      </c>
      <c r="I16">
        <v>1.0441</v>
      </c>
      <c r="J16">
        <v>2.3174999999999999</v>
      </c>
      <c r="K16">
        <v>9.3603000000000005</v>
      </c>
      <c r="L16">
        <v>0.20119999999999999</v>
      </c>
      <c r="M16">
        <v>1.5800000000000002E-2</v>
      </c>
      <c r="N16">
        <v>1.09E-2</v>
      </c>
      <c r="O16">
        <v>0.59040000000000004</v>
      </c>
      <c r="P16">
        <v>0</v>
      </c>
      <c r="Q16">
        <v>0</v>
      </c>
      <c r="R16">
        <v>0.38650000000000001</v>
      </c>
      <c r="S16">
        <v>0.97470000000000001</v>
      </c>
    </row>
    <row r="17" spans="1:19" x14ac:dyDescent="0.25">
      <c r="A17" t="s">
        <v>824</v>
      </c>
      <c r="B17" t="s">
        <v>24</v>
      </c>
      <c r="D17" t="s">
        <v>11</v>
      </c>
      <c r="E17">
        <v>2.16</v>
      </c>
      <c r="F17">
        <v>0.26729999999999998</v>
      </c>
      <c r="G17">
        <v>1.0892999999999999</v>
      </c>
      <c r="H17">
        <v>0.82199999999999995</v>
      </c>
      <c r="I17">
        <v>2.6777000000000002</v>
      </c>
      <c r="J17">
        <v>0.57820000000000005</v>
      </c>
      <c r="K17">
        <v>3.9750000000000001</v>
      </c>
      <c r="L17">
        <v>0.27839999999999998</v>
      </c>
      <c r="M17">
        <v>1.5800000000000002E-2</v>
      </c>
      <c r="N17">
        <v>1.09E-2</v>
      </c>
      <c r="O17">
        <v>0.74480000000000002</v>
      </c>
      <c r="P17">
        <v>8.7128999999999994</v>
      </c>
      <c r="Q17">
        <v>18.328299999999999</v>
      </c>
      <c r="R17">
        <v>0.32219999999999999</v>
      </c>
      <c r="S17">
        <v>1.7726</v>
      </c>
    </row>
    <row r="18" spans="1:19" x14ac:dyDescent="0.25">
      <c r="A18" t="s">
        <v>446</v>
      </c>
      <c r="B18" t="s">
        <v>24</v>
      </c>
      <c r="D18" t="s">
        <v>2</v>
      </c>
      <c r="E18">
        <v>2.35</v>
      </c>
      <c r="F18">
        <v>0.78249999999999997</v>
      </c>
      <c r="G18">
        <v>0.69579999999999997</v>
      </c>
      <c r="H18">
        <v>0</v>
      </c>
      <c r="I18">
        <v>5.0106999999999999</v>
      </c>
      <c r="J18">
        <v>9.5399999999999999E-2</v>
      </c>
      <c r="K18">
        <v>4.0959000000000003</v>
      </c>
      <c r="L18">
        <v>0.1144</v>
      </c>
      <c r="M18">
        <v>1.5800000000000002E-2</v>
      </c>
      <c r="N18">
        <v>1.09E-2</v>
      </c>
      <c r="O18">
        <v>0.4168</v>
      </c>
      <c r="P18">
        <v>19.0139</v>
      </c>
      <c r="Q18">
        <v>23.156600000000001</v>
      </c>
      <c r="R18">
        <v>0.45090000000000002</v>
      </c>
      <c r="S18">
        <v>0.52200000000000002</v>
      </c>
    </row>
    <row r="19" spans="1:19" x14ac:dyDescent="0.25">
      <c r="A19" t="s">
        <v>416</v>
      </c>
      <c r="B19" t="s">
        <v>24</v>
      </c>
      <c r="D19" t="s">
        <v>22</v>
      </c>
      <c r="E19">
        <v>0.82</v>
      </c>
      <c r="F19">
        <v>0.60240000000000005</v>
      </c>
      <c r="G19">
        <v>1.2612000000000001</v>
      </c>
      <c r="H19">
        <v>0.65880000000000005</v>
      </c>
      <c r="I19">
        <v>4.3113999999999999</v>
      </c>
      <c r="J19">
        <v>1.4411</v>
      </c>
      <c r="K19">
        <v>2.6652</v>
      </c>
      <c r="L19">
        <v>0.64980000000000004</v>
      </c>
      <c r="M19">
        <v>1.5800000000000002E-2</v>
      </c>
      <c r="N19">
        <v>1.09E-2</v>
      </c>
      <c r="O19">
        <v>1.4876</v>
      </c>
      <c r="P19">
        <v>0.7006</v>
      </c>
      <c r="Q19">
        <v>0.87360000000000004</v>
      </c>
      <c r="R19">
        <v>0.4451</v>
      </c>
      <c r="S19">
        <v>0.87390000000000001</v>
      </c>
    </row>
    <row r="20" spans="1:19" x14ac:dyDescent="0.25">
      <c r="A20" t="s">
        <v>448</v>
      </c>
      <c r="B20" t="s">
        <v>3</v>
      </c>
      <c r="D20" t="s">
        <v>1171</v>
      </c>
      <c r="E20">
        <v>1.98</v>
      </c>
      <c r="F20">
        <v>0</v>
      </c>
      <c r="G20">
        <v>0.68400000000000005</v>
      </c>
      <c r="H20">
        <v>0.68400000000000005</v>
      </c>
      <c r="I20">
        <v>1.1106</v>
      </c>
      <c r="J20">
        <v>5.6397000000000004</v>
      </c>
      <c r="K20">
        <v>10.9816</v>
      </c>
      <c r="L20">
        <v>0.38179999999999997</v>
      </c>
      <c r="M20">
        <v>1.5800000000000002E-2</v>
      </c>
      <c r="N20">
        <v>1.09E-2</v>
      </c>
      <c r="O20">
        <v>0.9516</v>
      </c>
      <c r="P20">
        <v>0</v>
      </c>
      <c r="Q20">
        <v>0</v>
      </c>
      <c r="R20">
        <v>0.38979999999999998</v>
      </c>
      <c r="S20">
        <v>0.15160000000000001</v>
      </c>
    </row>
    <row r="21" spans="1:19" x14ac:dyDescent="0.25">
      <c r="A21" t="s">
        <v>532</v>
      </c>
      <c r="B21" t="s">
        <v>24</v>
      </c>
      <c r="D21" t="s">
        <v>19</v>
      </c>
      <c r="E21">
        <v>2.23</v>
      </c>
      <c r="F21">
        <v>0.68689999999999996</v>
      </c>
      <c r="G21">
        <v>1.3412999999999999</v>
      </c>
      <c r="H21">
        <v>0.65439999999999998</v>
      </c>
      <c r="I21">
        <v>4.4759000000000002</v>
      </c>
      <c r="J21">
        <v>0.6401</v>
      </c>
      <c r="K21">
        <v>6.2358000000000002</v>
      </c>
      <c r="L21">
        <v>0.57240000000000002</v>
      </c>
      <c r="M21">
        <v>1.5800000000000002E-2</v>
      </c>
      <c r="N21">
        <v>1.09E-2</v>
      </c>
      <c r="O21">
        <v>1.3328</v>
      </c>
      <c r="P21">
        <v>21.543299999999999</v>
      </c>
      <c r="Q21">
        <v>27.768699999999999</v>
      </c>
      <c r="R21">
        <v>0.43690000000000001</v>
      </c>
      <c r="S21">
        <v>1.3038000000000001</v>
      </c>
    </row>
    <row r="22" spans="1:19" x14ac:dyDescent="0.25">
      <c r="A22" t="s">
        <v>562</v>
      </c>
      <c r="B22" t="s">
        <v>24</v>
      </c>
      <c r="D22" t="s">
        <v>31</v>
      </c>
      <c r="E22">
        <v>1.44</v>
      </c>
      <c r="F22">
        <v>0.50139999999999996</v>
      </c>
      <c r="G22">
        <v>0.80520000000000003</v>
      </c>
      <c r="H22">
        <v>0.30380000000000001</v>
      </c>
      <c r="I22">
        <v>4.6452</v>
      </c>
      <c r="J22">
        <v>1.2397</v>
      </c>
      <c r="K22">
        <v>4.0816999999999997</v>
      </c>
      <c r="L22">
        <v>0.25740000000000002</v>
      </c>
      <c r="M22">
        <v>1.5800000000000002E-2</v>
      </c>
      <c r="N22">
        <v>1.09E-2</v>
      </c>
      <c r="O22">
        <v>0.70279999999999998</v>
      </c>
      <c r="P22">
        <v>11.5825</v>
      </c>
      <c r="Q22">
        <v>11.5837</v>
      </c>
      <c r="R22">
        <v>0.5</v>
      </c>
      <c r="S22">
        <v>0.80289999999999995</v>
      </c>
    </row>
    <row r="23" spans="1:19" x14ac:dyDescent="0.25">
      <c r="A23" t="s">
        <v>318</v>
      </c>
      <c r="B23" t="s">
        <v>24</v>
      </c>
      <c r="D23" t="s">
        <v>26</v>
      </c>
      <c r="E23">
        <v>1.84</v>
      </c>
      <c r="F23">
        <v>0.10440000000000001</v>
      </c>
      <c r="G23">
        <v>0.64149999999999996</v>
      </c>
      <c r="H23">
        <v>0.53710000000000002</v>
      </c>
      <c r="I23">
        <v>1.6195999999999999</v>
      </c>
      <c r="J23">
        <v>1.1397999999999999</v>
      </c>
      <c r="K23">
        <v>4.3343999999999996</v>
      </c>
      <c r="L23">
        <v>4.7500000000000001E-2</v>
      </c>
      <c r="M23">
        <v>1.5800000000000002E-2</v>
      </c>
      <c r="N23">
        <v>1.09E-2</v>
      </c>
      <c r="O23">
        <v>0.28299999999999997</v>
      </c>
      <c r="P23">
        <v>32.557299999999998</v>
      </c>
      <c r="Q23">
        <v>37.497799999999998</v>
      </c>
      <c r="R23">
        <v>0.4647</v>
      </c>
      <c r="S23">
        <v>0.45169999999999999</v>
      </c>
    </row>
    <row r="24" spans="1:19" x14ac:dyDescent="0.25">
      <c r="A24" t="s">
        <v>378</v>
      </c>
      <c r="B24" t="s">
        <v>3</v>
      </c>
      <c r="D24" t="s">
        <v>15</v>
      </c>
      <c r="E24">
        <v>2.4900000000000002</v>
      </c>
      <c r="F24">
        <v>6.0299999999999999E-2</v>
      </c>
      <c r="G24">
        <v>0.21079999999999999</v>
      </c>
      <c r="H24">
        <v>0.15049999999999999</v>
      </c>
      <c r="I24">
        <v>0.4929</v>
      </c>
      <c r="J24">
        <v>3.9832999999999998</v>
      </c>
      <c r="K24">
        <v>8.4661000000000008</v>
      </c>
      <c r="L24">
        <v>0.1633</v>
      </c>
      <c r="M24">
        <v>1.5800000000000002E-2</v>
      </c>
      <c r="N24">
        <v>1.09E-2</v>
      </c>
      <c r="O24">
        <v>0.51459999999999995</v>
      </c>
      <c r="P24">
        <v>0</v>
      </c>
      <c r="Q24">
        <v>0</v>
      </c>
      <c r="R24">
        <v>0.39929999999999999</v>
      </c>
      <c r="S24">
        <v>0.42480000000000001</v>
      </c>
    </row>
    <row r="25" spans="1:19" x14ac:dyDescent="0.25">
      <c r="A25" t="s">
        <v>592</v>
      </c>
      <c r="B25" t="s">
        <v>24</v>
      </c>
      <c r="D25" t="s">
        <v>11</v>
      </c>
      <c r="E25">
        <v>1.7</v>
      </c>
      <c r="F25">
        <v>0.31269999999999998</v>
      </c>
      <c r="G25">
        <v>0.3473</v>
      </c>
      <c r="H25">
        <v>3.4599999999999999E-2</v>
      </c>
      <c r="I25">
        <v>2.5691000000000002</v>
      </c>
      <c r="J25">
        <v>3.6120000000000001</v>
      </c>
      <c r="K25">
        <v>3.1743999999999999</v>
      </c>
      <c r="L25">
        <v>0.43859999999999999</v>
      </c>
      <c r="M25">
        <v>1.5800000000000002E-2</v>
      </c>
      <c r="N25">
        <v>1.09E-2</v>
      </c>
      <c r="O25">
        <v>1.0651999999999999</v>
      </c>
      <c r="P25">
        <v>3.3186</v>
      </c>
      <c r="Q25">
        <v>8.4946999999999999</v>
      </c>
      <c r="R25">
        <v>0.28089999999999998</v>
      </c>
      <c r="S25">
        <v>0.34970000000000001</v>
      </c>
    </row>
    <row r="26" spans="1:19" x14ac:dyDescent="0.25">
      <c r="A26" t="s">
        <v>420</v>
      </c>
      <c r="B26" t="s">
        <v>24</v>
      </c>
      <c r="D26" t="s">
        <v>10</v>
      </c>
      <c r="E26">
        <v>1.88</v>
      </c>
      <c r="F26">
        <v>0.3725</v>
      </c>
      <c r="G26">
        <v>0.60650000000000004</v>
      </c>
      <c r="H26">
        <v>0.23400000000000001</v>
      </c>
      <c r="I26">
        <v>3.0931000000000002</v>
      </c>
      <c r="J26">
        <v>0.87290000000000001</v>
      </c>
      <c r="K26">
        <v>4.7892999999999999</v>
      </c>
      <c r="L26">
        <v>0.13919999999999999</v>
      </c>
      <c r="M26">
        <v>1.5800000000000002E-2</v>
      </c>
      <c r="N26">
        <v>1.09E-2</v>
      </c>
      <c r="O26">
        <v>0.46639999999999998</v>
      </c>
      <c r="P26">
        <v>15.0593</v>
      </c>
      <c r="Q26">
        <v>16.562999999999999</v>
      </c>
      <c r="R26">
        <v>0.47620000000000001</v>
      </c>
      <c r="S26">
        <v>0.48459999999999998</v>
      </c>
    </row>
    <row r="27" spans="1:19" x14ac:dyDescent="0.25">
      <c r="A27" t="s">
        <v>646</v>
      </c>
      <c r="B27" t="s">
        <v>24</v>
      </c>
      <c r="D27" t="s">
        <v>13</v>
      </c>
      <c r="E27">
        <v>1.2</v>
      </c>
      <c r="F27">
        <v>0.44269999999999998</v>
      </c>
      <c r="G27">
        <v>0.27400000000000002</v>
      </c>
      <c r="H27">
        <v>0</v>
      </c>
      <c r="I27">
        <v>3.4394999999999998</v>
      </c>
      <c r="J27">
        <v>0.68259999999999998</v>
      </c>
      <c r="K27">
        <v>3.0286</v>
      </c>
      <c r="L27">
        <v>0.30609999999999998</v>
      </c>
      <c r="M27">
        <v>1.5800000000000002E-2</v>
      </c>
      <c r="N27">
        <v>1.09E-2</v>
      </c>
      <c r="O27">
        <v>0.80020000000000002</v>
      </c>
      <c r="P27">
        <v>22.9071</v>
      </c>
      <c r="Q27">
        <v>28.674399999999999</v>
      </c>
      <c r="R27">
        <v>0.44409999999999999</v>
      </c>
      <c r="S27">
        <v>0.95809999999999995</v>
      </c>
    </row>
    <row r="28" spans="1:19" x14ac:dyDescent="0.25">
      <c r="A28" t="s">
        <v>325</v>
      </c>
      <c r="B28" t="s">
        <v>3</v>
      </c>
      <c r="D28" t="s">
        <v>2</v>
      </c>
      <c r="E28">
        <v>2.09</v>
      </c>
      <c r="F28">
        <v>0</v>
      </c>
      <c r="G28">
        <v>1.9900000000000001E-2</v>
      </c>
      <c r="H28">
        <v>1.9900000000000001E-2</v>
      </c>
      <c r="I28">
        <v>2.996</v>
      </c>
      <c r="J28">
        <v>5.8489000000000004</v>
      </c>
      <c r="K28">
        <v>9.8613</v>
      </c>
      <c r="L28">
        <v>0.78280000000000005</v>
      </c>
      <c r="M28">
        <v>1.5800000000000002E-2</v>
      </c>
      <c r="N28">
        <v>1.09E-2</v>
      </c>
      <c r="O28">
        <v>1.7536</v>
      </c>
      <c r="P28">
        <v>0</v>
      </c>
      <c r="Q28">
        <v>0</v>
      </c>
      <c r="R28">
        <v>0.3906</v>
      </c>
      <c r="S28">
        <v>0.38169999999999998</v>
      </c>
    </row>
    <row r="29" spans="1:19" x14ac:dyDescent="0.25">
      <c r="A29" t="s">
        <v>373</v>
      </c>
      <c r="B29" t="s">
        <v>24</v>
      </c>
      <c r="D29" t="s">
        <v>22</v>
      </c>
      <c r="E29">
        <v>1.5</v>
      </c>
      <c r="F29">
        <v>0.81320000000000003</v>
      </c>
      <c r="G29">
        <v>1.9334</v>
      </c>
      <c r="H29">
        <v>1.1202000000000001</v>
      </c>
      <c r="I29">
        <v>5.6806999999999999</v>
      </c>
      <c r="J29">
        <v>1.2010000000000001</v>
      </c>
      <c r="K29">
        <v>3.5634999999999999</v>
      </c>
      <c r="L29">
        <v>0.97499999999999998</v>
      </c>
      <c r="M29">
        <v>1.5800000000000002E-2</v>
      </c>
      <c r="N29">
        <v>1.09E-2</v>
      </c>
      <c r="O29">
        <v>2.1379999999999999</v>
      </c>
      <c r="P29">
        <v>0.43009999999999998</v>
      </c>
      <c r="Q29">
        <v>1.6847000000000001</v>
      </c>
      <c r="R29">
        <v>0.2034</v>
      </c>
      <c r="S29">
        <v>1.2488999999999999</v>
      </c>
    </row>
    <row r="30" spans="1:19" x14ac:dyDescent="0.25">
      <c r="A30" t="s">
        <v>773</v>
      </c>
      <c r="B30" t="s">
        <v>24</v>
      </c>
      <c r="D30" t="s">
        <v>26</v>
      </c>
      <c r="E30">
        <v>1.61</v>
      </c>
      <c r="F30">
        <v>0.36209999999999998</v>
      </c>
      <c r="G30">
        <v>1.139</v>
      </c>
      <c r="H30">
        <v>0.77690000000000003</v>
      </c>
      <c r="I30">
        <v>3.1572</v>
      </c>
      <c r="J30">
        <v>1.9167000000000001</v>
      </c>
      <c r="K30">
        <v>4.4024000000000001</v>
      </c>
      <c r="L30">
        <v>0.39939999999999998</v>
      </c>
      <c r="M30">
        <v>1.5800000000000002E-2</v>
      </c>
      <c r="N30">
        <v>1.09E-2</v>
      </c>
      <c r="O30">
        <v>0.98680000000000001</v>
      </c>
      <c r="P30">
        <v>13.0395</v>
      </c>
      <c r="Q30">
        <v>16.869199999999999</v>
      </c>
      <c r="R30">
        <v>0.436</v>
      </c>
      <c r="S30">
        <v>0.91749999999999998</v>
      </c>
    </row>
    <row r="31" spans="1:19" x14ac:dyDescent="0.25">
      <c r="A31" t="s">
        <v>374</v>
      </c>
      <c r="B31" t="s">
        <v>24</v>
      </c>
      <c r="D31" t="s">
        <v>20</v>
      </c>
      <c r="E31">
        <v>0.94</v>
      </c>
      <c r="F31">
        <v>0.47</v>
      </c>
      <c r="G31">
        <v>1.6263000000000001</v>
      </c>
      <c r="H31">
        <v>1.1563000000000001</v>
      </c>
      <c r="I31">
        <v>3.7078000000000002</v>
      </c>
      <c r="J31">
        <v>0.4047</v>
      </c>
      <c r="K31">
        <v>3.6126</v>
      </c>
      <c r="L31">
        <v>7.3800000000000004E-2</v>
      </c>
      <c r="M31">
        <v>1.5800000000000002E-2</v>
      </c>
      <c r="N31">
        <v>1.09E-2</v>
      </c>
      <c r="O31">
        <v>0.33560000000000001</v>
      </c>
      <c r="P31">
        <v>36.705300000000001</v>
      </c>
      <c r="Q31">
        <v>31.9801</v>
      </c>
      <c r="R31">
        <v>0.53439999999999999</v>
      </c>
      <c r="S31">
        <v>0.44319999999999998</v>
      </c>
    </row>
    <row r="32" spans="1:19" x14ac:dyDescent="0.25">
      <c r="A32" t="s">
        <v>409</v>
      </c>
      <c r="B32" t="s">
        <v>24</v>
      </c>
      <c r="D32" t="s">
        <v>23</v>
      </c>
      <c r="E32">
        <v>1.48</v>
      </c>
      <c r="F32">
        <v>0.63919999999999999</v>
      </c>
      <c r="G32">
        <v>0.49099999999999999</v>
      </c>
      <c r="H32">
        <v>0</v>
      </c>
      <c r="I32">
        <v>5.0250000000000004</v>
      </c>
      <c r="J32">
        <v>1.3089999999999999</v>
      </c>
      <c r="K32">
        <v>5.7901999999999996</v>
      </c>
      <c r="L32">
        <v>0.38550000000000001</v>
      </c>
      <c r="M32">
        <v>1.5800000000000002E-2</v>
      </c>
      <c r="N32">
        <v>1.09E-2</v>
      </c>
      <c r="O32">
        <v>0.95899999999999996</v>
      </c>
      <c r="P32">
        <v>41.806600000000003</v>
      </c>
      <c r="Q32">
        <v>43.220700000000001</v>
      </c>
      <c r="R32">
        <v>0.49170000000000003</v>
      </c>
      <c r="S32">
        <v>0.60750000000000004</v>
      </c>
    </row>
    <row r="33" spans="1:19" x14ac:dyDescent="0.25">
      <c r="A33" t="s">
        <v>829</v>
      </c>
      <c r="B33" t="s">
        <v>24</v>
      </c>
      <c r="D33" t="s">
        <v>135</v>
      </c>
      <c r="E33">
        <v>1.06</v>
      </c>
      <c r="F33">
        <v>0.7964</v>
      </c>
      <c r="G33">
        <v>0.90839999999999999</v>
      </c>
      <c r="H33">
        <v>0.112</v>
      </c>
      <c r="I33">
        <v>4.2019000000000002</v>
      </c>
      <c r="J33">
        <v>3.5156000000000001</v>
      </c>
      <c r="K33">
        <v>3.3822999999999999</v>
      </c>
      <c r="L33">
        <v>0.89090000000000003</v>
      </c>
      <c r="M33">
        <v>1.5800000000000002E-2</v>
      </c>
      <c r="N33">
        <v>1.09E-2</v>
      </c>
      <c r="O33">
        <v>1.9698</v>
      </c>
      <c r="P33">
        <v>4.4273999999999996</v>
      </c>
      <c r="Q33">
        <v>6.0063000000000004</v>
      </c>
      <c r="R33">
        <v>0.42430000000000001</v>
      </c>
      <c r="S33">
        <v>1.5296000000000001</v>
      </c>
    </row>
    <row r="34" spans="1:19" x14ac:dyDescent="0.25">
      <c r="A34" t="s">
        <v>252</v>
      </c>
      <c r="B34" t="s">
        <v>24</v>
      </c>
      <c r="D34" t="s">
        <v>12</v>
      </c>
      <c r="E34">
        <v>1.72</v>
      </c>
      <c r="F34">
        <v>0.502</v>
      </c>
      <c r="G34">
        <v>1.2390000000000001</v>
      </c>
      <c r="H34">
        <v>0.73699999999999999</v>
      </c>
      <c r="I34">
        <v>3.9277000000000002</v>
      </c>
      <c r="J34">
        <v>4.1532</v>
      </c>
      <c r="K34">
        <v>3.6703000000000001</v>
      </c>
      <c r="L34">
        <v>1.1394</v>
      </c>
      <c r="M34">
        <v>1.5800000000000002E-2</v>
      </c>
      <c r="N34">
        <v>1.09E-2</v>
      </c>
      <c r="O34">
        <v>2.4668000000000001</v>
      </c>
      <c r="P34">
        <v>1.3079000000000001</v>
      </c>
      <c r="Q34">
        <v>2.0215999999999998</v>
      </c>
      <c r="R34">
        <v>0.39279999999999998</v>
      </c>
      <c r="S34">
        <v>0.4854</v>
      </c>
    </row>
    <row r="35" spans="1:19" x14ac:dyDescent="0.25">
      <c r="A35" t="s">
        <v>666</v>
      </c>
      <c r="B35" t="s">
        <v>3</v>
      </c>
      <c r="D35" t="s">
        <v>10</v>
      </c>
      <c r="E35">
        <v>1.02</v>
      </c>
      <c r="F35">
        <v>0.21540000000000001</v>
      </c>
      <c r="G35">
        <v>0.50900000000000001</v>
      </c>
      <c r="H35">
        <v>0.29360000000000003</v>
      </c>
      <c r="I35">
        <v>1.2785</v>
      </c>
      <c r="J35">
        <v>4.5248999999999997</v>
      </c>
      <c r="K35">
        <v>7.9941000000000004</v>
      </c>
      <c r="L35">
        <v>0.1011</v>
      </c>
      <c r="M35">
        <v>1.5800000000000002E-2</v>
      </c>
      <c r="N35">
        <v>1.09E-2</v>
      </c>
      <c r="O35">
        <v>0.39019999999999999</v>
      </c>
      <c r="P35">
        <v>0</v>
      </c>
      <c r="Q35">
        <v>0</v>
      </c>
      <c r="R35">
        <v>0.4244</v>
      </c>
      <c r="S35">
        <v>0.20169999999999999</v>
      </c>
    </row>
    <row r="36" spans="1:19" x14ac:dyDescent="0.25">
      <c r="A36" t="s">
        <v>384</v>
      </c>
      <c r="B36" t="s">
        <v>3</v>
      </c>
      <c r="D36" t="s">
        <v>34</v>
      </c>
      <c r="E36">
        <v>2.2200000000000002</v>
      </c>
      <c r="F36">
        <v>1.4E-2</v>
      </c>
      <c r="G36">
        <v>0.84199999999999997</v>
      </c>
      <c r="H36">
        <v>0.82799999999999996</v>
      </c>
      <c r="I36">
        <v>2.1128999999999998</v>
      </c>
      <c r="J36">
        <v>1.9289000000000001</v>
      </c>
      <c r="K36">
        <v>4.3963999999999999</v>
      </c>
      <c r="L36">
        <v>0.29409999999999997</v>
      </c>
      <c r="M36">
        <v>1.5800000000000002E-2</v>
      </c>
      <c r="N36">
        <v>1.09E-2</v>
      </c>
      <c r="O36">
        <v>0.7762</v>
      </c>
      <c r="P36">
        <v>0</v>
      </c>
      <c r="Q36">
        <v>0</v>
      </c>
      <c r="R36">
        <v>0.3901</v>
      </c>
      <c r="S36">
        <v>0.48499999999999999</v>
      </c>
    </row>
    <row r="37" spans="1:19" x14ac:dyDescent="0.25">
      <c r="A37" t="s">
        <v>541</v>
      </c>
      <c r="B37" t="s">
        <v>3</v>
      </c>
      <c r="D37" t="s">
        <v>12</v>
      </c>
      <c r="E37">
        <v>3.11</v>
      </c>
      <c r="F37">
        <v>0</v>
      </c>
      <c r="G37">
        <v>0.19020000000000001</v>
      </c>
      <c r="H37">
        <v>0.19020000000000001</v>
      </c>
      <c r="I37">
        <v>1.9613</v>
      </c>
      <c r="J37">
        <v>3.2919</v>
      </c>
      <c r="K37">
        <v>6.9191000000000003</v>
      </c>
      <c r="L37">
        <v>0.40279999999999999</v>
      </c>
      <c r="M37">
        <v>1.5800000000000002E-2</v>
      </c>
      <c r="N37">
        <v>1.09E-2</v>
      </c>
      <c r="O37">
        <v>0.99360000000000004</v>
      </c>
      <c r="P37">
        <v>0</v>
      </c>
      <c r="Q37">
        <v>0</v>
      </c>
      <c r="R37">
        <v>0.38379999999999997</v>
      </c>
      <c r="S37">
        <v>0.58620000000000005</v>
      </c>
    </row>
    <row r="38" spans="1:19" x14ac:dyDescent="0.25">
      <c r="A38" t="s">
        <v>555</v>
      </c>
      <c r="B38" t="s">
        <v>24</v>
      </c>
      <c r="D38" t="s">
        <v>35</v>
      </c>
      <c r="E38">
        <v>1.63</v>
      </c>
      <c r="F38">
        <v>0.54700000000000004</v>
      </c>
      <c r="G38">
        <v>0.86409999999999998</v>
      </c>
      <c r="H38">
        <v>0.31709999999999999</v>
      </c>
      <c r="I38">
        <v>3.7515999999999998</v>
      </c>
      <c r="J38">
        <v>3.6720999999999999</v>
      </c>
      <c r="K38">
        <v>4.3582000000000001</v>
      </c>
      <c r="L38">
        <v>0.38019999999999998</v>
      </c>
      <c r="M38">
        <v>1.5800000000000002E-2</v>
      </c>
      <c r="N38">
        <v>1.09E-2</v>
      </c>
      <c r="O38">
        <v>0.94840000000000002</v>
      </c>
      <c r="P38">
        <v>1.3057000000000001</v>
      </c>
      <c r="Q38">
        <v>1.4507000000000001</v>
      </c>
      <c r="R38">
        <v>0.47370000000000001</v>
      </c>
      <c r="S38">
        <v>0.29089999999999999</v>
      </c>
    </row>
    <row r="39" spans="1:19" x14ac:dyDescent="0.25">
      <c r="A39" t="s">
        <v>571</v>
      </c>
      <c r="B39" t="s">
        <v>24</v>
      </c>
      <c r="D39" t="s">
        <v>19</v>
      </c>
      <c r="E39">
        <v>2.0299999999999998</v>
      </c>
      <c r="F39">
        <v>0.85909999999999997</v>
      </c>
      <c r="G39">
        <v>1.5963000000000001</v>
      </c>
      <c r="H39">
        <v>0.73719999999999997</v>
      </c>
      <c r="I39">
        <v>4.1670999999999996</v>
      </c>
      <c r="J39">
        <v>0.78580000000000005</v>
      </c>
      <c r="K39">
        <v>4.0331000000000001</v>
      </c>
      <c r="L39">
        <v>0.2324</v>
      </c>
      <c r="M39">
        <v>1.5800000000000002E-2</v>
      </c>
      <c r="N39">
        <v>1.09E-2</v>
      </c>
      <c r="O39">
        <v>0.65280000000000005</v>
      </c>
      <c r="P39">
        <v>1.0083</v>
      </c>
      <c r="Q39">
        <v>1.1732</v>
      </c>
      <c r="R39">
        <v>0.4622</v>
      </c>
      <c r="S39">
        <v>1.0232000000000001</v>
      </c>
    </row>
    <row r="40" spans="1:19" x14ac:dyDescent="0.25">
      <c r="A40" t="s">
        <v>441</v>
      </c>
      <c r="B40" t="s">
        <v>3</v>
      </c>
      <c r="D40" t="s">
        <v>31</v>
      </c>
      <c r="E40">
        <v>0.73</v>
      </c>
      <c r="F40">
        <v>0.1045</v>
      </c>
      <c r="G40">
        <v>0.13569999999999999</v>
      </c>
      <c r="H40">
        <v>3.1199999999999999E-2</v>
      </c>
      <c r="I40">
        <v>3.3799000000000001</v>
      </c>
      <c r="J40">
        <v>1.5839000000000001</v>
      </c>
      <c r="K40">
        <v>3.6631</v>
      </c>
      <c r="L40">
        <v>0.104</v>
      </c>
      <c r="M40">
        <v>1.5800000000000002E-2</v>
      </c>
      <c r="N40">
        <v>1.09E-2</v>
      </c>
      <c r="O40">
        <v>0.39600000000000002</v>
      </c>
      <c r="P40">
        <v>0</v>
      </c>
      <c r="Q40">
        <v>0</v>
      </c>
      <c r="R40">
        <v>0.4254</v>
      </c>
      <c r="S40">
        <v>0.2064</v>
      </c>
    </row>
    <row r="41" spans="1:19" x14ac:dyDescent="0.25">
      <c r="A41" t="s">
        <v>575</v>
      </c>
      <c r="B41" t="s">
        <v>24</v>
      </c>
      <c r="D41" t="s">
        <v>14</v>
      </c>
      <c r="E41">
        <v>0.63</v>
      </c>
      <c r="F41">
        <v>0.91500000000000004</v>
      </c>
      <c r="G41">
        <v>0.62770000000000004</v>
      </c>
      <c r="H41">
        <v>0</v>
      </c>
      <c r="I41">
        <v>5.1018999999999997</v>
      </c>
      <c r="J41">
        <v>0.62770000000000004</v>
      </c>
      <c r="K41">
        <v>1.8217000000000001</v>
      </c>
      <c r="L41">
        <v>0.27939999999999998</v>
      </c>
      <c r="M41">
        <v>1.5800000000000002E-2</v>
      </c>
      <c r="N41">
        <v>1.09E-2</v>
      </c>
      <c r="O41">
        <v>0.74680000000000002</v>
      </c>
      <c r="P41">
        <v>1.6061000000000001</v>
      </c>
      <c r="Q41">
        <v>4.0263999999999998</v>
      </c>
      <c r="R41">
        <v>0.28510000000000002</v>
      </c>
      <c r="S41">
        <v>0.85119999999999996</v>
      </c>
    </row>
    <row r="42" spans="1:19" x14ac:dyDescent="0.25">
      <c r="A42" t="s">
        <v>426</v>
      </c>
      <c r="B42" t="s">
        <v>24</v>
      </c>
      <c r="D42" t="s">
        <v>87</v>
      </c>
      <c r="E42">
        <v>2.5499999999999998</v>
      </c>
      <c r="F42">
        <v>0.79859999999999998</v>
      </c>
      <c r="G42">
        <v>0.85870000000000002</v>
      </c>
      <c r="H42">
        <v>6.0100000000000001E-2</v>
      </c>
      <c r="I42">
        <v>3.9121000000000001</v>
      </c>
      <c r="J42">
        <v>5.6083999999999996</v>
      </c>
      <c r="K42">
        <v>6.5125999999999999</v>
      </c>
      <c r="L42">
        <v>0.65910000000000002</v>
      </c>
      <c r="M42">
        <v>1.5800000000000002E-2</v>
      </c>
      <c r="N42">
        <v>1.09E-2</v>
      </c>
      <c r="O42">
        <v>1.5062</v>
      </c>
      <c r="P42">
        <v>0.79110000000000003</v>
      </c>
      <c r="Q42">
        <v>2.1091000000000002</v>
      </c>
      <c r="R42">
        <v>0.27279999999999999</v>
      </c>
      <c r="S42">
        <v>1.2317</v>
      </c>
    </row>
    <row r="43" spans="1:19" x14ac:dyDescent="0.25">
      <c r="A43" t="s">
        <v>871</v>
      </c>
      <c r="B43" t="s">
        <v>3</v>
      </c>
      <c r="D43" t="s">
        <v>28</v>
      </c>
      <c r="E43">
        <v>2.25</v>
      </c>
      <c r="F43">
        <v>0</v>
      </c>
      <c r="G43">
        <v>0.4229</v>
      </c>
      <c r="H43">
        <v>0.4229</v>
      </c>
      <c r="I43">
        <v>0.75800000000000001</v>
      </c>
      <c r="J43">
        <v>4.9865000000000004</v>
      </c>
      <c r="K43">
        <v>14.765000000000001</v>
      </c>
      <c r="L43">
        <v>0.59409999999999996</v>
      </c>
      <c r="M43">
        <v>1.5800000000000002E-2</v>
      </c>
      <c r="N43">
        <v>1.09E-2</v>
      </c>
      <c r="O43">
        <v>1.3762000000000001</v>
      </c>
      <c r="P43">
        <v>0</v>
      </c>
      <c r="Q43">
        <v>0</v>
      </c>
      <c r="R43">
        <v>0.39179999999999998</v>
      </c>
      <c r="S43">
        <v>0.90129999999999999</v>
      </c>
    </row>
    <row r="44" spans="1:19" x14ac:dyDescent="0.25">
      <c r="A44" t="s">
        <v>340</v>
      </c>
      <c r="B44" t="s">
        <v>24</v>
      </c>
      <c r="D44" t="s">
        <v>14</v>
      </c>
      <c r="E44">
        <v>0.86</v>
      </c>
      <c r="F44">
        <v>0.16289999999999999</v>
      </c>
      <c r="G44">
        <v>0.43</v>
      </c>
      <c r="H44">
        <v>0.2671</v>
      </c>
      <c r="I44">
        <v>1.5738000000000001</v>
      </c>
      <c r="J44">
        <v>1.3762000000000001</v>
      </c>
      <c r="K44">
        <v>4.1551999999999998</v>
      </c>
      <c r="L44">
        <v>0.30149999999999999</v>
      </c>
      <c r="M44">
        <v>1.5800000000000002E-2</v>
      </c>
      <c r="N44">
        <v>1.09E-2</v>
      </c>
      <c r="O44">
        <v>0.79100000000000004</v>
      </c>
      <c r="P44">
        <v>23.904399999999999</v>
      </c>
      <c r="Q44">
        <v>26.0214</v>
      </c>
      <c r="R44">
        <v>0.4788</v>
      </c>
      <c r="S44">
        <v>0.56589999999999996</v>
      </c>
    </row>
    <row r="45" spans="1:19" x14ac:dyDescent="0.25">
      <c r="A45" t="s">
        <v>583</v>
      </c>
      <c r="B45" t="s">
        <v>3</v>
      </c>
      <c r="D45" t="s">
        <v>27</v>
      </c>
      <c r="E45">
        <v>2.4900000000000002</v>
      </c>
      <c r="F45">
        <v>7.0000000000000001E-3</v>
      </c>
      <c r="G45">
        <v>0.24129999999999999</v>
      </c>
      <c r="H45">
        <v>0.23430000000000001</v>
      </c>
      <c r="I45">
        <v>1.5843</v>
      </c>
      <c r="J45">
        <v>4.4286000000000003</v>
      </c>
      <c r="K45">
        <v>8.4680999999999997</v>
      </c>
      <c r="L45">
        <v>0.65980000000000005</v>
      </c>
      <c r="M45">
        <v>1.5800000000000002E-2</v>
      </c>
      <c r="N45">
        <v>1.09E-2</v>
      </c>
      <c r="O45">
        <v>1.5076000000000001</v>
      </c>
      <c r="P45">
        <v>0</v>
      </c>
      <c r="Q45">
        <v>0</v>
      </c>
      <c r="R45">
        <v>0.40770000000000001</v>
      </c>
      <c r="S45">
        <v>1.0770999999999999</v>
      </c>
    </row>
    <row r="46" spans="1:19" x14ac:dyDescent="0.25">
      <c r="A46" t="s">
        <v>351</v>
      </c>
      <c r="B46" t="s">
        <v>3</v>
      </c>
      <c r="D46" t="s">
        <v>9</v>
      </c>
      <c r="E46">
        <v>2.2999999999999998</v>
      </c>
      <c r="F46">
        <v>4.7899999999999998E-2</v>
      </c>
      <c r="G46">
        <v>0.15429999999999999</v>
      </c>
      <c r="H46">
        <v>0.10639999999999999</v>
      </c>
      <c r="I46">
        <v>1.3125</v>
      </c>
      <c r="J46">
        <v>6.5952999999999999</v>
      </c>
      <c r="K46">
        <v>7.0835999999999997</v>
      </c>
      <c r="L46">
        <v>0.35449999999999998</v>
      </c>
      <c r="M46">
        <v>1.5800000000000002E-2</v>
      </c>
      <c r="N46">
        <v>1.09E-2</v>
      </c>
      <c r="O46">
        <v>0.89700000000000002</v>
      </c>
      <c r="P46">
        <v>0</v>
      </c>
      <c r="Q46">
        <v>0</v>
      </c>
      <c r="R46">
        <v>0.39279999999999998</v>
      </c>
      <c r="S46">
        <v>0.47799999999999998</v>
      </c>
    </row>
    <row r="47" spans="1:19" x14ac:dyDescent="0.25">
      <c r="A47" t="s">
        <v>271</v>
      </c>
      <c r="B47" t="s">
        <v>3</v>
      </c>
      <c r="D47" t="s">
        <v>34</v>
      </c>
      <c r="E47">
        <v>2.25</v>
      </c>
      <c r="F47">
        <v>0</v>
      </c>
      <c r="G47">
        <v>0.1953</v>
      </c>
      <c r="H47">
        <v>0.1953</v>
      </c>
      <c r="I47">
        <v>2.1789000000000001</v>
      </c>
      <c r="J47">
        <v>1.6436999999999999</v>
      </c>
      <c r="K47">
        <v>4.5331999999999999</v>
      </c>
      <c r="L47">
        <v>0.20630000000000001</v>
      </c>
      <c r="M47">
        <v>1.5800000000000002E-2</v>
      </c>
      <c r="N47">
        <v>1.09E-2</v>
      </c>
      <c r="O47">
        <v>0.60060000000000002</v>
      </c>
      <c r="P47">
        <v>0</v>
      </c>
      <c r="Q47">
        <v>0</v>
      </c>
      <c r="R47">
        <v>0.44350000000000001</v>
      </c>
      <c r="S47">
        <v>0.27929999999999999</v>
      </c>
    </row>
    <row r="48" spans="1:19" x14ac:dyDescent="0.25">
      <c r="A48" t="s">
        <v>806</v>
      </c>
      <c r="B48" t="s">
        <v>24</v>
      </c>
      <c r="D48" t="s">
        <v>28</v>
      </c>
      <c r="E48">
        <v>1.1599999999999999</v>
      </c>
      <c r="F48">
        <v>0.53769999999999996</v>
      </c>
      <c r="G48">
        <v>0.70850000000000002</v>
      </c>
      <c r="H48">
        <v>0.17080000000000001</v>
      </c>
      <c r="I48">
        <v>3.4885999999999999</v>
      </c>
      <c r="J48">
        <v>2.2416</v>
      </c>
      <c r="K48">
        <v>4.4859</v>
      </c>
      <c r="L48">
        <v>0.75180000000000002</v>
      </c>
      <c r="M48">
        <v>1.5800000000000002E-2</v>
      </c>
      <c r="N48">
        <v>1.09E-2</v>
      </c>
      <c r="O48">
        <v>1.6916</v>
      </c>
      <c r="P48">
        <v>4.5838000000000001</v>
      </c>
      <c r="Q48">
        <v>11.897399999999999</v>
      </c>
      <c r="R48">
        <v>0.27810000000000001</v>
      </c>
      <c r="S48">
        <v>0.39379999999999998</v>
      </c>
    </row>
    <row r="49" spans="1:19" x14ac:dyDescent="0.25">
      <c r="A49" t="s">
        <v>619</v>
      </c>
      <c r="B49" t="s">
        <v>3</v>
      </c>
      <c r="D49" t="s">
        <v>16</v>
      </c>
      <c r="E49">
        <v>1.1100000000000001</v>
      </c>
      <c r="F49">
        <v>0</v>
      </c>
      <c r="G49">
        <v>0.40200000000000002</v>
      </c>
      <c r="H49">
        <v>0.40200000000000002</v>
      </c>
      <c r="I49">
        <v>1.6850000000000001</v>
      </c>
      <c r="J49">
        <v>3.4539</v>
      </c>
      <c r="K49">
        <v>8.2011000000000003</v>
      </c>
      <c r="L49">
        <v>6.6199999999999995E-2</v>
      </c>
      <c r="M49">
        <v>1.5800000000000002E-2</v>
      </c>
      <c r="N49">
        <v>1.09E-2</v>
      </c>
      <c r="O49">
        <v>0.32040000000000002</v>
      </c>
      <c r="P49">
        <v>0</v>
      </c>
      <c r="Q49">
        <v>0</v>
      </c>
      <c r="R49">
        <v>0.41010000000000002</v>
      </c>
      <c r="S49">
        <v>0.3029</v>
      </c>
    </row>
    <row r="50" spans="1:19" x14ac:dyDescent="0.25">
      <c r="A50" t="s">
        <v>427</v>
      </c>
      <c r="B50" t="s">
        <v>3</v>
      </c>
      <c r="D50" t="s">
        <v>34</v>
      </c>
      <c r="E50">
        <v>2.35</v>
      </c>
      <c r="F50">
        <v>0</v>
      </c>
      <c r="G50">
        <v>0.3962</v>
      </c>
      <c r="H50">
        <v>0.3962</v>
      </c>
      <c r="I50">
        <v>1.4233</v>
      </c>
      <c r="J50">
        <v>0.8911</v>
      </c>
      <c r="K50">
        <v>7.6896000000000004</v>
      </c>
      <c r="L50">
        <v>0.12889999999999999</v>
      </c>
      <c r="M50">
        <v>1.5800000000000002E-2</v>
      </c>
      <c r="N50">
        <v>1.09E-2</v>
      </c>
      <c r="O50">
        <v>0.44579999999999997</v>
      </c>
      <c r="P50">
        <v>0</v>
      </c>
      <c r="Q50">
        <v>0</v>
      </c>
      <c r="R50">
        <v>0.3906</v>
      </c>
      <c r="S50">
        <v>0.37080000000000002</v>
      </c>
    </row>
    <row r="51" spans="1:19" x14ac:dyDescent="0.25">
      <c r="A51" t="s">
        <v>512</v>
      </c>
      <c r="B51" t="s">
        <v>3</v>
      </c>
      <c r="D51" t="s">
        <v>87</v>
      </c>
      <c r="E51">
        <v>1.79</v>
      </c>
      <c r="F51">
        <v>0</v>
      </c>
      <c r="G51">
        <v>0.17910000000000001</v>
      </c>
      <c r="H51">
        <v>0.17910000000000001</v>
      </c>
      <c r="I51">
        <v>1.6783999999999999</v>
      </c>
      <c r="J51">
        <v>2.3206000000000002</v>
      </c>
      <c r="K51">
        <v>7.6715</v>
      </c>
      <c r="L51">
        <v>0.29720000000000002</v>
      </c>
      <c r="M51">
        <v>1.5800000000000002E-2</v>
      </c>
      <c r="N51">
        <v>1.09E-2</v>
      </c>
      <c r="O51">
        <v>0.78239999999999998</v>
      </c>
      <c r="P51">
        <v>0</v>
      </c>
      <c r="Q51">
        <v>0</v>
      </c>
      <c r="R51">
        <v>0.39190000000000003</v>
      </c>
      <c r="S51">
        <v>0.3493</v>
      </c>
    </row>
    <row r="52" spans="1:19" x14ac:dyDescent="0.25">
      <c r="A52" t="s">
        <v>872</v>
      </c>
      <c r="B52" t="s">
        <v>24</v>
      </c>
      <c r="D52" t="s">
        <v>5</v>
      </c>
      <c r="E52">
        <v>1.58</v>
      </c>
      <c r="F52">
        <v>0.31990000000000002</v>
      </c>
      <c r="G52">
        <v>0.26939999999999997</v>
      </c>
      <c r="H52">
        <v>0</v>
      </c>
      <c r="I52">
        <v>3.899</v>
      </c>
      <c r="J52">
        <v>1.5834999999999999</v>
      </c>
      <c r="K52">
        <v>5.0980999999999996</v>
      </c>
      <c r="L52">
        <v>0.22470000000000001</v>
      </c>
      <c r="M52">
        <v>1.5800000000000002E-2</v>
      </c>
      <c r="N52">
        <v>1.09E-2</v>
      </c>
      <c r="O52">
        <v>0.63739999999999997</v>
      </c>
      <c r="P52">
        <v>2.6718999999999999</v>
      </c>
      <c r="Q52">
        <v>4.7333999999999996</v>
      </c>
      <c r="R52">
        <v>0.36080000000000001</v>
      </c>
      <c r="S52">
        <v>1.3684000000000001</v>
      </c>
    </row>
    <row r="53" spans="1:19" x14ac:dyDescent="0.25">
      <c r="A53" t="s">
        <v>492</v>
      </c>
      <c r="B53" t="s">
        <v>24</v>
      </c>
      <c r="D53" t="s">
        <v>20</v>
      </c>
      <c r="E53">
        <v>0.44</v>
      </c>
      <c r="F53">
        <v>0.55089999999999995</v>
      </c>
      <c r="G53">
        <v>1.5374000000000001</v>
      </c>
      <c r="H53">
        <v>0.98650000000000004</v>
      </c>
      <c r="I53">
        <v>4.7073</v>
      </c>
      <c r="J53">
        <v>0.47</v>
      </c>
      <c r="K53">
        <v>2.3988</v>
      </c>
      <c r="L53">
        <v>0.1196</v>
      </c>
      <c r="M53">
        <v>1.5800000000000002E-2</v>
      </c>
      <c r="N53">
        <v>1.09E-2</v>
      </c>
      <c r="O53">
        <v>0.42720000000000002</v>
      </c>
      <c r="P53">
        <v>9.7318999999999996</v>
      </c>
      <c r="Q53">
        <v>21.687899999999999</v>
      </c>
      <c r="R53">
        <v>0.30969999999999998</v>
      </c>
      <c r="S53">
        <v>0.3952</v>
      </c>
    </row>
    <row r="54" spans="1:19" x14ac:dyDescent="0.25">
      <c r="A54" t="s">
        <v>292</v>
      </c>
      <c r="B54" t="s">
        <v>24</v>
      </c>
      <c r="D54" t="s">
        <v>25</v>
      </c>
      <c r="E54">
        <v>1.53</v>
      </c>
      <c r="F54">
        <v>0.79769999999999996</v>
      </c>
      <c r="G54">
        <v>0.78849999999999998</v>
      </c>
      <c r="H54">
        <v>0</v>
      </c>
      <c r="I54">
        <v>3.8020999999999998</v>
      </c>
      <c r="J54">
        <v>1.5777000000000001</v>
      </c>
      <c r="K54">
        <v>6.2881999999999998</v>
      </c>
      <c r="L54">
        <v>0.28120000000000001</v>
      </c>
      <c r="M54">
        <v>1.5800000000000002E-2</v>
      </c>
      <c r="N54">
        <v>1.09E-2</v>
      </c>
      <c r="O54">
        <v>0.75039999999999996</v>
      </c>
      <c r="P54">
        <v>1.4068000000000001</v>
      </c>
      <c r="Q54">
        <v>1.8101</v>
      </c>
      <c r="R54">
        <v>0.43730000000000002</v>
      </c>
      <c r="S54">
        <v>0.50590000000000002</v>
      </c>
    </row>
    <row r="55" spans="1:19" x14ac:dyDescent="0.25">
      <c r="A55" t="s">
        <v>609</v>
      </c>
      <c r="B55" t="s">
        <v>24</v>
      </c>
      <c r="D55" t="s">
        <v>20</v>
      </c>
      <c r="E55">
        <v>1.81</v>
      </c>
      <c r="F55">
        <v>0.2596</v>
      </c>
      <c r="G55">
        <v>5.3499999999999999E-2</v>
      </c>
      <c r="H55">
        <v>0</v>
      </c>
      <c r="I55">
        <v>1.9157999999999999</v>
      </c>
      <c r="J55">
        <v>4.6451000000000002</v>
      </c>
      <c r="K55">
        <v>3.6896</v>
      </c>
      <c r="L55">
        <v>0.75029999999999997</v>
      </c>
      <c r="M55">
        <v>1.5800000000000002E-2</v>
      </c>
      <c r="N55">
        <v>1.09E-2</v>
      </c>
      <c r="O55">
        <v>1.6886000000000001</v>
      </c>
      <c r="P55">
        <v>0.88109999999999999</v>
      </c>
      <c r="Q55">
        <v>1.3925000000000001</v>
      </c>
      <c r="R55">
        <v>0.38750000000000001</v>
      </c>
      <c r="S55">
        <v>0.95740000000000003</v>
      </c>
    </row>
    <row r="56" spans="1:19" x14ac:dyDescent="0.25">
      <c r="A56" t="s">
        <v>246</v>
      </c>
      <c r="B56" t="s">
        <v>3</v>
      </c>
      <c r="D56" t="s">
        <v>11</v>
      </c>
      <c r="E56">
        <v>2.58</v>
      </c>
      <c r="F56">
        <v>7.4700000000000003E-2</v>
      </c>
      <c r="G56">
        <v>0.68289999999999995</v>
      </c>
      <c r="H56">
        <v>0.60819999999999996</v>
      </c>
      <c r="I56">
        <v>2.4807000000000001</v>
      </c>
      <c r="J56">
        <v>2.4306000000000001</v>
      </c>
      <c r="K56">
        <v>6.6886999999999999</v>
      </c>
      <c r="L56">
        <v>0.13650000000000001</v>
      </c>
      <c r="M56">
        <v>1.5800000000000002E-2</v>
      </c>
      <c r="N56">
        <v>1.09E-2</v>
      </c>
      <c r="O56">
        <v>0.46100000000000002</v>
      </c>
      <c r="P56">
        <v>0</v>
      </c>
      <c r="Q56">
        <v>0</v>
      </c>
      <c r="R56">
        <v>0.39629999999999999</v>
      </c>
      <c r="S56">
        <v>0.60740000000000005</v>
      </c>
    </row>
    <row r="57" spans="1:19" x14ac:dyDescent="0.25">
      <c r="A57" t="s">
        <v>707</v>
      </c>
      <c r="B57" t="s">
        <v>24</v>
      </c>
      <c r="D57" t="s">
        <v>30</v>
      </c>
      <c r="E57">
        <v>1.53</v>
      </c>
      <c r="F57">
        <v>0.23980000000000001</v>
      </c>
      <c r="G57">
        <v>1.3849</v>
      </c>
      <c r="H57">
        <v>1.1451</v>
      </c>
      <c r="I57">
        <v>2.6198999999999999</v>
      </c>
      <c r="J57">
        <v>0.62860000000000005</v>
      </c>
      <c r="K57">
        <v>2.6621999999999999</v>
      </c>
      <c r="L57">
        <v>7.1999999999999995E-2</v>
      </c>
      <c r="M57">
        <v>1.5800000000000002E-2</v>
      </c>
      <c r="N57">
        <v>1.09E-2</v>
      </c>
      <c r="O57">
        <v>0.33200000000000002</v>
      </c>
      <c r="P57">
        <v>13.0192</v>
      </c>
      <c r="Q57">
        <v>13.633100000000001</v>
      </c>
      <c r="R57">
        <v>0.48849999999999999</v>
      </c>
      <c r="S57">
        <v>0.84230000000000005</v>
      </c>
    </row>
    <row r="58" spans="1:19" x14ac:dyDescent="0.25">
      <c r="A58" t="s">
        <v>874</v>
      </c>
      <c r="B58" t="s">
        <v>3</v>
      </c>
      <c r="D58" t="s">
        <v>19</v>
      </c>
      <c r="E58">
        <v>1.61</v>
      </c>
      <c r="F58">
        <v>9.7000000000000003E-3</v>
      </c>
      <c r="G58">
        <v>8.3900000000000002E-2</v>
      </c>
      <c r="H58">
        <v>7.4200000000000002E-2</v>
      </c>
      <c r="I58">
        <v>1.869</v>
      </c>
      <c r="J58">
        <v>5.9046000000000003</v>
      </c>
      <c r="K58">
        <v>8.5251999999999999</v>
      </c>
      <c r="L58">
        <v>7.4800000000000005E-2</v>
      </c>
      <c r="M58">
        <v>1.5800000000000002E-2</v>
      </c>
      <c r="N58">
        <v>1.09E-2</v>
      </c>
      <c r="O58">
        <v>0.33760000000000001</v>
      </c>
      <c r="P58">
        <v>0</v>
      </c>
      <c r="Q58">
        <v>0</v>
      </c>
      <c r="R58">
        <v>0.4143</v>
      </c>
      <c r="S58">
        <v>0.16</v>
      </c>
    </row>
    <row r="59" spans="1:19" x14ac:dyDescent="0.25">
      <c r="A59" t="s">
        <v>489</v>
      </c>
      <c r="B59" t="s">
        <v>3</v>
      </c>
      <c r="D59" t="s">
        <v>5</v>
      </c>
      <c r="E59">
        <v>2.92</v>
      </c>
      <c r="F59">
        <v>0</v>
      </c>
      <c r="G59">
        <v>0.12590000000000001</v>
      </c>
      <c r="H59">
        <v>0.12590000000000001</v>
      </c>
      <c r="I59">
        <v>1.0548999999999999</v>
      </c>
      <c r="J59">
        <v>0.55700000000000005</v>
      </c>
      <c r="K59">
        <v>6.2111000000000001</v>
      </c>
      <c r="L59">
        <v>9.9299999999999999E-2</v>
      </c>
      <c r="M59">
        <v>1.5800000000000002E-2</v>
      </c>
      <c r="N59">
        <v>1.09E-2</v>
      </c>
      <c r="O59">
        <v>0.3866</v>
      </c>
      <c r="P59">
        <v>0</v>
      </c>
      <c r="Q59">
        <v>0</v>
      </c>
      <c r="R59">
        <v>0.38619999999999999</v>
      </c>
      <c r="S59">
        <v>0.23810000000000001</v>
      </c>
    </row>
    <row r="60" spans="1:19" x14ac:dyDescent="0.25">
      <c r="A60" t="s">
        <v>509</v>
      </c>
      <c r="B60" t="s">
        <v>3</v>
      </c>
      <c r="D60" t="s">
        <v>32</v>
      </c>
      <c r="E60">
        <v>1.86</v>
      </c>
      <c r="F60">
        <v>1.7399999999999999E-2</v>
      </c>
      <c r="G60">
        <v>0.91359999999999997</v>
      </c>
      <c r="H60">
        <v>0.8962</v>
      </c>
      <c r="I60">
        <v>0.94289999999999996</v>
      </c>
      <c r="J60">
        <v>1.0066999999999999</v>
      </c>
      <c r="K60">
        <v>9.1857000000000006</v>
      </c>
      <c r="L60">
        <v>8.0799999999999997E-2</v>
      </c>
      <c r="M60">
        <v>1.5800000000000002E-2</v>
      </c>
      <c r="N60">
        <v>1.09E-2</v>
      </c>
      <c r="O60">
        <v>0.34960000000000002</v>
      </c>
      <c r="P60">
        <v>0</v>
      </c>
      <c r="Q60">
        <v>0</v>
      </c>
      <c r="R60">
        <v>0.41699999999999998</v>
      </c>
      <c r="S60">
        <v>0.2666</v>
      </c>
    </row>
    <row r="61" spans="1:19" x14ac:dyDescent="0.25">
      <c r="A61" t="s">
        <v>469</v>
      </c>
      <c r="B61" t="s">
        <v>3</v>
      </c>
      <c r="D61" t="s">
        <v>8</v>
      </c>
      <c r="E61">
        <v>1.78</v>
      </c>
      <c r="F61">
        <v>4.4999999999999997E-3</v>
      </c>
      <c r="G61">
        <v>0.2228</v>
      </c>
      <c r="H61">
        <v>0.21829999999999999</v>
      </c>
      <c r="I61">
        <v>0.76329999999999998</v>
      </c>
      <c r="J61">
        <v>5.8109000000000002</v>
      </c>
      <c r="K61">
        <v>9.1692999999999998</v>
      </c>
      <c r="L61">
        <v>0.3952</v>
      </c>
      <c r="M61">
        <v>1.5800000000000002E-2</v>
      </c>
      <c r="N61">
        <v>1.09E-2</v>
      </c>
      <c r="O61">
        <v>0.97840000000000005</v>
      </c>
      <c r="P61">
        <v>0</v>
      </c>
      <c r="Q61">
        <v>0</v>
      </c>
      <c r="R61">
        <v>0.40939999999999999</v>
      </c>
      <c r="S61">
        <v>0.55059999999999998</v>
      </c>
    </row>
    <row r="62" spans="1:19" x14ac:dyDescent="0.25">
      <c r="A62" t="s">
        <v>708</v>
      </c>
      <c r="B62" t="s">
        <v>24</v>
      </c>
      <c r="D62" t="s">
        <v>20</v>
      </c>
      <c r="E62">
        <v>1.86</v>
      </c>
      <c r="F62">
        <v>0.45600000000000002</v>
      </c>
      <c r="G62">
        <v>0.80379999999999996</v>
      </c>
      <c r="H62">
        <v>0.3478</v>
      </c>
      <c r="I62">
        <v>3.2037</v>
      </c>
      <c r="J62">
        <v>1.1854</v>
      </c>
      <c r="K62">
        <v>7.3623000000000003</v>
      </c>
      <c r="L62">
        <v>0.30130000000000001</v>
      </c>
      <c r="M62">
        <v>1.5800000000000002E-2</v>
      </c>
      <c r="N62">
        <v>1.09E-2</v>
      </c>
      <c r="O62">
        <v>0.79059999999999997</v>
      </c>
      <c r="P62">
        <v>26.222999999999999</v>
      </c>
      <c r="Q62">
        <v>27.8263</v>
      </c>
      <c r="R62">
        <v>0.48520000000000002</v>
      </c>
      <c r="S62">
        <v>1.0817000000000001</v>
      </c>
    </row>
    <row r="63" spans="1:19" x14ac:dyDescent="0.25">
      <c r="A63" t="s">
        <v>645</v>
      </c>
      <c r="B63" t="s">
        <v>3</v>
      </c>
      <c r="D63" t="s">
        <v>1174</v>
      </c>
      <c r="E63">
        <v>1.94</v>
      </c>
      <c r="F63">
        <v>0</v>
      </c>
      <c r="G63">
        <v>6.0199999999999997E-2</v>
      </c>
      <c r="H63">
        <v>6.0199999999999997E-2</v>
      </c>
      <c r="I63">
        <v>1.2630999999999999</v>
      </c>
      <c r="J63">
        <v>8.0048999999999992</v>
      </c>
      <c r="K63">
        <v>7.4958999999999998</v>
      </c>
      <c r="L63">
        <v>6.13E-2</v>
      </c>
      <c r="M63">
        <v>1.5800000000000002E-2</v>
      </c>
      <c r="N63">
        <v>1.09E-2</v>
      </c>
      <c r="O63">
        <v>0.31059999999999999</v>
      </c>
      <c r="P63">
        <v>0</v>
      </c>
      <c r="Q63">
        <v>0</v>
      </c>
      <c r="R63">
        <v>0.4073</v>
      </c>
      <c r="S63">
        <v>0.36809999999999998</v>
      </c>
    </row>
    <row r="64" spans="1:19" x14ac:dyDescent="0.25">
      <c r="A64" t="s">
        <v>435</v>
      </c>
      <c r="B64" t="s">
        <v>24</v>
      </c>
      <c r="D64" t="s">
        <v>28</v>
      </c>
      <c r="E64">
        <v>1.55</v>
      </c>
      <c r="F64">
        <v>0.55569999999999997</v>
      </c>
      <c r="G64">
        <v>1.1637</v>
      </c>
      <c r="H64">
        <v>0.60799999999999998</v>
      </c>
      <c r="I64">
        <v>3.4073000000000002</v>
      </c>
      <c r="J64">
        <v>1.5270999999999999</v>
      </c>
      <c r="K64">
        <v>2.7881</v>
      </c>
      <c r="L64">
        <v>5.7099999999999998E-2</v>
      </c>
      <c r="M64">
        <v>1.5800000000000002E-2</v>
      </c>
      <c r="N64">
        <v>1.09E-2</v>
      </c>
      <c r="O64">
        <v>0.30220000000000002</v>
      </c>
      <c r="P64">
        <v>17.598299999999998</v>
      </c>
      <c r="Q64">
        <v>19.756499999999999</v>
      </c>
      <c r="R64">
        <v>0.47110000000000002</v>
      </c>
      <c r="S64">
        <v>0.62419999999999998</v>
      </c>
    </row>
    <row r="65" spans="1:19" x14ac:dyDescent="0.25">
      <c r="A65" t="s">
        <v>596</v>
      </c>
      <c r="B65" t="s">
        <v>24</v>
      </c>
      <c r="D65" t="s">
        <v>12</v>
      </c>
      <c r="E65">
        <v>2.48</v>
      </c>
      <c r="F65">
        <v>0.27889999999999998</v>
      </c>
      <c r="G65">
        <v>1.2457</v>
      </c>
      <c r="H65">
        <v>0.96679999999999999</v>
      </c>
      <c r="I65">
        <v>3.0836000000000001</v>
      </c>
      <c r="J65">
        <v>1.6367</v>
      </c>
      <c r="K65">
        <v>3.6253000000000002</v>
      </c>
      <c r="L65">
        <v>0.41089999999999999</v>
      </c>
      <c r="M65">
        <v>1.5800000000000002E-2</v>
      </c>
      <c r="N65">
        <v>1.09E-2</v>
      </c>
      <c r="O65">
        <v>1.0098</v>
      </c>
      <c r="P65">
        <v>25.322399999999998</v>
      </c>
      <c r="Q65">
        <v>33.698999999999998</v>
      </c>
      <c r="R65">
        <v>0.42899999999999999</v>
      </c>
      <c r="S65">
        <v>0.60640000000000005</v>
      </c>
    </row>
    <row r="66" spans="1:19" x14ac:dyDescent="0.25">
      <c r="A66" t="s">
        <v>875</v>
      </c>
      <c r="B66" t="s">
        <v>3</v>
      </c>
      <c r="D66" t="s">
        <v>12</v>
      </c>
      <c r="E66">
        <v>2.19</v>
      </c>
      <c r="F66">
        <v>0.10680000000000001</v>
      </c>
      <c r="G66">
        <v>3.09E-2</v>
      </c>
      <c r="H66">
        <v>0</v>
      </c>
      <c r="I66">
        <v>1.1625000000000001</v>
      </c>
      <c r="J66">
        <v>3.3860999999999999</v>
      </c>
      <c r="K66">
        <v>8.6736000000000004</v>
      </c>
      <c r="L66">
        <v>0.56210000000000004</v>
      </c>
      <c r="M66">
        <v>1.5800000000000002E-2</v>
      </c>
      <c r="N66">
        <v>1.09E-2</v>
      </c>
      <c r="O66">
        <v>1.3122</v>
      </c>
      <c r="P66">
        <v>0</v>
      </c>
      <c r="Q66">
        <v>0</v>
      </c>
      <c r="R66">
        <v>0.39600000000000002</v>
      </c>
      <c r="S66">
        <v>1.4029</v>
      </c>
    </row>
    <row r="67" spans="1:19" x14ac:dyDescent="0.25">
      <c r="A67" t="s">
        <v>272</v>
      </c>
      <c r="B67" t="s">
        <v>24</v>
      </c>
      <c r="D67" t="s">
        <v>10</v>
      </c>
      <c r="E67">
        <v>1.6</v>
      </c>
      <c r="F67">
        <v>1.1640999999999999</v>
      </c>
      <c r="G67">
        <v>2.0626000000000002</v>
      </c>
      <c r="H67">
        <v>0.89849999999999997</v>
      </c>
      <c r="I67">
        <v>7.4775999999999998</v>
      </c>
      <c r="J67">
        <v>0.89749999999999996</v>
      </c>
      <c r="K67">
        <v>2.5419</v>
      </c>
      <c r="L67">
        <v>0.3871</v>
      </c>
      <c r="M67">
        <v>1.5800000000000002E-2</v>
      </c>
      <c r="N67">
        <v>1.09E-2</v>
      </c>
      <c r="O67">
        <v>0.96220000000000006</v>
      </c>
      <c r="P67">
        <v>1.3446</v>
      </c>
      <c r="Q67">
        <v>3.2997999999999998</v>
      </c>
      <c r="R67">
        <v>0.28949999999999998</v>
      </c>
      <c r="S67">
        <v>0.78790000000000004</v>
      </c>
    </row>
    <row r="68" spans="1:19" x14ac:dyDescent="0.25">
      <c r="A68" t="s">
        <v>781</v>
      </c>
      <c r="B68" t="s">
        <v>24</v>
      </c>
      <c r="D68" t="s">
        <v>27</v>
      </c>
      <c r="E68">
        <v>0.85</v>
      </c>
      <c r="F68">
        <v>0.25650000000000001</v>
      </c>
      <c r="G68">
        <v>0.40820000000000001</v>
      </c>
      <c r="H68">
        <v>0.1517</v>
      </c>
      <c r="I68">
        <v>4.4547999999999996</v>
      </c>
      <c r="J68">
        <v>2.0373999999999999</v>
      </c>
      <c r="K68">
        <v>5.0587999999999997</v>
      </c>
      <c r="L68">
        <v>0.14649999999999999</v>
      </c>
      <c r="M68">
        <v>1.5800000000000002E-2</v>
      </c>
      <c r="N68">
        <v>1.09E-2</v>
      </c>
      <c r="O68">
        <v>0.48099999999999998</v>
      </c>
      <c r="P68">
        <v>17.4922</v>
      </c>
      <c r="Q68">
        <v>14.2395</v>
      </c>
      <c r="R68">
        <v>0.55130000000000001</v>
      </c>
      <c r="S68">
        <v>0.27360000000000001</v>
      </c>
    </row>
    <row r="69" spans="1:19" x14ac:dyDescent="0.25">
      <c r="A69" t="s">
        <v>594</v>
      </c>
      <c r="B69" t="s">
        <v>24</v>
      </c>
      <c r="D69" t="s">
        <v>6</v>
      </c>
      <c r="E69">
        <v>1.91</v>
      </c>
      <c r="F69">
        <v>9.0200000000000002E-2</v>
      </c>
      <c r="G69">
        <v>0.26719999999999999</v>
      </c>
      <c r="H69">
        <v>0.17699999999999999</v>
      </c>
      <c r="I69">
        <v>1.6729000000000001</v>
      </c>
      <c r="J69">
        <v>0.16950000000000001</v>
      </c>
      <c r="K69">
        <v>6.2007000000000003</v>
      </c>
      <c r="L69">
        <v>6.6699999999999995E-2</v>
      </c>
      <c r="M69">
        <v>1.5800000000000002E-2</v>
      </c>
      <c r="N69">
        <v>1.09E-2</v>
      </c>
      <c r="O69">
        <v>0.32140000000000002</v>
      </c>
      <c r="P69">
        <v>21.720199999999998</v>
      </c>
      <c r="Q69">
        <v>16.162400000000002</v>
      </c>
      <c r="R69">
        <v>0.57340000000000002</v>
      </c>
      <c r="S69">
        <v>0.14729999999999999</v>
      </c>
    </row>
    <row r="70" spans="1:19" x14ac:dyDescent="0.25">
      <c r="A70" t="s">
        <v>711</v>
      </c>
      <c r="B70" t="s">
        <v>24</v>
      </c>
      <c r="D70" t="s">
        <v>2</v>
      </c>
      <c r="E70">
        <v>1.1599999999999999</v>
      </c>
      <c r="F70">
        <v>0.29330000000000001</v>
      </c>
      <c r="G70">
        <v>0.7732</v>
      </c>
      <c r="H70">
        <v>0.47989999999999999</v>
      </c>
      <c r="I70">
        <v>1.7203999999999999</v>
      </c>
      <c r="J70">
        <v>2.1810999999999998</v>
      </c>
      <c r="K70">
        <v>3.2383000000000002</v>
      </c>
      <c r="L70">
        <v>6.8400000000000002E-2</v>
      </c>
      <c r="M70">
        <v>1.5800000000000002E-2</v>
      </c>
      <c r="N70">
        <v>1.09E-2</v>
      </c>
      <c r="O70">
        <v>0.32479999999999998</v>
      </c>
      <c r="P70">
        <v>4.3263999999999996</v>
      </c>
      <c r="Q70">
        <v>7.3674999999999997</v>
      </c>
      <c r="R70">
        <v>0.37</v>
      </c>
      <c r="S70">
        <v>0.46529999999999999</v>
      </c>
    </row>
    <row r="71" spans="1:19" x14ac:dyDescent="0.25">
      <c r="A71" t="s">
        <v>876</v>
      </c>
      <c r="B71" t="s">
        <v>3</v>
      </c>
      <c r="D71" t="s">
        <v>1175</v>
      </c>
      <c r="E71">
        <v>2.57</v>
      </c>
      <c r="F71">
        <v>0</v>
      </c>
      <c r="G71">
        <v>1.4200000000000001E-2</v>
      </c>
      <c r="H71">
        <v>1.4200000000000001E-2</v>
      </c>
      <c r="I71">
        <v>1.4315</v>
      </c>
      <c r="J71">
        <v>1.0156000000000001</v>
      </c>
      <c r="K71">
        <v>13.566800000000001</v>
      </c>
      <c r="L71">
        <v>0.1096</v>
      </c>
      <c r="M71">
        <v>1.5800000000000002E-2</v>
      </c>
      <c r="N71">
        <v>1.09E-2</v>
      </c>
      <c r="O71">
        <v>0.40720000000000001</v>
      </c>
      <c r="P71">
        <v>0</v>
      </c>
      <c r="Q71">
        <v>0</v>
      </c>
      <c r="R71">
        <v>0.3876</v>
      </c>
      <c r="S71">
        <v>0.34279999999999999</v>
      </c>
    </row>
    <row r="72" spans="1:19" x14ac:dyDescent="0.25">
      <c r="A72" t="s">
        <v>370</v>
      </c>
      <c r="B72" t="s">
        <v>24</v>
      </c>
      <c r="D72" t="s">
        <v>15</v>
      </c>
      <c r="E72">
        <v>1.68</v>
      </c>
      <c r="F72">
        <v>0.42799999999999999</v>
      </c>
      <c r="G72">
        <v>0.92500000000000004</v>
      </c>
      <c r="H72">
        <v>0.497</v>
      </c>
      <c r="I72">
        <v>6.3841999999999999</v>
      </c>
      <c r="J72">
        <v>1.0215000000000001</v>
      </c>
      <c r="K72">
        <v>2.5125999999999999</v>
      </c>
      <c r="L72">
        <v>0.3367</v>
      </c>
      <c r="M72">
        <v>1.5800000000000002E-2</v>
      </c>
      <c r="N72">
        <v>1.09E-2</v>
      </c>
      <c r="O72">
        <v>0.86140000000000005</v>
      </c>
      <c r="P72">
        <v>71.229200000000006</v>
      </c>
      <c r="Q72">
        <v>52.954099999999997</v>
      </c>
      <c r="R72">
        <v>0.5736</v>
      </c>
      <c r="S72">
        <v>0.39939999999999998</v>
      </c>
    </row>
    <row r="73" spans="1:19" x14ac:dyDescent="0.25">
      <c r="A73" t="s">
        <v>508</v>
      </c>
      <c r="B73" t="s">
        <v>3</v>
      </c>
      <c r="D73" t="s">
        <v>16</v>
      </c>
      <c r="E73">
        <v>2.67</v>
      </c>
      <c r="F73">
        <v>0</v>
      </c>
      <c r="G73">
        <v>0.21079999999999999</v>
      </c>
      <c r="H73">
        <v>0.21079999999999999</v>
      </c>
      <c r="I73">
        <v>1.0924</v>
      </c>
      <c r="J73">
        <v>3.3969999999999998</v>
      </c>
      <c r="K73">
        <v>6.9431000000000003</v>
      </c>
      <c r="L73">
        <v>0.1227</v>
      </c>
      <c r="M73">
        <v>1.5800000000000002E-2</v>
      </c>
      <c r="N73">
        <v>1.09E-2</v>
      </c>
      <c r="O73">
        <v>0.43340000000000001</v>
      </c>
      <c r="P73">
        <v>0</v>
      </c>
      <c r="Q73">
        <v>0</v>
      </c>
      <c r="R73">
        <v>0.38619999999999999</v>
      </c>
      <c r="S73">
        <v>0.21940000000000001</v>
      </c>
    </row>
    <row r="74" spans="1:19" x14ac:dyDescent="0.25">
      <c r="A74" t="s">
        <v>533</v>
      </c>
      <c r="B74" t="s">
        <v>24</v>
      </c>
      <c r="D74" t="s">
        <v>23</v>
      </c>
      <c r="E74">
        <v>1.71</v>
      </c>
      <c r="F74">
        <v>0.44290000000000002</v>
      </c>
      <c r="G74">
        <v>0.46189999999999998</v>
      </c>
      <c r="H74">
        <v>1.9E-2</v>
      </c>
      <c r="I74">
        <v>3.7858000000000001</v>
      </c>
      <c r="J74">
        <v>0.38950000000000001</v>
      </c>
      <c r="K74">
        <v>5.7267999999999999</v>
      </c>
      <c r="L74">
        <v>7.9299999999999995E-2</v>
      </c>
      <c r="M74">
        <v>1.5800000000000002E-2</v>
      </c>
      <c r="N74">
        <v>1.09E-2</v>
      </c>
      <c r="O74">
        <v>0.34660000000000002</v>
      </c>
      <c r="P74">
        <v>9.2477</v>
      </c>
      <c r="Q74">
        <v>19.369299999999999</v>
      </c>
      <c r="R74">
        <v>0.32319999999999999</v>
      </c>
      <c r="S74">
        <v>0.52459999999999996</v>
      </c>
    </row>
    <row r="75" spans="1:19" x14ac:dyDescent="0.25">
      <c r="A75" t="s">
        <v>664</v>
      </c>
      <c r="B75" t="s">
        <v>24</v>
      </c>
      <c r="D75" t="s">
        <v>21</v>
      </c>
      <c r="E75">
        <v>1.73</v>
      </c>
      <c r="F75">
        <v>0.76380000000000003</v>
      </c>
      <c r="G75">
        <v>0.39989999999999998</v>
      </c>
      <c r="H75">
        <v>0</v>
      </c>
      <c r="I75">
        <v>6.6108000000000002</v>
      </c>
      <c r="J75">
        <v>0.1351</v>
      </c>
      <c r="K75">
        <v>2.3426999999999998</v>
      </c>
      <c r="L75">
        <v>0.2636</v>
      </c>
      <c r="M75">
        <v>1.5800000000000002E-2</v>
      </c>
      <c r="N75">
        <v>1.09E-2</v>
      </c>
      <c r="O75">
        <v>0.71519999999999995</v>
      </c>
      <c r="P75">
        <v>4.8137999999999996</v>
      </c>
      <c r="Q75">
        <v>8.5592000000000006</v>
      </c>
      <c r="R75">
        <v>0.36</v>
      </c>
      <c r="S75">
        <v>0.44309999999999999</v>
      </c>
    </row>
    <row r="76" spans="1:19" x14ac:dyDescent="0.25">
      <c r="A76" t="s">
        <v>573</v>
      </c>
      <c r="B76" t="s">
        <v>3</v>
      </c>
      <c r="D76" t="s">
        <v>1163</v>
      </c>
      <c r="E76">
        <v>0.78</v>
      </c>
      <c r="F76">
        <v>8.0799999999999997E-2</v>
      </c>
      <c r="G76">
        <v>0.18190000000000001</v>
      </c>
      <c r="H76">
        <v>0.1011</v>
      </c>
      <c r="I76">
        <v>1.3527</v>
      </c>
      <c r="J76">
        <v>1.4292</v>
      </c>
      <c r="K76">
        <v>10.764099999999999</v>
      </c>
      <c r="L76">
        <v>0.43390000000000001</v>
      </c>
      <c r="M76">
        <v>1.5800000000000002E-2</v>
      </c>
      <c r="N76">
        <v>1.09E-2</v>
      </c>
      <c r="O76">
        <v>1.0558000000000001</v>
      </c>
      <c r="P76">
        <v>0</v>
      </c>
      <c r="Q76">
        <v>0</v>
      </c>
      <c r="R76">
        <v>0.43219999999999997</v>
      </c>
      <c r="S76">
        <v>0.49669999999999997</v>
      </c>
    </row>
    <row r="77" spans="1:19" x14ac:dyDescent="0.25">
      <c r="A77" t="s">
        <v>365</v>
      </c>
      <c r="B77" t="s">
        <v>3</v>
      </c>
      <c r="D77" t="s">
        <v>14</v>
      </c>
      <c r="E77">
        <v>2.5299999999999998</v>
      </c>
      <c r="F77">
        <v>0</v>
      </c>
      <c r="G77">
        <v>0.39050000000000001</v>
      </c>
      <c r="H77">
        <v>0.39050000000000001</v>
      </c>
      <c r="I77">
        <v>2.4300000000000002</v>
      </c>
      <c r="J77">
        <v>1.5587</v>
      </c>
      <c r="K77">
        <v>7.3372000000000002</v>
      </c>
      <c r="L77">
        <v>3.9800000000000002E-2</v>
      </c>
      <c r="M77">
        <v>1.5800000000000002E-2</v>
      </c>
      <c r="N77">
        <v>1.09E-2</v>
      </c>
      <c r="O77">
        <v>0.2676</v>
      </c>
      <c r="P77">
        <v>0</v>
      </c>
      <c r="Q77">
        <v>0</v>
      </c>
      <c r="R77">
        <v>0.39190000000000003</v>
      </c>
      <c r="S77">
        <v>0.20150000000000001</v>
      </c>
    </row>
    <row r="78" spans="1:19" x14ac:dyDescent="0.25">
      <c r="A78" t="s">
        <v>685</v>
      </c>
      <c r="B78" t="s">
        <v>24</v>
      </c>
      <c r="D78" t="s">
        <v>7</v>
      </c>
      <c r="E78">
        <v>2.2599999999999998</v>
      </c>
      <c r="F78">
        <v>0.44719999999999999</v>
      </c>
      <c r="G78">
        <v>1.1261000000000001</v>
      </c>
      <c r="H78">
        <v>0.67889999999999995</v>
      </c>
      <c r="I78">
        <v>2.4428999999999998</v>
      </c>
      <c r="J78">
        <v>0.97719999999999996</v>
      </c>
      <c r="K78">
        <v>3.5190000000000001</v>
      </c>
      <c r="L78">
        <v>0.20330000000000001</v>
      </c>
      <c r="M78">
        <v>1.5800000000000002E-2</v>
      </c>
      <c r="N78">
        <v>1.09E-2</v>
      </c>
      <c r="O78">
        <v>0.59460000000000002</v>
      </c>
      <c r="P78">
        <v>35.705300000000001</v>
      </c>
      <c r="Q78">
        <v>42.763800000000003</v>
      </c>
      <c r="R78">
        <v>0.45500000000000002</v>
      </c>
      <c r="S78">
        <v>0.57530000000000003</v>
      </c>
    </row>
    <row r="79" spans="1:19" x14ac:dyDescent="0.25">
      <c r="A79" t="s">
        <v>584</v>
      </c>
      <c r="B79" t="s">
        <v>3</v>
      </c>
      <c r="D79" t="s">
        <v>4</v>
      </c>
      <c r="E79">
        <v>1.84</v>
      </c>
      <c r="F79">
        <v>6.6000000000000003E-2</v>
      </c>
      <c r="G79">
        <v>0.25259999999999999</v>
      </c>
      <c r="H79">
        <v>0.18659999999999999</v>
      </c>
      <c r="I79">
        <v>1.2025999999999999</v>
      </c>
      <c r="J79">
        <v>7.9447000000000001</v>
      </c>
      <c r="K79">
        <v>5.9673999999999996</v>
      </c>
      <c r="L79">
        <v>0.43440000000000001</v>
      </c>
      <c r="M79">
        <v>1.5800000000000002E-2</v>
      </c>
      <c r="N79">
        <v>1.09E-2</v>
      </c>
      <c r="O79">
        <v>1.0568</v>
      </c>
      <c r="P79">
        <v>0</v>
      </c>
      <c r="Q79">
        <v>0</v>
      </c>
      <c r="R79">
        <v>0.40649999999999997</v>
      </c>
      <c r="S79">
        <v>0.75739999999999996</v>
      </c>
    </row>
    <row r="80" spans="1:19" x14ac:dyDescent="0.25">
      <c r="A80" t="s">
        <v>905</v>
      </c>
      <c r="B80" t="s">
        <v>24</v>
      </c>
      <c r="D80" t="s">
        <v>1122</v>
      </c>
      <c r="E80">
        <v>2.0099999999999998</v>
      </c>
      <c r="F80">
        <v>0.64639999999999997</v>
      </c>
      <c r="G80">
        <v>1.0895999999999999</v>
      </c>
      <c r="H80">
        <v>0.44319999999999998</v>
      </c>
      <c r="I80">
        <v>3.9102000000000001</v>
      </c>
      <c r="J80">
        <v>5.1223000000000001</v>
      </c>
      <c r="K80">
        <v>4.7622</v>
      </c>
      <c r="L80">
        <v>0.16900000000000001</v>
      </c>
      <c r="M80">
        <v>1.5800000000000002E-2</v>
      </c>
      <c r="N80">
        <v>1.09E-2</v>
      </c>
      <c r="O80">
        <v>0.52600000000000002</v>
      </c>
      <c r="P80">
        <v>11.9274</v>
      </c>
      <c r="Q80">
        <v>13.743</v>
      </c>
      <c r="R80">
        <v>0.46460000000000001</v>
      </c>
      <c r="S80">
        <v>1.6947000000000001</v>
      </c>
    </row>
    <row r="81" spans="1:19" x14ac:dyDescent="0.25">
      <c r="A81" t="s">
        <v>906</v>
      </c>
      <c r="B81" t="s">
        <v>24</v>
      </c>
      <c r="D81" t="s">
        <v>16</v>
      </c>
      <c r="E81">
        <v>0.65</v>
      </c>
      <c r="F81">
        <v>0.63570000000000004</v>
      </c>
      <c r="G81">
        <v>1.7985</v>
      </c>
      <c r="H81">
        <v>1.1628000000000001</v>
      </c>
      <c r="I81">
        <v>3.2115</v>
      </c>
      <c r="J81">
        <v>1.3133999999999999</v>
      </c>
      <c r="K81">
        <v>1.8897999999999999</v>
      </c>
      <c r="L81">
        <v>0.1081</v>
      </c>
      <c r="M81">
        <v>1.5800000000000002E-2</v>
      </c>
      <c r="N81">
        <v>1.09E-2</v>
      </c>
      <c r="O81">
        <v>0.4042</v>
      </c>
      <c r="P81">
        <v>14.273</v>
      </c>
      <c r="Q81">
        <v>20.6191</v>
      </c>
      <c r="R81">
        <v>0.40910000000000002</v>
      </c>
      <c r="S81">
        <v>1.0255000000000001</v>
      </c>
    </row>
    <row r="82" spans="1:19" x14ac:dyDescent="0.25">
      <c r="A82" t="s">
        <v>338</v>
      </c>
      <c r="B82" t="s">
        <v>3</v>
      </c>
      <c r="D82" t="s">
        <v>21</v>
      </c>
      <c r="E82">
        <v>2.33</v>
      </c>
      <c r="F82">
        <v>0</v>
      </c>
      <c r="G82">
        <v>0.2049</v>
      </c>
      <c r="H82">
        <v>0.2049</v>
      </c>
      <c r="I82">
        <v>1.415</v>
      </c>
      <c r="J82">
        <v>3.1248999999999998</v>
      </c>
      <c r="K82">
        <v>9.8003</v>
      </c>
      <c r="L82">
        <v>0.54200000000000004</v>
      </c>
      <c r="M82">
        <v>1.5800000000000002E-2</v>
      </c>
      <c r="N82">
        <v>1.09E-2</v>
      </c>
      <c r="O82">
        <v>1.272</v>
      </c>
      <c r="P82">
        <v>0</v>
      </c>
      <c r="Q82">
        <v>0</v>
      </c>
      <c r="R82">
        <v>0.3987</v>
      </c>
      <c r="S82">
        <v>1.7055</v>
      </c>
    </row>
    <row r="83" spans="1:19" x14ac:dyDescent="0.25">
      <c r="A83" t="s">
        <v>657</v>
      </c>
      <c r="B83" t="s">
        <v>24</v>
      </c>
      <c r="D83" t="s">
        <v>19</v>
      </c>
      <c r="E83">
        <v>0.76</v>
      </c>
      <c r="F83">
        <v>0.2626</v>
      </c>
      <c r="G83">
        <v>0.36259999999999998</v>
      </c>
      <c r="H83">
        <v>0.1</v>
      </c>
      <c r="I83">
        <v>3.3092999999999999</v>
      </c>
      <c r="J83">
        <v>1.6044</v>
      </c>
      <c r="K83">
        <v>3.8896999999999999</v>
      </c>
      <c r="L83">
        <v>9.2799999999999994E-2</v>
      </c>
      <c r="M83">
        <v>1.5800000000000002E-2</v>
      </c>
      <c r="N83">
        <v>1.09E-2</v>
      </c>
      <c r="O83">
        <v>0.37359999999999999</v>
      </c>
      <c r="P83">
        <v>1.0387999999999999</v>
      </c>
      <c r="Q83">
        <v>1.1734</v>
      </c>
      <c r="R83">
        <v>0.46960000000000002</v>
      </c>
      <c r="S83">
        <v>0.26240000000000002</v>
      </c>
    </row>
    <row r="84" spans="1:19" x14ac:dyDescent="0.25">
      <c r="A84" t="s">
        <v>726</v>
      </c>
      <c r="B84" t="s">
        <v>24</v>
      </c>
      <c r="D84" t="s">
        <v>27</v>
      </c>
      <c r="E84">
        <v>1.0900000000000001</v>
      </c>
      <c r="F84">
        <v>0.34200000000000003</v>
      </c>
      <c r="G84">
        <v>0.41399999999999998</v>
      </c>
      <c r="H84">
        <v>7.1999999999999995E-2</v>
      </c>
      <c r="I84">
        <v>3.0049999999999999</v>
      </c>
      <c r="J84">
        <v>2.1421999999999999</v>
      </c>
      <c r="K84">
        <v>7.4936999999999996</v>
      </c>
      <c r="L84">
        <v>7.8E-2</v>
      </c>
      <c r="M84">
        <v>1.5800000000000002E-2</v>
      </c>
      <c r="N84">
        <v>1.09E-2</v>
      </c>
      <c r="O84">
        <v>0.34399999999999997</v>
      </c>
      <c r="P84">
        <v>14.6393</v>
      </c>
      <c r="Q84">
        <v>17.7026</v>
      </c>
      <c r="R84">
        <v>0.4526</v>
      </c>
      <c r="S84">
        <v>0.76470000000000005</v>
      </c>
    </row>
    <row r="85" spans="1:19" x14ac:dyDescent="0.25">
      <c r="A85" t="s">
        <v>343</v>
      </c>
      <c r="B85" t="s">
        <v>3</v>
      </c>
      <c r="D85" t="s">
        <v>23</v>
      </c>
      <c r="E85">
        <v>1.24</v>
      </c>
      <c r="F85">
        <v>7.1199999999999999E-2</v>
      </c>
      <c r="G85">
        <v>1.0226</v>
      </c>
      <c r="H85">
        <v>0.95140000000000002</v>
      </c>
      <c r="I85">
        <v>1.7533000000000001</v>
      </c>
      <c r="J85">
        <v>1.2255</v>
      </c>
      <c r="K85">
        <v>5.4827000000000004</v>
      </c>
      <c r="L85">
        <v>0.30130000000000001</v>
      </c>
      <c r="M85">
        <v>1.5800000000000002E-2</v>
      </c>
      <c r="N85">
        <v>1.09E-2</v>
      </c>
      <c r="O85">
        <v>0.79059999999999997</v>
      </c>
      <c r="P85">
        <v>0</v>
      </c>
      <c r="Q85">
        <v>0</v>
      </c>
      <c r="R85">
        <v>0.40310000000000001</v>
      </c>
      <c r="S85">
        <v>0.3987</v>
      </c>
    </row>
    <row r="86" spans="1:19" x14ac:dyDescent="0.25">
      <c r="A86" t="s">
        <v>534</v>
      </c>
      <c r="B86" t="s">
        <v>3</v>
      </c>
      <c r="D86" t="s">
        <v>7</v>
      </c>
      <c r="E86">
        <v>1.42</v>
      </c>
      <c r="F86">
        <v>0</v>
      </c>
      <c r="G86">
        <v>7.4499999999999997E-2</v>
      </c>
      <c r="H86">
        <v>7.4499999999999997E-2</v>
      </c>
      <c r="I86">
        <v>1.0631999999999999</v>
      </c>
      <c r="J86">
        <v>2.9403999999999999</v>
      </c>
      <c r="K86">
        <v>12.3918</v>
      </c>
      <c r="L86">
        <v>0.51980000000000004</v>
      </c>
      <c r="M86">
        <v>1.5800000000000002E-2</v>
      </c>
      <c r="N86">
        <v>1.09E-2</v>
      </c>
      <c r="O86">
        <v>1.2276</v>
      </c>
      <c r="P86">
        <v>0</v>
      </c>
      <c r="Q86">
        <v>0</v>
      </c>
      <c r="R86">
        <v>0.41170000000000001</v>
      </c>
      <c r="S86">
        <v>0.34150000000000003</v>
      </c>
    </row>
    <row r="87" spans="1:19" x14ac:dyDescent="0.25">
      <c r="A87" t="s">
        <v>267</v>
      </c>
      <c r="B87" t="s">
        <v>3</v>
      </c>
      <c r="D87" t="s">
        <v>16</v>
      </c>
      <c r="E87">
        <v>2.6</v>
      </c>
      <c r="F87">
        <v>0.34589999999999999</v>
      </c>
      <c r="G87">
        <v>0.60650000000000004</v>
      </c>
      <c r="H87">
        <v>0.2606</v>
      </c>
      <c r="I87">
        <v>3.5154000000000001</v>
      </c>
      <c r="J87">
        <v>2.4390999999999998</v>
      </c>
      <c r="K87">
        <v>12.4444</v>
      </c>
      <c r="L87">
        <v>0.34039999999999998</v>
      </c>
      <c r="M87">
        <v>1.5800000000000002E-2</v>
      </c>
      <c r="N87">
        <v>1.09E-2</v>
      </c>
      <c r="O87">
        <v>0.86880000000000002</v>
      </c>
      <c r="P87">
        <v>0</v>
      </c>
      <c r="Q87">
        <v>0</v>
      </c>
      <c r="R87">
        <v>0.38640000000000002</v>
      </c>
      <c r="S87">
        <v>0.3301</v>
      </c>
    </row>
    <row r="88" spans="1:19" x14ac:dyDescent="0.25">
      <c r="A88" t="s">
        <v>762</v>
      </c>
      <c r="B88" t="s">
        <v>24</v>
      </c>
      <c r="D88" t="s">
        <v>30</v>
      </c>
      <c r="E88">
        <v>2.4900000000000002</v>
      </c>
      <c r="F88">
        <v>0.25690000000000002</v>
      </c>
      <c r="G88">
        <v>0.3579</v>
      </c>
      <c r="H88">
        <v>0.10100000000000001</v>
      </c>
      <c r="I88">
        <v>1.7217</v>
      </c>
      <c r="J88">
        <v>1.4461999999999999</v>
      </c>
      <c r="K88">
        <v>2.7683</v>
      </c>
      <c r="L88">
        <v>0.12520000000000001</v>
      </c>
      <c r="M88">
        <v>1.5800000000000002E-2</v>
      </c>
      <c r="N88">
        <v>1.09E-2</v>
      </c>
      <c r="O88">
        <v>0.43840000000000001</v>
      </c>
      <c r="P88">
        <v>38.794699999999999</v>
      </c>
      <c r="Q88">
        <v>47.565199999999997</v>
      </c>
      <c r="R88">
        <v>0.44919999999999999</v>
      </c>
      <c r="S88">
        <v>0.29520000000000002</v>
      </c>
    </row>
    <row r="89" spans="1:19" x14ac:dyDescent="0.25">
      <c r="A89" t="s">
        <v>403</v>
      </c>
      <c r="B89" t="s">
        <v>3</v>
      </c>
      <c r="D89" t="s">
        <v>6</v>
      </c>
      <c r="E89">
        <v>3.27</v>
      </c>
      <c r="F89">
        <v>0</v>
      </c>
      <c r="G89">
        <v>0.17069999999999999</v>
      </c>
      <c r="H89">
        <v>0.17069999999999999</v>
      </c>
      <c r="I89">
        <v>1.1467000000000001</v>
      </c>
      <c r="J89">
        <v>3.4243999999999999</v>
      </c>
      <c r="K89">
        <v>11.9406</v>
      </c>
      <c r="L89">
        <v>0.215</v>
      </c>
      <c r="M89">
        <v>1.5800000000000002E-2</v>
      </c>
      <c r="N89">
        <v>1.09E-2</v>
      </c>
      <c r="O89">
        <v>0.61799999999999999</v>
      </c>
      <c r="P89">
        <v>0</v>
      </c>
      <c r="Q89">
        <v>0</v>
      </c>
      <c r="R89">
        <v>0.38969999999999999</v>
      </c>
      <c r="S89">
        <v>0.27389999999999998</v>
      </c>
    </row>
    <row r="90" spans="1:19" x14ac:dyDescent="0.25">
      <c r="A90" t="s">
        <v>500</v>
      </c>
      <c r="B90" t="s">
        <v>24</v>
      </c>
      <c r="D90" t="s">
        <v>27</v>
      </c>
      <c r="E90">
        <v>1.64</v>
      </c>
      <c r="F90">
        <v>0.219</v>
      </c>
      <c r="G90">
        <v>0.42449999999999999</v>
      </c>
      <c r="H90">
        <v>0.20549999999999999</v>
      </c>
      <c r="I90">
        <v>2.6286</v>
      </c>
      <c r="J90">
        <v>0.76039999999999996</v>
      </c>
      <c r="K90">
        <v>4.7432999999999996</v>
      </c>
      <c r="L90">
        <v>0.71179999999999999</v>
      </c>
      <c r="M90">
        <v>1.5800000000000002E-2</v>
      </c>
      <c r="N90">
        <v>1.09E-2</v>
      </c>
      <c r="O90">
        <v>1.6115999999999999</v>
      </c>
      <c r="P90">
        <v>2.4005999999999998</v>
      </c>
      <c r="Q90">
        <v>3.1364000000000001</v>
      </c>
      <c r="R90">
        <v>0.43359999999999999</v>
      </c>
      <c r="S90">
        <v>0.76090000000000002</v>
      </c>
    </row>
    <row r="91" spans="1:19" x14ac:dyDescent="0.25">
      <c r="A91" t="s">
        <v>553</v>
      </c>
      <c r="B91" t="s">
        <v>3</v>
      </c>
      <c r="D91" t="s">
        <v>12</v>
      </c>
      <c r="E91">
        <v>3.02</v>
      </c>
      <c r="F91">
        <v>0</v>
      </c>
      <c r="G91">
        <v>0.30570000000000003</v>
      </c>
      <c r="H91">
        <v>0.30570000000000003</v>
      </c>
      <c r="I91">
        <v>1.0994999999999999</v>
      </c>
      <c r="J91">
        <v>7.8727</v>
      </c>
      <c r="K91">
        <v>10.3307</v>
      </c>
      <c r="L91">
        <v>0.1169</v>
      </c>
      <c r="M91">
        <v>1.5800000000000002E-2</v>
      </c>
      <c r="N91">
        <v>1.09E-2</v>
      </c>
      <c r="O91">
        <v>0.42180000000000001</v>
      </c>
      <c r="P91">
        <v>0</v>
      </c>
      <c r="Q91">
        <v>0</v>
      </c>
      <c r="R91">
        <v>0.39360000000000001</v>
      </c>
      <c r="S91">
        <v>0.2404</v>
      </c>
    </row>
    <row r="92" spans="1:19" x14ac:dyDescent="0.25">
      <c r="A92" t="s">
        <v>792</v>
      </c>
      <c r="B92" t="s">
        <v>24</v>
      </c>
      <c r="D92" t="s">
        <v>16</v>
      </c>
      <c r="E92">
        <v>1.51</v>
      </c>
      <c r="F92">
        <v>0.3574</v>
      </c>
      <c r="G92">
        <v>1.2914000000000001</v>
      </c>
      <c r="H92">
        <v>0.93400000000000005</v>
      </c>
      <c r="I92">
        <v>2.6768999999999998</v>
      </c>
      <c r="J92">
        <v>2.0440999999999998</v>
      </c>
      <c r="K92">
        <v>3.0152000000000001</v>
      </c>
      <c r="L92">
        <v>0.76139999999999997</v>
      </c>
      <c r="M92">
        <v>1.5800000000000002E-2</v>
      </c>
      <c r="N92">
        <v>1.09E-2</v>
      </c>
      <c r="O92">
        <v>1.7108000000000001</v>
      </c>
      <c r="P92">
        <v>28.8187</v>
      </c>
      <c r="Q92">
        <v>33.4861</v>
      </c>
      <c r="R92">
        <v>0.46250000000000002</v>
      </c>
      <c r="S92">
        <v>0.79810000000000003</v>
      </c>
    </row>
    <row r="93" spans="1:19" x14ac:dyDescent="0.25">
      <c r="A93" t="s">
        <v>346</v>
      </c>
      <c r="B93" t="s">
        <v>3</v>
      </c>
      <c r="D93" t="s">
        <v>11</v>
      </c>
      <c r="E93">
        <v>2.9</v>
      </c>
      <c r="F93">
        <v>0</v>
      </c>
      <c r="G93">
        <v>0.26690000000000003</v>
      </c>
      <c r="H93">
        <v>0.26690000000000003</v>
      </c>
      <c r="I93">
        <v>1.3323</v>
      </c>
      <c r="J93">
        <v>1.3891</v>
      </c>
      <c r="K93">
        <v>6.2122999999999999</v>
      </c>
      <c r="L93">
        <v>9.5399999999999999E-2</v>
      </c>
      <c r="M93">
        <v>1.5800000000000002E-2</v>
      </c>
      <c r="N93">
        <v>1.09E-2</v>
      </c>
      <c r="O93">
        <v>0.37880000000000003</v>
      </c>
      <c r="P93">
        <v>0</v>
      </c>
      <c r="Q93">
        <v>0</v>
      </c>
      <c r="R93">
        <v>0.3851</v>
      </c>
      <c r="S93">
        <v>0.36940000000000001</v>
      </c>
    </row>
    <row r="94" spans="1:19" x14ac:dyDescent="0.25">
      <c r="A94" t="s">
        <v>640</v>
      </c>
      <c r="B94" t="s">
        <v>24</v>
      </c>
      <c r="D94" t="s">
        <v>22</v>
      </c>
      <c r="E94">
        <v>0.93</v>
      </c>
      <c r="F94">
        <v>0.4844</v>
      </c>
      <c r="G94">
        <v>0.58279999999999998</v>
      </c>
      <c r="H94">
        <v>9.8400000000000001E-2</v>
      </c>
      <c r="I94">
        <v>3.6065999999999998</v>
      </c>
      <c r="J94">
        <v>3.5487000000000002</v>
      </c>
      <c r="K94">
        <v>2.7662</v>
      </c>
      <c r="L94">
        <v>0.2132</v>
      </c>
      <c r="M94">
        <v>1.5800000000000002E-2</v>
      </c>
      <c r="N94">
        <v>1.09E-2</v>
      </c>
      <c r="O94">
        <v>0.61439999999999995</v>
      </c>
      <c r="P94">
        <v>8.3338999999999999</v>
      </c>
      <c r="Q94">
        <v>7.8596000000000004</v>
      </c>
      <c r="R94">
        <v>0.51459999999999995</v>
      </c>
      <c r="S94">
        <v>0.3649</v>
      </c>
    </row>
    <row r="95" spans="1:19" x14ac:dyDescent="0.25">
      <c r="A95" t="s">
        <v>577</v>
      </c>
      <c r="B95" t="s">
        <v>3</v>
      </c>
      <c r="D95" t="s">
        <v>31</v>
      </c>
      <c r="E95">
        <v>2.4300000000000002</v>
      </c>
      <c r="F95">
        <v>0</v>
      </c>
      <c r="G95">
        <v>0.4103</v>
      </c>
      <c r="H95">
        <v>0.4103</v>
      </c>
      <c r="I95">
        <v>1.7836000000000001</v>
      </c>
      <c r="J95">
        <v>4.6635999999999997</v>
      </c>
      <c r="K95">
        <v>7.4622999999999999</v>
      </c>
      <c r="L95">
        <v>0.59330000000000005</v>
      </c>
      <c r="M95">
        <v>1.5800000000000002E-2</v>
      </c>
      <c r="N95">
        <v>1.09E-2</v>
      </c>
      <c r="O95">
        <v>1.3746</v>
      </c>
      <c r="P95">
        <v>0</v>
      </c>
      <c r="Q95">
        <v>0</v>
      </c>
      <c r="R95">
        <v>0.3926</v>
      </c>
      <c r="S95">
        <v>0.5383</v>
      </c>
    </row>
    <row r="96" spans="1:19" x14ac:dyDescent="0.25">
      <c r="A96" t="s">
        <v>449</v>
      </c>
      <c r="B96" t="s">
        <v>3</v>
      </c>
      <c r="D96" t="s">
        <v>34</v>
      </c>
      <c r="E96">
        <v>1.19</v>
      </c>
      <c r="F96">
        <v>5.4699999999999999E-2</v>
      </c>
      <c r="G96">
        <v>0.74880000000000002</v>
      </c>
      <c r="H96">
        <v>0.69410000000000005</v>
      </c>
      <c r="I96">
        <v>2.0552000000000001</v>
      </c>
      <c r="J96">
        <v>2.4803999999999999</v>
      </c>
      <c r="K96">
        <v>4.0784000000000002</v>
      </c>
      <c r="L96">
        <v>0.4456</v>
      </c>
      <c r="M96">
        <v>1.5800000000000002E-2</v>
      </c>
      <c r="N96">
        <v>1.09E-2</v>
      </c>
      <c r="O96">
        <v>1.0791999999999999</v>
      </c>
      <c r="P96">
        <v>0</v>
      </c>
      <c r="Q96">
        <v>0</v>
      </c>
      <c r="R96">
        <v>0.41289999999999999</v>
      </c>
      <c r="S96">
        <v>0.15559999999999999</v>
      </c>
    </row>
    <row r="97" spans="1:19" x14ac:dyDescent="0.25">
      <c r="A97" t="s">
        <v>274</v>
      </c>
      <c r="B97" t="s">
        <v>3</v>
      </c>
      <c r="D97" t="s">
        <v>26</v>
      </c>
      <c r="E97">
        <v>2.25</v>
      </c>
      <c r="F97">
        <v>0</v>
      </c>
      <c r="G97">
        <v>3.4099999999999998E-2</v>
      </c>
      <c r="H97">
        <v>3.4099999999999998E-2</v>
      </c>
      <c r="I97">
        <v>1.3324</v>
      </c>
      <c r="J97">
        <v>2.8687999999999998</v>
      </c>
      <c r="K97">
        <v>7.4682000000000004</v>
      </c>
      <c r="L97">
        <v>4.6600000000000003E-2</v>
      </c>
      <c r="M97">
        <v>1.5800000000000002E-2</v>
      </c>
      <c r="N97">
        <v>1.09E-2</v>
      </c>
      <c r="O97">
        <v>0.28120000000000001</v>
      </c>
      <c r="P97">
        <v>0</v>
      </c>
      <c r="Q97">
        <v>0</v>
      </c>
      <c r="R97">
        <v>0.39739999999999998</v>
      </c>
      <c r="S97">
        <v>0.59309999999999996</v>
      </c>
    </row>
    <row r="98" spans="1:19" x14ac:dyDescent="0.25">
      <c r="A98" t="s">
        <v>634</v>
      </c>
      <c r="B98" t="s">
        <v>24</v>
      </c>
      <c r="D98" t="s">
        <v>4</v>
      </c>
      <c r="E98">
        <v>1.52</v>
      </c>
      <c r="F98">
        <v>1.0262</v>
      </c>
      <c r="G98">
        <v>1.5636000000000001</v>
      </c>
      <c r="H98">
        <v>0.53739999999999999</v>
      </c>
      <c r="I98">
        <v>6.9142000000000001</v>
      </c>
      <c r="J98">
        <v>1.9282999999999999</v>
      </c>
      <c r="K98">
        <v>1.9382999999999999</v>
      </c>
      <c r="L98">
        <v>0.19070000000000001</v>
      </c>
      <c r="M98">
        <v>1.5800000000000002E-2</v>
      </c>
      <c r="N98">
        <v>1.09E-2</v>
      </c>
      <c r="O98">
        <v>0.56940000000000002</v>
      </c>
      <c r="P98">
        <v>28.5609</v>
      </c>
      <c r="Q98">
        <v>39.3018</v>
      </c>
      <c r="R98">
        <v>0.4209</v>
      </c>
      <c r="S98">
        <v>1.2801</v>
      </c>
    </row>
    <row r="99" spans="1:19" x14ac:dyDescent="0.25">
      <c r="A99" t="s">
        <v>877</v>
      </c>
      <c r="B99" t="s">
        <v>3</v>
      </c>
      <c r="D99" t="s">
        <v>9</v>
      </c>
      <c r="E99">
        <v>2.58</v>
      </c>
      <c r="F99">
        <v>8.6E-3</v>
      </c>
      <c r="G99">
        <v>0.30399999999999999</v>
      </c>
      <c r="H99">
        <v>0.2954</v>
      </c>
      <c r="I99">
        <v>1.4784999999999999</v>
      </c>
      <c r="J99">
        <v>1.5116000000000001</v>
      </c>
      <c r="K99">
        <v>7.9240000000000004</v>
      </c>
      <c r="L99">
        <v>0.2069</v>
      </c>
      <c r="M99">
        <v>1.5800000000000002E-2</v>
      </c>
      <c r="N99">
        <v>1.09E-2</v>
      </c>
      <c r="O99">
        <v>0.6018</v>
      </c>
      <c r="P99">
        <v>0</v>
      </c>
      <c r="Q99">
        <v>0</v>
      </c>
      <c r="R99">
        <v>0.38790000000000002</v>
      </c>
      <c r="S99">
        <v>0.58350000000000002</v>
      </c>
    </row>
    <row r="100" spans="1:19" x14ac:dyDescent="0.25">
      <c r="A100" t="s">
        <v>356</v>
      </c>
      <c r="B100" t="s">
        <v>24</v>
      </c>
      <c r="D100" t="s">
        <v>2</v>
      </c>
      <c r="E100">
        <v>1.61</v>
      </c>
      <c r="F100">
        <v>0.5716</v>
      </c>
      <c r="G100">
        <v>0.96719999999999995</v>
      </c>
      <c r="H100">
        <v>0.39560000000000001</v>
      </c>
      <c r="I100">
        <v>4.4226999999999999</v>
      </c>
      <c r="J100">
        <v>1.5085999999999999</v>
      </c>
      <c r="K100">
        <v>2.4102999999999999</v>
      </c>
      <c r="L100">
        <v>0.65790000000000004</v>
      </c>
      <c r="M100">
        <v>1.5800000000000002E-2</v>
      </c>
      <c r="N100">
        <v>1.09E-2</v>
      </c>
      <c r="O100">
        <v>1.5038</v>
      </c>
      <c r="P100">
        <v>25.688199999999998</v>
      </c>
      <c r="Q100">
        <v>28.3932</v>
      </c>
      <c r="R100">
        <v>0.47499999999999998</v>
      </c>
      <c r="S100">
        <v>0.75460000000000005</v>
      </c>
    </row>
    <row r="101" spans="1:19" x14ac:dyDescent="0.25">
      <c r="A101" t="s">
        <v>709</v>
      </c>
      <c r="B101" t="s">
        <v>3</v>
      </c>
      <c r="D101" t="s">
        <v>9</v>
      </c>
      <c r="E101">
        <v>2</v>
      </c>
      <c r="F101">
        <v>0</v>
      </c>
      <c r="G101">
        <v>0.39029999999999998</v>
      </c>
      <c r="H101">
        <v>0.39029999999999998</v>
      </c>
      <c r="I101">
        <v>2.3395000000000001</v>
      </c>
      <c r="J101">
        <v>2.3380000000000001</v>
      </c>
      <c r="K101">
        <v>18.643599999999999</v>
      </c>
      <c r="L101">
        <v>0.2621</v>
      </c>
      <c r="M101">
        <v>1.5800000000000002E-2</v>
      </c>
      <c r="N101">
        <v>1.09E-2</v>
      </c>
      <c r="O101">
        <v>0.71220000000000006</v>
      </c>
      <c r="P101">
        <v>0</v>
      </c>
      <c r="Q101">
        <v>0</v>
      </c>
      <c r="R101">
        <v>0.4103</v>
      </c>
      <c r="S101">
        <v>0.48930000000000001</v>
      </c>
    </row>
    <row r="102" spans="1:19" x14ac:dyDescent="0.25">
      <c r="A102" t="s">
        <v>767</v>
      </c>
      <c r="B102" t="s">
        <v>24</v>
      </c>
      <c r="D102" t="s">
        <v>31</v>
      </c>
      <c r="E102">
        <v>2.5299999999999998</v>
      </c>
      <c r="F102">
        <v>0.38490000000000002</v>
      </c>
      <c r="G102">
        <v>0.46910000000000002</v>
      </c>
      <c r="H102">
        <v>8.4199999999999997E-2</v>
      </c>
      <c r="I102">
        <v>2.0282</v>
      </c>
      <c r="J102">
        <v>2.2496</v>
      </c>
      <c r="K102">
        <v>5.1742999999999997</v>
      </c>
      <c r="L102">
        <v>0.35499999999999998</v>
      </c>
      <c r="M102">
        <v>1.5800000000000002E-2</v>
      </c>
      <c r="N102">
        <v>1.09E-2</v>
      </c>
      <c r="O102">
        <v>0.89800000000000002</v>
      </c>
      <c r="P102">
        <v>4.0007999999999999</v>
      </c>
      <c r="Q102">
        <v>4.6454000000000004</v>
      </c>
      <c r="R102">
        <v>0.4627</v>
      </c>
      <c r="S102">
        <v>0.4677</v>
      </c>
    </row>
    <row r="103" spans="1:19" x14ac:dyDescent="0.25">
      <c r="A103" t="s">
        <v>293</v>
      </c>
      <c r="B103" t="s">
        <v>24</v>
      </c>
      <c r="D103" t="s">
        <v>137</v>
      </c>
      <c r="E103">
        <v>2.29</v>
      </c>
      <c r="F103">
        <v>0.34189999999999998</v>
      </c>
      <c r="G103">
        <v>1.0801000000000001</v>
      </c>
      <c r="H103">
        <v>0.73819999999999997</v>
      </c>
      <c r="I103">
        <v>2.6932999999999998</v>
      </c>
      <c r="J103">
        <v>2.6850999999999998</v>
      </c>
      <c r="K103">
        <v>2.8624000000000001</v>
      </c>
      <c r="L103">
        <v>0.2356</v>
      </c>
      <c r="M103">
        <v>1.5800000000000002E-2</v>
      </c>
      <c r="N103">
        <v>1.09E-2</v>
      </c>
      <c r="O103">
        <v>0.65920000000000001</v>
      </c>
      <c r="P103">
        <v>34.776400000000002</v>
      </c>
      <c r="Q103">
        <v>35.1723</v>
      </c>
      <c r="R103">
        <v>0.49719999999999998</v>
      </c>
      <c r="S103">
        <v>0.24049999999999999</v>
      </c>
    </row>
    <row r="104" spans="1:19" x14ac:dyDescent="0.25">
      <c r="A104" t="s">
        <v>312</v>
      </c>
      <c r="B104" t="s">
        <v>24</v>
      </c>
      <c r="D104" t="s">
        <v>8</v>
      </c>
      <c r="E104">
        <v>1.49</v>
      </c>
      <c r="F104">
        <v>0.81830000000000003</v>
      </c>
      <c r="G104">
        <v>1.6519999999999999</v>
      </c>
      <c r="H104">
        <v>0.8337</v>
      </c>
      <c r="I104">
        <v>5.9294000000000002</v>
      </c>
      <c r="J104">
        <v>3.4106999999999998</v>
      </c>
      <c r="K104">
        <v>4.2442000000000002</v>
      </c>
      <c r="L104">
        <v>0.29730000000000001</v>
      </c>
      <c r="M104">
        <v>1.5800000000000002E-2</v>
      </c>
      <c r="N104">
        <v>1.09E-2</v>
      </c>
      <c r="O104">
        <v>0.78259999999999996</v>
      </c>
      <c r="P104">
        <v>8.0395000000000003</v>
      </c>
      <c r="Q104">
        <v>10.5189</v>
      </c>
      <c r="R104">
        <v>0.43319999999999997</v>
      </c>
      <c r="S104">
        <v>1.1625000000000001</v>
      </c>
    </row>
    <row r="105" spans="1:19" x14ac:dyDescent="0.25">
      <c r="A105" t="s">
        <v>809</v>
      </c>
      <c r="B105" t="s">
        <v>24</v>
      </c>
      <c r="D105" t="s">
        <v>1127</v>
      </c>
      <c r="E105">
        <v>0.92</v>
      </c>
      <c r="F105">
        <v>0.2137</v>
      </c>
      <c r="G105">
        <v>0.36680000000000001</v>
      </c>
      <c r="H105">
        <v>0.15310000000000001</v>
      </c>
      <c r="I105">
        <v>3.7766000000000002</v>
      </c>
      <c r="J105">
        <v>0.63149999999999995</v>
      </c>
      <c r="K105">
        <v>5.1257999999999999</v>
      </c>
      <c r="L105">
        <v>0.1656</v>
      </c>
      <c r="M105">
        <v>1.5800000000000002E-2</v>
      </c>
      <c r="N105">
        <v>1.09E-2</v>
      </c>
      <c r="O105">
        <v>0.51919999999999999</v>
      </c>
      <c r="P105">
        <v>2.1442999999999999</v>
      </c>
      <c r="Q105">
        <v>1.1305000000000001</v>
      </c>
      <c r="R105">
        <v>0.65480000000000005</v>
      </c>
      <c r="S105">
        <v>0.60489999999999999</v>
      </c>
    </row>
    <row r="106" spans="1:19" x14ac:dyDescent="0.25">
      <c r="A106" t="s">
        <v>515</v>
      </c>
      <c r="B106" t="s">
        <v>3</v>
      </c>
      <c r="D106" t="s">
        <v>15</v>
      </c>
      <c r="E106">
        <v>1.49</v>
      </c>
      <c r="F106">
        <v>0.1827</v>
      </c>
      <c r="G106">
        <v>0.51249999999999996</v>
      </c>
      <c r="H106">
        <v>0.32979999999999998</v>
      </c>
      <c r="I106">
        <v>2.5981999999999998</v>
      </c>
      <c r="J106">
        <v>2.1406999999999998</v>
      </c>
      <c r="K106">
        <v>8.1892999999999994</v>
      </c>
      <c r="L106">
        <v>0.58589999999999998</v>
      </c>
      <c r="M106">
        <v>1.5800000000000002E-2</v>
      </c>
      <c r="N106">
        <v>1.09E-2</v>
      </c>
      <c r="O106">
        <v>1.3597999999999999</v>
      </c>
      <c r="P106">
        <v>0</v>
      </c>
      <c r="Q106">
        <v>0</v>
      </c>
      <c r="R106">
        <v>0.41310000000000002</v>
      </c>
      <c r="S106">
        <v>0.4274</v>
      </c>
    </row>
    <row r="107" spans="1:19" x14ac:dyDescent="0.25">
      <c r="A107" t="s">
        <v>383</v>
      </c>
      <c r="B107" t="s">
        <v>3</v>
      </c>
      <c r="D107" t="s">
        <v>19</v>
      </c>
      <c r="E107">
        <v>2.85</v>
      </c>
      <c r="F107">
        <v>3.7900000000000003E-2</v>
      </c>
      <c r="G107">
        <v>0.28039999999999998</v>
      </c>
      <c r="H107">
        <v>0.24249999999999999</v>
      </c>
      <c r="I107">
        <v>1.1943999999999999</v>
      </c>
      <c r="J107">
        <v>8.0053999999999998</v>
      </c>
      <c r="K107">
        <v>9.2639999999999993</v>
      </c>
      <c r="L107">
        <v>0.15229999999999999</v>
      </c>
      <c r="M107">
        <v>1.5800000000000002E-2</v>
      </c>
      <c r="N107">
        <v>1.09E-2</v>
      </c>
      <c r="O107">
        <v>0.49259999999999998</v>
      </c>
      <c r="P107">
        <v>0</v>
      </c>
      <c r="Q107">
        <v>0</v>
      </c>
      <c r="R107">
        <v>0.3906</v>
      </c>
      <c r="S107">
        <v>0.44740000000000002</v>
      </c>
    </row>
    <row r="108" spans="1:19" x14ac:dyDescent="0.25">
      <c r="A108" t="s">
        <v>401</v>
      </c>
      <c r="B108" t="s">
        <v>3</v>
      </c>
      <c r="D108" t="s">
        <v>23</v>
      </c>
      <c r="E108">
        <v>2.78</v>
      </c>
      <c r="F108">
        <v>0</v>
      </c>
      <c r="G108">
        <v>0.23780000000000001</v>
      </c>
      <c r="H108">
        <v>0.23780000000000001</v>
      </c>
      <c r="I108">
        <v>2.1006</v>
      </c>
      <c r="J108">
        <v>1.7816000000000001</v>
      </c>
      <c r="K108">
        <v>11.6465</v>
      </c>
      <c r="L108">
        <v>0.57369999999999999</v>
      </c>
      <c r="M108">
        <v>1.5800000000000002E-2</v>
      </c>
      <c r="N108">
        <v>1.09E-2</v>
      </c>
      <c r="O108">
        <v>1.3353999999999999</v>
      </c>
      <c r="P108">
        <v>0</v>
      </c>
      <c r="Q108">
        <v>0</v>
      </c>
      <c r="R108">
        <v>0.38769999999999999</v>
      </c>
      <c r="S108">
        <v>0.63839999999999997</v>
      </c>
    </row>
    <row r="109" spans="1:19" x14ac:dyDescent="0.25">
      <c r="A109" t="s">
        <v>581</v>
      </c>
      <c r="B109" t="s">
        <v>24</v>
      </c>
      <c r="D109" t="s">
        <v>27</v>
      </c>
      <c r="E109">
        <v>1.97</v>
      </c>
      <c r="F109">
        <v>0.4753</v>
      </c>
      <c r="G109">
        <v>0.89410000000000001</v>
      </c>
      <c r="H109">
        <v>0.41880000000000001</v>
      </c>
      <c r="I109">
        <v>2.5878999999999999</v>
      </c>
      <c r="J109">
        <v>0.6905</v>
      </c>
      <c r="K109">
        <v>4.6516000000000002</v>
      </c>
      <c r="L109">
        <v>0.63109999999999999</v>
      </c>
      <c r="M109">
        <v>1.5800000000000002E-2</v>
      </c>
      <c r="N109">
        <v>1.09E-2</v>
      </c>
      <c r="O109">
        <v>1.4501999999999999</v>
      </c>
      <c r="P109">
        <v>19.585799999999999</v>
      </c>
      <c r="Q109">
        <v>23.520499999999998</v>
      </c>
      <c r="R109">
        <v>0.45440000000000003</v>
      </c>
      <c r="S109">
        <v>1.0119</v>
      </c>
    </row>
    <row r="110" spans="1:19" x14ac:dyDescent="0.25">
      <c r="A110" t="s">
        <v>471</v>
      </c>
      <c r="B110" t="s">
        <v>3</v>
      </c>
      <c r="D110" t="s">
        <v>1180</v>
      </c>
      <c r="E110">
        <v>2.3199999999999998</v>
      </c>
      <c r="F110">
        <v>0</v>
      </c>
      <c r="G110">
        <v>0.18729999999999999</v>
      </c>
      <c r="H110">
        <v>0.18729999999999999</v>
      </c>
      <c r="I110">
        <v>2.0493999999999999</v>
      </c>
      <c r="J110">
        <v>6.2747999999999999</v>
      </c>
      <c r="K110">
        <v>9.8152000000000008</v>
      </c>
      <c r="L110">
        <v>0.35089999999999999</v>
      </c>
      <c r="M110">
        <v>1.5800000000000002E-2</v>
      </c>
      <c r="N110">
        <v>1.09E-2</v>
      </c>
      <c r="O110">
        <v>0.88980000000000004</v>
      </c>
      <c r="P110">
        <v>0</v>
      </c>
      <c r="Q110">
        <v>0</v>
      </c>
      <c r="R110">
        <v>0.39479999999999998</v>
      </c>
      <c r="S110">
        <v>0.33889999999999998</v>
      </c>
    </row>
    <row r="111" spans="1:19" x14ac:dyDescent="0.25">
      <c r="A111" t="s">
        <v>395</v>
      </c>
      <c r="B111" t="s">
        <v>3</v>
      </c>
      <c r="D111" t="s">
        <v>25</v>
      </c>
      <c r="E111">
        <v>0.28000000000000003</v>
      </c>
      <c r="F111">
        <v>0.1028</v>
      </c>
      <c r="G111">
        <v>0.17510000000000001</v>
      </c>
      <c r="H111">
        <v>7.2300000000000003E-2</v>
      </c>
      <c r="I111">
        <v>0.58520000000000005</v>
      </c>
      <c r="J111">
        <v>0.78959999999999997</v>
      </c>
      <c r="K111">
        <v>7.3868999999999998</v>
      </c>
      <c r="L111">
        <v>0.1263</v>
      </c>
      <c r="M111">
        <v>1.5800000000000002E-2</v>
      </c>
      <c r="N111">
        <v>1.09E-2</v>
      </c>
      <c r="O111">
        <v>0.44059999999999999</v>
      </c>
      <c r="P111">
        <v>0</v>
      </c>
      <c r="Q111">
        <v>0</v>
      </c>
      <c r="R111">
        <v>0.43140000000000001</v>
      </c>
      <c r="S111">
        <v>0.37</v>
      </c>
    </row>
    <row r="112" spans="1:19" x14ac:dyDescent="0.25">
      <c r="A112" t="s">
        <v>438</v>
      </c>
      <c r="B112" t="s">
        <v>3</v>
      </c>
      <c r="D112" t="s">
        <v>17</v>
      </c>
      <c r="E112">
        <v>3.54</v>
      </c>
      <c r="F112">
        <v>6.4699999999999994E-2</v>
      </c>
      <c r="G112">
        <v>0.29659999999999997</v>
      </c>
      <c r="H112">
        <v>0.2319</v>
      </c>
      <c r="I112">
        <v>2.7738999999999998</v>
      </c>
      <c r="J112">
        <v>1.3226</v>
      </c>
      <c r="K112">
        <v>8.4067000000000007</v>
      </c>
      <c r="L112">
        <v>2.81E-2</v>
      </c>
      <c r="M112">
        <v>1.5800000000000002E-2</v>
      </c>
      <c r="N112">
        <v>1.09E-2</v>
      </c>
      <c r="O112">
        <v>0.2442</v>
      </c>
      <c r="P112">
        <v>0</v>
      </c>
      <c r="Q112">
        <v>0</v>
      </c>
      <c r="R112">
        <v>0.3664</v>
      </c>
      <c r="S112">
        <v>0.45650000000000002</v>
      </c>
    </row>
    <row r="113" spans="1:19" x14ac:dyDescent="0.25">
      <c r="A113" t="s">
        <v>294</v>
      </c>
      <c r="B113" t="s">
        <v>3</v>
      </c>
      <c r="D113" t="s">
        <v>16</v>
      </c>
      <c r="E113">
        <v>0.42</v>
      </c>
      <c r="F113">
        <v>9.0999999999999998E-2</v>
      </c>
      <c r="G113">
        <v>0.75619999999999998</v>
      </c>
      <c r="H113">
        <v>0.66520000000000001</v>
      </c>
      <c r="I113">
        <v>1.9213</v>
      </c>
      <c r="J113">
        <v>2.335</v>
      </c>
      <c r="K113">
        <v>3.0939999999999999</v>
      </c>
      <c r="L113">
        <v>8.7099999999999997E-2</v>
      </c>
      <c r="M113">
        <v>1.5800000000000002E-2</v>
      </c>
      <c r="N113">
        <v>1.09E-2</v>
      </c>
      <c r="O113">
        <v>0.36220000000000002</v>
      </c>
      <c r="P113">
        <v>0</v>
      </c>
      <c r="Q113">
        <v>0</v>
      </c>
      <c r="R113">
        <v>0.41949999999999998</v>
      </c>
      <c r="S113">
        <v>0.26490000000000002</v>
      </c>
    </row>
    <row r="114" spans="1:19" x14ac:dyDescent="0.25">
      <c r="A114" t="s">
        <v>253</v>
      </c>
      <c r="B114" t="s">
        <v>24</v>
      </c>
      <c r="D114" t="s">
        <v>16</v>
      </c>
      <c r="E114">
        <v>0.49</v>
      </c>
      <c r="F114">
        <v>1.181</v>
      </c>
      <c r="G114">
        <v>1.9352</v>
      </c>
      <c r="H114">
        <v>0.75419999999999998</v>
      </c>
      <c r="I114">
        <v>5.5034000000000001</v>
      </c>
      <c r="J114">
        <v>1.5705</v>
      </c>
      <c r="K114">
        <v>2.1153</v>
      </c>
      <c r="L114">
        <v>1.0009999999999999</v>
      </c>
      <c r="M114">
        <v>1.5800000000000002E-2</v>
      </c>
      <c r="N114">
        <v>1.09E-2</v>
      </c>
      <c r="O114">
        <v>2.19</v>
      </c>
      <c r="P114">
        <v>1.3684000000000001</v>
      </c>
      <c r="Q114">
        <v>1.7462</v>
      </c>
      <c r="R114">
        <v>0.43940000000000001</v>
      </c>
      <c r="S114">
        <v>1.3327</v>
      </c>
    </row>
    <row r="115" spans="1:19" x14ac:dyDescent="0.25">
      <c r="A115" t="s">
        <v>345</v>
      </c>
      <c r="B115" t="s">
        <v>24</v>
      </c>
      <c r="D115" t="s">
        <v>1128</v>
      </c>
      <c r="E115">
        <v>1.31</v>
      </c>
      <c r="F115">
        <v>0.30580000000000002</v>
      </c>
      <c r="G115">
        <v>7.6499999999999999E-2</v>
      </c>
      <c r="H115">
        <v>0</v>
      </c>
      <c r="I115">
        <v>2.9845000000000002</v>
      </c>
      <c r="J115">
        <v>0.70760000000000001</v>
      </c>
      <c r="K115">
        <v>2.7528999999999999</v>
      </c>
      <c r="L115">
        <v>1.1920999999999999</v>
      </c>
      <c r="M115">
        <v>1.5800000000000002E-2</v>
      </c>
      <c r="N115">
        <v>1.09E-2</v>
      </c>
      <c r="O115">
        <v>2.5722</v>
      </c>
      <c r="P115">
        <v>15.332800000000001</v>
      </c>
      <c r="Q115">
        <v>23.8781</v>
      </c>
      <c r="R115">
        <v>0.39100000000000001</v>
      </c>
      <c r="S115">
        <v>0.54169999999999996</v>
      </c>
    </row>
    <row r="116" spans="1:19" x14ac:dyDescent="0.25">
      <c r="A116" t="s">
        <v>387</v>
      </c>
      <c r="B116" t="s">
        <v>3</v>
      </c>
      <c r="D116" t="s">
        <v>8</v>
      </c>
      <c r="E116">
        <v>1.89</v>
      </c>
      <c r="F116">
        <v>0</v>
      </c>
      <c r="G116">
        <v>4.5199999999999997E-2</v>
      </c>
      <c r="H116">
        <v>4.5199999999999997E-2</v>
      </c>
      <c r="I116">
        <v>2.0242</v>
      </c>
      <c r="J116">
        <v>3.1337000000000002</v>
      </c>
      <c r="K116">
        <v>4.9682000000000004</v>
      </c>
      <c r="L116">
        <v>0.52869999999999995</v>
      </c>
      <c r="M116">
        <v>1.5800000000000002E-2</v>
      </c>
      <c r="N116">
        <v>1.09E-2</v>
      </c>
      <c r="O116">
        <v>1.2454000000000001</v>
      </c>
      <c r="P116">
        <v>0</v>
      </c>
      <c r="Q116">
        <v>0</v>
      </c>
      <c r="R116">
        <v>0.40200000000000002</v>
      </c>
      <c r="S116">
        <v>0.62480000000000002</v>
      </c>
    </row>
    <row r="117" spans="1:19" x14ac:dyDescent="0.25">
      <c r="A117" t="s">
        <v>656</v>
      </c>
      <c r="B117" t="s">
        <v>24</v>
      </c>
      <c r="D117" t="s">
        <v>18</v>
      </c>
      <c r="E117">
        <v>1.79</v>
      </c>
      <c r="F117">
        <v>0.3916</v>
      </c>
      <c r="G117">
        <v>0.53449999999999998</v>
      </c>
      <c r="H117">
        <v>0.1429</v>
      </c>
      <c r="I117">
        <v>3.0474000000000001</v>
      </c>
      <c r="J117">
        <v>0.25719999999999998</v>
      </c>
      <c r="K117">
        <v>4.7705000000000002</v>
      </c>
      <c r="L117">
        <v>5.0900000000000001E-2</v>
      </c>
      <c r="M117">
        <v>1.5800000000000002E-2</v>
      </c>
      <c r="N117">
        <v>1.09E-2</v>
      </c>
      <c r="O117">
        <v>0.2898</v>
      </c>
      <c r="P117">
        <v>27.883600000000001</v>
      </c>
      <c r="Q117">
        <v>26.516200000000001</v>
      </c>
      <c r="R117">
        <v>0.51259999999999994</v>
      </c>
      <c r="S117">
        <v>0.34260000000000002</v>
      </c>
    </row>
    <row r="118" spans="1:19" x14ac:dyDescent="0.25">
      <c r="A118" t="s">
        <v>388</v>
      </c>
      <c r="B118" t="s">
        <v>24</v>
      </c>
      <c r="D118" t="s">
        <v>32</v>
      </c>
      <c r="E118">
        <v>1.49</v>
      </c>
      <c r="F118">
        <v>0.34129999999999999</v>
      </c>
      <c r="G118">
        <v>0.9677</v>
      </c>
      <c r="H118">
        <v>0.62639999999999996</v>
      </c>
      <c r="I118">
        <v>3.3041</v>
      </c>
      <c r="J118">
        <v>2.8235999999999999</v>
      </c>
      <c r="K118">
        <v>9.4902999999999995</v>
      </c>
      <c r="L118">
        <v>0.37540000000000001</v>
      </c>
      <c r="M118">
        <v>1.5800000000000002E-2</v>
      </c>
      <c r="N118">
        <v>1.09E-2</v>
      </c>
      <c r="O118">
        <v>0.93879999999999997</v>
      </c>
      <c r="P118">
        <v>1.1064000000000001</v>
      </c>
      <c r="Q118">
        <v>1.6274999999999999</v>
      </c>
      <c r="R118">
        <v>0.4047</v>
      </c>
      <c r="S118">
        <v>0.56269999999999998</v>
      </c>
    </row>
    <row r="119" spans="1:19" x14ac:dyDescent="0.25">
      <c r="A119" t="s">
        <v>431</v>
      </c>
      <c r="B119" t="s">
        <v>3</v>
      </c>
      <c r="D119" t="s">
        <v>31</v>
      </c>
      <c r="E119">
        <v>3.32</v>
      </c>
      <c r="F119">
        <v>0</v>
      </c>
      <c r="G119">
        <v>0.31190000000000001</v>
      </c>
      <c r="H119">
        <v>0.31190000000000001</v>
      </c>
      <c r="I119">
        <v>1.9990000000000001</v>
      </c>
      <c r="J119">
        <v>1.6862999999999999</v>
      </c>
      <c r="K119">
        <v>8.2956000000000003</v>
      </c>
      <c r="L119">
        <v>0.15890000000000001</v>
      </c>
      <c r="M119">
        <v>1.5800000000000002E-2</v>
      </c>
      <c r="N119">
        <v>1.09E-2</v>
      </c>
      <c r="O119">
        <v>0.50580000000000003</v>
      </c>
      <c r="P119">
        <v>0</v>
      </c>
      <c r="Q119">
        <v>0</v>
      </c>
      <c r="R119">
        <v>0.38379999999999997</v>
      </c>
      <c r="S119">
        <v>0.50160000000000005</v>
      </c>
    </row>
    <row r="120" spans="1:19" x14ac:dyDescent="0.25">
      <c r="A120" t="s">
        <v>507</v>
      </c>
      <c r="B120" t="s">
        <v>24</v>
      </c>
      <c r="D120" t="s">
        <v>7</v>
      </c>
      <c r="E120">
        <v>0.88</v>
      </c>
      <c r="F120">
        <v>0.85029999999999994</v>
      </c>
      <c r="G120">
        <v>2.0716000000000001</v>
      </c>
      <c r="H120">
        <v>1.2213000000000001</v>
      </c>
      <c r="I120">
        <v>5.8967000000000001</v>
      </c>
      <c r="J120">
        <v>1.9859</v>
      </c>
      <c r="K120">
        <v>3.1657999999999999</v>
      </c>
      <c r="L120">
        <v>0.48449999999999999</v>
      </c>
      <c r="M120">
        <v>1.5800000000000002E-2</v>
      </c>
      <c r="N120">
        <v>1.09E-2</v>
      </c>
      <c r="O120">
        <v>1.157</v>
      </c>
      <c r="P120">
        <v>0.82799999999999996</v>
      </c>
      <c r="Q120">
        <v>1.8343</v>
      </c>
      <c r="R120">
        <v>0.311</v>
      </c>
      <c r="S120">
        <v>0.62760000000000005</v>
      </c>
    </row>
    <row r="121" spans="1:19" x14ac:dyDescent="0.25">
      <c r="A121" t="s">
        <v>421</v>
      </c>
      <c r="B121" t="s">
        <v>3</v>
      </c>
      <c r="D121" t="s">
        <v>12</v>
      </c>
      <c r="E121">
        <v>2.4900000000000002</v>
      </c>
      <c r="F121">
        <v>7.7499999999999999E-2</v>
      </c>
      <c r="G121">
        <v>2.52E-2</v>
      </c>
      <c r="H121">
        <v>0</v>
      </c>
      <c r="I121">
        <v>2.1551999999999998</v>
      </c>
      <c r="J121">
        <v>2.1865000000000001</v>
      </c>
      <c r="K121">
        <v>5.8989000000000003</v>
      </c>
      <c r="L121">
        <v>0.55900000000000005</v>
      </c>
      <c r="M121">
        <v>1.5800000000000002E-2</v>
      </c>
      <c r="N121">
        <v>1.09E-2</v>
      </c>
      <c r="O121">
        <v>1.306</v>
      </c>
      <c r="P121">
        <v>0</v>
      </c>
      <c r="Q121">
        <v>0</v>
      </c>
      <c r="R121">
        <v>0.39329999999999998</v>
      </c>
      <c r="S121">
        <v>0.50239999999999996</v>
      </c>
    </row>
    <row r="122" spans="1:19" x14ac:dyDescent="0.25">
      <c r="A122" t="s">
        <v>719</v>
      </c>
      <c r="B122" t="s">
        <v>3</v>
      </c>
      <c r="D122" t="s">
        <v>19</v>
      </c>
      <c r="E122">
        <v>0.99</v>
      </c>
      <c r="F122">
        <v>0.1152</v>
      </c>
      <c r="G122">
        <v>0.2298</v>
      </c>
      <c r="H122">
        <v>0.11459999999999999</v>
      </c>
      <c r="I122">
        <v>1.0261</v>
      </c>
      <c r="J122">
        <v>4.7346000000000004</v>
      </c>
      <c r="K122">
        <v>9.0614000000000008</v>
      </c>
      <c r="L122">
        <v>0.1573</v>
      </c>
      <c r="M122">
        <v>1.5800000000000002E-2</v>
      </c>
      <c r="N122">
        <v>1.09E-2</v>
      </c>
      <c r="O122">
        <v>0.50260000000000005</v>
      </c>
      <c r="P122">
        <v>0</v>
      </c>
      <c r="Q122">
        <v>0</v>
      </c>
      <c r="R122">
        <v>0.43759999999999999</v>
      </c>
      <c r="S122">
        <v>0.29070000000000001</v>
      </c>
    </row>
    <row r="123" spans="1:19" x14ac:dyDescent="0.25">
      <c r="A123" t="s">
        <v>530</v>
      </c>
      <c r="B123" t="s">
        <v>3</v>
      </c>
      <c r="D123" t="s">
        <v>4</v>
      </c>
      <c r="E123">
        <v>1.17</v>
      </c>
      <c r="F123">
        <v>0</v>
      </c>
      <c r="G123">
        <v>0.52690000000000003</v>
      </c>
      <c r="H123">
        <v>0.52690000000000003</v>
      </c>
      <c r="I123">
        <v>0.70569999999999999</v>
      </c>
      <c r="J123">
        <v>1.1366000000000001</v>
      </c>
      <c r="K123">
        <v>4.7237999999999998</v>
      </c>
      <c r="L123">
        <v>0.19850000000000001</v>
      </c>
      <c r="M123">
        <v>1.5800000000000002E-2</v>
      </c>
      <c r="N123">
        <v>1.09E-2</v>
      </c>
      <c r="O123">
        <v>0.58499999999999996</v>
      </c>
      <c r="P123">
        <v>0</v>
      </c>
      <c r="Q123">
        <v>0</v>
      </c>
      <c r="R123">
        <v>0.40939999999999999</v>
      </c>
      <c r="S123">
        <v>0.64119999999999999</v>
      </c>
    </row>
    <row r="124" spans="1:19" x14ac:dyDescent="0.25">
      <c r="A124" t="s">
        <v>495</v>
      </c>
      <c r="B124" t="s">
        <v>3</v>
      </c>
      <c r="D124" t="s">
        <v>8</v>
      </c>
      <c r="E124">
        <v>2.71</v>
      </c>
      <c r="F124">
        <v>0</v>
      </c>
      <c r="G124">
        <v>1.35E-2</v>
      </c>
      <c r="H124">
        <v>1.35E-2</v>
      </c>
      <c r="I124">
        <v>0.95109999999999995</v>
      </c>
      <c r="J124">
        <v>1.1427</v>
      </c>
      <c r="K124">
        <v>9.4705999999999992</v>
      </c>
      <c r="L124">
        <v>0.21299999999999999</v>
      </c>
      <c r="M124">
        <v>1.5800000000000002E-2</v>
      </c>
      <c r="N124">
        <v>1.09E-2</v>
      </c>
      <c r="O124">
        <v>0.61399999999999999</v>
      </c>
      <c r="P124">
        <v>0</v>
      </c>
      <c r="Q124">
        <v>0</v>
      </c>
      <c r="R124">
        <v>0.38729999999999998</v>
      </c>
      <c r="S124">
        <v>0.30299999999999999</v>
      </c>
    </row>
    <row r="125" spans="1:19" x14ac:dyDescent="0.25">
      <c r="A125" t="s">
        <v>570</v>
      </c>
      <c r="B125" t="s">
        <v>3</v>
      </c>
      <c r="D125" t="s">
        <v>1181</v>
      </c>
      <c r="E125">
        <v>2.54</v>
      </c>
      <c r="F125">
        <v>0</v>
      </c>
      <c r="G125">
        <v>0.34179999999999999</v>
      </c>
      <c r="H125">
        <v>0.34179999999999999</v>
      </c>
      <c r="I125">
        <v>0.91830000000000001</v>
      </c>
      <c r="J125">
        <v>5.6409000000000002</v>
      </c>
      <c r="K125">
        <v>12.082000000000001</v>
      </c>
      <c r="L125">
        <v>0.70389999999999997</v>
      </c>
      <c r="M125">
        <v>1.5800000000000002E-2</v>
      </c>
      <c r="N125">
        <v>1.09E-2</v>
      </c>
      <c r="O125">
        <v>1.5958000000000001</v>
      </c>
      <c r="P125">
        <v>0</v>
      </c>
      <c r="Q125">
        <v>0</v>
      </c>
      <c r="R125">
        <v>0.39510000000000001</v>
      </c>
      <c r="S125">
        <v>0.79769999999999996</v>
      </c>
    </row>
    <row r="126" spans="1:19" x14ac:dyDescent="0.25">
      <c r="A126" t="s">
        <v>481</v>
      </c>
      <c r="B126" t="s">
        <v>24</v>
      </c>
      <c r="D126" t="s">
        <v>8</v>
      </c>
      <c r="E126">
        <v>0.96</v>
      </c>
      <c r="F126">
        <v>0.90139999999999998</v>
      </c>
      <c r="G126">
        <v>0.1106</v>
      </c>
      <c r="H126">
        <v>0</v>
      </c>
      <c r="I126">
        <v>7.3360000000000003</v>
      </c>
      <c r="J126">
        <v>1.2672000000000001</v>
      </c>
      <c r="K126">
        <v>1.5075000000000001</v>
      </c>
      <c r="L126">
        <v>8.9899999999999994E-2</v>
      </c>
      <c r="M126">
        <v>1.5800000000000002E-2</v>
      </c>
      <c r="N126">
        <v>1.09E-2</v>
      </c>
      <c r="O126">
        <v>0.36780000000000002</v>
      </c>
      <c r="P126">
        <v>0.63959999999999995</v>
      </c>
      <c r="Q126">
        <v>1.5425</v>
      </c>
      <c r="R126">
        <v>0.29310000000000003</v>
      </c>
      <c r="S126">
        <v>0.79310000000000003</v>
      </c>
    </row>
    <row r="127" spans="1:19" x14ac:dyDescent="0.25">
      <c r="A127" t="s">
        <v>763</v>
      </c>
      <c r="B127" t="s">
        <v>24</v>
      </c>
      <c r="D127" t="s">
        <v>5</v>
      </c>
      <c r="E127">
        <v>2.0099999999999998</v>
      </c>
      <c r="F127">
        <v>0.4148</v>
      </c>
      <c r="G127">
        <v>0.42309999999999998</v>
      </c>
      <c r="H127">
        <v>8.2999999999999706E-3</v>
      </c>
      <c r="I127">
        <v>2.2118000000000002</v>
      </c>
      <c r="J127">
        <v>0.66559999999999997</v>
      </c>
      <c r="K127">
        <v>5.0519999999999996</v>
      </c>
      <c r="L127">
        <v>5.57E-2</v>
      </c>
      <c r="M127">
        <v>1.5800000000000002E-2</v>
      </c>
      <c r="N127">
        <v>1.09E-2</v>
      </c>
      <c r="O127">
        <v>0.2994</v>
      </c>
      <c r="P127">
        <v>15.571099999999999</v>
      </c>
      <c r="Q127">
        <v>27.558700000000002</v>
      </c>
      <c r="R127">
        <v>0.36099999999999999</v>
      </c>
      <c r="S127">
        <v>0.90439999999999998</v>
      </c>
    </row>
    <row r="128" spans="1:19" x14ac:dyDescent="0.25">
      <c r="A128" t="s">
        <v>305</v>
      </c>
      <c r="B128" t="s">
        <v>3</v>
      </c>
      <c r="D128" t="s">
        <v>23</v>
      </c>
      <c r="E128">
        <v>2.79</v>
      </c>
      <c r="F128">
        <v>0</v>
      </c>
      <c r="G128">
        <v>0.16700000000000001</v>
      </c>
      <c r="H128">
        <v>0.16700000000000001</v>
      </c>
      <c r="I128">
        <v>0.84119999999999995</v>
      </c>
      <c r="J128">
        <v>1.5665</v>
      </c>
      <c r="K128">
        <v>9.8124000000000002</v>
      </c>
      <c r="L128">
        <v>0.11899999999999999</v>
      </c>
      <c r="M128">
        <v>1.5800000000000002E-2</v>
      </c>
      <c r="N128">
        <v>1.09E-2</v>
      </c>
      <c r="O128">
        <v>0.42599999999999999</v>
      </c>
      <c r="P128">
        <v>0</v>
      </c>
      <c r="Q128">
        <v>0</v>
      </c>
      <c r="R128">
        <v>0.38519999999999999</v>
      </c>
      <c r="S128">
        <v>0.33389999999999997</v>
      </c>
    </row>
    <row r="129" spans="1:19" x14ac:dyDescent="0.25">
      <c r="A129" t="s">
        <v>414</v>
      </c>
      <c r="B129" t="s">
        <v>3</v>
      </c>
      <c r="D129" t="s">
        <v>34</v>
      </c>
      <c r="E129">
        <v>2.65</v>
      </c>
      <c r="F129">
        <v>0.12180000000000001</v>
      </c>
      <c r="G129">
        <v>0.57440000000000002</v>
      </c>
      <c r="H129">
        <v>0.4526</v>
      </c>
      <c r="I129">
        <v>2.8628999999999998</v>
      </c>
      <c r="J129">
        <v>1.8835999999999999</v>
      </c>
      <c r="K129">
        <v>6.0715000000000003</v>
      </c>
      <c r="L129">
        <v>0.1132</v>
      </c>
      <c r="M129">
        <v>1.5800000000000002E-2</v>
      </c>
      <c r="N129">
        <v>1.09E-2</v>
      </c>
      <c r="O129">
        <v>0.41439999999999999</v>
      </c>
      <c r="P129">
        <v>0</v>
      </c>
      <c r="Q129">
        <v>0</v>
      </c>
      <c r="R129">
        <v>0.3846</v>
      </c>
      <c r="S129">
        <v>0.73299999999999998</v>
      </c>
    </row>
    <row r="130" spans="1:19" x14ac:dyDescent="0.25">
      <c r="A130" t="s">
        <v>713</v>
      </c>
      <c r="B130" t="s">
        <v>3</v>
      </c>
      <c r="D130" t="s">
        <v>11</v>
      </c>
      <c r="E130">
        <v>1.25</v>
      </c>
      <c r="F130">
        <v>0</v>
      </c>
      <c r="G130">
        <v>0.24390000000000001</v>
      </c>
      <c r="H130">
        <v>0.24390000000000001</v>
      </c>
      <c r="I130">
        <v>0.80389999999999995</v>
      </c>
      <c r="J130">
        <v>2.2153999999999998</v>
      </c>
      <c r="K130">
        <v>5.8574000000000002</v>
      </c>
      <c r="L130">
        <v>5.1700000000000003E-2</v>
      </c>
      <c r="M130">
        <v>1.5800000000000002E-2</v>
      </c>
      <c r="N130">
        <v>1.09E-2</v>
      </c>
      <c r="O130">
        <v>0.29139999999999999</v>
      </c>
      <c r="P130">
        <v>0</v>
      </c>
      <c r="Q130">
        <v>0</v>
      </c>
      <c r="R130">
        <v>0.37240000000000001</v>
      </c>
      <c r="S130">
        <v>0.38990000000000002</v>
      </c>
    </row>
    <row r="131" spans="1:19" x14ac:dyDescent="0.25">
      <c r="A131" t="s">
        <v>856</v>
      </c>
      <c r="B131" t="s">
        <v>24</v>
      </c>
      <c r="D131" t="s">
        <v>13</v>
      </c>
      <c r="E131">
        <v>1.82</v>
      </c>
      <c r="F131">
        <v>0.1109</v>
      </c>
      <c r="G131">
        <v>6.4899999999999999E-2</v>
      </c>
      <c r="H131">
        <v>0</v>
      </c>
      <c r="I131">
        <v>1.4166000000000001</v>
      </c>
      <c r="J131">
        <v>2.3660000000000001</v>
      </c>
      <c r="K131">
        <v>4.2786999999999997</v>
      </c>
      <c r="L131">
        <v>0.22450000000000001</v>
      </c>
      <c r="M131">
        <v>1.5800000000000002E-2</v>
      </c>
      <c r="N131">
        <v>1.09E-2</v>
      </c>
      <c r="O131">
        <v>0.63700000000000001</v>
      </c>
      <c r="P131">
        <v>13.4983</v>
      </c>
      <c r="Q131">
        <v>24.377400000000002</v>
      </c>
      <c r="R131">
        <v>0.35639999999999999</v>
      </c>
      <c r="S131">
        <v>0.68540000000000001</v>
      </c>
    </row>
    <row r="132" spans="1:19" x14ac:dyDescent="0.25">
      <c r="A132" t="s">
        <v>644</v>
      </c>
      <c r="B132" t="s">
        <v>24</v>
      </c>
      <c r="D132" t="s">
        <v>1131</v>
      </c>
      <c r="E132">
        <v>1.05</v>
      </c>
      <c r="F132">
        <v>0.27560000000000001</v>
      </c>
      <c r="G132">
        <v>1.093</v>
      </c>
      <c r="H132">
        <v>0.81740000000000002</v>
      </c>
      <c r="I132">
        <v>2.7795999999999998</v>
      </c>
      <c r="J132">
        <v>0.31609999999999999</v>
      </c>
      <c r="K132">
        <v>3.9283999999999999</v>
      </c>
      <c r="L132">
        <v>0.28860000000000002</v>
      </c>
      <c r="M132">
        <v>1.5800000000000002E-2</v>
      </c>
      <c r="N132">
        <v>1.09E-2</v>
      </c>
      <c r="O132">
        <v>0.76519999999999999</v>
      </c>
      <c r="P132">
        <v>4.4562999999999997</v>
      </c>
      <c r="Q132">
        <v>10.415900000000001</v>
      </c>
      <c r="R132">
        <v>0.29959999999999998</v>
      </c>
      <c r="S132">
        <v>0.71899999999999997</v>
      </c>
    </row>
    <row r="133" spans="1:19" x14ac:dyDescent="0.25">
      <c r="A133" t="s">
        <v>683</v>
      </c>
      <c r="B133" t="s">
        <v>3</v>
      </c>
      <c r="D133" t="s">
        <v>4</v>
      </c>
      <c r="E133">
        <v>1.01</v>
      </c>
      <c r="F133">
        <v>6.83E-2</v>
      </c>
      <c r="G133">
        <v>0.2656</v>
      </c>
      <c r="H133">
        <v>0.1973</v>
      </c>
      <c r="I133">
        <v>0.57809999999999995</v>
      </c>
      <c r="J133">
        <v>2.6364999999999998</v>
      </c>
      <c r="K133">
        <v>9.4675999999999991</v>
      </c>
      <c r="L133">
        <v>0.1101</v>
      </c>
      <c r="M133">
        <v>1.5800000000000002E-2</v>
      </c>
      <c r="N133">
        <v>1.09E-2</v>
      </c>
      <c r="O133">
        <v>0.40820000000000001</v>
      </c>
      <c r="P133">
        <v>0</v>
      </c>
      <c r="Q133">
        <v>0</v>
      </c>
      <c r="R133">
        <v>0.42720000000000002</v>
      </c>
      <c r="S133">
        <v>0.216</v>
      </c>
    </row>
    <row r="134" spans="1:19" x14ac:dyDescent="0.25">
      <c r="A134" t="s">
        <v>270</v>
      </c>
      <c r="B134" t="s">
        <v>3</v>
      </c>
      <c r="D134" t="s">
        <v>10</v>
      </c>
      <c r="E134">
        <v>2.65</v>
      </c>
      <c r="F134">
        <v>7.2300000000000003E-2</v>
      </c>
      <c r="G134">
        <v>0.49569999999999997</v>
      </c>
      <c r="H134">
        <v>0.4234</v>
      </c>
      <c r="I134">
        <v>1.9005000000000001</v>
      </c>
      <c r="J134">
        <v>5.8726000000000003</v>
      </c>
      <c r="K134">
        <v>10.265499999999999</v>
      </c>
      <c r="L134">
        <v>0.13009999999999999</v>
      </c>
      <c r="M134">
        <v>1.5800000000000002E-2</v>
      </c>
      <c r="N134">
        <v>1.09E-2</v>
      </c>
      <c r="O134">
        <v>0.44819999999999999</v>
      </c>
      <c r="P134">
        <v>0</v>
      </c>
      <c r="Q134">
        <v>0</v>
      </c>
      <c r="R134">
        <v>0.3589</v>
      </c>
      <c r="S134">
        <v>0.64629999999999999</v>
      </c>
    </row>
    <row r="135" spans="1:19" x14ac:dyDescent="0.25">
      <c r="A135" t="s">
        <v>879</v>
      </c>
      <c r="B135" t="s">
        <v>24</v>
      </c>
      <c r="D135" t="s">
        <v>12</v>
      </c>
      <c r="E135">
        <v>1.56</v>
      </c>
      <c r="F135">
        <v>0.79900000000000004</v>
      </c>
      <c r="G135">
        <v>1.1187</v>
      </c>
      <c r="H135">
        <v>0.31969999999999998</v>
      </c>
      <c r="I135">
        <v>5.5246000000000004</v>
      </c>
      <c r="J135">
        <v>2.1776</v>
      </c>
      <c r="K135">
        <v>3.1817000000000002</v>
      </c>
      <c r="L135">
        <v>0.39610000000000001</v>
      </c>
      <c r="M135">
        <v>1.5800000000000002E-2</v>
      </c>
      <c r="N135">
        <v>1.09E-2</v>
      </c>
      <c r="O135">
        <v>0.98019999999999996</v>
      </c>
      <c r="P135">
        <v>1.0419</v>
      </c>
      <c r="Q135">
        <v>1.7264999999999999</v>
      </c>
      <c r="R135">
        <v>0.37640000000000001</v>
      </c>
      <c r="S135">
        <v>0.15629999999999999</v>
      </c>
    </row>
    <row r="136" spans="1:19" x14ac:dyDescent="0.25">
      <c r="A136" t="s">
        <v>590</v>
      </c>
      <c r="B136" t="s">
        <v>24</v>
      </c>
      <c r="D136" t="s">
        <v>6</v>
      </c>
      <c r="E136">
        <v>3.08</v>
      </c>
      <c r="F136">
        <v>0.159</v>
      </c>
      <c r="G136">
        <v>0.41460000000000002</v>
      </c>
      <c r="H136">
        <v>0.25559999999999999</v>
      </c>
      <c r="I136">
        <v>2.3704000000000001</v>
      </c>
      <c r="J136">
        <v>0.85909999999999997</v>
      </c>
      <c r="K136">
        <v>5.0739999999999998</v>
      </c>
      <c r="L136">
        <v>0.55959999999999999</v>
      </c>
      <c r="M136">
        <v>1.5800000000000002E-2</v>
      </c>
      <c r="N136">
        <v>1.09E-2</v>
      </c>
      <c r="O136">
        <v>1.3071999999999999</v>
      </c>
      <c r="P136">
        <v>28.4087</v>
      </c>
      <c r="Q136">
        <v>34.721699999999998</v>
      </c>
      <c r="R136">
        <v>0.45</v>
      </c>
      <c r="S136">
        <v>0.8367</v>
      </c>
    </row>
    <row r="137" spans="1:19" x14ac:dyDescent="0.25">
      <c r="A137" t="s">
        <v>880</v>
      </c>
      <c r="B137" t="s">
        <v>3</v>
      </c>
      <c r="D137" t="s">
        <v>30</v>
      </c>
      <c r="E137">
        <v>2.14</v>
      </c>
      <c r="F137">
        <v>0</v>
      </c>
      <c r="G137">
        <v>0.27500000000000002</v>
      </c>
      <c r="H137">
        <v>0.27500000000000002</v>
      </c>
      <c r="I137">
        <v>1.2351000000000001</v>
      </c>
      <c r="J137">
        <v>6.5479000000000003</v>
      </c>
      <c r="K137">
        <v>11.567</v>
      </c>
      <c r="L137">
        <v>0.23419999999999999</v>
      </c>
      <c r="M137">
        <v>1.5800000000000002E-2</v>
      </c>
      <c r="N137">
        <v>1.09E-2</v>
      </c>
      <c r="O137">
        <v>0.65639999999999998</v>
      </c>
      <c r="P137">
        <v>0</v>
      </c>
      <c r="Q137">
        <v>0</v>
      </c>
      <c r="R137">
        <v>0.39400000000000002</v>
      </c>
      <c r="S137">
        <v>0.62529999999999997</v>
      </c>
    </row>
    <row r="138" spans="1:19" x14ac:dyDescent="0.25">
      <c r="A138" t="s">
        <v>908</v>
      </c>
      <c r="B138" t="s">
        <v>3</v>
      </c>
      <c r="D138" t="s">
        <v>18</v>
      </c>
      <c r="E138">
        <v>2.21</v>
      </c>
      <c r="F138">
        <v>9.1000000000000004E-3</v>
      </c>
      <c r="G138">
        <v>0.2465</v>
      </c>
      <c r="H138">
        <v>0.2374</v>
      </c>
      <c r="I138">
        <v>1.3130999999999999</v>
      </c>
      <c r="J138">
        <v>1.7332000000000001</v>
      </c>
      <c r="K138">
        <v>11.931900000000001</v>
      </c>
      <c r="L138">
        <v>4.6600000000000003E-2</v>
      </c>
      <c r="M138">
        <v>1.5800000000000002E-2</v>
      </c>
      <c r="N138">
        <v>1.09E-2</v>
      </c>
      <c r="O138">
        <v>0.28120000000000001</v>
      </c>
      <c r="P138">
        <v>0</v>
      </c>
      <c r="Q138">
        <v>0</v>
      </c>
      <c r="R138">
        <v>0.39750000000000002</v>
      </c>
      <c r="S138">
        <v>0.94710000000000005</v>
      </c>
    </row>
    <row r="139" spans="1:19" x14ac:dyDescent="0.25">
      <c r="A139" t="s">
        <v>700</v>
      </c>
      <c r="B139" t="s">
        <v>3</v>
      </c>
      <c r="D139" t="s">
        <v>2</v>
      </c>
      <c r="E139">
        <v>2.34</v>
      </c>
      <c r="F139">
        <v>0.1069</v>
      </c>
      <c r="G139">
        <v>0.26040000000000002</v>
      </c>
      <c r="H139">
        <v>0.1535</v>
      </c>
      <c r="I139">
        <v>2.4558</v>
      </c>
      <c r="J139">
        <v>1.7611000000000001</v>
      </c>
      <c r="K139">
        <v>8.4687000000000001</v>
      </c>
      <c r="L139">
        <v>0.27129999999999999</v>
      </c>
      <c r="M139">
        <v>1.5800000000000002E-2</v>
      </c>
      <c r="N139">
        <v>1.09E-2</v>
      </c>
      <c r="O139">
        <v>0.73060000000000003</v>
      </c>
      <c r="P139">
        <v>0</v>
      </c>
      <c r="Q139">
        <v>0</v>
      </c>
      <c r="R139">
        <v>0.4083</v>
      </c>
      <c r="S139">
        <v>1.4733000000000001</v>
      </c>
    </row>
    <row r="140" spans="1:19" x14ac:dyDescent="0.25">
      <c r="A140" t="s">
        <v>287</v>
      </c>
      <c r="B140" t="s">
        <v>3</v>
      </c>
      <c r="D140" t="s">
        <v>15</v>
      </c>
      <c r="E140">
        <v>0.44</v>
      </c>
      <c r="F140">
        <v>0.28920000000000001</v>
      </c>
      <c r="G140">
        <v>0.1527</v>
      </c>
      <c r="H140">
        <v>0</v>
      </c>
      <c r="I140">
        <v>4.4242999999999997</v>
      </c>
      <c r="J140">
        <v>3.9241999999999999</v>
      </c>
      <c r="K140">
        <v>4.5438999999999998</v>
      </c>
      <c r="L140">
        <v>0.38069999999999998</v>
      </c>
      <c r="M140">
        <v>1.5800000000000002E-2</v>
      </c>
      <c r="N140">
        <v>1.09E-2</v>
      </c>
      <c r="O140">
        <v>0.94940000000000002</v>
      </c>
      <c r="P140">
        <v>0</v>
      </c>
      <c r="Q140">
        <v>0</v>
      </c>
      <c r="R140">
        <v>0.42809999999999998</v>
      </c>
      <c r="S140">
        <v>0.4768</v>
      </c>
    </row>
    <row r="141" spans="1:19" x14ac:dyDescent="0.25">
      <c r="A141" t="s">
        <v>605</v>
      </c>
      <c r="B141" t="s">
        <v>24</v>
      </c>
      <c r="D141" t="s">
        <v>5</v>
      </c>
      <c r="E141">
        <v>1.48</v>
      </c>
      <c r="F141">
        <v>0.47499999999999998</v>
      </c>
      <c r="G141">
        <v>0.81599999999999995</v>
      </c>
      <c r="H141">
        <v>0.34100000000000003</v>
      </c>
      <c r="I141">
        <v>3.3908999999999998</v>
      </c>
      <c r="J141">
        <v>0.1547</v>
      </c>
      <c r="K141">
        <v>3.3488000000000002</v>
      </c>
      <c r="L141">
        <v>0.1988</v>
      </c>
      <c r="M141">
        <v>1.5800000000000002E-2</v>
      </c>
      <c r="N141">
        <v>1.09E-2</v>
      </c>
      <c r="O141">
        <v>0.58560000000000001</v>
      </c>
      <c r="P141">
        <v>1.6895</v>
      </c>
      <c r="Q141">
        <v>3.9026999999999998</v>
      </c>
      <c r="R141">
        <v>0.30209999999999998</v>
      </c>
      <c r="S141">
        <v>0.6452</v>
      </c>
    </row>
    <row r="142" spans="1:19" x14ac:dyDescent="0.25">
      <c r="A142" t="s">
        <v>313</v>
      </c>
      <c r="B142" t="s">
        <v>24</v>
      </c>
      <c r="D142" t="s">
        <v>17</v>
      </c>
      <c r="E142">
        <v>1</v>
      </c>
      <c r="F142">
        <v>0.21160000000000001</v>
      </c>
      <c r="G142">
        <v>1.3202</v>
      </c>
      <c r="H142">
        <v>1.1086</v>
      </c>
      <c r="I142">
        <v>1.9538</v>
      </c>
      <c r="J142">
        <v>1.5222</v>
      </c>
      <c r="K142">
        <v>5.4843999999999999</v>
      </c>
      <c r="L142">
        <v>0.32519999999999999</v>
      </c>
      <c r="M142">
        <v>1.5800000000000002E-2</v>
      </c>
      <c r="N142">
        <v>1.09E-2</v>
      </c>
      <c r="O142">
        <v>0.83840000000000003</v>
      </c>
      <c r="P142">
        <v>15.714</v>
      </c>
      <c r="Q142">
        <v>13.4361</v>
      </c>
      <c r="R142">
        <v>0.53910000000000002</v>
      </c>
      <c r="S142">
        <v>0.50139999999999996</v>
      </c>
    </row>
    <row r="143" spans="1:19" x14ac:dyDescent="0.25">
      <c r="A143" t="s">
        <v>459</v>
      </c>
      <c r="B143" t="s">
        <v>3</v>
      </c>
      <c r="D143" t="s">
        <v>87</v>
      </c>
      <c r="E143">
        <v>2.94</v>
      </c>
      <c r="F143">
        <v>1.32E-2</v>
      </c>
      <c r="G143">
        <v>0.41370000000000001</v>
      </c>
      <c r="H143">
        <v>0.40050000000000002</v>
      </c>
      <c r="I143">
        <v>0.9395</v>
      </c>
      <c r="J143">
        <v>3.5752000000000002</v>
      </c>
      <c r="K143">
        <v>11.131500000000001</v>
      </c>
      <c r="L143">
        <v>0.17630000000000001</v>
      </c>
      <c r="M143">
        <v>1.5800000000000002E-2</v>
      </c>
      <c r="N143">
        <v>1.09E-2</v>
      </c>
      <c r="O143">
        <v>0.54059999999999997</v>
      </c>
      <c r="P143">
        <v>0</v>
      </c>
      <c r="Q143">
        <v>0</v>
      </c>
      <c r="R143">
        <v>0.3891</v>
      </c>
      <c r="S143">
        <v>0.4703</v>
      </c>
    </row>
    <row r="144" spans="1:19" x14ac:dyDescent="0.25">
      <c r="A144" t="s">
        <v>618</v>
      </c>
      <c r="B144" t="s">
        <v>3</v>
      </c>
      <c r="D144" t="s">
        <v>33</v>
      </c>
      <c r="E144">
        <v>2.85</v>
      </c>
      <c r="F144">
        <v>0</v>
      </c>
      <c r="G144">
        <v>0.3503</v>
      </c>
      <c r="H144">
        <v>0.3503</v>
      </c>
      <c r="I144">
        <v>0.88749999999999996</v>
      </c>
      <c r="J144">
        <v>1.5798000000000001</v>
      </c>
      <c r="K144">
        <v>7.2649999999999997</v>
      </c>
      <c r="L144">
        <v>4.7800000000000002E-2</v>
      </c>
      <c r="M144">
        <v>1.5800000000000002E-2</v>
      </c>
      <c r="N144">
        <v>1.09E-2</v>
      </c>
      <c r="O144">
        <v>0.28360000000000002</v>
      </c>
      <c r="P144">
        <v>0</v>
      </c>
      <c r="Q144">
        <v>0</v>
      </c>
      <c r="R144">
        <v>0.39829999999999999</v>
      </c>
      <c r="S144">
        <v>0.43619999999999998</v>
      </c>
    </row>
    <row r="145" spans="1:19" x14ac:dyDescent="0.25">
      <c r="A145" t="s">
        <v>909</v>
      </c>
      <c r="B145" t="s">
        <v>24</v>
      </c>
      <c r="D145" t="s">
        <v>87</v>
      </c>
      <c r="E145">
        <v>1.37</v>
      </c>
      <c r="F145">
        <v>0.96989999999999998</v>
      </c>
      <c r="G145">
        <v>1.3958999999999999</v>
      </c>
      <c r="H145">
        <v>0.42599999999999999</v>
      </c>
      <c r="I145">
        <v>8.4022000000000006</v>
      </c>
      <c r="J145">
        <v>1.5347</v>
      </c>
      <c r="K145">
        <v>4.2259000000000002</v>
      </c>
      <c r="L145">
        <v>0.44619999999999999</v>
      </c>
      <c r="M145">
        <v>1.5800000000000002E-2</v>
      </c>
      <c r="N145">
        <v>1.09E-2</v>
      </c>
      <c r="O145">
        <v>1.0804</v>
      </c>
      <c r="P145">
        <v>4.8673999999999999</v>
      </c>
      <c r="Q145">
        <v>4.05</v>
      </c>
      <c r="R145">
        <v>0.54579999999999995</v>
      </c>
      <c r="S145">
        <v>0.88770000000000004</v>
      </c>
    </row>
    <row r="146" spans="1:19" x14ac:dyDescent="0.25">
      <c r="A146" t="s">
        <v>418</v>
      </c>
      <c r="B146" t="s">
        <v>3</v>
      </c>
      <c r="D146" t="s">
        <v>18</v>
      </c>
      <c r="E146">
        <v>3.48</v>
      </c>
      <c r="F146">
        <v>0</v>
      </c>
      <c r="G146">
        <v>0.1074</v>
      </c>
      <c r="H146">
        <v>0.1074</v>
      </c>
      <c r="I146">
        <v>1.2699</v>
      </c>
      <c r="J146">
        <v>1.81</v>
      </c>
      <c r="K146">
        <v>9.6766000000000005</v>
      </c>
      <c r="L146">
        <v>4.9099999999999998E-2</v>
      </c>
      <c r="M146">
        <v>1.5800000000000002E-2</v>
      </c>
      <c r="N146">
        <v>1.09E-2</v>
      </c>
      <c r="O146">
        <v>0.28620000000000001</v>
      </c>
      <c r="P146">
        <v>0</v>
      </c>
      <c r="Q146">
        <v>0</v>
      </c>
      <c r="R146">
        <v>0.39929999999999999</v>
      </c>
      <c r="S146">
        <v>0.58099999999999996</v>
      </c>
    </row>
    <row r="147" spans="1:19" x14ac:dyDescent="0.25">
      <c r="A147" t="s">
        <v>771</v>
      </c>
      <c r="B147" t="s">
        <v>24</v>
      </c>
      <c r="D147" t="s">
        <v>21</v>
      </c>
      <c r="E147">
        <v>2.0299999999999998</v>
      </c>
      <c r="F147">
        <v>0.17910000000000001</v>
      </c>
      <c r="G147">
        <v>0.375</v>
      </c>
      <c r="H147">
        <v>0.19589999999999999</v>
      </c>
      <c r="I147">
        <v>2.1269</v>
      </c>
      <c r="J147">
        <v>1.2712000000000001</v>
      </c>
      <c r="K147">
        <v>4.8506999999999998</v>
      </c>
      <c r="L147">
        <v>0.1477</v>
      </c>
      <c r="M147">
        <v>1.5800000000000002E-2</v>
      </c>
      <c r="N147">
        <v>1.09E-2</v>
      </c>
      <c r="O147">
        <v>0.4834</v>
      </c>
      <c r="P147">
        <v>26.242899999999999</v>
      </c>
      <c r="Q147">
        <v>38.240699999999997</v>
      </c>
      <c r="R147">
        <v>0.40699999999999997</v>
      </c>
      <c r="S147">
        <v>0.51700000000000002</v>
      </c>
    </row>
    <row r="148" spans="1:19" x14ac:dyDescent="0.25">
      <c r="A148" t="s">
        <v>910</v>
      </c>
      <c r="B148" t="s">
        <v>3</v>
      </c>
      <c r="D148" t="s">
        <v>21</v>
      </c>
      <c r="E148">
        <v>1.7</v>
      </c>
      <c r="F148">
        <v>0</v>
      </c>
      <c r="G148">
        <v>0.37230000000000002</v>
      </c>
      <c r="H148">
        <v>0.37230000000000002</v>
      </c>
      <c r="I148">
        <v>0.54520000000000002</v>
      </c>
      <c r="J148">
        <v>2.9184000000000001</v>
      </c>
      <c r="K148">
        <v>7.7691999999999997</v>
      </c>
      <c r="L148">
        <v>0.21829999999999999</v>
      </c>
      <c r="M148">
        <v>1.5800000000000002E-2</v>
      </c>
      <c r="N148">
        <v>1.09E-2</v>
      </c>
      <c r="O148">
        <v>0.62460000000000004</v>
      </c>
      <c r="P148">
        <v>0</v>
      </c>
      <c r="Q148">
        <v>0</v>
      </c>
      <c r="R148">
        <v>0.41449999999999998</v>
      </c>
      <c r="S148">
        <v>0.27800000000000002</v>
      </c>
    </row>
    <row r="149" spans="1:19" x14ac:dyDescent="0.25">
      <c r="A149" t="s">
        <v>496</v>
      </c>
      <c r="B149" t="s">
        <v>24</v>
      </c>
      <c r="D149" t="s">
        <v>20</v>
      </c>
      <c r="E149">
        <v>1.92</v>
      </c>
      <c r="F149">
        <v>0.47760000000000002</v>
      </c>
      <c r="G149">
        <v>1.5576000000000001</v>
      </c>
      <c r="H149">
        <v>1.08</v>
      </c>
      <c r="I149">
        <v>4.4522000000000004</v>
      </c>
      <c r="J149">
        <v>1.0556000000000001</v>
      </c>
      <c r="K149">
        <v>5.9089</v>
      </c>
      <c r="L149">
        <v>0.16400000000000001</v>
      </c>
      <c r="M149">
        <v>1.5800000000000002E-2</v>
      </c>
      <c r="N149">
        <v>1.09E-2</v>
      </c>
      <c r="O149">
        <v>0.51600000000000001</v>
      </c>
      <c r="P149">
        <v>32.5214</v>
      </c>
      <c r="Q149">
        <v>33.801499999999997</v>
      </c>
      <c r="R149">
        <v>0.49030000000000001</v>
      </c>
      <c r="S149">
        <v>0.3407</v>
      </c>
    </row>
    <row r="150" spans="1:19" x14ac:dyDescent="0.25">
      <c r="A150" t="s">
        <v>491</v>
      </c>
      <c r="B150" t="s">
        <v>24</v>
      </c>
      <c r="D150" t="s">
        <v>25</v>
      </c>
      <c r="E150">
        <v>1.35</v>
      </c>
      <c r="F150">
        <v>0.48330000000000001</v>
      </c>
      <c r="G150">
        <v>0.93269999999999997</v>
      </c>
      <c r="H150">
        <v>0.44940000000000002</v>
      </c>
      <c r="I150">
        <v>3.681</v>
      </c>
      <c r="J150">
        <v>2.6057999999999999</v>
      </c>
      <c r="K150">
        <v>5.0937999999999999</v>
      </c>
      <c r="L150">
        <v>0.35539999999999999</v>
      </c>
      <c r="M150">
        <v>1.5800000000000002E-2</v>
      </c>
      <c r="N150">
        <v>1.09E-2</v>
      </c>
      <c r="O150">
        <v>0.89880000000000004</v>
      </c>
      <c r="P150">
        <v>30.7316</v>
      </c>
      <c r="Q150">
        <v>29.315200000000001</v>
      </c>
      <c r="R150">
        <v>0.51180000000000003</v>
      </c>
      <c r="S150">
        <v>0.87629999999999997</v>
      </c>
    </row>
    <row r="151" spans="1:19" x14ac:dyDescent="0.25">
      <c r="A151" t="s">
        <v>349</v>
      </c>
      <c r="B151" t="s">
        <v>3</v>
      </c>
      <c r="D151" t="s">
        <v>2</v>
      </c>
      <c r="E151">
        <v>1.83</v>
      </c>
      <c r="F151">
        <v>0</v>
      </c>
      <c r="G151">
        <v>0.3664</v>
      </c>
      <c r="H151">
        <v>0.3664</v>
      </c>
      <c r="I151">
        <v>1.4258</v>
      </c>
      <c r="J151">
        <v>5.8345000000000002</v>
      </c>
      <c r="K151">
        <v>9.4436</v>
      </c>
      <c r="L151">
        <v>0.36</v>
      </c>
      <c r="M151">
        <v>1.5800000000000002E-2</v>
      </c>
      <c r="N151">
        <v>1.09E-2</v>
      </c>
      <c r="O151">
        <v>0.90800000000000003</v>
      </c>
      <c r="P151">
        <v>0</v>
      </c>
      <c r="Q151">
        <v>0</v>
      </c>
      <c r="R151">
        <v>0.39929999999999999</v>
      </c>
      <c r="S151">
        <v>0.37319999999999998</v>
      </c>
    </row>
    <row r="152" spans="1:19" x14ac:dyDescent="0.25">
      <c r="A152" t="s">
        <v>379</v>
      </c>
      <c r="B152" t="s">
        <v>3</v>
      </c>
      <c r="D152" t="s">
        <v>7</v>
      </c>
      <c r="E152">
        <v>2.36</v>
      </c>
      <c r="F152">
        <v>0</v>
      </c>
      <c r="G152">
        <v>0.33410000000000001</v>
      </c>
      <c r="H152">
        <v>0.33410000000000001</v>
      </c>
      <c r="I152">
        <v>0.46810000000000002</v>
      </c>
      <c r="J152">
        <v>7.4390000000000001</v>
      </c>
      <c r="K152">
        <v>9.9273000000000007</v>
      </c>
      <c r="L152">
        <v>0.55549999999999999</v>
      </c>
      <c r="M152">
        <v>1.5800000000000002E-2</v>
      </c>
      <c r="N152">
        <v>1.09E-2</v>
      </c>
      <c r="O152">
        <v>1.2989999999999999</v>
      </c>
      <c r="P152">
        <v>0</v>
      </c>
      <c r="Q152">
        <v>0</v>
      </c>
      <c r="R152">
        <v>0.39639999999999997</v>
      </c>
      <c r="S152">
        <v>0.75519999999999998</v>
      </c>
    </row>
    <row r="153" spans="1:19" x14ac:dyDescent="0.25">
      <c r="A153" t="s">
        <v>631</v>
      </c>
      <c r="B153" t="s">
        <v>24</v>
      </c>
      <c r="D153" t="s">
        <v>34</v>
      </c>
      <c r="E153">
        <v>1.1599999999999999</v>
      </c>
      <c r="F153">
        <v>0.2288</v>
      </c>
      <c r="G153">
        <v>0.41270000000000001</v>
      </c>
      <c r="H153">
        <v>0.18390000000000001</v>
      </c>
      <c r="I153">
        <v>2.4634999999999998</v>
      </c>
      <c r="J153">
        <v>1.3819999999999999</v>
      </c>
      <c r="K153">
        <v>4.4359999999999999</v>
      </c>
      <c r="L153">
        <v>0.18379999999999999</v>
      </c>
      <c r="M153">
        <v>1.5800000000000002E-2</v>
      </c>
      <c r="N153">
        <v>1.09E-2</v>
      </c>
      <c r="O153">
        <v>0.55559999999999998</v>
      </c>
      <c r="P153">
        <v>0.69699999999999995</v>
      </c>
      <c r="Q153">
        <v>1.4824999999999999</v>
      </c>
      <c r="R153">
        <v>0.31979999999999997</v>
      </c>
      <c r="S153">
        <v>0.53790000000000004</v>
      </c>
    </row>
    <row r="154" spans="1:19" x14ac:dyDescent="0.25">
      <c r="A154" t="s">
        <v>749</v>
      </c>
      <c r="B154" t="s">
        <v>24</v>
      </c>
      <c r="D154" t="s">
        <v>10</v>
      </c>
      <c r="E154">
        <v>1.18</v>
      </c>
      <c r="F154">
        <v>0.78759999999999997</v>
      </c>
      <c r="G154">
        <v>0.3947</v>
      </c>
      <c r="H154">
        <v>0</v>
      </c>
      <c r="I154">
        <v>4.5742000000000003</v>
      </c>
      <c r="J154">
        <v>1.2746</v>
      </c>
      <c r="K154">
        <v>2.7210999999999999</v>
      </c>
      <c r="L154">
        <v>0.1764</v>
      </c>
      <c r="M154">
        <v>1.5800000000000002E-2</v>
      </c>
      <c r="N154">
        <v>1.09E-2</v>
      </c>
      <c r="O154">
        <v>0.54079999999999995</v>
      </c>
      <c r="P154">
        <v>1.2979000000000001</v>
      </c>
      <c r="Q154">
        <v>1.8147</v>
      </c>
      <c r="R154">
        <v>0.41699999999999998</v>
      </c>
      <c r="S154">
        <v>0.80269999999999997</v>
      </c>
    </row>
    <row r="155" spans="1:19" x14ac:dyDescent="0.25">
      <c r="A155" t="s">
        <v>912</v>
      </c>
      <c r="B155" t="s">
        <v>3</v>
      </c>
      <c r="D155" t="s">
        <v>13</v>
      </c>
      <c r="E155">
        <v>2.52</v>
      </c>
      <c r="F155">
        <v>3.1699999999999999E-2</v>
      </c>
      <c r="G155">
        <v>0.3357</v>
      </c>
      <c r="H155">
        <v>0.30399999999999999</v>
      </c>
      <c r="I155">
        <v>0.80359999999999998</v>
      </c>
      <c r="J155">
        <v>1.7151000000000001</v>
      </c>
      <c r="K155">
        <v>8.8373000000000008</v>
      </c>
      <c r="L155">
        <v>0.57040000000000002</v>
      </c>
      <c r="M155">
        <v>1.5800000000000002E-2</v>
      </c>
      <c r="N155">
        <v>1.09E-2</v>
      </c>
      <c r="O155">
        <v>1.3288</v>
      </c>
      <c r="P155">
        <v>0</v>
      </c>
      <c r="Q155">
        <v>0</v>
      </c>
      <c r="R155">
        <v>0.39450000000000002</v>
      </c>
      <c r="S155">
        <v>0.68730000000000002</v>
      </c>
    </row>
    <row r="156" spans="1:19" x14ac:dyDescent="0.25">
      <c r="A156" t="s">
        <v>751</v>
      </c>
      <c r="B156" t="s">
        <v>24</v>
      </c>
      <c r="D156" t="s">
        <v>2</v>
      </c>
      <c r="E156">
        <v>0.76</v>
      </c>
      <c r="F156">
        <v>0.2112</v>
      </c>
      <c r="G156">
        <v>0.69489999999999996</v>
      </c>
      <c r="H156">
        <v>0.48370000000000002</v>
      </c>
      <c r="I156">
        <v>2.5691000000000002</v>
      </c>
      <c r="J156">
        <v>0.61899999999999999</v>
      </c>
      <c r="K156">
        <v>3.4921000000000002</v>
      </c>
      <c r="L156">
        <v>0.45729999999999998</v>
      </c>
      <c r="M156">
        <v>1.5800000000000002E-2</v>
      </c>
      <c r="N156">
        <v>1.09E-2</v>
      </c>
      <c r="O156">
        <v>1.1026</v>
      </c>
      <c r="P156">
        <v>8.2880000000000003</v>
      </c>
      <c r="Q156">
        <v>13.7943</v>
      </c>
      <c r="R156">
        <v>0.37530000000000002</v>
      </c>
      <c r="S156">
        <v>0.51219999999999999</v>
      </c>
    </row>
    <row r="157" spans="1:19" x14ac:dyDescent="0.25">
      <c r="A157" t="s">
        <v>715</v>
      </c>
      <c r="B157" t="s">
        <v>24</v>
      </c>
      <c r="D157" t="s">
        <v>6</v>
      </c>
      <c r="E157">
        <v>2.65</v>
      </c>
      <c r="F157">
        <v>0.17430000000000001</v>
      </c>
      <c r="G157">
        <v>0.41770000000000002</v>
      </c>
      <c r="H157">
        <v>0.24340000000000001</v>
      </c>
      <c r="I157">
        <v>3.1427999999999998</v>
      </c>
      <c r="J157">
        <v>1.9983</v>
      </c>
      <c r="K157">
        <v>3.411</v>
      </c>
      <c r="L157">
        <v>0.13980000000000001</v>
      </c>
      <c r="M157">
        <v>1.5800000000000002E-2</v>
      </c>
      <c r="N157">
        <v>1.09E-2</v>
      </c>
      <c r="O157">
        <v>0.46760000000000002</v>
      </c>
      <c r="P157">
        <v>0.57909999999999995</v>
      </c>
      <c r="Q157">
        <v>2.0526</v>
      </c>
      <c r="R157">
        <v>0.22</v>
      </c>
      <c r="S157">
        <v>0.85140000000000005</v>
      </c>
    </row>
    <row r="158" spans="1:19" x14ac:dyDescent="0.25">
      <c r="A158" t="s">
        <v>360</v>
      </c>
      <c r="B158" t="s">
        <v>3</v>
      </c>
      <c r="D158" t="s">
        <v>937</v>
      </c>
      <c r="E158">
        <v>2.11</v>
      </c>
      <c r="F158">
        <v>0.01</v>
      </c>
      <c r="G158">
        <v>0.22550000000000001</v>
      </c>
      <c r="H158">
        <v>0.2155</v>
      </c>
      <c r="I158">
        <v>2.2646000000000002</v>
      </c>
      <c r="J158">
        <v>5.3167</v>
      </c>
      <c r="K158">
        <v>13.6601</v>
      </c>
      <c r="L158">
        <v>0.93140000000000001</v>
      </c>
      <c r="M158">
        <v>1.5800000000000002E-2</v>
      </c>
      <c r="N158">
        <v>1.09E-2</v>
      </c>
      <c r="O158">
        <v>2.0508000000000002</v>
      </c>
      <c r="P158">
        <v>0</v>
      </c>
      <c r="Q158">
        <v>0</v>
      </c>
      <c r="R158">
        <v>0.40500000000000003</v>
      </c>
      <c r="S158">
        <v>0.5796</v>
      </c>
    </row>
    <row r="159" spans="1:19" x14ac:dyDescent="0.25">
      <c r="A159" t="s">
        <v>389</v>
      </c>
      <c r="B159" t="s">
        <v>24</v>
      </c>
      <c r="D159" t="s">
        <v>18</v>
      </c>
      <c r="E159">
        <v>2.31</v>
      </c>
      <c r="F159">
        <v>0.29349999999999998</v>
      </c>
      <c r="G159">
        <v>0.47449999999999998</v>
      </c>
      <c r="H159">
        <v>0.18099999999999999</v>
      </c>
      <c r="I159">
        <v>3.4664000000000001</v>
      </c>
      <c r="J159">
        <v>1.8447</v>
      </c>
      <c r="K159">
        <v>6.2542999999999997</v>
      </c>
      <c r="L159">
        <v>0.23780000000000001</v>
      </c>
      <c r="M159">
        <v>1.5800000000000002E-2</v>
      </c>
      <c r="N159">
        <v>1.09E-2</v>
      </c>
      <c r="O159">
        <v>0.66359999999999997</v>
      </c>
      <c r="P159">
        <v>23.937000000000001</v>
      </c>
      <c r="Q159">
        <v>34.303199999999997</v>
      </c>
      <c r="R159">
        <v>0.41099999999999998</v>
      </c>
      <c r="S159">
        <v>1.2061999999999999</v>
      </c>
    </row>
    <row r="160" spans="1:19" x14ac:dyDescent="0.25">
      <c r="A160" t="s">
        <v>256</v>
      </c>
      <c r="B160" t="s">
        <v>3</v>
      </c>
      <c r="D160" t="s">
        <v>29</v>
      </c>
      <c r="E160">
        <v>2.46</v>
      </c>
      <c r="F160">
        <v>0.1305</v>
      </c>
      <c r="G160">
        <v>0.32850000000000001</v>
      </c>
      <c r="H160">
        <v>0.19800000000000001</v>
      </c>
      <c r="I160">
        <v>1.8475999999999999</v>
      </c>
      <c r="J160">
        <v>1.2122999999999999</v>
      </c>
      <c r="K160">
        <v>8.4867000000000008</v>
      </c>
      <c r="L160">
        <v>0.1757</v>
      </c>
      <c r="M160">
        <v>1.5800000000000002E-2</v>
      </c>
      <c r="N160">
        <v>1.09E-2</v>
      </c>
      <c r="O160">
        <v>0.53939999999999999</v>
      </c>
      <c r="P160">
        <v>0</v>
      </c>
      <c r="Q160">
        <v>0</v>
      </c>
      <c r="R160">
        <v>0.39929999999999999</v>
      </c>
      <c r="S160">
        <v>0.4919</v>
      </c>
    </row>
    <row r="161" spans="1:19" x14ac:dyDescent="0.25">
      <c r="A161" t="s">
        <v>514</v>
      </c>
      <c r="B161" t="s">
        <v>3</v>
      </c>
      <c r="D161" t="s">
        <v>27</v>
      </c>
      <c r="E161">
        <v>2.96</v>
      </c>
      <c r="F161">
        <v>8.9999999999999993E-3</v>
      </c>
      <c r="G161">
        <v>0.10299999999999999</v>
      </c>
      <c r="H161">
        <v>9.4E-2</v>
      </c>
      <c r="I161">
        <v>0.81100000000000005</v>
      </c>
      <c r="J161">
        <v>1.2273000000000001</v>
      </c>
      <c r="K161">
        <v>5.4539999999999997</v>
      </c>
      <c r="L161">
        <v>0.19289999999999999</v>
      </c>
      <c r="M161">
        <v>1.5800000000000002E-2</v>
      </c>
      <c r="N161">
        <v>1.09E-2</v>
      </c>
      <c r="O161">
        <v>0.57379999999999998</v>
      </c>
      <c r="P161">
        <v>0</v>
      </c>
      <c r="Q161">
        <v>0</v>
      </c>
      <c r="R161">
        <v>0.3881</v>
      </c>
      <c r="S161">
        <v>0.47010000000000002</v>
      </c>
    </row>
    <row r="162" spans="1:19" x14ac:dyDescent="0.25">
      <c r="A162" t="s">
        <v>659</v>
      </c>
      <c r="B162" t="s">
        <v>3</v>
      </c>
      <c r="D162" t="s">
        <v>18</v>
      </c>
      <c r="E162">
        <v>0.57999999999999996</v>
      </c>
      <c r="F162">
        <v>6.4999999999999997E-3</v>
      </c>
      <c r="G162">
        <v>9.2100000000000001E-2</v>
      </c>
      <c r="H162">
        <v>8.5599999999999996E-2</v>
      </c>
      <c r="I162">
        <v>1.0335000000000001</v>
      </c>
      <c r="J162">
        <v>1.5862000000000001</v>
      </c>
      <c r="K162">
        <v>6.6924000000000001</v>
      </c>
      <c r="L162">
        <v>0.251</v>
      </c>
      <c r="M162">
        <v>1.5800000000000002E-2</v>
      </c>
      <c r="N162">
        <v>1.09E-2</v>
      </c>
      <c r="O162">
        <v>0.69</v>
      </c>
      <c r="P162">
        <v>0</v>
      </c>
      <c r="Q162">
        <v>0</v>
      </c>
      <c r="R162">
        <v>0.41639999999999999</v>
      </c>
      <c r="S162">
        <v>0.1673</v>
      </c>
    </row>
    <row r="163" spans="1:19" x14ac:dyDescent="0.25">
      <c r="A163" t="s">
        <v>480</v>
      </c>
      <c r="B163" t="s">
        <v>3</v>
      </c>
      <c r="D163" t="s">
        <v>18</v>
      </c>
      <c r="E163">
        <v>2.97</v>
      </c>
      <c r="F163">
        <v>0</v>
      </c>
      <c r="G163">
        <v>0.22220000000000001</v>
      </c>
      <c r="H163">
        <v>0.22220000000000001</v>
      </c>
      <c r="I163">
        <v>0.92379999999999995</v>
      </c>
      <c r="J163">
        <v>0.92779999999999996</v>
      </c>
      <c r="K163">
        <v>10.5223</v>
      </c>
      <c r="L163">
        <v>0.13</v>
      </c>
      <c r="M163">
        <v>1.5800000000000002E-2</v>
      </c>
      <c r="N163">
        <v>1.09E-2</v>
      </c>
      <c r="O163">
        <v>0.44800000000000001</v>
      </c>
      <c r="P163">
        <v>0</v>
      </c>
      <c r="Q163">
        <v>0</v>
      </c>
      <c r="R163">
        <v>0.39119999999999999</v>
      </c>
      <c r="S163">
        <v>0.10340000000000001</v>
      </c>
    </row>
    <row r="164" spans="1:19" x14ac:dyDescent="0.25">
      <c r="A164" t="s">
        <v>462</v>
      </c>
      <c r="B164" t="s">
        <v>3</v>
      </c>
      <c r="D164" t="s">
        <v>27</v>
      </c>
      <c r="E164">
        <v>1.96</v>
      </c>
      <c r="F164">
        <v>0</v>
      </c>
      <c r="G164">
        <v>3.3700000000000001E-2</v>
      </c>
      <c r="H164">
        <v>3.3700000000000001E-2</v>
      </c>
      <c r="I164">
        <v>1.5851999999999999</v>
      </c>
      <c r="J164">
        <v>2.6619999999999999</v>
      </c>
      <c r="K164">
        <v>9.5359999999999996</v>
      </c>
      <c r="L164">
        <v>0.23269999999999999</v>
      </c>
      <c r="M164">
        <v>1.5800000000000002E-2</v>
      </c>
      <c r="N164">
        <v>1.09E-2</v>
      </c>
      <c r="O164">
        <v>0.65339999999999998</v>
      </c>
      <c r="P164">
        <v>0</v>
      </c>
      <c r="Q164">
        <v>0</v>
      </c>
      <c r="R164">
        <v>0.39729999999999999</v>
      </c>
      <c r="S164">
        <v>0.40060000000000001</v>
      </c>
    </row>
    <row r="165" spans="1:19" x14ac:dyDescent="0.25">
      <c r="A165" t="s">
        <v>476</v>
      </c>
      <c r="B165" t="s">
        <v>24</v>
      </c>
      <c r="D165" t="s">
        <v>4</v>
      </c>
      <c r="E165">
        <v>2.27</v>
      </c>
      <c r="F165">
        <v>0.25700000000000001</v>
      </c>
      <c r="G165">
        <v>0.21629999999999999</v>
      </c>
      <c r="H165">
        <v>0</v>
      </c>
      <c r="I165">
        <v>2.7164999999999999</v>
      </c>
      <c r="J165">
        <v>3.5232000000000001</v>
      </c>
      <c r="K165">
        <v>6.6401000000000003</v>
      </c>
      <c r="L165">
        <v>0.38769999999999999</v>
      </c>
      <c r="M165">
        <v>1.5800000000000002E-2</v>
      </c>
      <c r="N165">
        <v>1.09E-2</v>
      </c>
      <c r="O165">
        <v>0.96340000000000003</v>
      </c>
      <c r="P165">
        <v>1.3654999999999999</v>
      </c>
      <c r="Q165">
        <v>3.5682</v>
      </c>
      <c r="R165">
        <v>0.27679999999999999</v>
      </c>
      <c r="S165">
        <v>0.5413</v>
      </c>
    </row>
    <row r="166" spans="1:19" x14ac:dyDescent="0.25">
      <c r="A166" t="s">
        <v>739</v>
      </c>
      <c r="B166" t="s">
        <v>24</v>
      </c>
      <c r="D166" t="s">
        <v>34</v>
      </c>
      <c r="E166">
        <v>1.57</v>
      </c>
      <c r="F166">
        <v>0.82440000000000002</v>
      </c>
      <c r="G166">
        <v>0.75609999999999999</v>
      </c>
      <c r="H166">
        <v>0</v>
      </c>
      <c r="I166">
        <v>4.6620999999999997</v>
      </c>
      <c r="J166">
        <v>0.80379999999999996</v>
      </c>
      <c r="K166">
        <v>2.3182</v>
      </c>
      <c r="L166">
        <v>0.71989999999999998</v>
      </c>
      <c r="M166">
        <v>1.5800000000000002E-2</v>
      </c>
      <c r="N166">
        <v>1.09E-2</v>
      </c>
      <c r="O166">
        <v>1.6277999999999999</v>
      </c>
      <c r="P166">
        <v>3.4270999999999998</v>
      </c>
      <c r="Q166">
        <v>4.0589000000000004</v>
      </c>
      <c r="R166">
        <v>0.45779999999999998</v>
      </c>
      <c r="S166">
        <v>0.83120000000000005</v>
      </c>
    </row>
    <row r="167" spans="1:19" x14ac:dyDescent="0.25">
      <c r="A167" t="s">
        <v>548</v>
      </c>
      <c r="B167" t="s">
        <v>24</v>
      </c>
      <c r="D167" t="s">
        <v>34</v>
      </c>
      <c r="E167">
        <v>2.17</v>
      </c>
      <c r="F167">
        <v>0.59319999999999995</v>
      </c>
      <c r="G167">
        <v>1.1497999999999999</v>
      </c>
      <c r="H167">
        <v>0.55659999999999998</v>
      </c>
      <c r="I167">
        <v>3.9304999999999999</v>
      </c>
      <c r="J167">
        <v>1.9169</v>
      </c>
      <c r="K167">
        <v>3.5748000000000002</v>
      </c>
      <c r="L167">
        <v>0.27910000000000001</v>
      </c>
      <c r="M167">
        <v>1.5800000000000002E-2</v>
      </c>
      <c r="N167">
        <v>1.09E-2</v>
      </c>
      <c r="O167">
        <v>0.74619999999999997</v>
      </c>
      <c r="P167">
        <v>35.587000000000003</v>
      </c>
      <c r="Q167">
        <v>33.929600000000001</v>
      </c>
      <c r="R167">
        <v>0.51190000000000002</v>
      </c>
      <c r="S167">
        <v>0.94330000000000003</v>
      </c>
    </row>
    <row r="168" spans="1:19" x14ac:dyDescent="0.25">
      <c r="A168" t="s">
        <v>620</v>
      </c>
      <c r="B168" t="s">
        <v>3</v>
      </c>
      <c r="D168" t="s">
        <v>13</v>
      </c>
      <c r="E168">
        <v>2.23</v>
      </c>
      <c r="F168">
        <v>0</v>
      </c>
      <c r="G168">
        <v>4.5400000000000003E-2</v>
      </c>
      <c r="H168">
        <v>4.5400000000000003E-2</v>
      </c>
      <c r="I168">
        <v>0.88419999999999999</v>
      </c>
      <c r="J168">
        <v>2.1070000000000002</v>
      </c>
      <c r="K168">
        <v>13.673</v>
      </c>
      <c r="L168">
        <v>0.20599999999999999</v>
      </c>
      <c r="M168">
        <v>1.5800000000000002E-2</v>
      </c>
      <c r="N168">
        <v>1.09E-2</v>
      </c>
      <c r="O168">
        <v>0.6</v>
      </c>
      <c r="P168">
        <v>0</v>
      </c>
      <c r="Q168">
        <v>0</v>
      </c>
      <c r="R168">
        <v>0.40210000000000001</v>
      </c>
      <c r="S168">
        <v>0.59050000000000002</v>
      </c>
    </row>
    <row r="169" spans="1:19" x14ac:dyDescent="0.25">
      <c r="A169" t="s">
        <v>394</v>
      </c>
      <c r="B169" t="s">
        <v>3</v>
      </c>
      <c r="D169" t="s">
        <v>11</v>
      </c>
      <c r="E169">
        <v>2.02</v>
      </c>
      <c r="F169">
        <v>5.45E-2</v>
      </c>
      <c r="G169">
        <v>0.51500000000000001</v>
      </c>
      <c r="H169">
        <v>0.46050000000000002</v>
      </c>
      <c r="I169">
        <v>1.2557</v>
      </c>
      <c r="J169">
        <v>6.9489000000000001</v>
      </c>
      <c r="K169">
        <v>6.7362000000000002</v>
      </c>
      <c r="L169">
        <v>0.54279999999999995</v>
      </c>
      <c r="M169">
        <v>1.5800000000000002E-2</v>
      </c>
      <c r="N169">
        <v>1.09E-2</v>
      </c>
      <c r="O169">
        <v>1.2736000000000001</v>
      </c>
      <c r="P169">
        <v>0</v>
      </c>
      <c r="Q169">
        <v>0</v>
      </c>
      <c r="R169">
        <v>0.33079999999999998</v>
      </c>
      <c r="S169">
        <v>0.72309999999999997</v>
      </c>
    </row>
    <row r="170" spans="1:19" x14ac:dyDescent="0.25">
      <c r="A170" t="s">
        <v>328</v>
      </c>
      <c r="B170" t="s">
        <v>24</v>
      </c>
      <c r="D170" t="s">
        <v>15</v>
      </c>
      <c r="E170">
        <v>0.98</v>
      </c>
      <c r="F170">
        <v>0.128</v>
      </c>
      <c r="G170">
        <v>0.71009999999999995</v>
      </c>
      <c r="H170">
        <v>0.58209999999999995</v>
      </c>
      <c r="I170">
        <v>1.0794999999999999</v>
      </c>
      <c r="J170">
        <v>1.1898</v>
      </c>
      <c r="K170">
        <v>2.5335000000000001</v>
      </c>
      <c r="L170">
        <v>0.43840000000000001</v>
      </c>
      <c r="M170">
        <v>1.5800000000000002E-2</v>
      </c>
      <c r="N170">
        <v>1.09E-2</v>
      </c>
      <c r="O170">
        <v>1.0648</v>
      </c>
      <c r="P170">
        <v>20.820900000000002</v>
      </c>
      <c r="Q170">
        <v>27.229199999999999</v>
      </c>
      <c r="R170">
        <v>0.43330000000000002</v>
      </c>
      <c r="S170">
        <v>1.6546000000000001</v>
      </c>
    </row>
    <row r="171" spans="1:19" x14ac:dyDescent="0.25">
      <c r="A171" t="s">
        <v>883</v>
      </c>
      <c r="B171" t="s">
        <v>24</v>
      </c>
      <c r="D171" t="s">
        <v>2</v>
      </c>
      <c r="E171">
        <v>2.37</v>
      </c>
      <c r="F171">
        <v>0.29570000000000002</v>
      </c>
      <c r="G171">
        <v>0.45629999999999998</v>
      </c>
      <c r="H171">
        <v>0.16059999999999999</v>
      </c>
      <c r="I171">
        <v>1.8280000000000001</v>
      </c>
      <c r="J171">
        <v>1.0401</v>
      </c>
      <c r="K171">
        <v>5.9646999999999997</v>
      </c>
      <c r="L171">
        <v>0.21920000000000001</v>
      </c>
      <c r="M171">
        <v>1.5800000000000002E-2</v>
      </c>
      <c r="N171">
        <v>1.09E-2</v>
      </c>
      <c r="O171">
        <v>0.62639999999999996</v>
      </c>
      <c r="P171">
        <v>27.151</v>
      </c>
      <c r="Q171">
        <v>35.114899999999999</v>
      </c>
      <c r="R171">
        <v>0.436</v>
      </c>
      <c r="S171">
        <v>0.71609999999999996</v>
      </c>
    </row>
    <row r="172" spans="1:19" x14ac:dyDescent="0.25">
      <c r="A172" t="s">
        <v>884</v>
      </c>
      <c r="B172" t="s">
        <v>24</v>
      </c>
      <c r="D172" t="s">
        <v>8</v>
      </c>
      <c r="E172">
        <v>1.31</v>
      </c>
      <c r="F172">
        <v>0.55710000000000004</v>
      </c>
      <c r="G172">
        <v>1.5237000000000001</v>
      </c>
      <c r="H172">
        <v>0.96660000000000001</v>
      </c>
      <c r="I172">
        <v>2.5453000000000001</v>
      </c>
      <c r="J172">
        <v>3.4502999999999999</v>
      </c>
      <c r="K172">
        <v>3.9742000000000002</v>
      </c>
      <c r="L172">
        <v>1.0755999999999999</v>
      </c>
      <c r="M172">
        <v>1.5800000000000002E-2</v>
      </c>
      <c r="N172">
        <v>1.09E-2</v>
      </c>
      <c r="O172">
        <v>2.3391999999999999</v>
      </c>
      <c r="P172">
        <v>36.883299999999998</v>
      </c>
      <c r="Q172">
        <v>41.207799999999999</v>
      </c>
      <c r="R172">
        <v>0.4723</v>
      </c>
      <c r="S172">
        <v>0.75270000000000004</v>
      </c>
    </row>
    <row r="173" spans="1:19" x14ac:dyDescent="0.25">
      <c r="A173" t="s">
        <v>296</v>
      </c>
      <c r="B173" t="s">
        <v>3</v>
      </c>
      <c r="D173" t="s">
        <v>14</v>
      </c>
      <c r="E173">
        <v>1.61</v>
      </c>
      <c r="F173">
        <v>0.26179999999999998</v>
      </c>
      <c r="G173">
        <v>0.40510000000000002</v>
      </c>
      <c r="H173">
        <v>0.14330000000000001</v>
      </c>
      <c r="I173">
        <v>3.2250999999999999</v>
      </c>
      <c r="J173">
        <v>1.9384999999999999</v>
      </c>
      <c r="K173">
        <v>7.2076000000000002</v>
      </c>
      <c r="L173">
        <v>0.2732</v>
      </c>
      <c r="M173">
        <v>1.5800000000000002E-2</v>
      </c>
      <c r="N173">
        <v>1.09E-2</v>
      </c>
      <c r="O173">
        <v>0.73440000000000005</v>
      </c>
      <c r="P173">
        <v>0</v>
      </c>
      <c r="Q173">
        <v>0</v>
      </c>
      <c r="R173">
        <v>0.4027</v>
      </c>
      <c r="S173">
        <v>0.4516</v>
      </c>
    </row>
    <row r="174" spans="1:19" x14ac:dyDescent="0.25">
      <c r="A174" t="s">
        <v>477</v>
      </c>
      <c r="B174" t="s">
        <v>3</v>
      </c>
      <c r="D174" t="s">
        <v>2</v>
      </c>
      <c r="E174">
        <v>1.53</v>
      </c>
      <c r="F174">
        <v>0</v>
      </c>
      <c r="G174">
        <v>3.3500000000000002E-2</v>
      </c>
      <c r="H174">
        <v>3.3500000000000002E-2</v>
      </c>
      <c r="I174">
        <v>1.0842000000000001</v>
      </c>
      <c r="J174">
        <v>3.3822999999999999</v>
      </c>
      <c r="K174">
        <v>8.8137000000000008</v>
      </c>
      <c r="L174">
        <v>0.1069</v>
      </c>
      <c r="M174">
        <v>1.5800000000000002E-2</v>
      </c>
      <c r="N174">
        <v>1.09E-2</v>
      </c>
      <c r="O174">
        <v>0.40179999999999999</v>
      </c>
      <c r="P174">
        <v>0</v>
      </c>
      <c r="Q174">
        <v>0</v>
      </c>
      <c r="R174">
        <v>0.3972</v>
      </c>
      <c r="S174">
        <v>0.1948</v>
      </c>
    </row>
    <row r="175" spans="1:19" x14ac:dyDescent="0.25">
      <c r="A175" t="s">
        <v>454</v>
      </c>
      <c r="B175" t="s">
        <v>3</v>
      </c>
      <c r="D175" t="s">
        <v>10</v>
      </c>
      <c r="E175">
        <v>1.88</v>
      </c>
      <c r="F175">
        <v>0.17130000000000001</v>
      </c>
      <c r="G175">
        <v>0.67459999999999998</v>
      </c>
      <c r="H175">
        <v>0.50329999999999997</v>
      </c>
      <c r="I175">
        <v>0.91710000000000003</v>
      </c>
      <c r="J175">
        <v>2.6960999999999999</v>
      </c>
      <c r="K175">
        <v>5.9253999999999998</v>
      </c>
      <c r="L175">
        <v>0.26619999999999999</v>
      </c>
      <c r="M175">
        <v>1.5800000000000002E-2</v>
      </c>
      <c r="N175">
        <v>1.09E-2</v>
      </c>
      <c r="O175">
        <v>0.72040000000000004</v>
      </c>
      <c r="P175">
        <v>0</v>
      </c>
      <c r="Q175">
        <v>0</v>
      </c>
      <c r="R175">
        <v>0.39960000000000001</v>
      </c>
      <c r="S175">
        <v>0.40010000000000001</v>
      </c>
    </row>
    <row r="176" spans="1:19" x14ac:dyDescent="0.25">
      <c r="A176" t="s">
        <v>779</v>
      </c>
      <c r="B176" t="s">
        <v>3</v>
      </c>
      <c r="D176" t="s">
        <v>27</v>
      </c>
      <c r="E176">
        <v>1.56</v>
      </c>
      <c r="F176">
        <v>2.1100000000000001E-2</v>
      </c>
      <c r="G176">
        <v>0.11020000000000001</v>
      </c>
      <c r="H176">
        <v>8.9099999999999999E-2</v>
      </c>
      <c r="I176">
        <v>0.57589999999999997</v>
      </c>
      <c r="J176">
        <v>4.8964999999999996</v>
      </c>
      <c r="K176">
        <v>6.9748000000000001</v>
      </c>
      <c r="L176">
        <v>0.62490000000000001</v>
      </c>
      <c r="M176">
        <v>1.5800000000000002E-2</v>
      </c>
      <c r="N176">
        <v>1.09E-2</v>
      </c>
      <c r="O176">
        <v>1.4378</v>
      </c>
      <c r="P176">
        <v>0</v>
      </c>
      <c r="Q176">
        <v>0</v>
      </c>
      <c r="R176">
        <v>0.42049999999999998</v>
      </c>
      <c r="S176">
        <v>0.30659999999999998</v>
      </c>
    </row>
    <row r="177" spans="1:19" x14ac:dyDescent="0.25">
      <c r="A177" t="s">
        <v>550</v>
      </c>
      <c r="B177" t="s">
        <v>24</v>
      </c>
      <c r="D177" t="s">
        <v>14</v>
      </c>
      <c r="E177">
        <v>0.28000000000000003</v>
      </c>
      <c r="F177">
        <v>0.57869999999999999</v>
      </c>
      <c r="G177">
        <v>0.25140000000000001</v>
      </c>
      <c r="H177">
        <v>0</v>
      </c>
      <c r="I177">
        <v>6.1939000000000002</v>
      </c>
      <c r="J177">
        <v>0.6915</v>
      </c>
      <c r="K177">
        <v>2.8380000000000001</v>
      </c>
      <c r="L177">
        <v>0.39550000000000002</v>
      </c>
      <c r="M177">
        <v>1.5800000000000002E-2</v>
      </c>
      <c r="N177">
        <v>1.09E-2</v>
      </c>
      <c r="O177">
        <v>0.97899999999999998</v>
      </c>
      <c r="P177">
        <v>46.356699999999996</v>
      </c>
      <c r="Q177">
        <v>26.354199999999999</v>
      </c>
      <c r="R177">
        <v>0.63749999999999996</v>
      </c>
      <c r="S177">
        <v>0.86050000000000004</v>
      </c>
    </row>
    <row r="178" spans="1:19" x14ac:dyDescent="0.25">
      <c r="A178" t="s">
        <v>244</v>
      </c>
      <c r="B178" t="s">
        <v>3</v>
      </c>
      <c r="D178" t="s">
        <v>25</v>
      </c>
      <c r="E178">
        <v>2.11</v>
      </c>
      <c r="F178">
        <v>2.1899999999999999E-2</v>
      </c>
      <c r="G178">
        <v>0.74860000000000004</v>
      </c>
      <c r="H178">
        <v>0.72670000000000001</v>
      </c>
      <c r="I178">
        <v>1.6171</v>
      </c>
      <c r="J178">
        <v>3.9733000000000001</v>
      </c>
      <c r="K178">
        <v>6.601</v>
      </c>
      <c r="L178">
        <v>0.21029999999999999</v>
      </c>
      <c r="M178">
        <v>1.5800000000000002E-2</v>
      </c>
      <c r="N178">
        <v>1.09E-2</v>
      </c>
      <c r="O178">
        <v>0.60860000000000003</v>
      </c>
      <c r="P178">
        <v>0</v>
      </c>
      <c r="Q178">
        <v>0</v>
      </c>
      <c r="R178">
        <v>0.40289999999999998</v>
      </c>
      <c r="S178">
        <v>0.74199999999999999</v>
      </c>
    </row>
    <row r="179" spans="1:19" x14ac:dyDescent="0.25">
      <c r="A179" t="s">
        <v>624</v>
      </c>
      <c r="B179" t="s">
        <v>3</v>
      </c>
      <c r="D179" t="s">
        <v>33</v>
      </c>
      <c r="E179">
        <v>1.27</v>
      </c>
      <c r="F179">
        <v>4.5999999999999999E-2</v>
      </c>
      <c r="G179">
        <v>0.1177</v>
      </c>
      <c r="H179">
        <v>7.17E-2</v>
      </c>
      <c r="I179">
        <v>1.0087999999999999</v>
      </c>
      <c r="J179">
        <v>4.3897000000000004</v>
      </c>
      <c r="K179">
        <v>13.2638</v>
      </c>
      <c r="L179">
        <v>0.4118</v>
      </c>
      <c r="M179">
        <v>1.5800000000000002E-2</v>
      </c>
      <c r="N179">
        <v>1.09E-2</v>
      </c>
      <c r="O179">
        <v>1.0116000000000001</v>
      </c>
      <c r="P179">
        <v>0</v>
      </c>
      <c r="Q179">
        <v>0</v>
      </c>
      <c r="R179">
        <v>0.3856</v>
      </c>
      <c r="S179">
        <v>0.8931</v>
      </c>
    </row>
    <row r="180" spans="1:19" x14ac:dyDescent="0.25">
      <c r="A180" t="s">
        <v>650</v>
      </c>
      <c r="B180" t="s">
        <v>24</v>
      </c>
      <c r="D180" t="s">
        <v>36</v>
      </c>
      <c r="E180">
        <v>0.89</v>
      </c>
      <c r="F180">
        <v>0.44290000000000002</v>
      </c>
      <c r="G180">
        <v>0.94359999999999999</v>
      </c>
      <c r="H180">
        <v>0.50070000000000003</v>
      </c>
      <c r="I180">
        <v>4.5209999999999999</v>
      </c>
      <c r="J180">
        <v>2.0339999999999998</v>
      </c>
      <c r="K180">
        <v>3.2616000000000001</v>
      </c>
      <c r="L180">
        <v>0.37809999999999999</v>
      </c>
      <c r="M180">
        <v>1.5800000000000002E-2</v>
      </c>
      <c r="N180">
        <v>1.09E-2</v>
      </c>
      <c r="O180">
        <v>0.94420000000000004</v>
      </c>
      <c r="P180">
        <v>7.5490000000000004</v>
      </c>
      <c r="Q180">
        <v>18.8401</v>
      </c>
      <c r="R180">
        <v>0.28610000000000002</v>
      </c>
      <c r="S180">
        <v>0.40550000000000003</v>
      </c>
    </row>
    <row r="181" spans="1:19" x14ac:dyDescent="0.25">
      <c r="A181" t="s">
        <v>504</v>
      </c>
      <c r="B181" t="s">
        <v>24</v>
      </c>
      <c r="D181" t="s">
        <v>20</v>
      </c>
      <c r="E181">
        <v>0.57999999999999996</v>
      </c>
      <c r="F181">
        <v>0.34250000000000003</v>
      </c>
      <c r="G181">
        <v>0.23269999999999999</v>
      </c>
      <c r="H181">
        <v>0</v>
      </c>
      <c r="I181">
        <v>1.7487999999999999</v>
      </c>
      <c r="J181">
        <v>2.7515999999999998</v>
      </c>
      <c r="K181">
        <v>5.6044999999999998</v>
      </c>
      <c r="L181">
        <v>0.15890000000000001</v>
      </c>
      <c r="M181">
        <v>1.5800000000000002E-2</v>
      </c>
      <c r="N181">
        <v>1.09E-2</v>
      </c>
      <c r="O181">
        <v>0.50580000000000003</v>
      </c>
      <c r="P181">
        <v>1.7031000000000001</v>
      </c>
      <c r="Q181">
        <v>1.6143000000000001</v>
      </c>
      <c r="R181">
        <v>0.51339999999999997</v>
      </c>
      <c r="S181">
        <v>1.0774999999999999</v>
      </c>
    </row>
    <row r="182" spans="1:19" x14ac:dyDescent="0.25">
      <c r="A182" t="s">
        <v>633</v>
      </c>
      <c r="B182" t="s">
        <v>24</v>
      </c>
      <c r="D182" t="s">
        <v>25</v>
      </c>
      <c r="E182">
        <v>2.0099999999999998</v>
      </c>
      <c r="F182">
        <v>0.78890000000000005</v>
      </c>
      <c r="G182">
        <v>0.8155</v>
      </c>
      <c r="H182">
        <v>2.6599999999999999E-2</v>
      </c>
      <c r="I182">
        <v>4.4359000000000002</v>
      </c>
      <c r="J182">
        <v>1.0865</v>
      </c>
      <c r="K182">
        <v>4.3586</v>
      </c>
      <c r="L182">
        <v>0.46489999999999998</v>
      </c>
      <c r="M182">
        <v>1.5800000000000002E-2</v>
      </c>
      <c r="N182">
        <v>1.09E-2</v>
      </c>
      <c r="O182">
        <v>1.1177999999999999</v>
      </c>
      <c r="P182">
        <v>24.425699999999999</v>
      </c>
      <c r="Q182">
        <v>26.6294</v>
      </c>
      <c r="R182">
        <v>0.47839999999999999</v>
      </c>
      <c r="S182">
        <v>1.0517000000000001</v>
      </c>
    </row>
    <row r="183" spans="1:19" x14ac:dyDescent="0.25">
      <c r="A183" t="s">
        <v>330</v>
      </c>
      <c r="B183" t="s">
        <v>24</v>
      </c>
      <c r="D183" t="s">
        <v>13</v>
      </c>
      <c r="E183">
        <v>2.16</v>
      </c>
      <c r="F183">
        <v>0.22140000000000001</v>
      </c>
      <c r="G183">
        <v>0.24790000000000001</v>
      </c>
      <c r="H183">
        <v>2.6499999999999999E-2</v>
      </c>
      <c r="I183">
        <v>2.4089999999999998</v>
      </c>
      <c r="J183">
        <v>1.4006000000000001</v>
      </c>
      <c r="K183">
        <v>4.7187999999999999</v>
      </c>
      <c r="L183">
        <v>0.2172</v>
      </c>
      <c r="M183">
        <v>1.5800000000000002E-2</v>
      </c>
      <c r="N183">
        <v>1.09E-2</v>
      </c>
      <c r="O183">
        <v>0.62239999999999995</v>
      </c>
      <c r="P183">
        <v>1.7667999999999999</v>
      </c>
      <c r="Q183">
        <v>1.8261000000000001</v>
      </c>
      <c r="R183">
        <v>0.49170000000000003</v>
      </c>
      <c r="S183">
        <v>0.2374</v>
      </c>
    </row>
    <row r="184" spans="1:19" x14ac:dyDescent="0.25">
      <c r="A184" t="s">
        <v>239</v>
      </c>
      <c r="B184" t="s">
        <v>24</v>
      </c>
      <c r="D184" t="s">
        <v>16</v>
      </c>
      <c r="E184">
        <v>0.6</v>
      </c>
      <c r="F184">
        <v>0.52149999999999996</v>
      </c>
      <c r="G184">
        <v>2.0962000000000001</v>
      </c>
      <c r="H184">
        <v>1.5747</v>
      </c>
      <c r="I184">
        <v>5.1680000000000001</v>
      </c>
      <c r="J184">
        <v>1.4033</v>
      </c>
      <c r="K184">
        <v>2.7334000000000001</v>
      </c>
      <c r="L184">
        <v>0.70950000000000002</v>
      </c>
      <c r="M184">
        <v>1.5800000000000002E-2</v>
      </c>
      <c r="N184">
        <v>1.09E-2</v>
      </c>
      <c r="O184">
        <v>1.607</v>
      </c>
      <c r="P184">
        <v>61.643300000000004</v>
      </c>
      <c r="Q184">
        <v>48.666600000000003</v>
      </c>
      <c r="R184">
        <v>0.55879999999999996</v>
      </c>
      <c r="S184">
        <v>0.1983</v>
      </c>
    </row>
    <row r="185" spans="1:19" x14ac:dyDescent="0.25">
      <c r="A185" t="s">
        <v>412</v>
      </c>
      <c r="B185" t="s">
        <v>24</v>
      </c>
      <c r="D185" t="s">
        <v>33</v>
      </c>
      <c r="E185">
        <v>2.19</v>
      </c>
      <c r="F185">
        <v>0.22539999999999999</v>
      </c>
      <c r="G185">
        <v>0.21229999999999999</v>
      </c>
      <c r="H185">
        <v>0</v>
      </c>
      <c r="I185">
        <v>3.0247999999999999</v>
      </c>
      <c r="J185">
        <v>0.47249999999999998</v>
      </c>
      <c r="K185">
        <v>5.3426</v>
      </c>
      <c r="L185">
        <v>0.3569</v>
      </c>
      <c r="M185">
        <v>1.5800000000000002E-2</v>
      </c>
      <c r="N185">
        <v>1.09E-2</v>
      </c>
      <c r="O185">
        <v>0.90180000000000005</v>
      </c>
      <c r="P185">
        <v>25.675999999999998</v>
      </c>
      <c r="Q185">
        <v>21.281199999999998</v>
      </c>
      <c r="R185">
        <v>0.54679999999999995</v>
      </c>
      <c r="S185">
        <v>0.48820000000000002</v>
      </c>
    </row>
    <row r="186" spans="1:19" x14ac:dyDescent="0.25">
      <c r="A186" t="s">
        <v>670</v>
      </c>
      <c r="B186" t="s">
        <v>24</v>
      </c>
      <c r="D186" t="s">
        <v>11</v>
      </c>
      <c r="E186">
        <v>2.16</v>
      </c>
      <c r="F186">
        <v>0.52480000000000004</v>
      </c>
      <c r="G186">
        <v>1.1346000000000001</v>
      </c>
      <c r="H186">
        <v>0.60980000000000001</v>
      </c>
      <c r="I186">
        <v>4.3041</v>
      </c>
      <c r="J186">
        <v>1.0116000000000001</v>
      </c>
      <c r="K186">
        <v>5.173</v>
      </c>
      <c r="L186">
        <v>0.27489999999999998</v>
      </c>
      <c r="M186">
        <v>1.5800000000000002E-2</v>
      </c>
      <c r="N186">
        <v>1.09E-2</v>
      </c>
      <c r="O186">
        <v>0.73780000000000001</v>
      </c>
      <c r="P186">
        <v>5.5754999999999999</v>
      </c>
      <c r="Q186">
        <v>8.9779</v>
      </c>
      <c r="R186">
        <v>0.3831</v>
      </c>
      <c r="S186">
        <v>0.51870000000000005</v>
      </c>
    </row>
    <row r="187" spans="1:19" x14ac:dyDescent="0.25">
      <c r="A187" t="s">
        <v>552</v>
      </c>
      <c r="B187" t="s">
        <v>3</v>
      </c>
      <c r="D187" t="s">
        <v>9</v>
      </c>
      <c r="E187">
        <v>1.1299999999999999</v>
      </c>
      <c r="F187">
        <v>0.20780000000000001</v>
      </c>
      <c r="G187">
        <v>0.11509999999999999</v>
      </c>
      <c r="H187">
        <v>0</v>
      </c>
      <c r="I187">
        <v>2.403</v>
      </c>
      <c r="J187">
        <v>3.1526000000000001</v>
      </c>
      <c r="K187">
        <v>10.2281</v>
      </c>
      <c r="L187">
        <v>0.76739999999999997</v>
      </c>
      <c r="M187">
        <v>1.5800000000000002E-2</v>
      </c>
      <c r="N187">
        <v>1.09E-2</v>
      </c>
      <c r="O187">
        <v>1.7228000000000001</v>
      </c>
      <c r="P187">
        <v>0</v>
      </c>
      <c r="Q187">
        <v>0</v>
      </c>
      <c r="R187">
        <v>0.42149999999999999</v>
      </c>
      <c r="S187">
        <v>0.51270000000000004</v>
      </c>
    </row>
    <row r="188" spans="1:19" x14ac:dyDescent="0.25">
      <c r="A188" t="s">
        <v>667</v>
      </c>
      <c r="B188" t="s">
        <v>24</v>
      </c>
      <c r="D188" t="s">
        <v>19</v>
      </c>
      <c r="E188">
        <v>2.27</v>
      </c>
      <c r="F188">
        <v>0.43109999999999998</v>
      </c>
      <c r="G188">
        <v>0.43169999999999997</v>
      </c>
      <c r="H188">
        <v>5.99999999999989E-4</v>
      </c>
      <c r="I188">
        <v>3.4824999999999999</v>
      </c>
      <c r="J188">
        <v>1.1212</v>
      </c>
      <c r="K188">
        <v>5.6009000000000002</v>
      </c>
      <c r="L188">
        <v>0.13159999999999999</v>
      </c>
      <c r="M188">
        <v>1.5800000000000002E-2</v>
      </c>
      <c r="N188">
        <v>1.09E-2</v>
      </c>
      <c r="O188">
        <v>0.45119999999999999</v>
      </c>
      <c r="P188">
        <v>30.331700000000001</v>
      </c>
      <c r="Q188">
        <v>30.1523</v>
      </c>
      <c r="R188">
        <v>0.50149999999999995</v>
      </c>
      <c r="S188">
        <v>0.75770000000000004</v>
      </c>
    </row>
    <row r="189" spans="1:19" x14ac:dyDescent="0.25">
      <c r="A189" t="s">
        <v>436</v>
      </c>
      <c r="B189" t="s">
        <v>24</v>
      </c>
      <c r="D189" t="s">
        <v>33</v>
      </c>
      <c r="E189">
        <v>1.9</v>
      </c>
      <c r="F189">
        <v>0.13769999999999999</v>
      </c>
      <c r="G189">
        <v>7.9200000000000007E-2</v>
      </c>
      <c r="H189">
        <v>0</v>
      </c>
      <c r="I189">
        <v>2.5621999999999998</v>
      </c>
      <c r="J189">
        <v>0.48709999999999998</v>
      </c>
      <c r="K189">
        <v>6.0388999999999999</v>
      </c>
      <c r="L189">
        <v>0.5302</v>
      </c>
      <c r="M189">
        <v>1.5800000000000002E-2</v>
      </c>
      <c r="N189">
        <v>1.09E-2</v>
      </c>
      <c r="O189">
        <v>1.2484</v>
      </c>
      <c r="P189">
        <v>7.7439</v>
      </c>
      <c r="Q189">
        <v>14.2256</v>
      </c>
      <c r="R189">
        <v>0.35249999999999998</v>
      </c>
      <c r="S189">
        <v>0.61819999999999997</v>
      </c>
    </row>
    <row r="190" spans="1:19" x14ac:dyDescent="0.25">
      <c r="A190" t="s">
        <v>357</v>
      </c>
      <c r="B190" t="s">
        <v>3</v>
      </c>
      <c r="D190" t="s">
        <v>7</v>
      </c>
      <c r="E190">
        <v>1.59</v>
      </c>
      <c r="F190">
        <v>0.109</v>
      </c>
      <c r="G190">
        <v>0.36259999999999998</v>
      </c>
      <c r="H190">
        <v>0.25359999999999999</v>
      </c>
      <c r="I190">
        <v>0.55779999999999996</v>
      </c>
      <c r="J190">
        <v>8.0263000000000009</v>
      </c>
      <c r="K190">
        <v>8.7825000000000006</v>
      </c>
      <c r="L190">
        <v>0.1862</v>
      </c>
      <c r="M190">
        <v>1.5800000000000002E-2</v>
      </c>
      <c r="N190">
        <v>1.09E-2</v>
      </c>
      <c r="O190">
        <v>0.56040000000000001</v>
      </c>
      <c r="P190">
        <v>0</v>
      </c>
      <c r="Q190">
        <v>0</v>
      </c>
      <c r="R190">
        <v>0.40639999999999998</v>
      </c>
      <c r="S190">
        <v>0.13639999999999999</v>
      </c>
    </row>
    <row r="191" spans="1:19" x14ac:dyDescent="0.25">
      <c r="A191" t="s">
        <v>885</v>
      </c>
      <c r="B191" t="s">
        <v>3</v>
      </c>
      <c r="D191" t="s">
        <v>22</v>
      </c>
      <c r="E191">
        <v>2.0699999999999998</v>
      </c>
      <c r="F191">
        <v>0</v>
      </c>
      <c r="G191">
        <v>0.54710000000000003</v>
      </c>
      <c r="H191">
        <v>0.54710000000000003</v>
      </c>
      <c r="I191">
        <v>1.9406000000000001</v>
      </c>
      <c r="J191">
        <v>4.2218999999999998</v>
      </c>
      <c r="K191">
        <v>12.516999999999999</v>
      </c>
      <c r="L191">
        <v>0.64710000000000001</v>
      </c>
      <c r="M191">
        <v>1.5800000000000002E-2</v>
      </c>
      <c r="N191">
        <v>1.09E-2</v>
      </c>
      <c r="O191">
        <v>1.4822</v>
      </c>
      <c r="P191">
        <v>0</v>
      </c>
      <c r="Q191">
        <v>0</v>
      </c>
      <c r="R191">
        <v>0.39190000000000003</v>
      </c>
      <c r="S191">
        <v>0.47460000000000002</v>
      </c>
    </row>
    <row r="192" spans="1:19" x14ac:dyDescent="0.25">
      <c r="A192" t="s">
        <v>721</v>
      </c>
      <c r="B192" t="s">
        <v>3</v>
      </c>
      <c r="D192" t="s">
        <v>33</v>
      </c>
      <c r="E192">
        <v>1.83</v>
      </c>
      <c r="F192">
        <v>4.8599999999999997E-2</v>
      </c>
      <c r="G192">
        <v>5.1900000000000002E-2</v>
      </c>
      <c r="H192">
        <v>3.3E-3</v>
      </c>
      <c r="I192">
        <v>2.6375000000000002</v>
      </c>
      <c r="J192">
        <v>0.69169999999999998</v>
      </c>
      <c r="K192">
        <v>10.3691</v>
      </c>
      <c r="L192">
        <v>5.67E-2</v>
      </c>
      <c r="M192">
        <v>1.5800000000000002E-2</v>
      </c>
      <c r="N192">
        <v>1.09E-2</v>
      </c>
      <c r="O192">
        <v>0.3014</v>
      </c>
      <c r="P192">
        <v>0</v>
      </c>
      <c r="Q192">
        <v>0</v>
      </c>
      <c r="R192">
        <v>0.40439999999999998</v>
      </c>
      <c r="S192">
        <v>0.3609</v>
      </c>
    </row>
    <row r="193" spans="1:19" x14ac:dyDescent="0.25">
      <c r="A193" t="s">
        <v>635</v>
      </c>
      <c r="B193" t="s">
        <v>3</v>
      </c>
      <c r="D193" t="s">
        <v>32</v>
      </c>
      <c r="E193">
        <v>1.36</v>
      </c>
      <c r="F193">
        <v>0</v>
      </c>
      <c r="G193">
        <v>4.2500000000000003E-2</v>
      </c>
      <c r="H193">
        <v>4.2500000000000003E-2</v>
      </c>
      <c r="I193">
        <v>0.99380000000000002</v>
      </c>
      <c r="J193">
        <v>2.5844999999999998</v>
      </c>
      <c r="K193">
        <v>7.0663</v>
      </c>
      <c r="L193">
        <v>0.3357</v>
      </c>
      <c r="M193">
        <v>1.5800000000000002E-2</v>
      </c>
      <c r="N193">
        <v>1.09E-2</v>
      </c>
      <c r="O193">
        <v>0.85940000000000005</v>
      </c>
      <c r="P193">
        <v>0</v>
      </c>
      <c r="Q193">
        <v>0</v>
      </c>
      <c r="R193">
        <v>0.40089999999999998</v>
      </c>
      <c r="S193">
        <v>0.1229</v>
      </c>
    </row>
    <row r="194" spans="1:19" x14ac:dyDescent="0.25">
      <c r="A194" t="s">
        <v>651</v>
      </c>
      <c r="B194" t="s">
        <v>3</v>
      </c>
      <c r="D194" t="s">
        <v>14</v>
      </c>
      <c r="E194">
        <v>1.4</v>
      </c>
      <c r="F194">
        <v>6.88E-2</v>
      </c>
      <c r="G194">
        <v>0.63129999999999997</v>
      </c>
      <c r="H194">
        <v>0.5625</v>
      </c>
      <c r="I194">
        <v>1.851</v>
      </c>
      <c r="J194">
        <v>2.2593000000000001</v>
      </c>
      <c r="K194">
        <v>5.9025999999999996</v>
      </c>
      <c r="L194">
        <v>7.1099999999999997E-2</v>
      </c>
      <c r="M194">
        <v>1.5800000000000002E-2</v>
      </c>
      <c r="N194">
        <v>1.09E-2</v>
      </c>
      <c r="O194">
        <v>0.33019999999999999</v>
      </c>
      <c r="P194">
        <v>0</v>
      </c>
      <c r="Q194">
        <v>0</v>
      </c>
      <c r="R194">
        <v>0.41249999999999998</v>
      </c>
      <c r="S194">
        <v>0.23419999999999999</v>
      </c>
    </row>
    <row r="195" spans="1:19" x14ac:dyDescent="0.25">
      <c r="A195" t="s">
        <v>362</v>
      </c>
      <c r="B195" t="s">
        <v>24</v>
      </c>
      <c r="D195" t="s">
        <v>18</v>
      </c>
      <c r="E195">
        <v>1.84</v>
      </c>
      <c r="F195">
        <v>0.12559999999999999</v>
      </c>
      <c r="G195">
        <v>0.33660000000000001</v>
      </c>
      <c r="H195">
        <v>0.21099999999999999</v>
      </c>
      <c r="I195">
        <v>2.4228999999999998</v>
      </c>
      <c r="J195">
        <v>3.3134000000000001</v>
      </c>
      <c r="K195">
        <v>3.4870999999999999</v>
      </c>
      <c r="L195">
        <v>6.2E-2</v>
      </c>
      <c r="M195">
        <v>1.5800000000000002E-2</v>
      </c>
      <c r="N195">
        <v>1.09E-2</v>
      </c>
      <c r="O195">
        <v>0.312</v>
      </c>
      <c r="P195">
        <v>1.0395000000000001</v>
      </c>
      <c r="Q195">
        <v>1.0177</v>
      </c>
      <c r="R195">
        <v>0.50529999999999997</v>
      </c>
      <c r="S195">
        <v>1.0835999999999999</v>
      </c>
    </row>
    <row r="196" spans="1:19" x14ac:dyDescent="0.25">
      <c r="A196" t="s">
        <v>610</v>
      </c>
      <c r="B196" t="s">
        <v>3</v>
      </c>
      <c r="D196" t="s">
        <v>25</v>
      </c>
      <c r="E196">
        <v>2.38</v>
      </c>
      <c r="F196">
        <v>3.2000000000000002E-3</v>
      </c>
      <c r="G196">
        <v>5.3600000000000002E-2</v>
      </c>
      <c r="H196">
        <v>5.04E-2</v>
      </c>
      <c r="I196">
        <v>1.6938</v>
      </c>
      <c r="J196">
        <v>4.9147999999999996</v>
      </c>
      <c r="K196">
        <v>7.5650000000000004</v>
      </c>
      <c r="L196">
        <v>0.38080000000000003</v>
      </c>
      <c r="M196">
        <v>1.5800000000000002E-2</v>
      </c>
      <c r="N196">
        <v>1.09E-2</v>
      </c>
      <c r="O196">
        <v>0.9496</v>
      </c>
      <c r="P196">
        <v>0</v>
      </c>
      <c r="Q196">
        <v>0</v>
      </c>
      <c r="R196">
        <v>0.40510000000000002</v>
      </c>
      <c r="S196">
        <v>0.93020000000000003</v>
      </c>
    </row>
    <row r="197" spans="1:19" x14ac:dyDescent="0.25">
      <c r="A197" t="s">
        <v>390</v>
      </c>
      <c r="B197" t="s">
        <v>3</v>
      </c>
      <c r="D197" t="s">
        <v>33</v>
      </c>
      <c r="E197">
        <v>3.06</v>
      </c>
      <c r="F197">
        <v>0</v>
      </c>
      <c r="G197">
        <v>1.37E-2</v>
      </c>
      <c r="H197">
        <v>1.37E-2</v>
      </c>
      <c r="I197">
        <v>0.85550000000000004</v>
      </c>
      <c r="J197">
        <v>2.6292</v>
      </c>
      <c r="K197">
        <v>11.558999999999999</v>
      </c>
      <c r="L197">
        <v>0.14330000000000001</v>
      </c>
      <c r="M197">
        <v>1.5800000000000002E-2</v>
      </c>
      <c r="N197">
        <v>1.09E-2</v>
      </c>
      <c r="O197">
        <v>0.47460000000000002</v>
      </c>
      <c r="P197">
        <v>0</v>
      </c>
      <c r="Q197">
        <v>0</v>
      </c>
      <c r="R197">
        <v>0.38740000000000002</v>
      </c>
      <c r="S197">
        <v>0.36309999999999998</v>
      </c>
    </row>
    <row r="198" spans="1:19" x14ac:dyDescent="0.25">
      <c r="A198" t="s">
        <v>316</v>
      </c>
      <c r="B198" t="s">
        <v>3</v>
      </c>
      <c r="D198" t="s">
        <v>30</v>
      </c>
      <c r="E198">
        <v>2.2599999999999998</v>
      </c>
      <c r="F198">
        <v>5.5199999999999999E-2</v>
      </c>
      <c r="G198">
        <v>0.16600000000000001</v>
      </c>
      <c r="H198">
        <v>0.1108</v>
      </c>
      <c r="I198">
        <v>2.3374000000000001</v>
      </c>
      <c r="J198">
        <v>1.2889999999999999</v>
      </c>
      <c r="K198">
        <v>11.639200000000001</v>
      </c>
      <c r="L198">
        <v>0.35670000000000002</v>
      </c>
      <c r="M198">
        <v>1.5800000000000002E-2</v>
      </c>
      <c r="N198">
        <v>1.09E-2</v>
      </c>
      <c r="O198">
        <v>0.90139999999999998</v>
      </c>
      <c r="P198">
        <v>0</v>
      </c>
      <c r="Q198">
        <v>0</v>
      </c>
      <c r="R198">
        <v>0.40100000000000002</v>
      </c>
      <c r="S198">
        <v>0.52549999999999997</v>
      </c>
    </row>
    <row r="199" spans="1:19" x14ac:dyDescent="0.25">
      <c r="A199" t="s">
        <v>886</v>
      </c>
      <c r="B199" t="s">
        <v>24</v>
      </c>
      <c r="D199" t="s">
        <v>7</v>
      </c>
      <c r="E199">
        <v>1.37</v>
      </c>
      <c r="F199">
        <v>0.79959999999999998</v>
      </c>
      <c r="G199">
        <v>1.6275999999999999</v>
      </c>
      <c r="H199">
        <v>0.82799999999999996</v>
      </c>
      <c r="I199">
        <v>3.1648999999999998</v>
      </c>
      <c r="J199">
        <v>0.44379999999999997</v>
      </c>
      <c r="K199">
        <v>3.0084</v>
      </c>
      <c r="L199">
        <v>0.1019</v>
      </c>
      <c r="M199">
        <v>1.5800000000000002E-2</v>
      </c>
      <c r="N199">
        <v>1.09E-2</v>
      </c>
      <c r="O199">
        <v>0.39179999999999998</v>
      </c>
      <c r="P199">
        <v>18.806699999999999</v>
      </c>
      <c r="Q199">
        <v>17.479299999999999</v>
      </c>
      <c r="R199">
        <v>0.51829999999999998</v>
      </c>
      <c r="S199">
        <v>0.30930000000000002</v>
      </c>
    </row>
    <row r="200" spans="1:19" x14ac:dyDescent="0.25">
      <c r="A200" t="s">
        <v>402</v>
      </c>
      <c r="B200" t="s">
        <v>24</v>
      </c>
      <c r="D200" t="s">
        <v>28</v>
      </c>
      <c r="E200">
        <v>1.5</v>
      </c>
      <c r="F200">
        <v>0.52249999999999996</v>
      </c>
      <c r="G200">
        <v>1.9807999999999999</v>
      </c>
      <c r="H200">
        <v>1.4582999999999999</v>
      </c>
      <c r="I200">
        <v>4.2531999999999996</v>
      </c>
      <c r="J200">
        <v>0.95320000000000005</v>
      </c>
      <c r="K200">
        <v>3.6932</v>
      </c>
      <c r="L200">
        <v>0.25119999999999998</v>
      </c>
      <c r="M200">
        <v>1.5800000000000002E-2</v>
      </c>
      <c r="N200">
        <v>1.09E-2</v>
      </c>
      <c r="O200">
        <v>0.69040000000000001</v>
      </c>
      <c r="P200">
        <v>0.73270000000000002</v>
      </c>
      <c r="Q200">
        <v>1.3841000000000001</v>
      </c>
      <c r="R200">
        <v>0.34610000000000002</v>
      </c>
      <c r="S200">
        <v>0.58360000000000001</v>
      </c>
    </row>
    <row r="201" spans="1:19" x14ac:dyDescent="0.25">
      <c r="A201" t="s">
        <v>392</v>
      </c>
      <c r="B201" t="s">
        <v>3</v>
      </c>
      <c r="D201" t="s">
        <v>29</v>
      </c>
      <c r="E201">
        <v>1.67</v>
      </c>
      <c r="F201">
        <v>1.01E-2</v>
      </c>
      <c r="G201">
        <v>0.47760000000000002</v>
      </c>
      <c r="H201">
        <v>0.46750000000000003</v>
      </c>
      <c r="I201">
        <v>0.91010000000000002</v>
      </c>
      <c r="J201">
        <v>3.5087999999999999</v>
      </c>
      <c r="K201">
        <v>11.521800000000001</v>
      </c>
      <c r="L201">
        <v>0.44950000000000001</v>
      </c>
      <c r="M201">
        <v>1.5800000000000002E-2</v>
      </c>
      <c r="N201">
        <v>1.09E-2</v>
      </c>
      <c r="O201">
        <v>1.087</v>
      </c>
      <c r="P201">
        <v>0</v>
      </c>
      <c r="Q201">
        <v>0</v>
      </c>
      <c r="R201">
        <v>0.40429999999999999</v>
      </c>
      <c r="S201">
        <v>0.64070000000000005</v>
      </c>
    </row>
    <row r="202" spans="1:19" x14ac:dyDescent="0.25">
      <c r="A202" t="s">
        <v>680</v>
      </c>
      <c r="B202" t="s">
        <v>24</v>
      </c>
      <c r="D202" t="s">
        <v>9</v>
      </c>
      <c r="E202">
        <v>1.71</v>
      </c>
      <c r="F202">
        <v>0.18559999999999999</v>
      </c>
      <c r="G202">
        <v>0.60560000000000003</v>
      </c>
      <c r="H202">
        <v>0.42</v>
      </c>
      <c r="I202">
        <v>2.4039000000000001</v>
      </c>
      <c r="J202">
        <v>2.0274999999999999</v>
      </c>
      <c r="K202">
        <v>3.9224000000000001</v>
      </c>
      <c r="L202">
        <v>0.3674</v>
      </c>
      <c r="M202">
        <v>1.5800000000000002E-2</v>
      </c>
      <c r="N202">
        <v>1.09E-2</v>
      </c>
      <c r="O202">
        <v>0.92279999999999995</v>
      </c>
      <c r="P202">
        <v>0.93069999999999997</v>
      </c>
      <c r="Q202">
        <v>1.3093999999999999</v>
      </c>
      <c r="R202">
        <v>0.41549999999999998</v>
      </c>
      <c r="S202">
        <v>0.58460000000000001</v>
      </c>
    </row>
    <row r="203" spans="1:19" x14ac:dyDescent="0.25">
      <c r="A203" t="s">
        <v>728</v>
      </c>
      <c r="B203" t="s">
        <v>24</v>
      </c>
      <c r="D203" t="s">
        <v>15</v>
      </c>
      <c r="E203">
        <v>1.95</v>
      </c>
      <c r="F203">
        <v>0.97030000000000005</v>
      </c>
      <c r="G203">
        <v>1.4379</v>
      </c>
      <c r="H203">
        <v>0.46760000000000002</v>
      </c>
      <c r="I203">
        <v>5.4253999999999998</v>
      </c>
      <c r="J203">
        <v>1.7045999999999999</v>
      </c>
      <c r="K203">
        <v>4.2873999999999999</v>
      </c>
      <c r="L203">
        <v>0.90749999999999997</v>
      </c>
      <c r="M203">
        <v>1.5800000000000002E-2</v>
      </c>
      <c r="N203">
        <v>1.09E-2</v>
      </c>
      <c r="O203">
        <v>2.0030000000000001</v>
      </c>
      <c r="P203">
        <v>1.377</v>
      </c>
      <c r="Q203">
        <v>1.1447000000000001</v>
      </c>
      <c r="R203">
        <v>0.54610000000000003</v>
      </c>
      <c r="S203">
        <v>1.4261999999999999</v>
      </c>
    </row>
    <row r="204" spans="1:19" x14ac:dyDescent="0.25">
      <c r="A204" t="s">
        <v>342</v>
      </c>
      <c r="B204" t="s">
        <v>3</v>
      </c>
      <c r="D204" t="s">
        <v>1190</v>
      </c>
      <c r="E204">
        <v>2.4500000000000002</v>
      </c>
      <c r="F204">
        <v>0</v>
      </c>
      <c r="G204">
        <v>3.2300000000000002E-2</v>
      </c>
      <c r="H204">
        <v>3.2300000000000002E-2</v>
      </c>
      <c r="I204">
        <v>1.3079000000000001</v>
      </c>
      <c r="J204">
        <v>5.4679000000000002</v>
      </c>
      <c r="K204">
        <v>8.3125999999999998</v>
      </c>
      <c r="L204">
        <v>0.6018</v>
      </c>
      <c r="M204">
        <v>1.5800000000000002E-2</v>
      </c>
      <c r="N204">
        <v>1.09E-2</v>
      </c>
      <c r="O204">
        <v>1.3915999999999999</v>
      </c>
      <c r="P204">
        <v>0</v>
      </c>
      <c r="Q204">
        <v>0</v>
      </c>
      <c r="R204">
        <v>0.39660000000000001</v>
      </c>
      <c r="S204">
        <v>0.59909999999999997</v>
      </c>
    </row>
    <row r="205" spans="1:19" x14ac:dyDescent="0.25">
      <c r="A205" t="s">
        <v>516</v>
      </c>
      <c r="B205" t="s">
        <v>3</v>
      </c>
      <c r="D205" t="s">
        <v>12</v>
      </c>
      <c r="E205">
        <v>0.75</v>
      </c>
      <c r="F205">
        <v>0.1416</v>
      </c>
      <c r="G205">
        <v>0.23150000000000001</v>
      </c>
      <c r="H205">
        <v>8.9899999999999994E-2</v>
      </c>
      <c r="I205">
        <v>2.2174999999999998</v>
      </c>
      <c r="J205">
        <v>3.2911000000000001</v>
      </c>
      <c r="K205">
        <v>3.3414000000000001</v>
      </c>
      <c r="L205">
        <v>0.34189999999999998</v>
      </c>
      <c r="M205">
        <v>1.5800000000000002E-2</v>
      </c>
      <c r="N205">
        <v>1.09E-2</v>
      </c>
      <c r="O205">
        <v>0.87180000000000002</v>
      </c>
      <c r="P205">
        <v>0</v>
      </c>
      <c r="Q205">
        <v>0</v>
      </c>
      <c r="R205">
        <v>0.43769999999999998</v>
      </c>
      <c r="S205">
        <v>1.1494</v>
      </c>
    </row>
    <row r="206" spans="1:19" x14ac:dyDescent="0.25">
      <c r="A206" t="s">
        <v>755</v>
      </c>
      <c r="B206" t="s">
        <v>24</v>
      </c>
      <c r="D206" t="s">
        <v>25</v>
      </c>
      <c r="E206">
        <v>2.2599999999999998</v>
      </c>
      <c r="F206">
        <v>0.1855</v>
      </c>
      <c r="G206">
        <v>6.25E-2</v>
      </c>
      <c r="H206">
        <v>0</v>
      </c>
      <c r="I206">
        <v>2.5912000000000002</v>
      </c>
      <c r="J206">
        <v>0.54720000000000002</v>
      </c>
      <c r="K206">
        <v>3.0021</v>
      </c>
      <c r="L206">
        <v>6.2700000000000006E-2</v>
      </c>
      <c r="M206">
        <v>1.5800000000000002E-2</v>
      </c>
      <c r="N206">
        <v>1.09E-2</v>
      </c>
      <c r="O206">
        <v>0.31340000000000001</v>
      </c>
      <c r="P206">
        <v>0.65159999999999996</v>
      </c>
      <c r="Q206">
        <v>0.71430000000000005</v>
      </c>
      <c r="R206">
        <v>0.47699999999999998</v>
      </c>
      <c r="S206">
        <v>0.40739999999999998</v>
      </c>
    </row>
    <row r="207" spans="1:19" x14ac:dyDescent="0.25">
      <c r="A207" t="s">
        <v>428</v>
      </c>
      <c r="B207" t="s">
        <v>3</v>
      </c>
      <c r="D207" t="s">
        <v>26</v>
      </c>
      <c r="E207">
        <v>2.64</v>
      </c>
      <c r="F207">
        <v>0</v>
      </c>
      <c r="G207">
        <v>0.58130000000000004</v>
      </c>
      <c r="H207">
        <v>0.58130000000000004</v>
      </c>
      <c r="I207">
        <v>1.3267</v>
      </c>
      <c r="J207">
        <v>4.3014999999999999</v>
      </c>
      <c r="K207">
        <v>10.0778</v>
      </c>
      <c r="L207">
        <v>0.3125</v>
      </c>
      <c r="M207">
        <v>1.5800000000000002E-2</v>
      </c>
      <c r="N207">
        <v>1.09E-2</v>
      </c>
      <c r="O207">
        <v>0.81299999999999994</v>
      </c>
      <c r="P207">
        <v>0</v>
      </c>
      <c r="Q207">
        <v>0</v>
      </c>
      <c r="R207">
        <v>0.39190000000000003</v>
      </c>
      <c r="S207">
        <v>0.1988</v>
      </c>
    </row>
    <row r="208" spans="1:19" x14ac:dyDescent="0.25">
      <c r="A208" t="s">
        <v>693</v>
      </c>
      <c r="B208" t="s">
        <v>3</v>
      </c>
      <c r="D208" t="s">
        <v>33</v>
      </c>
      <c r="E208">
        <v>2.86</v>
      </c>
      <c r="F208">
        <v>0</v>
      </c>
      <c r="G208">
        <v>0.1157</v>
      </c>
      <c r="H208">
        <v>0.1157</v>
      </c>
      <c r="I208">
        <v>0.47599999999999998</v>
      </c>
      <c r="J208">
        <v>2.7690000000000001</v>
      </c>
      <c r="K208">
        <v>14.814</v>
      </c>
      <c r="L208">
        <v>0.66039999999999999</v>
      </c>
      <c r="M208">
        <v>1.5800000000000002E-2</v>
      </c>
      <c r="N208">
        <v>1.09E-2</v>
      </c>
      <c r="O208">
        <v>1.5087999999999999</v>
      </c>
      <c r="P208">
        <v>0</v>
      </c>
      <c r="Q208">
        <v>0</v>
      </c>
      <c r="R208">
        <v>0.40100000000000002</v>
      </c>
      <c r="S208">
        <v>1.0286999999999999</v>
      </c>
    </row>
    <row r="209" spans="1:19" x14ac:dyDescent="0.25">
      <c r="A209" t="s">
        <v>433</v>
      </c>
      <c r="B209" t="s">
        <v>3</v>
      </c>
      <c r="D209" t="s">
        <v>16</v>
      </c>
      <c r="E209">
        <v>2.16</v>
      </c>
      <c r="F209">
        <v>0</v>
      </c>
      <c r="G209">
        <v>0.34739999999999999</v>
      </c>
      <c r="H209">
        <v>0.34739999999999999</v>
      </c>
      <c r="I209">
        <v>1.3821000000000001</v>
      </c>
      <c r="J209">
        <v>2.6493000000000002</v>
      </c>
      <c r="K209">
        <v>6.0392999999999999</v>
      </c>
      <c r="L209">
        <v>0.43519999999999998</v>
      </c>
      <c r="M209">
        <v>1.5800000000000002E-2</v>
      </c>
      <c r="N209">
        <v>1.09E-2</v>
      </c>
      <c r="O209">
        <v>1.0584</v>
      </c>
      <c r="P209">
        <v>0</v>
      </c>
      <c r="Q209">
        <v>0</v>
      </c>
      <c r="R209">
        <v>0.38800000000000001</v>
      </c>
      <c r="S209">
        <v>0.45989999999999998</v>
      </c>
    </row>
    <row r="210" spans="1:19" x14ac:dyDescent="0.25">
      <c r="A210" t="s">
        <v>737</v>
      </c>
      <c r="B210" t="s">
        <v>24</v>
      </c>
      <c r="D210" t="s">
        <v>16</v>
      </c>
      <c r="E210">
        <v>1.83</v>
      </c>
      <c r="F210">
        <v>0.45989999999999998</v>
      </c>
      <c r="G210">
        <v>0.52980000000000005</v>
      </c>
      <c r="H210">
        <v>6.9900000000000101E-2</v>
      </c>
      <c r="I210">
        <v>3.3717000000000001</v>
      </c>
      <c r="J210">
        <v>0.80979999999999996</v>
      </c>
      <c r="K210">
        <v>3.7279</v>
      </c>
      <c r="L210">
        <v>0.17030000000000001</v>
      </c>
      <c r="M210">
        <v>1.5800000000000002E-2</v>
      </c>
      <c r="N210">
        <v>1.09E-2</v>
      </c>
      <c r="O210">
        <v>0.52859999999999996</v>
      </c>
      <c r="P210">
        <v>0.91659999999999997</v>
      </c>
      <c r="Q210">
        <v>3.3247</v>
      </c>
      <c r="R210">
        <v>0.21609999999999999</v>
      </c>
      <c r="S210">
        <v>0.61890000000000001</v>
      </c>
    </row>
    <row r="211" spans="1:19" x14ac:dyDescent="0.25">
      <c r="A211" t="s">
        <v>498</v>
      </c>
      <c r="B211" t="s">
        <v>3</v>
      </c>
      <c r="D211" t="s">
        <v>4</v>
      </c>
      <c r="E211">
        <v>2.79</v>
      </c>
      <c r="F211">
        <v>0</v>
      </c>
      <c r="G211">
        <v>0.23749999999999999</v>
      </c>
      <c r="H211">
        <v>0.23749999999999999</v>
      </c>
      <c r="I211">
        <v>1.0709</v>
      </c>
      <c r="J211">
        <v>6.91</v>
      </c>
      <c r="K211">
        <v>11.4152</v>
      </c>
      <c r="L211">
        <v>0.42020000000000002</v>
      </c>
      <c r="M211">
        <v>1.5800000000000002E-2</v>
      </c>
      <c r="N211">
        <v>1.09E-2</v>
      </c>
      <c r="O211">
        <v>1.0284</v>
      </c>
      <c r="P211">
        <v>0</v>
      </c>
      <c r="Q211">
        <v>0</v>
      </c>
      <c r="R211">
        <v>0.40410000000000001</v>
      </c>
      <c r="S211">
        <v>0.7016</v>
      </c>
    </row>
    <row r="212" spans="1:19" x14ac:dyDescent="0.25">
      <c r="A212" t="s">
        <v>914</v>
      </c>
      <c r="B212" t="s">
        <v>24</v>
      </c>
      <c r="D212" t="s">
        <v>7</v>
      </c>
      <c r="E212">
        <v>1.34</v>
      </c>
      <c r="F212">
        <v>0.20960000000000001</v>
      </c>
      <c r="G212">
        <v>0.3851</v>
      </c>
      <c r="H212">
        <v>0.17549999999999999</v>
      </c>
      <c r="I212">
        <v>1.8079000000000001</v>
      </c>
      <c r="J212">
        <v>1.1599999999999999</v>
      </c>
      <c r="K212">
        <v>4.3665000000000003</v>
      </c>
      <c r="L212">
        <v>0.48359999999999997</v>
      </c>
      <c r="M212">
        <v>1.5800000000000002E-2</v>
      </c>
      <c r="N212">
        <v>1.09E-2</v>
      </c>
      <c r="O212">
        <v>1.1552</v>
      </c>
      <c r="P212">
        <v>8.4677000000000007</v>
      </c>
      <c r="Q212">
        <v>13.536199999999999</v>
      </c>
      <c r="R212">
        <v>0.38479999999999998</v>
      </c>
      <c r="S212">
        <v>0.37730000000000002</v>
      </c>
    </row>
    <row r="213" spans="1:19" x14ac:dyDescent="0.25">
      <c r="A213" t="s">
        <v>888</v>
      </c>
      <c r="B213" t="s">
        <v>24</v>
      </c>
      <c r="D213" t="s">
        <v>27</v>
      </c>
      <c r="E213">
        <v>1.18</v>
      </c>
      <c r="F213">
        <v>0.1845</v>
      </c>
      <c r="G213">
        <v>0.3095</v>
      </c>
      <c r="H213">
        <v>0.125</v>
      </c>
      <c r="I213">
        <v>3.6608000000000001</v>
      </c>
      <c r="J213">
        <v>2.7031000000000001</v>
      </c>
      <c r="K213">
        <v>3.1955</v>
      </c>
      <c r="L213">
        <v>0.16850000000000001</v>
      </c>
      <c r="M213">
        <v>1.5800000000000002E-2</v>
      </c>
      <c r="N213">
        <v>1.09E-2</v>
      </c>
      <c r="O213">
        <v>0.52500000000000002</v>
      </c>
      <c r="P213">
        <v>62.859499999999997</v>
      </c>
      <c r="Q213">
        <v>36.657600000000002</v>
      </c>
      <c r="R213">
        <v>0.63160000000000005</v>
      </c>
      <c r="S213">
        <v>0.68469999999999998</v>
      </c>
    </row>
    <row r="214" spans="1:19" x14ac:dyDescent="0.25">
      <c r="A214" t="s">
        <v>554</v>
      </c>
      <c r="B214" t="s">
        <v>24</v>
      </c>
      <c r="D214" t="s">
        <v>2</v>
      </c>
      <c r="E214">
        <v>1.75</v>
      </c>
      <c r="F214">
        <v>0.58120000000000005</v>
      </c>
      <c r="G214">
        <v>1.0668</v>
      </c>
      <c r="H214">
        <v>0.48559999999999998</v>
      </c>
      <c r="I214">
        <v>2.3090999999999999</v>
      </c>
      <c r="J214">
        <v>1.0196000000000001</v>
      </c>
      <c r="K214">
        <v>4.8956999999999997</v>
      </c>
      <c r="L214">
        <v>0.2102</v>
      </c>
      <c r="M214">
        <v>1.5800000000000002E-2</v>
      </c>
      <c r="N214">
        <v>1.09E-2</v>
      </c>
      <c r="O214">
        <v>0.60840000000000005</v>
      </c>
      <c r="P214">
        <v>5.4120999999999997</v>
      </c>
      <c r="Q214">
        <v>6.1055999999999999</v>
      </c>
      <c r="R214">
        <v>0.46989999999999998</v>
      </c>
      <c r="S214">
        <v>0.62709999999999999</v>
      </c>
    </row>
    <row r="215" spans="1:19" x14ac:dyDescent="0.25">
      <c r="A215" t="s">
        <v>277</v>
      </c>
      <c r="B215" t="s">
        <v>24</v>
      </c>
      <c r="D215" t="s">
        <v>10</v>
      </c>
      <c r="E215">
        <v>1.91</v>
      </c>
      <c r="F215">
        <v>0.37980000000000003</v>
      </c>
      <c r="G215">
        <v>1.6383000000000001</v>
      </c>
      <c r="H215">
        <v>1.2585</v>
      </c>
      <c r="I215">
        <v>3.3851</v>
      </c>
      <c r="J215">
        <v>0.47949999999999998</v>
      </c>
      <c r="K215">
        <v>4.6121999999999996</v>
      </c>
      <c r="L215">
        <v>0.13969999999999999</v>
      </c>
      <c r="M215">
        <v>1.5800000000000002E-2</v>
      </c>
      <c r="N215">
        <v>1.09E-2</v>
      </c>
      <c r="O215">
        <v>0.46739999999999998</v>
      </c>
      <c r="P215">
        <v>23.1191</v>
      </c>
      <c r="Q215">
        <v>36.386299999999999</v>
      </c>
      <c r="R215">
        <v>0.38850000000000001</v>
      </c>
      <c r="S215">
        <v>0.99129999999999996</v>
      </c>
    </row>
    <row r="216" spans="1:19" x14ac:dyDescent="0.25">
      <c r="A216" t="s">
        <v>529</v>
      </c>
      <c r="B216" t="s">
        <v>24</v>
      </c>
      <c r="D216" t="s">
        <v>22</v>
      </c>
      <c r="E216">
        <v>2.36</v>
      </c>
      <c r="F216">
        <v>0.88870000000000005</v>
      </c>
      <c r="G216">
        <v>1.1392</v>
      </c>
      <c r="H216">
        <v>0.2505</v>
      </c>
      <c r="I216">
        <v>7.9497</v>
      </c>
      <c r="J216">
        <v>0.75980000000000003</v>
      </c>
      <c r="K216">
        <v>2.3944999999999999</v>
      </c>
      <c r="L216">
        <v>0.29530000000000001</v>
      </c>
      <c r="M216">
        <v>1.5800000000000002E-2</v>
      </c>
      <c r="N216">
        <v>1.09E-2</v>
      </c>
      <c r="O216">
        <v>0.77859999999999996</v>
      </c>
      <c r="P216">
        <v>24.7807</v>
      </c>
      <c r="Q216">
        <v>33.0715</v>
      </c>
      <c r="R216">
        <v>0.42830000000000001</v>
      </c>
      <c r="S216">
        <v>0.83819999999999995</v>
      </c>
    </row>
    <row r="217" spans="1:19" x14ac:dyDescent="0.25">
      <c r="A217" t="s">
        <v>447</v>
      </c>
      <c r="B217" t="s">
        <v>24</v>
      </c>
      <c r="D217" t="s">
        <v>33</v>
      </c>
      <c r="E217">
        <v>1.92</v>
      </c>
      <c r="F217">
        <v>0.20449999999999999</v>
      </c>
      <c r="G217">
        <v>0.36099999999999999</v>
      </c>
      <c r="H217">
        <v>0.1565</v>
      </c>
      <c r="I217">
        <v>2.3323999999999998</v>
      </c>
      <c r="J217">
        <v>0.44190000000000002</v>
      </c>
      <c r="K217">
        <v>5.0420999999999996</v>
      </c>
      <c r="L217">
        <v>0.38040000000000002</v>
      </c>
      <c r="M217">
        <v>1.5800000000000002E-2</v>
      </c>
      <c r="N217">
        <v>1.09E-2</v>
      </c>
      <c r="O217">
        <v>0.94879999999999998</v>
      </c>
      <c r="P217">
        <v>17.060199999999998</v>
      </c>
      <c r="Q217">
        <v>19.869900000000001</v>
      </c>
      <c r="R217">
        <v>0.46200000000000002</v>
      </c>
      <c r="S217">
        <v>0.80740000000000001</v>
      </c>
    </row>
    <row r="218" spans="1:19" x14ac:dyDescent="0.25">
      <c r="A218" t="s">
        <v>478</v>
      </c>
      <c r="B218" t="s">
        <v>3</v>
      </c>
      <c r="D218" t="s">
        <v>6</v>
      </c>
      <c r="E218">
        <v>2.8</v>
      </c>
      <c r="F218">
        <v>0.16539999999999999</v>
      </c>
      <c r="G218">
        <v>0.52529999999999999</v>
      </c>
      <c r="H218">
        <v>0.3599</v>
      </c>
      <c r="I218">
        <v>1.9426000000000001</v>
      </c>
      <c r="J218">
        <v>0.53490000000000004</v>
      </c>
      <c r="K218">
        <v>9.1773000000000007</v>
      </c>
      <c r="L218">
        <v>0.24940000000000001</v>
      </c>
      <c r="M218">
        <v>1.5800000000000002E-2</v>
      </c>
      <c r="N218">
        <v>1.09E-2</v>
      </c>
      <c r="O218">
        <v>0.68679999999999997</v>
      </c>
      <c r="P218">
        <v>0</v>
      </c>
      <c r="Q218">
        <v>0</v>
      </c>
      <c r="R218">
        <v>0.40310000000000001</v>
      </c>
      <c r="S218">
        <v>0.4672</v>
      </c>
    </row>
    <row r="219" spans="1:19" x14ac:dyDescent="0.25">
      <c r="A219" t="s">
        <v>557</v>
      </c>
      <c r="B219" t="s">
        <v>3</v>
      </c>
      <c r="D219" t="s">
        <v>26</v>
      </c>
      <c r="E219">
        <v>2.3199999999999998</v>
      </c>
      <c r="F219">
        <v>0</v>
      </c>
      <c r="G219">
        <v>0.36940000000000001</v>
      </c>
      <c r="H219">
        <v>0.36940000000000001</v>
      </c>
      <c r="I219">
        <v>0.89610000000000001</v>
      </c>
      <c r="J219">
        <v>2.8475000000000001</v>
      </c>
      <c r="K219">
        <v>11.975</v>
      </c>
      <c r="L219">
        <v>0.12970000000000001</v>
      </c>
      <c r="M219">
        <v>1.5800000000000002E-2</v>
      </c>
      <c r="N219">
        <v>1.09E-2</v>
      </c>
      <c r="O219">
        <v>0.44740000000000002</v>
      </c>
      <c r="P219">
        <v>0</v>
      </c>
      <c r="Q219">
        <v>0</v>
      </c>
      <c r="R219">
        <v>0.39679999999999999</v>
      </c>
      <c r="S219">
        <v>0.37540000000000001</v>
      </c>
    </row>
    <row r="220" spans="1:19" x14ac:dyDescent="0.25">
      <c r="A220" t="s">
        <v>297</v>
      </c>
      <c r="B220" t="s">
        <v>3</v>
      </c>
      <c r="D220" t="s">
        <v>19</v>
      </c>
      <c r="E220">
        <v>2.3199999999999998</v>
      </c>
      <c r="F220">
        <v>6.6E-3</v>
      </c>
      <c r="G220">
        <v>0.22409999999999999</v>
      </c>
      <c r="H220">
        <v>0.2175</v>
      </c>
      <c r="I220">
        <v>1.5306999999999999</v>
      </c>
      <c r="J220">
        <v>3.2814999999999999</v>
      </c>
      <c r="K220">
        <v>11.8085</v>
      </c>
      <c r="L220">
        <v>0.23380000000000001</v>
      </c>
      <c r="M220">
        <v>1.5800000000000002E-2</v>
      </c>
      <c r="N220">
        <v>1.09E-2</v>
      </c>
      <c r="O220">
        <v>0.65559999999999996</v>
      </c>
      <c r="P220">
        <v>0</v>
      </c>
      <c r="Q220">
        <v>0</v>
      </c>
      <c r="R220">
        <v>0.3992</v>
      </c>
      <c r="S220">
        <v>0.41499999999999998</v>
      </c>
    </row>
    <row r="221" spans="1:19" x14ac:dyDescent="0.25">
      <c r="A221" t="s">
        <v>350</v>
      </c>
      <c r="B221" t="s">
        <v>3</v>
      </c>
      <c r="D221" t="s">
        <v>17</v>
      </c>
      <c r="E221">
        <v>0.96</v>
      </c>
      <c r="F221">
        <v>8.9099999999999999E-2</v>
      </c>
      <c r="G221">
        <v>0.246</v>
      </c>
      <c r="H221">
        <v>0.15690000000000001</v>
      </c>
      <c r="I221">
        <v>2.1827999999999999</v>
      </c>
      <c r="J221">
        <v>1.9540999999999999</v>
      </c>
      <c r="K221">
        <v>4.4489999999999998</v>
      </c>
      <c r="L221">
        <v>6.6400000000000001E-2</v>
      </c>
      <c r="M221">
        <v>1.5800000000000002E-2</v>
      </c>
      <c r="N221">
        <v>1.09E-2</v>
      </c>
      <c r="O221">
        <v>0.32079999999999997</v>
      </c>
      <c r="P221">
        <v>0</v>
      </c>
      <c r="Q221">
        <v>0</v>
      </c>
      <c r="R221">
        <v>0.41010000000000002</v>
      </c>
      <c r="S221">
        <v>0.61780000000000002</v>
      </c>
    </row>
    <row r="222" spans="1:19" x14ac:dyDescent="0.25">
      <c r="A222" t="s">
        <v>263</v>
      </c>
      <c r="B222" t="s">
        <v>24</v>
      </c>
      <c r="D222" t="s">
        <v>30</v>
      </c>
      <c r="E222">
        <v>2.11</v>
      </c>
      <c r="F222">
        <v>0.82140000000000002</v>
      </c>
      <c r="G222">
        <v>1.1105</v>
      </c>
      <c r="H222">
        <v>0.28910000000000002</v>
      </c>
      <c r="I222">
        <v>6.0766</v>
      </c>
      <c r="J222">
        <v>0.36820000000000003</v>
      </c>
      <c r="K222">
        <v>3.5196999999999998</v>
      </c>
      <c r="L222">
        <v>0.28089999999999998</v>
      </c>
      <c r="M222">
        <v>1.5800000000000002E-2</v>
      </c>
      <c r="N222">
        <v>1.09E-2</v>
      </c>
      <c r="O222">
        <v>0.74980000000000002</v>
      </c>
      <c r="P222">
        <v>0.69499999999999995</v>
      </c>
      <c r="Q222">
        <v>1.8411999999999999</v>
      </c>
      <c r="R222">
        <v>0.27400000000000002</v>
      </c>
      <c r="S222">
        <v>0.4909</v>
      </c>
    </row>
    <row r="223" spans="1:19" x14ac:dyDescent="0.25">
      <c r="A223" t="s">
        <v>275</v>
      </c>
      <c r="B223" t="s">
        <v>3</v>
      </c>
      <c r="D223" t="s">
        <v>30</v>
      </c>
      <c r="E223">
        <v>0.72</v>
      </c>
      <c r="F223">
        <v>5.8700000000000002E-2</v>
      </c>
      <c r="G223">
        <v>8.8099999999999998E-2</v>
      </c>
      <c r="H223">
        <v>2.9399999999999999E-2</v>
      </c>
      <c r="I223">
        <v>3.0676000000000001</v>
      </c>
      <c r="J223">
        <v>1.8021</v>
      </c>
      <c r="K223">
        <v>6.9207000000000001</v>
      </c>
      <c r="L223">
        <v>0.29099999999999998</v>
      </c>
      <c r="M223">
        <v>1.5800000000000002E-2</v>
      </c>
      <c r="N223">
        <v>1.09E-2</v>
      </c>
      <c r="O223">
        <v>0.77</v>
      </c>
      <c r="P223">
        <v>0</v>
      </c>
      <c r="Q223">
        <v>0</v>
      </c>
      <c r="R223">
        <v>0.41539999999999999</v>
      </c>
      <c r="S223">
        <v>0.60170000000000001</v>
      </c>
    </row>
    <row r="224" spans="1:19" x14ac:dyDescent="0.25">
      <c r="A224" t="s">
        <v>251</v>
      </c>
      <c r="B224" t="s">
        <v>3</v>
      </c>
      <c r="D224" t="s">
        <v>2</v>
      </c>
      <c r="E224">
        <v>2.56</v>
      </c>
      <c r="F224">
        <v>0</v>
      </c>
      <c r="G224">
        <v>0.38829999999999998</v>
      </c>
      <c r="H224">
        <v>0.38829999999999998</v>
      </c>
      <c r="I224">
        <v>1.0533999999999999</v>
      </c>
      <c r="J224">
        <v>7.468</v>
      </c>
      <c r="K224">
        <v>13.532500000000001</v>
      </c>
      <c r="L224">
        <v>0.39589999999999997</v>
      </c>
      <c r="M224">
        <v>1.5800000000000002E-2</v>
      </c>
      <c r="N224">
        <v>1.09E-2</v>
      </c>
      <c r="O224">
        <v>0.9798</v>
      </c>
      <c r="P224">
        <v>0</v>
      </c>
      <c r="Q224">
        <v>0</v>
      </c>
      <c r="R224">
        <v>0.3896</v>
      </c>
      <c r="S224">
        <v>0.90749999999999997</v>
      </c>
    </row>
    <row r="225" spans="1:19" x14ac:dyDescent="0.25">
      <c r="A225" t="s">
        <v>544</v>
      </c>
      <c r="B225" t="s">
        <v>3</v>
      </c>
      <c r="D225" t="s">
        <v>9</v>
      </c>
      <c r="E225">
        <v>0.85</v>
      </c>
      <c r="F225">
        <v>7.7399999999999997E-2</v>
      </c>
      <c r="G225">
        <v>0.126</v>
      </c>
      <c r="H225">
        <v>4.8599999999999997E-2</v>
      </c>
      <c r="I225">
        <v>2.5215999999999998</v>
      </c>
      <c r="J225">
        <v>0.56479999999999997</v>
      </c>
      <c r="K225">
        <v>9.2459000000000007</v>
      </c>
      <c r="L225">
        <v>9.8599999999999993E-2</v>
      </c>
      <c r="M225">
        <v>1.5800000000000002E-2</v>
      </c>
      <c r="N225">
        <v>1.09E-2</v>
      </c>
      <c r="O225">
        <v>0.38519999999999999</v>
      </c>
      <c r="P225">
        <v>0</v>
      </c>
      <c r="Q225">
        <v>0</v>
      </c>
      <c r="R225">
        <v>0.42359999999999998</v>
      </c>
      <c r="S225">
        <v>0.19769999999999999</v>
      </c>
    </row>
    <row r="226" spans="1:19" x14ac:dyDescent="0.25">
      <c r="A226" t="s">
        <v>525</v>
      </c>
      <c r="B226" t="s">
        <v>24</v>
      </c>
      <c r="D226" t="s">
        <v>27</v>
      </c>
      <c r="E226">
        <v>0.95</v>
      </c>
      <c r="F226">
        <v>0.40050000000000002</v>
      </c>
      <c r="G226">
        <v>0.1842</v>
      </c>
      <c r="H226">
        <v>0</v>
      </c>
      <c r="I226">
        <v>2.9003000000000001</v>
      </c>
      <c r="J226">
        <v>7.6458000000000004</v>
      </c>
      <c r="K226">
        <v>7.1767000000000003</v>
      </c>
      <c r="L226">
        <v>0.13150000000000001</v>
      </c>
      <c r="M226">
        <v>1.5800000000000002E-2</v>
      </c>
      <c r="N226">
        <v>1.09E-2</v>
      </c>
      <c r="O226">
        <v>0.45100000000000001</v>
      </c>
      <c r="P226">
        <v>1.8605</v>
      </c>
      <c r="Q226">
        <v>3.7254</v>
      </c>
      <c r="R226">
        <v>0.33310000000000001</v>
      </c>
      <c r="S226">
        <v>1.2687999999999999</v>
      </c>
    </row>
    <row r="227" spans="1:19" x14ac:dyDescent="0.25">
      <c r="A227" t="s">
        <v>281</v>
      </c>
      <c r="B227" t="s">
        <v>24</v>
      </c>
      <c r="D227" t="s">
        <v>22</v>
      </c>
      <c r="E227">
        <v>0.26</v>
      </c>
      <c r="F227">
        <v>0.45519999999999999</v>
      </c>
      <c r="G227">
        <v>0.28739999999999999</v>
      </c>
      <c r="H227">
        <v>0</v>
      </c>
      <c r="I227">
        <v>6.7316000000000003</v>
      </c>
      <c r="J227">
        <v>3.1099000000000001</v>
      </c>
      <c r="K227">
        <v>3.4102999999999999</v>
      </c>
      <c r="L227">
        <v>0.18990000000000001</v>
      </c>
      <c r="M227">
        <v>1.5800000000000002E-2</v>
      </c>
      <c r="N227">
        <v>1.09E-2</v>
      </c>
      <c r="O227">
        <v>0.56779999999999997</v>
      </c>
      <c r="P227">
        <v>24.924199999999999</v>
      </c>
      <c r="Q227">
        <v>28.666499999999999</v>
      </c>
      <c r="R227">
        <v>0.46510000000000001</v>
      </c>
      <c r="S227">
        <v>0.7429</v>
      </c>
    </row>
    <row r="228" spans="1:19" x14ac:dyDescent="0.25">
      <c r="A228" t="s">
        <v>323</v>
      </c>
      <c r="B228" t="s">
        <v>3</v>
      </c>
      <c r="D228" t="s">
        <v>9</v>
      </c>
      <c r="E228">
        <v>1.64</v>
      </c>
      <c r="F228">
        <v>8.6999999999999994E-3</v>
      </c>
      <c r="G228">
        <v>0.1086</v>
      </c>
      <c r="H228">
        <v>9.9900000000000003E-2</v>
      </c>
      <c r="I228">
        <v>1.4026000000000001</v>
      </c>
      <c r="J228">
        <v>7.6353999999999997</v>
      </c>
      <c r="K228">
        <v>6.4074</v>
      </c>
      <c r="L228">
        <v>0.15840000000000001</v>
      </c>
      <c r="M228">
        <v>1.5800000000000002E-2</v>
      </c>
      <c r="N228">
        <v>1.09E-2</v>
      </c>
      <c r="O228">
        <v>0.50480000000000003</v>
      </c>
      <c r="P228">
        <v>0</v>
      </c>
      <c r="Q228">
        <v>0</v>
      </c>
      <c r="R228">
        <v>0.40479999999999999</v>
      </c>
      <c r="S228">
        <v>0.53590000000000004</v>
      </c>
    </row>
    <row r="229" spans="1:19" x14ac:dyDescent="0.25">
      <c r="A229" t="s">
        <v>663</v>
      </c>
      <c r="B229" t="s">
        <v>24</v>
      </c>
      <c r="D229" t="s">
        <v>29</v>
      </c>
      <c r="E229">
        <v>2.2999999999999998</v>
      </c>
      <c r="F229">
        <v>0.23300000000000001</v>
      </c>
      <c r="G229">
        <v>0.36070000000000002</v>
      </c>
      <c r="H229">
        <v>0.12770000000000001</v>
      </c>
      <c r="I229">
        <v>2.5213000000000001</v>
      </c>
      <c r="J229">
        <v>1.7553000000000001</v>
      </c>
      <c r="K229">
        <v>7.6772</v>
      </c>
      <c r="L229">
        <v>0.43540000000000001</v>
      </c>
      <c r="M229">
        <v>1.5800000000000002E-2</v>
      </c>
      <c r="N229">
        <v>1.09E-2</v>
      </c>
      <c r="O229">
        <v>1.0588</v>
      </c>
      <c r="P229">
        <v>33.143300000000004</v>
      </c>
      <c r="Q229">
        <v>44.421500000000002</v>
      </c>
      <c r="R229">
        <v>0.42730000000000001</v>
      </c>
      <c r="S229">
        <v>0.49780000000000002</v>
      </c>
    </row>
    <row r="230" spans="1:19" x14ac:dyDescent="0.25">
      <c r="A230" t="s">
        <v>891</v>
      </c>
      <c r="B230" t="s">
        <v>24</v>
      </c>
      <c r="D230" t="s">
        <v>19</v>
      </c>
      <c r="E230">
        <v>0.89</v>
      </c>
      <c r="F230">
        <v>0.90990000000000004</v>
      </c>
      <c r="G230">
        <v>0.53849999999999998</v>
      </c>
      <c r="H230">
        <v>0</v>
      </c>
      <c r="I230">
        <v>5.6963999999999997</v>
      </c>
      <c r="J230">
        <v>1.2379</v>
      </c>
      <c r="K230">
        <v>2.5175000000000001</v>
      </c>
      <c r="L230">
        <v>0.97860000000000003</v>
      </c>
      <c r="M230">
        <v>1.5800000000000002E-2</v>
      </c>
      <c r="N230">
        <v>1.09E-2</v>
      </c>
      <c r="O230">
        <v>2.1452</v>
      </c>
      <c r="P230">
        <v>28.843800000000002</v>
      </c>
      <c r="Q230">
        <v>22.133199999999999</v>
      </c>
      <c r="R230">
        <v>0.56579999999999997</v>
      </c>
      <c r="S230">
        <v>0.31380000000000002</v>
      </c>
    </row>
    <row r="231" spans="1:19" x14ac:dyDescent="0.25">
      <c r="A231" t="s">
        <v>621</v>
      </c>
      <c r="B231" t="s">
        <v>24</v>
      </c>
      <c r="D231" t="s">
        <v>10</v>
      </c>
      <c r="E231">
        <v>2.09</v>
      </c>
      <c r="F231">
        <v>8.9300000000000004E-2</v>
      </c>
      <c r="G231">
        <v>5.0900000000000001E-2</v>
      </c>
      <c r="H231">
        <v>0</v>
      </c>
      <c r="I231">
        <v>2.1734</v>
      </c>
      <c r="J231">
        <v>5.79E-2</v>
      </c>
      <c r="K231">
        <v>8.6408000000000005</v>
      </c>
      <c r="L231">
        <v>0.15679999999999999</v>
      </c>
      <c r="M231">
        <v>1.5800000000000002E-2</v>
      </c>
      <c r="N231">
        <v>1.09E-2</v>
      </c>
      <c r="O231">
        <v>0.50160000000000005</v>
      </c>
      <c r="P231">
        <v>22.860800000000001</v>
      </c>
      <c r="Q231">
        <v>24.990400000000001</v>
      </c>
      <c r="R231">
        <v>0.47770000000000001</v>
      </c>
      <c r="S231">
        <v>0.35610000000000003</v>
      </c>
    </row>
    <row r="232" spans="1:19" x14ac:dyDescent="0.25">
      <c r="A232" t="s">
        <v>606</v>
      </c>
      <c r="B232" t="s">
        <v>3</v>
      </c>
      <c r="D232" t="s">
        <v>29</v>
      </c>
      <c r="E232">
        <v>2.7</v>
      </c>
      <c r="F232">
        <v>0</v>
      </c>
      <c r="G232">
        <v>0.2427</v>
      </c>
      <c r="H232">
        <v>0.2427</v>
      </c>
      <c r="I232">
        <v>1.325</v>
      </c>
      <c r="J232">
        <v>3.3239000000000001</v>
      </c>
      <c r="K232">
        <v>7.6997999999999998</v>
      </c>
      <c r="L232">
        <v>3.5999999999999997E-2</v>
      </c>
      <c r="M232">
        <v>1.5800000000000002E-2</v>
      </c>
      <c r="N232">
        <v>1.09E-2</v>
      </c>
      <c r="O232">
        <v>0.26</v>
      </c>
      <c r="P232">
        <v>0</v>
      </c>
      <c r="Q232">
        <v>0</v>
      </c>
      <c r="R232">
        <v>0.38819999999999999</v>
      </c>
      <c r="S232">
        <v>0.30299999999999999</v>
      </c>
    </row>
    <row r="233" spans="1:19" x14ac:dyDescent="0.25">
      <c r="A233" t="s">
        <v>608</v>
      </c>
      <c r="B233" t="s">
        <v>3</v>
      </c>
      <c r="D233" t="s">
        <v>14</v>
      </c>
      <c r="E233">
        <v>2.35</v>
      </c>
      <c r="F233">
        <v>1.34E-2</v>
      </c>
      <c r="G233">
        <v>0.32119999999999999</v>
      </c>
      <c r="H233">
        <v>0.30780000000000002</v>
      </c>
      <c r="I233">
        <v>1.0475000000000001</v>
      </c>
      <c r="J233">
        <v>2.0950000000000002</v>
      </c>
      <c r="K233">
        <v>5.1875999999999998</v>
      </c>
      <c r="L233">
        <v>5.6000000000000001E-2</v>
      </c>
      <c r="M233">
        <v>1.5800000000000002E-2</v>
      </c>
      <c r="N233">
        <v>1.09E-2</v>
      </c>
      <c r="O233">
        <v>0.3</v>
      </c>
      <c r="P233">
        <v>0</v>
      </c>
      <c r="Q233">
        <v>0</v>
      </c>
      <c r="R233">
        <v>0.40410000000000001</v>
      </c>
      <c r="S233">
        <v>0.1303</v>
      </c>
    </row>
    <row r="234" spans="1:19" x14ac:dyDescent="0.25">
      <c r="A234" t="s">
        <v>410</v>
      </c>
      <c r="B234" t="s">
        <v>24</v>
      </c>
      <c r="D234" t="s">
        <v>13</v>
      </c>
      <c r="E234">
        <v>0.51</v>
      </c>
      <c r="F234">
        <v>0.61539999999999995</v>
      </c>
      <c r="G234">
        <v>1.4117</v>
      </c>
      <c r="H234">
        <v>0.79630000000000001</v>
      </c>
      <c r="I234">
        <v>5.1909999999999998</v>
      </c>
      <c r="J234">
        <v>1.5278</v>
      </c>
      <c r="K234">
        <v>5.5777999999999999</v>
      </c>
      <c r="L234">
        <v>0.13869999999999999</v>
      </c>
      <c r="M234">
        <v>1.5800000000000002E-2</v>
      </c>
      <c r="N234">
        <v>1.09E-2</v>
      </c>
      <c r="O234">
        <v>0.46539999999999998</v>
      </c>
      <c r="P234">
        <v>6.5503</v>
      </c>
      <c r="Q234">
        <v>10.5342</v>
      </c>
      <c r="R234">
        <v>0.38340000000000002</v>
      </c>
      <c r="S234">
        <v>0.26129999999999998</v>
      </c>
    </row>
    <row r="235" spans="1:19" x14ac:dyDescent="0.25">
      <c r="A235" t="s">
        <v>915</v>
      </c>
      <c r="B235" t="s">
        <v>3</v>
      </c>
      <c r="D235" t="s">
        <v>32</v>
      </c>
      <c r="E235">
        <v>1.73</v>
      </c>
      <c r="F235">
        <v>0.1071</v>
      </c>
      <c r="G235">
        <v>1.0956999999999999</v>
      </c>
      <c r="H235">
        <v>0.98860000000000003</v>
      </c>
      <c r="I235">
        <v>0.92989999999999995</v>
      </c>
      <c r="J235">
        <v>4.3643999999999998</v>
      </c>
      <c r="K235">
        <v>16.071300000000001</v>
      </c>
      <c r="L235">
        <v>0.58779999999999999</v>
      </c>
      <c r="M235">
        <v>1.5800000000000002E-2</v>
      </c>
      <c r="N235">
        <v>1.09E-2</v>
      </c>
      <c r="O235">
        <v>1.3635999999999999</v>
      </c>
      <c r="P235">
        <v>0</v>
      </c>
      <c r="Q235">
        <v>0</v>
      </c>
      <c r="R235">
        <v>0.41460000000000002</v>
      </c>
      <c r="S235">
        <v>0.5746</v>
      </c>
    </row>
    <row r="236" spans="1:19" x14ac:dyDescent="0.25">
      <c r="A236" t="s">
        <v>320</v>
      </c>
      <c r="B236" t="s">
        <v>24</v>
      </c>
      <c r="D236" t="s">
        <v>6</v>
      </c>
      <c r="E236">
        <v>1.1499999999999999</v>
      </c>
      <c r="F236">
        <v>0.59330000000000005</v>
      </c>
      <c r="G236">
        <v>0.39369999999999999</v>
      </c>
      <c r="H236">
        <v>0</v>
      </c>
      <c r="I236">
        <v>4.8053999999999997</v>
      </c>
      <c r="J236">
        <v>0.75390000000000001</v>
      </c>
      <c r="K236">
        <v>4.5861000000000001</v>
      </c>
      <c r="L236">
        <v>0.4304</v>
      </c>
      <c r="M236">
        <v>1.5800000000000002E-2</v>
      </c>
      <c r="N236">
        <v>1.09E-2</v>
      </c>
      <c r="O236">
        <v>1.0488</v>
      </c>
      <c r="P236">
        <v>21.817</v>
      </c>
      <c r="Q236">
        <v>18.960599999999999</v>
      </c>
      <c r="R236">
        <v>0.53500000000000003</v>
      </c>
      <c r="S236">
        <v>1.3201000000000001</v>
      </c>
    </row>
    <row r="237" spans="1:19" x14ac:dyDescent="0.25">
      <c r="A237" t="s">
        <v>488</v>
      </c>
      <c r="B237" t="s">
        <v>24</v>
      </c>
      <c r="D237" t="s">
        <v>27</v>
      </c>
      <c r="E237">
        <v>1.53</v>
      </c>
      <c r="F237">
        <v>0.33</v>
      </c>
      <c r="G237">
        <v>0.90469999999999995</v>
      </c>
      <c r="H237">
        <v>0.57469999999999999</v>
      </c>
      <c r="I237">
        <v>2.4390999999999998</v>
      </c>
      <c r="J237">
        <v>0.35930000000000001</v>
      </c>
      <c r="K237">
        <v>4.6002000000000001</v>
      </c>
      <c r="L237">
        <v>0.19400000000000001</v>
      </c>
      <c r="M237">
        <v>1.5800000000000002E-2</v>
      </c>
      <c r="N237">
        <v>1.09E-2</v>
      </c>
      <c r="O237">
        <v>0.57599999999999996</v>
      </c>
      <c r="P237">
        <v>23.438099999999999</v>
      </c>
      <c r="Q237">
        <v>18.722200000000001</v>
      </c>
      <c r="R237">
        <v>0.55589999999999995</v>
      </c>
      <c r="S237">
        <v>0.92030000000000001</v>
      </c>
    </row>
    <row r="238" spans="1:19" x14ac:dyDescent="0.25">
      <c r="A238" t="s">
        <v>770</v>
      </c>
      <c r="B238" t="s">
        <v>24</v>
      </c>
      <c r="D238" t="s">
        <v>33</v>
      </c>
      <c r="E238">
        <v>1.99</v>
      </c>
      <c r="F238">
        <v>0.20330000000000001</v>
      </c>
      <c r="G238">
        <v>0.43769999999999998</v>
      </c>
      <c r="H238">
        <v>0.2344</v>
      </c>
      <c r="I238">
        <v>2.8982999999999999</v>
      </c>
      <c r="J238">
        <v>1.6633</v>
      </c>
      <c r="K238">
        <v>3.8538000000000001</v>
      </c>
      <c r="L238">
        <v>5.3400000000000003E-2</v>
      </c>
      <c r="M238">
        <v>1.5800000000000002E-2</v>
      </c>
      <c r="N238">
        <v>1.09E-2</v>
      </c>
      <c r="O238">
        <v>0.29480000000000001</v>
      </c>
      <c r="P238">
        <v>24.598400000000002</v>
      </c>
      <c r="Q238">
        <v>19.4603</v>
      </c>
      <c r="R238">
        <v>0.55830000000000002</v>
      </c>
      <c r="S238">
        <v>0.37359999999999999</v>
      </c>
    </row>
    <row r="239" spans="1:19" x14ac:dyDescent="0.25">
      <c r="A239" t="s">
        <v>347</v>
      </c>
      <c r="B239" t="s">
        <v>3</v>
      </c>
      <c r="D239" t="s">
        <v>28</v>
      </c>
      <c r="E239">
        <v>1.42</v>
      </c>
      <c r="F239">
        <v>4.9599999999999998E-2</v>
      </c>
      <c r="G239">
        <v>8.2199999999999995E-2</v>
      </c>
      <c r="H239">
        <v>3.2599999999999997E-2</v>
      </c>
      <c r="I239">
        <v>1.7678</v>
      </c>
      <c r="J239">
        <v>3.7976000000000001</v>
      </c>
      <c r="K239">
        <v>7.9687000000000001</v>
      </c>
      <c r="L239">
        <v>0.26850000000000002</v>
      </c>
      <c r="M239">
        <v>1.5800000000000002E-2</v>
      </c>
      <c r="N239">
        <v>1.09E-2</v>
      </c>
      <c r="O239">
        <v>0.72499999999999998</v>
      </c>
      <c r="P239">
        <v>0</v>
      </c>
      <c r="Q239">
        <v>0</v>
      </c>
      <c r="R239">
        <v>0.41389999999999999</v>
      </c>
      <c r="S239">
        <v>0.47849999999999998</v>
      </c>
    </row>
    <row r="240" spans="1:19" x14ac:dyDescent="0.25">
      <c r="A240" t="s">
        <v>505</v>
      </c>
      <c r="B240" t="s">
        <v>24</v>
      </c>
      <c r="D240" t="s">
        <v>28</v>
      </c>
      <c r="E240">
        <v>1.34</v>
      </c>
      <c r="F240">
        <v>0.45650000000000002</v>
      </c>
      <c r="G240">
        <v>0.71560000000000001</v>
      </c>
      <c r="H240">
        <v>0.2591</v>
      </c>
      <c r="I240">
        <v>2.7618999999999998</v>
      </c>
      <c r="J240">
        <v>0.39450000000000002</v>
      </c>
      <c r="K240">
        <v>3.3915000000000002</v>
      </c>
      <c r="L240">
        <v>6.9500000000000006E-2</v>
      </c>
      <c r="M240">
        <v>1.5800000000000002E-2</v>
      </c>
      <c r="N240">
        <v>1.09E-2</v>
      </c>
      <c r="O240">
        <v>0.32700000000000001</v>
      </c>
      <c r="P240">
        <v>23.632200000000001</v>
      </c>
      <c r="Q240">
        <v>28.891999999999999</v>
      </c>
      <c r="R240">
        <v>0.44990000000000002</v>
      </c>
      <c r="S240">
        <v>0.56240000000000001</v>
      </c>
    </row>
    <row r="241" spans="1:19" x14ac:dyDescent="0.25">
      <c r="A241" t="s">
        <v>415</v>
      </c>
      <c r="B241" t="s">
        <v>3</v>
      </c>
      <c r="D241" t="s">
        <v>137</v>
      </c>
      <c r="E241">
        <v>1.73</v>
      </c>
      <c r="F241">
        <v>7.3499999999999996E-2</v>
      </c>
      <c r="G241">
        <v>0.41370000000000001</v>
      </c>
      <c r="H241">
        <v>0.3402</v>
      </c>
      <c r="I241">
        <v>2.0112999999999999</v>
      </c>
      <c r="J241">
        <v>3.8956</v>
      </c>
      <c r="K241">
        <v>4.3836000000000004</v>
      </c>
      <c r="L241">
        <v>0.64300000000000002</v>
      </c>
      <c r="M241">
        <v>1.5800000000000002E-2</v>
      </c>
      <c r="N241">
        <v>1.09E-2</v>
      </c>
      <c r="O241">
        <v>1.474</v>
      </c>
      <c r="P241">
        <v>0</v>
      </c>
      <c r="Q241">
        <v>0</v>
      </c>
      <c r="R241">
        <v>0.40479999999999999</v>
      </c>
      <c r="S241">
        <v>0.47899999999999998</v>
      </c>
    </row>
    <row r="242" spans="1:19" x14ac:dyDescent="0.25">
      <c r="A242" t="s">
        <v>528</v>
      </c>
      <c r="B242" t="s">
        <v>3</v>
      </c>
      <c r="D242" t="s">
        <v>21</v>
      </c>
      <c r="E242">
        <v>0.97</v>
      </c>
      <c r="F242">
        <v>0</v>
      </c>
      <c r="G242">
        <v>6.8699999999999997E-2</v>
      </c>
      <c r="H242">
        <v>6.8699999999999997E-2</v>
      </c>
      <c r="I242">
        <v>0.81169999999999998</v>
      </c>
      <c r="J242">
        <v>1.2250000000000001</v>
      </c>
      <c r="K242">
        <v>8.5830000000000002</v>
      </c>
      <c r="L242">
        <v>0.38650000000000001</v>
      </c>
      <c r="M242">
        <v>1.5800000000000002E-2</v>
      </c>
      <c r="N242">
        <v>1.09E-2</v>
      </c>
      <c r="O242">
        <v>0.96099999999999997</v>
      </c>
      <c r="P242">
        <v>0</v>
      </c>
      <c r="Q242">
        <v>0</v>
      </c>
      <c r="R242">
        <v>0.41</v>
      </c>
      <c r="S242">
        <v>0.25800000000000001</v>
      </c>
    </row>
    <row r="243" spans="1:19" x14ac:dyDescent="0.25">
      <c r="A243" t="s">
        <v>588</v>
      </c>
      <c r="B243" t="s">
        <v>3</v>
      </c>
      <c r="D243" t="s">
        <v>31</v>
      </c>
      <c r="E243">
        <v>2.27</v>
      </c>
      <c r="F243">
        <v>8.0299999999999996E-2</v>
      </c>
      <c r="G243">
        <v>0.22570000000000001</v>
      </c>
      <c r="H243">
        <v>0.1454</v>
      </c>
      <c r="I243">
        <v>1.3115000000000001</v>
      </c>
      <c r="J243">
        <v>5.3330000000000002</v>
      </c>
      <c r="K243">
        <v>8.5527999999999995</v>
      </c>
      <c r="L243">
        <v>0.1305</v>
      </c>
      <c r="M243">
        <v>1.5800000000000002E-2</v>
      </c>
      <c r="N243">
        <v>1.09E-2</v>
      </c>
      <c r="O243">
        <v>0.44900000000000001</v>
      </c>
      <c r="P243">
        <v>0</v>
      </c>
      <c r="Q243">
        <v>0</v>
      </c>
      <c r="R243">
        <v>0.39929999999999999</v>
      </c>
      <c r="S243">
        <v>0.56010000000000004</v>
      </c>
    </row>
    <row r="244" spans="1:19" x14ac:dyDescent="0.25">
      <c r="A244" t="s">
        <v>916</v>
      </c>
      <c r="B244" t="s">
        <v>24</v>
      </c>
      <c r="D244" t="s">
        <v>32</v>
      </c>
      <c r="E244">
        <v>1.6</v>
      </c>
      <c r="F244">
        <v>6.3600000000000004E-2</v>
      </c>
      <c r="G244">
        <v>1.1253</v>
      </c>
      <c r="H244">
        <v>1.0617000000000001</v>
      </c>
      <c r="I244">
        <v>1.1180000000000001</v>
      </c>
      <c r="J244">
        <v>1.4252</v>
      </c>
      <c r="K244">
        <v>4.9941000000000004</v>
      </c>
      <c r="L244">
        <v>7.3499999999999996E-2</v>
      </c>
      <c r="M244">
        <v>1.5800000000000002E-2</v>
      </c>
      <c r="N244">
        <v>1.09E-2</v>
      </c>
      <c r="O244">
        <v>0.33500000000000002</v>
      </c>
      <c r="P244">
        <v>9.4334000000000007</v>
      </c>
      <c r="Q244">
        <v>18.980799999999999</v>
      </c>
      <c r="R244">
        <v>0.33200000000000002</v>
      </c>
      <c r="S244">
        <v>0.66169999999999995</v>
      </c>
    </row>
    <row r="245" spans="1:19" x14ac:dyDescent="0.25">
      <c r="A245" t="s">
        <v>329</v>
      </c>
      <c r="B245" t="s">
        <v>3</v>
      </c>
      <c r="D245" t="s">
        <v>20</v>
      </c>
      <c r="E245">
        <v>1</v>
      </c>
      <c r="F245">
        <v>3.5799999999999998E-2</v>
      </c>
      <c r="G245">
        <v>0.37409999999999999</v>
      </c>
      <c r="H245">
        <v>0.33829999999999999</v>
      </c>
      <c r="I245">
        <v>0.55369999999999997</v>
      </c>
      <c r="J245">
        <v>1.9212</v>
      </c>
      <c r="K245">
        <v>7.9996999999999998</v>
      </c>
      <c r="L245">
        <v>0.55879999999999996</v>
      </c>
      <c r="M245">
        <v>1.5800000000000002E-2</v>
      </c>
      <c r="N245">
        <v>1.09E-2</v>
      </c>
      <c r="O245">
        <v>1.3056000000000001</v>
      </c>
      <c r="P245">
        <v>0</v>
      </c>
      <c r="Q245">
        <v>0</v>
      </c>
      <c r="R245">
        <v>0.42259999999999998</v>
      </c>
      <c r="S245">
        <v>0.3987</v>
      </c>
    </row>
    <row r="246" spans="1:19" x14ac:dyDescent="0.25">
      <c r="A246" t="s">
        <v>637</v>
      </c>
      <c r="B246" t="s">
        <v>24</v>
      </c>
      <c r="D246" t="s">
        <v>30</v>
      </c>
      <c r="E246">
        <v>0.91</v>
      </c>
      <c r="F246">
        <v>0.63160000000000005</v>
      </c>
      <c r="G246">
        <v>1.2000999999999999</v>
      </c>
      <c r="H246">
        <v>0.56850000000000001</v>
      </c>
      <c r="I246">
        <v>4.0423999999999998</v>
      </c>
      <c r="J246">
        <v>1.8</v>
      </c>
      <c r="K246">
        <v>3.2616999999999998</v>
      </c>
      <c r="L246">
        <v>1.2048000000000001</v>
      </c>
      <c r="M246">
        <v>1.5800000000000002E-2</v>
      </c>
      <c r="N246">
        <v>1.09E-2</v>
      </c>
      <c r="O246">
        <v>2.5975999999999999</v>
      </c>
      <c r="P246">
        <v>1.0582</v>
      </c>
      <c r="Q246">
        <v>1.8535999999999999</v>
      </c>
      <c r="R246">
        <v>0.3634</v>
      </c>
      <c r="S246">
        <v>0.46839999999999998</v>
      </c>
    </row>
    <row r="247" spans="1:19" x14ac:dyDescent="0.25">
      <c r="A247" t="s">
        <v>391</v>
      </c>
      <c r="B247" t="s">
        <v>3</v>
      </c>
      <c r="D247" t="s">
        <v>1172</v>
      </c>
      <c r="E247">
        <v>2.36</v>
      </c>
      <c r="F247">
        <v>2.52E-2</v>
      </c>
      <c r="G247">
        <v>0.86040000000000005</v>
      </c>
      <c r="H247">
        <v>0.83520000000000005</v>
      </c>
      <c r="I247">
        <v>1.2516</v>
      </c>
      <c r="J247">
        <v>1.5513999999999999</v>
      </c>
      <c r="K247">
        <v>6.2545999999999999</v>
      </c>
      <c r="L247">
        <v>4.0300000000000002E-2</v>
      </c>
      <c r="M247">
        <v>1.5800000000000002E-2</v>
      </c>
      <c r="N247">
        <v>1.09E-2</v>
      </c>
      <c r="O247">
        <v>0.26860000000000001</v>
      </c>
      <c r="P247">
        <v>0</v>
      </c>
      <c r="Q247">
        <v>0</v>
      </c>
      <c r="R247">
        <v>0.39229999999999998</v>
      </c>
      <c r="S247">
        <v>0.42599999999999999</v>
      </c>
    </row>
    <row r="248" spans="1:19" x14ac:dyDescent="0.25">
      <c r="A248" t="s">
        <v>917</v>
      </c>
      <c r="B248" t="s">
        <v>3</v>
      </c>
      <c r="D248" t="s">
        <v>8</v>
      </c>
      <c r="E248">
        <v>1.74</v>
      </c>
      <c r="F248">
        <v>7.0099999999999996E-2</v>
      </c>
      <c r="G248">
        <v>0.1656</v>
      </c>
      <c r="H248">
        <v>9.5500000000000002E-2</v>
      </c>
      <c r="I248">
        <v>1.1995</v>
      </c>
      <c r="J248">
        <v>4.3573000000000004</v>
      </c>
      <c r="K248">
        <v>13.2949</v>
      </c>
      <c r="L248">
        <v>0.2382</v>
      </c>
      <c r="M248">
        <v>1.5800000000000002E-2</v>
      </c>
      <c r="N248">
        <v>1.09E-2</v>
      </c>
      <c r="O248">
        <v>0.66439999999999999</v>
      </c>
      <c r="P248">
        <v>0</v>
      </c>
      <c r="Q248">
        <v>0</v>
      </c>
      <c r="R248">
        <v>0.43009999999999998</v>
      </c>
      <c r="S248">
        <v>0.23319999999999999</v>
      </c>
    </row>
    <row r="249" spans="1:19" x14ac:dyDescent="0.25">
      <c r="A249" t="s">
        <v>678</v>
      </c>
      <c r="B249" t="s">
        <v>24</v>
      </c>
      <c r="D249" t="s">
        <v>25</v>
      </c>
      <c r="E249">
        <v>2.12</v>
      </c>
      <c r="F249">
        <v>0.16520000000000001</v>
      </c>
      <c r="G249">
        <v>0.47099999999999997</v>
      </c>
      <c r="H249">
        <v>0.30580000000000002</v>
      </c>
      <c r="I249">
        <v>1.4861</v>
      </c>
      <c r="J249">
        <v>3.0727000000000002</v>
      </c>
      <c r="K249">
        <v>10.2943</v>
      </c>
      <c r="L249">
        <v>0.17460000000000001</v>
      </c>
      <c r="M249">
        <v>1.5800000000000002E-2</v>
      </c>
      <c r="N249">
        <v>1.09E-2</v>
      </c>
      <c r="O249">
        <v>0.53720000000000001</v>
      </c>
      <c r="P249">
        <v>26.390599999999999</v>
      </c>
      <c r="Q249">
        <v>25.9222</v>
      </c>
      <c r="R249">
        <v>0.50449999999999995</v>
      </c>
      <c r="S249">
        <v>1.1594</v>
      </c>
    </row>
    <row r="250" spans="1:19" x14ac:dyDescent="0.25">
      <c r="A250" t="s">
        <v>348</v>
      </c>
      <c r="B250" t="s">
        <v>3</v>
      </c>
      <c r="D250" t="s">
        <v>31</v>
      </c>
      <c r="E250">
        <v>1.37</v>
      </c>
      <c r="F250">
        <v>3.5200000000000002E-2</v>
      </c>
      <c r="G250">
        <v>0.2525</v>
      </c>
      <c r="H250">
        <v>0.21729999999999999</v>
      </c>
      <c r="I250">
        <v>1.6811</v>
      </c>
      <c r="J250">
        <v>3.1355</v>
      </c>
      <c r="K250">
        <v>6.2927</v>
      </c>
      <c r="L250">
        <v>0.6351</v>
      </c>
      <c r="M250">
        <v>1.5800000000000002E-2</v>
      </c>
      <c r="N250">
        <v>1.09E-2</v>
      </c>
      <c r="O250">
        <v>1.4581999999999999</v>
      </c>
      <c r="P250">
        <v>0</v>
      </c>
      <c r="Q250">
        <v>0</v>
      </c>
      <c r="R250">
        <v>0.40670000000000001</v>
      </c>
      <c r="S250">
        <v>0.29899999999999999</v>
      </c>
    </row>
    <row r="251" spans="1:19" x14ac:dyDescent="0.25">
      <c r="A251" t="s">
        <v>692</v>
      </c>
      <c r="B251" t="s">
        <v>3</v>
      </c>
      <c r="D251" t="s">
        <v>2</v>
      </c>
      <c r="E251">
        <v>0.99</v>
      </c>
      <c r="F251">
        <v>1.5E-3</v>
      </c>
      <c r="G251">
        <v>6.8199999999999997E-2</v>
      </c>
      <c r="H251">
        <v>6.6699999999999995E-2</v>
      </c>
      <c r="I251">
        <v>0.86080000000000001</v>
      </c>
      <c r="J251">
        <v>4.2552000000000003</v>
      </c>
      <c r="K251">
        <v>9.0622000000000007</v>
      </c>
      <c r="L251">
        <v>6.59E-2</v>
      </c>
      <c r="M251">
        <v>1.5800000000000002E-2</v>
      </c>
      <c r="N251">
        <v>1.09E-2</v>
      </c>
      <c r="O251">
        <v>0.31979999999999997</v>
      </c>
      <c r="P251">
        <v>0</v>
      </c>
      <c r="Q251">
        <v>0</v>
      </c>
      <c r="R251">
        <v>0.4098</v>
      </c>
      <c r="S251">
        <v>0.50760000000000005</v>
      </c>
    </row>
    <row r="252" spans="1:19" x14ac:dyDescent="0.25">
      <c r="A252" t="s">
        <v>676</v>
      </c>
      <c r="B252" t="s">
        <v>24</v>
      </c>
      <c r="D252" t="s">
        <v>14</v>
      </c>
      <c r="E252">
        <v>1.29</v>
      </c>
      <c r="F252">
        <v>0.20130000000000001</v>
      </c>
      <c r="G252">
        <v>0.80410000000000004</v>
      </c>
      <c r="H252">
        <v>0.6028</v>
      </c>
      <c r="I252">
        <v>2.7225000000000001</v>
      </c>
      <c r="J252">
        <v>2.2963</v>
      </c>
      <c r="K252">
        <v>3.0556000000000001</v>
      </c>
      <c r="L252">
        <v>0.21859999999999999</v>
      </c>
      <c r="M252">
        <v>1.5800000000000002E-2</v>
      </c>
      <c r="N252">
        <v>1.09E-2</v>
      </c>
      <c r="O252">
        <v>0.62519999999999998</v>
      </c>
      <c r="P252">
        <v>11.5305</v>
      </c>
      <c r="Q252">
        <v>18.1006</v>
      </c>
      <c r="R252">
        <v>0.3891</v>
      </c>
      <c r="S252">
        <v>1.1662999999999999</v>
      </c>
    </row>
    <row r="253" spans="1:19" x14ac:dyDescent="0.25">
      <c r="A253" t="s">
        <v>864</v>
      </c>
      <c r="B253" t="s">
        <v>3</v>
      </c>
      <c r="D253" t="s">
        <v>4</v>
      </c>
      <c r="E253">
        <v>1.68</v>
      </c>
      <c r="F253">
        <v>6.2600000000000003E-2</v>
      </c>
      <c r="G253">
        <v>0.61950000000000005</v>
      </c>
      <c r="H253">
        <v>0.55689999999999995</v>
      </c>
      <c r="I253">
        <v>1.9220999999999999</v>
      </c>
      <c r="J253">
        <v>0.51149999999999995</v>
      </c>
      <c r="K253">
        <v>5.7188999999999997</v>
      </c>
      <c r="L253">
        <v>0.99239999999999995</v>
      </c>
      <c r="M253">
        <v>1.5800000000000002E-2</v>
      </c>
      <c r="N253">
        <v>1.09E-2</v>
      </c>
      <c r="O253">
        <v>2.1728000000000001</v>
      </c>
      <c r="P253">
        <v>0</v>
      </c>
      <c r="Q253">
        <v>0</v>
      </c>
      <c r="R253">
        <v>0.41489999999999999</v>
      </c>
      <c r="S253">
        <v>0.29620000000000002</v>
      </c>
    </row>
    <row r="254" spans="1:19" x14ac:dyDescent="0.25">
      <c r="A254" t="s">
        <v>733</v>
      </c>
      <c r="B254" t="s">
        <v>24</v>
      </c>
      <c r="D254" t="s">
        <v>15</v>
      </c>
      <c r="E254">
        <v>2.21</v>
      </c>
      <c r="F254">
        <v>0.44069999999999998</v>
      </c>
      <c r="G254">
        <v>0.79049999999999998</v>
      </c>
      <c r="H254">
        <v>0.3498</v>
      </c>
      <c r="I254">
        <v>2.8391999999999999</v>
      </c>
      <c r="J254">
        <v>1.5774999999999999</v>
      </c>
      <c r="K254">
        <v>6.0407000000000002</v>
      </c>
      <c r="L254">
        <v>0.1484</v>
      </c>
      <c r="M254">
        <v>1.5800000000000002E-2</v>
      </c>
      <c r="N254">
        <v>1.09E-2</v>
      </c>
      <c r="O254">
        <v>0.48480000000000001</v>
      </c>
      <c r="P254">
        <v>1.2393000000000001</v>
      </c>
      <c r="Q254">
        <v>2.6166</v>
      </c>
      <c r="R254">
        <v>0.32140000000000002</v>
      </c>
      <c r="S254">
        <v>0.4597</v>
      </c>
    </row>
    <row r="255" spans="1:19" x14ac:dyDescent="0.25">
      <c r="A255" t="s">
        <v>775</v>
      </c>
      <c r="B255" t="s">
        <v>24</v>
      </c>
      <c r="D255" t="s">
        <v>12</v>
      </c>
      <c r="E255">
        <v>1.02</v>
      </c>
      <c r="F255">
        <v>0.33560000000000001</v>
      </c>
      <c r="G255">
        <v>0.27010000000000001</v>
      </c>
      <c r="H255">
        <v>0</v>
      </c>
      <c r="I255">
        <v>4.3235000000000001</v>
      </c>
      <c r="J255">
        <v>0.83450000000000002</v>
      </c>
      <c r="K255">
        <v>3.6263999999999998</v>
      </c>
      <c r="L255">
        <v>0.10390000000000001</v>
      </c>
      <c r="M255">
        <v>1.5800000000000002E-2</v>
      </c>
      <c r="N255">
        <v>1.09E-2</v>
      </c>
      <c r="O255">
        <v>0.39579999999999999</v>
      </c>
      <c r="P255">
        <v>17.336200000000002</v>
      </c>
      <c r="Q255">
        <v>14.322100000000001</v>
      </c>
      <c r="R255">
        <v>0.54759999999999998</v>
      </c>
      <c r="S255">
        <v>0.35120000000000001</v>
      </c>
    </row>
    <row r="256" spans="1:19" x14ac:dyDescent="0.25">
      <c r="A256" t="s">
        <v>358</v>
      </c>
      <c r="B256" t="s">
        <v>24</v>
      </c>
      <c r="D256" t="s">
        <v>14</v>
      </c>
      <c r="E256">
        <v>1.72</v>
      </c>
      <c r="F256">
        <v>0.63560000000000005</v>
      </c>
      <c r="G256">
        <v>1.3702000000000001</v>
      </c>
      <c r="H256">
        <v>0.73460000000000003</v>
      </c>
      <c r="I256">
        <v>3.1154999999999999</v>
      </c>
      <c r="J256">
        <v>1.3669</v>
      </c>
      <c r="K256">
        <v>3.2178</v>
      </c>
      <c r="L256">
        <v>0.44579999999999997</v>
      </c>
      <c r="M256">
        <v>1.5800000000000002E-2</v>
      </c>
      <c r="N256">
        <v>1.09E-2</v>
      </c>
      <c r="O256">
        <v>1.0795999999999999</v>
      </c>
      <c r="P256">
        <v>0.91569999999999996</v>
      </c>
      <c r="Q256">
        <v>2.2353000000000001</v>
      </c>
      <c r="R256">
        <v>0.29060000000000002</v>
      </c>
      <c r="S256">
        <v>0.72399999999999998</v>
      </c>
    </row>
    <row r="257" spans="1:19" x14ac:dyDescent="0.25">
      <c r="A257" t="s">
        <v>564</v>
      </c>
      <c r="B257" t="s">
        <v>24</v>
      </c>
      <c r="D257" t="s">
        <v>12</v>
      </c>
      <c r="E257">
        <v>1.56</v>
      </c>
      <c r="F257">
        <v>0.67330000000000001</v>
      </c>
      <c r="G257">
        <v>0.33729999999999999</v>
      </c>
      <c r="H257">
        <v>0</v>
      </c>
      <c r="I257">
        <v>3.8071000000000002</v>
      </c>
      <c r="J257">
        <v>2.7721</v>
      </c>
      <c r="K257">
        <v>2.0579000000000001</v>
      </c>
      <c r="L257">
        <v>0.31719999999999998</v>
      </c>
      <c r="M257">
        <v>1.5800000000000002E-2</v>
      </c>
      <c r="N257">
        <v>1.09E-2</v>
      </c>
      <c r="O257">
        <v>0.82240000000000002</v>
      </c>
      <c r="P257">
        <v>13.711399999999999</v>
      </c>
      <c r="Q257">
        <v>16.633600000000001</v>
      </c>
      <c r="R257">
        <v>0.45190000000000002</v>
      </c>
      <c r="S257">
        <v>0.97929999999999995</v>
      </c>
    </row>
    <row r="258" spans="1:19" x14ac:dyDescent="0.25">
      <c r="A258" t="s">
        <v>801</v>
      </c>
      <c r="B258" t="s">
        <v>3</v>
      </c>
      <c r="D258" t="s">
        <v>16</v>
      </c>
      <c r="E258">
        <v>1.1499999999999999</v>
      </c>
      <c r="F258">
        <v>0.1244</v>
      </c>
      <c r="G258">
        <v>0.24349999999999999</v>
      </c>
      <c r="H258">
        <v>0.1191</v>
      </c>
      <c r="I258">
        <v>0.58579999999999999</v>
      </c>
      <c r="J258">
        <v>2.1633</v>
      </c>
      <c r="K258">
        <v>6.1235999999999997</v>
      </c>
      <c r="L258">
        <v>0.16500000000000001</v>
      </c>
      <c r="M258">
        <v>1.5800000000000002E-2</v>
      </c>
      <c r="N258">
        <v>1.09E-2</v>
      </c>
      <c r="O258">
        <v>0.51800000000000002</v>
      </c>
      <c r="P258">
        <v>0</v>
      </c>
      <c r="Q258">
        <v>0</v>
      </c>
      <c r="R258">
        <v>0.43880000000000002</v>
      </c>
      <c r="S258">
        <v>0.3029</v>
      </c>
    </row>
    <row r="259" spans="1:19" x14ac:dyDescent="0.25">
      <c r="A259" t="s">
        <v>482</v>
      </c>
      <c r="B259" t="s">
        <v>24</v>
      </c>
      <c r="D259" t="s">
        <v>26</v>
      </c>
      <c r="E259">
        <v>1.78</v>
      </c>
      <c r="F259">
        <v>0.27529999999999999</v>
      </c>
      <c r="G259">
        <v>1.1516</v>
      </c>
      <c r="H259">
        <v>0.87629999999999997</v>
      </c>
      <c r="I259">
        <v>3.7227999999999999</v>
      </c>
      <c r="J259">
        <v>1.5382</v>
      </c>
      <c r="K259">
        <v>5.0003000000000002</v>
      </c>
      <c r="L259">
        <v>0.40670000000000001</v>
      </c>
      <c r="M259">
        <v>1.5800000000000002E-2</v>
      </c>
      <c r="N259">
        <v>1.09E-2</v>
      </c>
      <c r="O259">
        <v>1.0014000000000001</v>
      </c>
      <c r="P259">
        <v>27.021000000000001</v>
      </c>
      <c r="Q259">
        <v>31.9877</v>
      </c>
      <c r="R259">
        <v>0.45789999999999997</v>
      </c>
      <c r="S259">
        <v>0.51980000000000004</v>
      </c>
    </row>
    <row r="260" spans="1:19" x14ac:dyDescent="0.25">
      <c r="A260" t="s">
        <v>788</v>
      </c>
      <c r="B260" t="s">
        <v>24</v>
      </c>
      <c r="D260" t="s">
        <v>87</v>
      </c>
      <c r="E260">
        <v>1.96</v>
      </c>
      <c r="F260">
        <v>0.2147</v>
      </c>
      <c r="G260">
        <v>0.82</v>
      </c>
      <c r="H260">
        <v>0.60529999999999995</v>
      </c>
      <c r="I260">
        <v>2.3892000000000002</v>
      </c>
      <c r="J260">
        <v>1.5576000000000001</v>
      </c>
      <c r="K260">
        <v>7.1820000000000004</v>
      </c>
      <c r="L260">
        <v>0.21909999999999999</v>
      </c>
      <c r="M260">
        <v>1.5800000000000002E-2</v>
      </c>
      <c r="N260">
        <v>1.09E-2</v>
      </c>
      <c r="O260">
        <v>0.62619999999999998</v>
      </c>
      <c r="P260">
        <v>29.1465</v>
      </c>
      <c r="Q260">
        <v>29.1113</v>
      </c>
      <c r="R260">
        <v>0.50029999999999997</v>
      </c>
      <c r="S260">
        <v>0.68630000000000002</v>
      </c>
    </row>
    <row r="261" spans="1:19" x14ac:dyDescent="0.25">
      <c r="A261" t="s">
        <v>638</v>
      </c>
      <c r="B261" t="s">
        <v>24</v>
      </c>
      <c r="D261" t="s">
        <v>8</v>
      </c>
      <c r="E261">
        <v>1.42</v>
      </c>
      <c r="F261">
        <v>0.2359</v>
      </c>
      <c r="G261">
        <v>0.30680000000000002</v>
      </c>
      <c r="H261">
        <v>7.0900000000000005E-2</v>
      </c>
      <c r="I261">
        <v>3.2856000000000001</v>
      </c>
      <c r="J261">
        <v>0.7591</v>
      </c>
      <c r="K261">
        <v>3.0714000000000001</v>
      </c>
      <c r="L261">
        <v>5.5800000000000002E-2</v>
      </c>
      <c r="M261">
        <v>1.5800000000000002E-2</v>
      </c>
      <c r="N261">
        <v>1.09E-2</v>
      </c>
      <c r="O261">
        <v>0.29959999999999998</v>
      </c>
      <c r="P261">
        <v>7.8920000000000003</v>
      </c>
      <c r="Q261">
        <v>8.6684999999999999</v>
      </c>
      <c r="R261">
        <v>0.47660000000000002</v>
      </c>
      <c r="S261">
        <v>0.62980000000000003</v>
      </c>
    </row>
    <row r="262" spans="1:19" x14ac:dyDescent="0.25">
      <c r="A262" t="s">
        <v>289</v>
      </c>
      <c r="B262" t="s">
        <v>3</v>
      </c>
      <c r="D262" t="s">
        <v>8</v>
      </c>
      <c r="E262">
        <v>0.8</v>
      </c>
      <c r="F262">
        <v>2.6499999999999999E-2</v>
      </c>
      <c r="G262">
        <v>0.1948</v>
      </c>
      <c r="H262">
        <v>0.16830000000000001</v>
      </c>
      <c r="I262">
        <v>0.97670000000000001</v>
      </c>
      <c r="J262">
        <v>0.35110000000000002</v>
      </c>
      <c r="K262">
        <v>3.4805000000000001</v>
      </c>
      <c r="L262">
        <v>7.6999999999999999E-2</v>
      </c>
      <c r="M262">
        <v>1.5800000000000002E-2</v>
      </c>
      <c r="N262">
        <v>1.09E-2</v>
      </c>
      <c r="O262">
        <v>0.34200000000000003</v>
      </c>
      <c r="P262">
        <v>0</v>
      </c>
      <c r="Q262">
        <v>0</v>
      </c>
      <c r="R262">
        <v>0.41539999999999999</v>
      </c>
      <c r="S262">
        <v>0.1636</v>
      </c>
    </row>
    <row r="263" spans="1:19" x14ac:dyDescent="0.25">
      <c r="A263" t="s">
        <v>652</v>
      </c>
      <c r="B263" t="s">
        <v>24</v>
      </c>
      <c r="D263" t="s">
        <v>17</v>
      </c>
      <c r="E263">
        <v>2.02</v>
      </c>
      <c r="F263">
        <v>0.28439999999999999</v>
      </c>
      <c r="G263">
        <v>1.1069</v>
      </c>
      <c r="H263">
        <v>0.82250000000000001</v>
      </c>
      <c r="I263">
        <v>2.0243000000000002</v>
      </c>
      <c r="J263">
        <v>0.73470000000000002</v>
      </c>
      <c r="K263">
        <v>4.8765999999999998</v>
      </c>
      <c r="L263">
        <v>0.36699999999999999</v>
      </c>
      <c r="M263">
        <v>1.5800000000000002E-2</v>
      </c>
      <c r="N263">
        <v>1.09E-2</v>
      </c>
      <c r="O263">
        <v>0.92200000000000004</v>
      </c>
      <c r="P263">
        <v>19.2835</v>
      </c>
      <c r="Q263">
        <v>20.0166</v>
      </c>
      <c r="R263">
        <v>0.49070000000000003</v>
      </c>
      <c r="S263">
        <v>0.42909999999999998</v>
      </c>
    </row>
    <row r="264" spans="1:19" x14ac:dyDescent="0.25">
      <c r="A264" t="s">
        <v>319</v>
      </c>
      <c r="B264" t="s">
        <v>3</v>
      </c>
      <c r="D264" t="s">
        <v>5</v>
      </c>
      <c r="E264">
        <v>2.89</v>
      </c>
      <c r="F264">
        <v>0</v>
      </c>
      <c r="G264">
        <v>0.17269999999999999</v>
      </c>
      <c r="H264">
        <v>0.17269999999999999</v>
      </c>
      <c r="I264">
        <v>2.4824000000000002</v>
      </c>
      <c r="J264">
        <v>4.5522999999999998</v>
      </c>
      <c r="K264">
        <v>12.181699999999999</v>
      </c>
      <c r="L264">
        <v>0.2084</v>
      </c>
      <c r="M264">
        <v>1.5800000000000002E-2</v>
      </c>
      <c r="N264">
        <v>1.09E-2</v>
      </c>
      <c r="O264">
        <v>0.6048</v>
      </c>
      <c r="P264">
        <v>0</v>
      </c>
      <c r="Q264">
        <v>0</v>
      </c>
      <c r="R264">
        <v>0.3916</v>
      </c>
      <c r="S264">
        <v>0.34639999999999999</v>
      </c>
    </row>
    <row r="265" spans="1:19" x14ac:dyDescent="0.25">
      <c r="A265" t="s">
        <v>303</v>
      </c>
      <c r="B265" t="s">
        <v>3</v>
      </c>
      <c r="D265" t="s">
        <v>22</v>
      </c>
      <c r="E265">
        <v>2.27</v>
      </c>
      <c r="F265">
        <v>5.2999999999999999E-2</v>
      </c>
      <c r="G265">
        <v>0.83589999999999998</v>
      </c>
      <c r="H265">
        <v>0.78290000000000004</v>
      </c>
      <c r="I265">
        <v>1.6343000000000001</v>
      </c>
      <c r="J265">
        <v>1.8898999999999999</v>
      </c>
      <c r="K265">
        <v>7.7596999999999996</v>
      </c>
      <c r="L265">
        <v>4.1599999999999998E-2</v>
      </c>
      <c r="M265">
        <v>1.5800000000000002E-2</v>
      </c>
      <c r="N265">
        <v>1.09E-2</v>
      </c>
      <c r="O265">
        <v>0.2712</v>
      </c>
      <c r="P265">
        <v>0</v>
      </c>
      <c r="Q265">
        <v>0</v>
      </c>
      <c r="R265">
        <v>0.39340000000000003</v>
      </c>
      <c r="S265">
        <v>0.50960000000000005</v>
      </c>
    </row>
    <row r="266" spans="1:19" x14ac:dyDescent="0.25">
      <c r="A266" t="s">
        <v>280</v>
      </c>
      <c r="B266" t="s">
        <v>3</v>
      </c>
      <c r="D266" t="s">
        <v>4</v>
      </c>
      <c r="E266">
        <v>1.23</v>
      </c>
      <c r="F266">
        <v>0.14199999999999999</v>
      </c>
      <c r="G266">
        <v>7.8299999999999995E-2</v>
      </c>
      <c r="H266">
        <v>0</v>
      </c>
      <c r="I266">
        <v>2.7372999999999998</v>
      </c>
      <c r="J266">
        <v>6.1631</v>
      </c>
      <c r="K266">
        <v>6.3277000000000001</v>
      </c>
      <c r="L266">
        <v>0.20660000000000001</v>
      </c>
      <c r="M266">
        <v>1.5800000000000002E-2</v>
      </c>
      <c r="N266">
        <v>1.09E-2</v>
      </c>
      <c r="O266">
        <v>0.60119999999999996</v>
      </c>
      <c r="P266">
        <v>0</v>
      </c>
      <c r="Q266">
        <v>0</v>
      </c>
      <c r="R266">
        <v>0.4128</v>
      </c>
      <c r="S266">
        <v>0.52759999999999996</v>
      </c>
    </row>
    <row r="267" spans="1:19" x14ac:dyDescent="0.25">
      <c r="A267" t="s">
        <v>752</v>
      </c>
      <c r="B267" t="s">
        <v>24</v>
      </c>
      <c r="D267" t="s">
        <v>9</v>
      </c>
      <c r="E267">
        <v>0.82</v>
      </c>
      <c r="F267">
        <v>0.4642</v>
      </c>
      <c r="G267">
        <v>0.432</v>
      </c>
      <c r="H267">
        <v>0</v>
      </c>
      <c r="I267">
        <v>3.6377000000000002</v>
      </c>
      <c r="J267">
        <v>0.72850000000000004</v>
      </c>
      <c r="K267">
        <v>3.6543000000000001</v>
      </c>
      <c r="L267">
        <v>0.12379999999999999</v>
      </c>
      <c r="M267">
        <v>1.5800000000000002E-2</v>
      </c>
      <c r="N267">
        <v>1.09E-2</v>
      </c>
      <c r="O267">
        <v>0.43559999999999999</v>
      </c>
      <c r="P267">
        <v>20.744599999999998</v>
      </c>
      <c r="Q267">
        <v>24.575199999999999</v>
      </c>
      <c r="R267">
        <v>0.4577</v>
      </c>
      <c r="S267">
        <v>1.1707000000000001</v>
      </c>
    </row>
    <row r="268" spans="1:19" x14ac:dyDescent="0.25">
      <c r="A268" t="s">
        <v>322</v>
      </c>
      <c r="B268" t="s">
        <v>3</v>
      </c>
      <c r="D268" t="s">
        <v>32</v>
      </c>
      <c r="E268">
        <v>1.2</v>
      </c>
      <c r="F268">
        <v>1.9099999999999999E-2</v>
      </c>
      <c r="G268">
        <v>0.32079999999999997</v>
      </c>
      <c r="H268">
        <v>0.30170000000000002</v>
      </c>
      <c r="I268">
        <v>1.2573000000000001</v>
      </c>
      <c r="J268">
        <v>6.3137999999999996</v>
      </c>
      <c r="K268">
        <v>10.02</v>
      </c>
      <c r="L268">
        <v>0.28149999999999997</v>
      </c>
      <c r="M268">
        <v>1.5800000000000002E-2</v>
      </c>
      <c r="N268">
        <v>1.09E-2</v>
      </c>
      <c r="O268">
        <v>0.751</v>
      </c>
      <c r="P268">
        <v>0</v>
      </c>
      <c r="Q268">
        <v>0</v>
      </c>
      <c r="R268">
        <v>0.40870000000000001</v>
      </c>
      <c r="S268">
        <v>0.24460000000000001</v>
      </c>
    </row>
    <row r="269" spans="1:19" x14ac:dyDescent="0.25">
      <c r="A269" t="s">
        <v>742</v>
      </c>
      <c r="B269" t="s">
        <v>24</v>
      </c>
      <c r="D269" t="s">
        <v>21</v>
      </c>
      <c r="E269">
        <v>1.26</v>
      </c>
      <c r="F269">
        <v>0.36159999999999998</v>
      </c>
      <c r="G269">
        <v>0.13619999999999999</v>
      </c>
      <c r="H269">
        <v>0</v>
      </c>
      <c r="I269">
        <v>3.1261000000000001</v>
      </c>
      <c r="J269">
        <v>3.9977999999999998</v>
      </c>
      <c r="K269">
        <v>4.3205</v>
      </c>
      <c r="L269">
        <v>0.10440000000000001</v>
      </c>
      <c r="M269">
        <v>1.5800000000000002E-2</v>
      </c>
      <c r="N269">
        <v>1.09E-2</v>
      </c>
      <c r="O269">
        <v>0.39679999999999999</v>
      </c>
      <c r="P269">
        <v>12.170500000000001</v>
      </c>
      <c r="Q269">
        <v>17.3247</v>
      </c>
      <c r="R269">
        <v>0.41260000000000002</v>
      </c>
      <c r="S269">
        <v>0.76249999999999996</v>
      </c>
    </row>
    <row r="270" spans="1:19" x14ac:dyDescent="0.25">
      <c r="A270" t="s">
        <v>456</v>
      </c>
      <c r="B270" t="s">
        <v>24</v>
      </c>
      <c r="D270" t="s">
        <v>25</v>
      </c>
      <c r="E270">
        <v>0.91</v>
      </c>
      <c r="F270">
        <v>0.49840000000000001</v>
      </c>
      <c r="G270">
        <v>0.57079999999999997</v>
      </c>
      <c r="H270">
        <v>7.2400000000000006E-2</v>
      </c>
      <c r="I270">
        <v>4.3244999999999996</v>
      </c>
      <c r="J270">
        <v>1.7306999999999999</v>
      </c>
      <c r="K270">
        <v>2.4662000000000002</v>
      </c>
      <c r="L270">
        <v>7.3800000000000004E-2</v>
      </c>
      <c r="M270">
        <v>1.5800000000000002E-2</v>
      </c>
      <c r="N270">
        <v>1.09E-2</v>
      </c>
      <c r="O270">
        <v>0.33560000000000001</v>
      </c>
      <c r="P270">
        <v>0.95</v>
      </c>
      <c r="Q270">
        <v>1.6135999999999999</v>
      </c>
      <c r="R270">
        <v>0.37059999999999998</v>
      </c>
      <c r="S270">
        <v>0.72660000000000002</v>
      </c>
    </row>
    <row r="271" spans="1:19" x14ac:dyDescent="0.25">
      <c r="A271" t="s">
        <v>599</v>
      </c>
      <c r="B271" t="s">
        <v>3</v>
      </c>
      <c r="D271" t="s">
        <v>1200</v>
      </c>
      <c r="E271">
        <v>1.5</v>
      </c>
      <c r="F271">
        <v>0</v>
      </c>
      <c r="G271">
        <v>7.6300000000000007E-2</v>
      </c>
      <c r="H271">
        <v>7.6300000000000007E-2</v>
      </c>
      <c r="I271">
        <v>0.48980000000000001</v>
      </c>
      <c r="J271">
        <v>2.0310999999999999</v>
      </c>
      <c r="K271">
        <v>9.9844000000000008</v>
      </c>
      <c r="L271">
        <v>0.58240000000000003</v>
      </c>
      <c r="M271">
        <v>1.5800000000000002E-2</v>
      </c>
      <c r="N271">
        <v>1.09E-2</v>
      </c>
      <c r="O271">
        <v>1.3528</v>
      </c>
      <c r="P271">
        <v>0</v>
      </c>
      <c r="Q271">
        <v>0</v>
      </c>
      <c r="R271">
        <v>0.41220000000000001</v>
      </c>
      <c r="S271">
        <v>0.31230000000000002</v>
      </c>
    </row>
    <row r="272" spans="1:19" x14ac:dyDescent="0.25">
      <c r="A272" t="s">
        <v>607</v>
      </c>
      <c r="B272" t="s">
        <v>24</v>
      </c>
      <c r="D272" t="s">
        <v>14</v>
      </c>
      <c r="E272">
        <v>1.66</v>
      </c>
      <c r="F272">
        <v>0.42859999999999998</v>
      </c>
      <c r="G272">
        <v>0.79620000000000002</v>
      </c>
      <c r="H272">
        <v>0.36759999999999998</v>
      </c>
      <c r="I272">
        <v>3.1103999999999998</v>
      </c>
      <c r="J272">
        <v>6.1600000000000002E-2</v>
      </c>
      <c r="K272">
        <v>2.653</v>
      </c>
      <c r="L272">
        <v>0.1641</v>
      </c>
      <c r="M272">
        <v>1.5800000000000002E-2</v>
      </c>
      <c r="N272">
        <v>1.09E-2</v>
      </c>
      <c r="O272">
        <v>0.51619999999999999</v>
      </c>
      <c r="P272">
        <v>30.141100000000002</v>
      </c>
      <c r="Q272">
        <v>36.1541</v>
      </c>
      <c r="R272">
        <v>0.4546</v>
      </c>
      <c r="S272">
        <v>1.1215999999999999</v>
      </c>
    </row>
    <row r="273" spans="1:19" x14ac:dyDescent="0.25">
      <c r="A273" t="s">
        <v>240</v>
      </c>
      <c r="B273" t="s">
        <v>3</v>
      </c>
      <c r="D273" t="s">
        <v>7</v>
      </c>
      <c r="E273">
        <v>0.63</v>
      </c>
      <c r="F273">
        <v>0.2626</v>
      </c>
      <c r="G273">
        <v>0.73839999999999995</v>
      </c>
      <c r="H273">
        <v>0.4758</v>
      </c>
      <c r="I273">
        <v>2.8121</v>
      </c>
      <c r="J273">
        <v>0.59009999999999996</v>
      </c>
      <c r="K273">
        <v>9.1664999999999992</v>
      </c>
      <c r="L273">
        <v>0.3407</v>
      </c>
      <c r="M273">
        <v>1.5800000000000002E-2</v>
      </c>
      <c r="N273">
        <v>1.09E-2</v>
      </c>
      <c r="O273">
        <v>0.86939999999999995</v>
      </c>
      <c r="P273">
        <v>0</v>
      </c>
      <c r="Q273">
        <v>0</v>
      </c>
      <c r="R273">
        <v>0.42559999999999998</v>
      </c>
      <c r="S273">
        <v>0.20749999999999999</v>
      </c>
    </row>
    <row r="274" spans="1:19" x14ac:dyDescent="0.25">
      <c r="A274" t="s">
        <v>321</v>
      </c>
      <c r="B274" t="s">
        <v>24</v>
      </c>
      <c r="D274" t="s">
        <v>17</v>
      </c>
      <c r="E274">
        <v>1.1100000000000001</v>
      </c>
      <c r="F274">
        <v>1.5154000000000001</v>
      </c>
      <c r="G274">
        <v>2.5548999999999999</v>
      </c>
      <c r="H274">
        <v>1.0395000000000001</v>
      </c>
      <c r="I274">
        <v>6.1875999999999998</v>
      </c>
      <c r="J274">
        <v>0.24060000000000001</v>
      </c>
      <c r="K274">
        <v>3.5095999999999998</v>
      </c>
      <c r="L274">
        <v>7.5399999999999995E-2</v>
      </c>
      <c r="M274">
        <v>1.5800000000000002E-2</v>
      </c>
      <c r="N274">
        <v>1.09E-2</v>
      </c>
      <c r="O274">
        <v>0.33879999999999999</v>
      </c>
      <c r="P274">
        <v>6.3707000000000003</v>
      </c>
      <c r="Q274">
        <v>6.6166</v>
      </c>
      <c r="R274">
        <v>0.49049999999999999</v>
      </c>
      <c r="S274">
        <v>0.53490000000000004</v>
      </c>
    </row>
    <row r="275" spans="1:19" x14ac:dyDescent="0.25">
      <c r="A275" t="s">
        <v>740</v>
      </c>
      <c r="B275" t="s">
        <v>24</v>
      </c>
      <c r="D275" t="s">
        <v>33</v>
      </c>
      <c r="E275">
        <v>1.35</v>
      </c>
      <c r="F275">
        <v>0.2329</v>
      </c>
      <c r="G275">
        <v>8.9899999999999994E-2</v>
      </c>
      <c r="H275">
        <v>0</v>
      </c>
      <c r="I275">
        <v>1.0777000000000001</v>
      </c>
      <c r="J275">
        <v>1.63</v>
      </c>
      <c r="K275">
        <v>4.6109</v>
      </c>
      <c r="L275">
        <v>0.66749999999999998</v>
      </c>
      <c r="M275">
        <v>1.5800000000000002E-2</v>
      </c>
      <c r="N275">
        <v>1.09E-2</v>
      </c>
      <c r="O275">
        <v>1.5229999999999999</v>
      </c>
      <c r="P275">
        <v>22.5242</v>
      </c>
      <c r="Q275">
        <v>26.888400000000001</v>
      </c>
      <c r="R275">
        <v>0.45579999999999998</v>
      </c>
      <c r="S275">
        <v>0.25900000000000001</v>
      </c>
    </row>
    <row r="276" spans="1:19" x14ac:dyDescent="0.25">
      <c r="A276" t="s">
        <v>385</v>
      </c>
      <c r="B276" t="s">
        <v>3</v>
      </c>
      <c r="D276" t="s">
        <v>25</v>
      </c>
      <c r="E276">
        <v>2.06</v>
      </c>
      <c r="F276">
        <v>0</v>
      </c>
      <c r="G276">
        <v>0.25609999999999999</v>
      </c>
      <c r="H276">
        <v>0.25609999999999999</v>
      </c>
      <c r="I276">
        <v>1.3900999999999999</v>
      </c>
      <c r="J276">
        <v>1.6702999999999999</v>
      </c>
      <c r="K276">
        <v>9.5724</v>
      </c>
      <c r="L276">
        <v>0.2029</v>
      </c>
      <c r="M276">
        <v>1.5800000000000002E-2</v>
      </c>
      <c r="N276">
        <v>1.09E-2</v>
      </c>
      <c r="O276">
        <v>0.59379999999999999</v>
      </c>
      <c r="P276">
        <v>0</v>
      </c>
      <c r="Q276">
        <v>0</v>
      </c>
      <c r="R276">
        <v>0.39369999999999999</v>
      </c>
      <c r="S276">
        <v>0.65049999999999997</v>
      </c>
    </row>
    <row r="277" spans="1:19" x14ac:dyDescent="0.25">
      <c r="A277" t="s">
        <v>337</v>
      </c>
      <c r="B277" t="s">
        <v>24</v>
      </c>
      <c r="D277" t="s">
        <v>18</v>
      </c>
      <c r="E277">
        <v>1</v>
      </c>
      <c r="F277">
        <v>0.52459999999999996</v>
      </c>
      <c r="G277">
        <v>1.2537</v>
      </c>
      <c r="H277">
        <v>0.72909999999999997</v>
      </c>
      <c r="I277">
        <v>5.6604000000000001</v>
      </c>
      <c r="J277">
        <v>3.073</v>
      </c>
      <c r="K277">
        <v>3.5872000000000002</v>
      </c>
      <c r="L277">
        <v>0.72009999999999996</v>
      </c>
      <c r="M277">
        <v>1.5800000000000002E-2</v>
      </c>
      <c r="N277">
        <v>1.09E-2</v>
      </c>
      <c r="O277">
        <v>1.6282000000000001</v>
      </c>
      <c r="P277">
        <v>18.863</v>
      </c>
      <c r="Q277">
        <v>21.892900000000001</v>
      </c>
      <c r="R277">
        <v>0.46279999999999999</v>
      </c>
      <c r="S277">
        <v>0.1804</v>
      </c>
    </row>
    <row r="278" spans="1:19" x14ac:dyDescent="0.25">
      <c r="A278" t="s">
        <v>432</v>
      </c>
      <c r="B278" t="s">
        <v>3</v>
      </c>
      <c r="D278" t="s">
        <v>10</v>
      </c>
      <c r="E278">
        <v>2.56</v>
      </c>
      <c r="F278">
        <v>6.7000000000000002E-3</v>
      </c>
      <c r="G278">
        <v>0.38400000000000001</v>
      </c>
      <c r="H278">
        <v>0.37730000000000002</v>
      </c>
      <c r="I278">
        <v>0.57010000000000005</v>
      </c>
      <c r="J278">
        <v>3.9055</v>
      </c>
      <c r="K278">
        <v>9.8406000000000002</v>
      </c>
      <c r="L278">
        <v>0.59589999999999999</v>
      </c>
      <c r="M278">
        <v>1.5800000000000002E-2</v>
      </c>
      <c r="N278">
        <v>1.09E-2</v>
      </c>
      <c r="O278">
        <v>1.3797999999999999</v>
      </c>
      <c r="P278">
        <v>0</v>
      </c>
      <c r="Q278">
        <v>0</v>
      </c>
      <c r="R278">
        <v>0.39340000000000003</v>
      </c>
      <c r="S278">
        <v>0.51539999999999997</v>
      </c>
    </row>
    <row r="279" spans="1:19" x14ac:dyDescent="0.25">
      <c r="A279" t="s">
        <v>493</v>
      </c>
      <c r="B279" t="s">
        <v>24</v>
      </c>
      <c r="D279" t="s">
        <v>31</v>
      </c>
      <c r="E279">
        <v>0.39</v>
      </c>
      <c r="F279">
        <v>0.40689999999999998</v>
      </c>
      <c r="G279">
        <v>0.17549999999999999</v>
      </c>
      <c r="H279">
        <v>0</v>
      </c>
      <c r="I279">
        <v>2.2907000000000002</v>
      </c>
      <c r="J279">
        <v>0.82599999999999996</v>
      </c>
      <c r="K279">
        <v>5.9960000000000004</v>
      </c>
      <c r="L279">
        <v>1.4476</v>
      </c>
      <c r="M279">
        <v>1.5800000000000002E-2</v>
      </c>
      <c r="N279">
        <v>1.09E-2</v>
      </c>
      <c r="O279">
        <v>3.0832000000000002</v>
      </c>
      <c r="P279">
        <v>0.93120000000000003</v>
      </c>
      <c r="Q279">
        <v>1.3005</v>
      </c>
      <c r="R279">
        <v>0.4173</v>
      </c>
      <c r="S279">
        <v>1.1578999999999999</v>
      </c>
    </row>
    <row r="280" spans="1:19" x14ac:dyDescent="0.25">
      <c r="A280" t="s">
        <v>897</v>
      </c>
      <c r="B280" t="s">
        <v>3</v>
      </c>
      <c r="D280" t="s">
        <v>7</v>
      </c>
      <c r="E280">
        <v>2.9</v>
      </c>
      <c r="F280">
        <v>3.0999999999999999E-3</v>
      </c>
      <c r="G280">
        <v>1.01E-2</v>
      </c>
      <c r="H280">
        <v>7.0000000000000001E-3</v>
      </c>
      <c r="I280">
        <v>1.2297</v>
      </c>
      <c r="J280">
        <v>1.6076999999999999</v>
      </c>
      <c r="K280">
        <v>9.4611000000000001</v>
      </c>
      <c r="L280">
        <v>0.34570000000000001</v>
      </c>
      <c r="M280">
        <v>1.5800000000000002E-2</v>
      </c>
      <c r="N280">
        <v>1.09E-2</v>
      </c>
      <c r="O280">
        <v>0.87939999999999996</v>
      </c>
      <c r="P280">
        <v>0</v>
      </c>
      <c r="Q280">
        <v>0</v>
      </c>
      <c r="R280">
        <v>0.37419999999999998</v>
      </c>
      <c r="S280">
        <v>0.26090000000000002</v>
      </c>
    </row>
    <row r="281" spans="1:19" x14ac:dyDescent="0.25">
      <c r="A281" t="s">
        <v>898</v>
      </c>
      <c r="B281" t="s">
        <v>24</v>
      </c>
      <c r="D281" t="s">
        <v>16</v>
      </c>
      <c r="E281">
        <v>1.34</v>
      </c>
      <c r="F281">
        <v>0.2616</v>
      </c>
      <c r="G281">
        <v>1.1819</v>
      </c>
      <c r="H281">
        <v>0.92030000000000001</v>
      </c>
      <c r="I281">
        <v>2.9605999999999999</v>
      </c>
      <c r="J281">
        <v>0.2311</v>
      </c>
      <c r="K281">
        <v>3.0901999999999998</v>
      </c>
      <c r="L281">
        <v>7.0900000000000005E-2</v>
      </c>
      <c r="M281">
        <v>1.5800000000000002E-2</v>
      </c>
      <c r="N281">
        <v>1.09E-2</v>
      </c>
      <c r="O281">
        <v>0.32979999999999998</v>
      </c>
      <c r="P281">
        <v>9.6303000000000001</v>
      </c>
      <c r="Q281">
        <v>17.956499999999998</v>
      </c>
      <c r="R281">
        <v>0.34910000000000002</v>
      </c>
      <c r="S281">
        <v>0.89080000000000004</v>
      </c>
    </row>
    <row r="282" spans="1:19" x14ac:dyDescent="0.25">
      <c r="A282" t="s">
        <v>359</v>
      </c>
      <c r="B282" t="s">
        <v>24</v>
      </c>
      <c r="D282" t="s">
        <v>16</v>
      </c>
      <c r="E282">
        <v>1.82</v>
      </c>
      <c r="F282">
        <v>0.46920000000000001</v>
      </c>
      <c r="G282">
        <v>1.2242999999999999</v>
      </c>
      <c r="H282">
        <v>0.75509999999999999</v>
      </c>
      <c r="I282">
        <v>4.2569999999999997</v>
      </c>
      <c r="J282">
        <v>1.4297</v>
      </c>
      <c r="K282">
        <v>2.5613999999999999</v>
      </c>
      <c r="L282">
        <v>0.1835</v>
      </c>
      <c r="M282">
        <v>1.5800000000000002E-2</v>
      </c>
      <c r="N282">
        <v>1.09E-2</v>
      </c>
      <c r="O282">
        <v>0.55500000000000005</v>
      </c>
      <c r="P282">
        <v>13.9034</v>
      </c>
      <c r="Q282">
        <v>21.985800000000001</v>
      </c>
      <c r="R282">
        <v>0.38740000000000002</v>
      </c>
      <c r="S282">
        <v>0.77939999999999998</v>
      </c>
    </row>
    <row r="283" spans="1:19" x14ac:dyDescent="0.25">
      <c r="A283" t="s">
        <v>466</v>
      </c>
      <c r="B283" t="s">
        <v>24</v>
      </c>
      <c r="D283" t="s">
        <v>7</v>
      </c>
      <c r="E283">
        <v>1.77</v>
      </c>
      <c r="F283">
        <v>0.38529999999999998</v>
      </c>
      <c r="G283">
        <v>0.29909999999999998</v>
      </c>
      <c r="H283">
        <v>0</v>
      </c>
      <c r="I283">
        <v>3.6694</v>
      </c>
      <c r="J283">
        <v>0.53290000000000004</v>
      </c>
      <c r="K283">
        <v>2.4047999999999998</v>
      </c>
      <c r="L283">
        <v>0.1613</v>
      </c>
      <c r="M283">
        <v>1.5800000000000002E-2</v>
      </c>
      <c r="N283">
        <v>1.09E-2</v>
      </c>
      <c r="O283">
        <v>0.51060000000000005</v>
      </c>
      <c r="P283">
        <v>26.218499999999999</v>
      </c>
      <c r="Q283">
        <v>32.299799999999998</v>
      </c>
      <c r="R283">
        <v>0.44800000000000001</v>
      </c>
      <c r="S283">
        <v>0.30759999999999998</v>
      </c>
    </row>
    <row r="284" spans="1:19" x14ac:dyDescent="0.25">
      <c r="A284" t="s">
        <v>793</v>
      </c>
      <c r="B284" t="s">
        <v>24</v>
      </c>
      <c r="D284" t="s">
        <v>32</v>
      </c>
      <c r="E284">
        <v>1.93</v>
      </c>
      <c r="F284">
        <v>0.58740000000000003</v>
      </c>
      <c r="G284">
        <v>1.1555</v>
      </c>
      <c r="H284">
        <v>0.56810000000000005</v>
      </c>
      <c r="I284">
        <v>5.6037999999999997</v>
      </c>
      <c r="J284">
        <v>0.47870000000000001</v>
      </c>
      <c r="K284">
        <v>5.8773999999999997</v>
      </c>
      <c r="L284">
        <v>0.17560000000000001</v>
      </c>
      <c r="M284">
        <v>1.5800000000000002E-2</v>
      </c>
      <c r="N284">
        <v>1.09E-2</v>
      </c>
      <c r="O284">
        <v>0.53920000000000001</v>
      </c>
      <c r="P284">
        <v>26.8369</v>
      </c>
      <c r="Q284">
        <v>30.971800000000002</v>
      </c>
      <c r="R284">
        <v>0.4642</v>
      </c>
      <c r="S284">
        <v>0.61260000000000003</v>
      </c>
    </row>
    <row r="285" spans="1:19" x14ac:dyDescent="0.25">
      <c r="A285" t="s">
        <v>361</v>
      </c>
      <c r="B285" t="s">
        <v>3</v>
      </c>
      <c r="D285" t="s">
        <v>20</v>
      </c>
      <c r="E285">
        <v>1.98</v>
      </c>
      <c r="F285">
        <v>0</v>
      </c>
      <c r="G285">
        <v>5.4399999999999997E-2</v>
      </c>
      <c r="H285">
        <v>5.4399999999999997E-2</v>
      </c>
      <c r="I285">
        <v>1.6543000000000001</v>
      </c>
      <c r="J285">
        <v>2.4350999999999998</v>
      </c>
      <c r="K285">
        <v>9.7881999999999998</v>
      </c>
      <c r="L285">
        <v>5.8099999999999999E-2</v>
      </c>
      <c r="M285">
        <v>1.5800000000000002E-2</v>
      </c>
      <c r="N285">
        <v>1.09E-2</v>
      </c>
      <c r="O285">
        <v>0.30420000000000003</v>
      </c>
      <c r="P285">
        <v>0</v>
      </c>
      <c r="Q285">
        <v>0</v>
      </c>
      <c r="R285">
        <v>0.40529999999999999</v>
      </c>
      <c r="S285">
        <v>0.13350000000000001</v>
      </c>
    </row>
    <row r="286" spans="1:19" x14ac:dyDescent="0.25">
      <c r="A286" t="s">
        <v>406</v>
      </c>
      <c r="B286" t="s">
        <v>24</v>
      </c>
      <c r="D286" t="s">
        <v>5</v>
      </c>
      <c r="E286">
        <v>0.25</v>
      </c>
      <c r="F286">
        <v>0.33550000000000002</v>
      </c>
      <c r="G286">
        <v>0.26190000000000002</v>
      </c>
      <c r="H286">
        <v>0</v>
      </c>
      <c r="I286">
        <v>4.5423999999999998</v>
      </c>
      <c r="J286">
        <v>0.47910000000000003</v>
      </c>
      <c r="K286">
        <v>4.2019000000000002</v>
      </c>
      <c r="L286">
        <v>1.1744000000000001</v>
      </c>
      <c r="M286">
        <v>1.5800000000000002E-2</v>
      </c>
      <c r="N286">
        <v>1.09E-2</v>
      </c>
      <c r="O286">
        <v>2.5367999999999999</v>
      </c>
      <c r="P286">
        <v>37.800699999999999</v>
      </c>
      <c r="Q286">
        <v>37.713900000000002</v>
      </c>
      <c r="R286">
        <v>0.50060000000000004</v>
      </c>
      <c r="S286">
        <v>0.91649999999999998</v>
      </c>
    </row>
    <row r="287" spans="1:19" x14ac:dyDescent="0.25">
      <c r="A287" t="s">
        <v>445</v>
      </c>
      <c r="B287" t="s">
        <v>3</v>
      </c>
      <c r="D287" t="s">
        <v>17</v>
      </c>
      <c r="E287">
        <v>1.37</v>
      </c>
      <c r="F287">
        <v>1.67E-2</v>
      </c>
      <c r="G287">
        <v>0.45350000000000001</v>
      </c>
      <c r="H287">
        <v>0.43680000000000002</v>
      </c>
      <c r="I287">
        <v>0.82799999999999996</v>
      </c>
      <c r="J287">
        <v>2.7968000000000002</v>
      </c>
      <c r="K287">
        <v>7.0865</v>
      </c>
      <c r="L287">
        <v>0.5847</v>
      </c>
      <c r="M287">
        <v>1.5800000000000002E-2</v>
      </c>
      <c r="N287">
        <v>1.09E-2</v>
      </c>
      <c r="O287">
        <v>1.3573999999999999</v>
      </c>
      <c r="P287">
        <v>0</v>
      </c>
      <c r="Q287">
        <v>0</v>
      </c>
      <c r="R287">
        <v>0.4042</v>
      </c>
      <c r="S287">
        <v>0.13059999999999999</v>
      </c>
    </row>
    <row r="288" spans="1:19" x14ac:dyDescent="0.25">
      <c r="A288" t="s">
        <v>314</v>
      </c>
      <c r="B288" t="s">
        <v>24</v>
      </c>
      <c r="D288" t="s">
        <v>31</v>
      </c>
      <c r="E288">
        <v>0.69</v>
      </c>
      <c r="F288">
        <v>0.74419999999999997</v>
      </c>
      <c r="G288">
        <v>0.13339999999999999</v>
      </c>
      <c r="H288">
        <v>0</v>
      </c>
      <c r="I288">
        <v>3.8917999999999999</v>
      </c>
      <c r="J288">
        <v>3.1149</v>
      </c>
      <c r="K288">
        <v>3.7427999999999999</v>
      </c>
      <c r="L288">
        <v>1.3542000000000001</v>
      </c>
      <c r="M288">
        <v>1.5800000000000002E-2</v>
      </c>
      <c r="N288">
        <v>1.09E-2</v>
      </c>
      <c r="O288">
        <v>2.8963999999999999</v>
      </c>
      <c r="P288">
        <v>14.158799999999999</v>
      </c>
      <c r="Q288">
        <v>20.1218</v>
      </c>
      <c r="R288">
        <v>0.41299999999999998</v>
      </c>
      <c r="S288">
        <v>1.8511</v>
      </c>
    </row>
    <row r="289" spans="1:19" x14ac:dyDescent="0.25">
      <c r="A289" t="s">
        <v>919</v>
      </c>
      <c r="B289" t="s">
        <v>24</v>
      </c>
      <c r="D289" t="s">
        <v>1107</v>
      </c>
      <c r="E289">
        <v>1.9</v>
      </c>
      <c r="F289">
        <v>0.31040000000000001</v>
      </c>
      <c r="G289">
        <v>0.3906</v>
      </c>
      <c r="H289">
        <v>8.0199999999999994E-2</v>
      </c>
      <c r="I289">
        <v>2.9622999999999999</v>
      </c>
      <c r="J289">
        <v>1.8529</v>
      </c>
      <c r="K289">
        <v>3.7254</v>
      </c>
      <c r="L289">
        <v>0.32719999999999999</v>
      </c>
      <c r="M289">
        <v>1.5800000000000002E-2</v>
      </c>
      <c r="N289">
        <v>1.09E-2</v>
      </c>
      <c r="O289">
        <v>0.84240000000000004</v>
      </c>
      <c r="P289">
        <v>33.101399999999998</v>
      </c>
      <c r="Q289">
        <v>33.993600000000001</v>
      </c>
      <c r="R289">
        <v>0.49340000000000001</v>
      </c>
      <c r="S289">
        <v>0.60709999999999997</v>
      </c>
    </row>
    <row r="290" spans="1:19" x14ac:dyDescent="0.25">
      <c r="A290" t="s">
        <v>714</v>
      </c>
      <c r="B290" t="s">
        <v>24</v>
      </c>
      <c r="D290" t="s">
        <v>8</v>
      </c>
      <c r="E290">
        <v>0.7</v>
      </c>
      <c r="F290">
        <v>0.82340000000000002</v>
      </c>
      <c r="G290">
        <v>1.5123</v>
      </c>
      <c r="H290">
        <v>0.68889999999999996</v>
      </c>
      <c r="I290">
        <v>6.0895999999999999</v>
      </c>
      <c r="J290">
        <v>2.0413000000000001</v>
      </c>
      <c r="K290">
        <v>3.9519000000000002</v>
      </c>
      <c r="L290">
        <v>0.21879999999999999</v>
      </c>
      <c r="M290">
        <v>1.5800000000000002E-2</v>
      </c>
      <c r="N290">
        <v>1.09E-2</v>
      </c>
      <c r="O290">
        <v>0.62560000000000004</v>
      </c>
      <c r="P290">
        <v>11.648300000000001</v>
      </c>
      <c r="Q290">
        <v>16.7577</v>
      </c>
      <c r="R290">
        <v>0.41010000000000002</v>
      </c>
      <c r="S290">
        <v>0.38600000000000001</v>
      </c>
    </row>
    <row r="291" spans="1:19" x14ac:dyDescent="0.25">
      <c r="A291" t="s">
        <v>341</v>
      </c>
      <c r="B291" t="s">
        <v>24</v>
      </c>
      <c r="D291" t="s">
        <v>31</v>
      </c>
      <c r="E291">
        <v>1.99</v>
      </c>
      <c r="F291">
        <v>0.47910000000000003</v>
      </c>
      <c r="G291">
        <v>1.4699</v>
      </c>
      <c r="H291">
        <v>0.99080000000000001</v>
      </c>
      <c r="I291">
        <v>3.1796000000000002</v>
      </c>
      <c r="J291">
        <v>2.1511</v>
      </c>
      <c r="K291">
        <v>3.7267999999999999</v>
      </c>
      <c r="L291">
        <v>0.14680000000000001</v>
      </c>
      <c r="M291">
        <v>1.5800000000000002E-2</v>
      </c>
      <c r="N291">
        <v>1.09E-2</v>
      </c>
      <c r="O291">
        <v>0.48159999999999997</v>
      </c>
      <c r="P291">
        <v>12.3588</v>
      </c>
      <c r="Q291">
        <v>14.567</v>
      </c>
      <c r="R291">
        <v>0.45900000000000002</v>
      </c>
      <c r="S291">
        <v>0.69110000000000005</v>
      </c>
    </row>
    <row r="292" spans="1:19" x14ac:dyDescent="0.25">
      <c r="A292" t="s">
        <v>808</v>
      </c>
      <c r="B292" t="s">
        <v>24</v>
      </c>
      <c r="D292" t="s">
        <v>17</v>
      </c>
      <c r="E292">
        <v>1.63</v>
      </c>
      <c r="F292">
        <v>0.37880000000000003</v>
      </c>
      <c r="G292">
        <v>0.995</v>
      </c>
      <c r="H292">
        <v>0.61619999999999997</v>
      </c>
      <c r="I292">
        <v>2.3689</v>
      </c>
      <c r="J292">
        <v>0.53580000000000005</v>
      </c>
      <c r="K292">
        <v>1.8980999999999999</v>
      </c>
      <c r="L292">
        <v>8.2600000000000007E-2</v>
      </c>
      <c r="M292">
        <v>1.5800000000000002E-2</v>
      </c>
      <c r="N292">
        <v>1.09E-2</v>
      </c>
      <c r="O292">
        <v>0.35320000000000001</v>
      </c>
      <c r="P292">
        <v>6.9020999999999999</v>
      </c>
      <c r="Q292">
        <v>11.4162</v>
      </c>
      <c r="R292">
        <v>0.37680000000000002</v>
      </c>
      <c r="S292">
        <v>0.30180000000000001</v>
      </c>
    </row>
    <row r="293" spans="1:19" x14ac:dyDescent="0.25">
      <c r="A293" t="s">
        <v>439</v>
      </c>
      <c r="B293" t="s">
        <v>3</v>
      </c>
      <c r="D293" t="s">
        <v>11</v>
      </c>
      <c r="E293">
        <v>1.79</v>
      </c>
      <c r="F293">
        <v>1.26E-2</v>
      </c>
      <c r="G293">
        <v>0.41760000000000003</v>
      </c>
      <c r="H293">
        <v>0.40500000000000003</v>
      </c>
      <c r="I293">
        <v>0.86839999999999995</v>
      </c>
      <c r="J293">
        <v>3.5838000000000001</v>
      </c>
      <c r="K293">
        <v>7.3379000000000003</v>
      </c>
      <c r="L293">
        <v>0.70240000000000002</v>
      </c>
      <c r="M293">
        <v>1.5800000000000002E-2</v>
      </c>
      <c r="N293">
        <v>1.09E-2</v>
      </c>
      <c r="O293">
        <v>1.5928</v>
      </c>
      <c r="P293">
        <v>0</v>
      </c>
      <c r="Q293">
        <v>0</v>
      </c>
      <c r="R293">
        <v>0.41399999999999998</v>
      </c>
      <c r="S293">
        <v>0.44490000000000002</v>
      </c>
    </row>
    <row r="294" spans="1:19" x14ac:dyDescent="0.25">
      <c r="A294" t="s">
        <v>434</v>
      </c>
      <c r="B294" t="s">
        <v>24</v>
      </c>
      <c r="D294" t="s">
        <v>32</v>
      </c>
      <c r="E294">
        <v>1.81</v>
      </c>
      <c r="F294">
        <v>0.88280000000000003</v>
      </c>
      <c r="G294">
        <v>2.5524</v>
      </c>
      <c r="H294">
        <v>1.6696</v>
      </c>
      <c r="I294">
        <v>5.5842999999999998</v>
      </c>
      <c r="J294">
        <v>0.93810000000000004</v>
      </c>
      <c r="K294">
        <v>4.9215</v>
      </c>
      <c r="L294">
        <v>0.90169999999999995</v>
      </c>
      <c r="M294">
        <v>1.5800000000000002E-2</v>
      </c>
      <c r="N294">
        <v>1.09E-2</v>
      </c>
      <c r="O294">
        <v>1.9914000000000001</v>
      </c>
      <c r="P294">
        <v>26.717500000000001</v>
      </c>
      <c r="Q294">
        <v>30.99</v>
      </c>
      <c r="R294">
        <v>0.46300000000000002</v>
      </c>
      <c r="S294">
        <v>1.1107</v>
      </c>
    </row>
    <row r="295" spans="1:19" x14ac:dyDescent="0.25">
      <c r="A295" t="s">
        <v>424</v>
      </c>
      <c r="B295" t="s">
        <v>3</v>
      </c>
      <c r="D295" t="s">
        <v>20</v>
      </c>
      <c r="E295">
        <v>2.6</v>
      </c>
      <c r="F295">
        <v>0</v>
      </c>
      <c r="G295">
        <v>3.1399999999999997E-2</v>
      </c>
      <c r="H295">
        <v>3.1399999999999997E-2</v>
      </c>
      <c r="I295">
        <v>0.43049999999999999</v>
      </c>
      <c r="J295">
        <v>2.2801999999999998</v>
      </c>
      <c r="K295">
        <v>13.039400000000001</v>
      </c>
      <c r="L295">
        <v>0.37059999999999998</v>
      </c>
      <c r="M295">
        <v>1.5800000000000002E-2</v>
      </c>
      <c r="N295">
        <v>1.09E-2</v>
      </c>
      <c r="O295">
        <v>0.92920000000000003</v>
      </c>
      <c r="P295">
        <v>0</v>
      </c>
      <c r="Q295">
        <v>0</v>
      </c>
      <c r="R295">
        <v>0.39629999999999999</v>
      </c>
      <c r="S295">
        <v>0.83579999999999999</v>
      </c>
    </row>
    <row r="296" spans="1:19" x14ac:dyDescent="0.25">
      <c r="A296" t="s">
        <v>380</v>
      </c>
      <c r="B296" t="s">
        <v>3</v>
      </c>
      <c r="D296" t="s">
        <v>13</v>
      </c>
      <c r="E296">
        <v>1.3</v>
      </c>
      <c r="F296">
        <v>1.5E-3</v>
      </c>
      <c r="G296">
        <v>7.4200000000000002E-2</v>
      </c>
      <c r="H296">
        <v>7.2700000000000001E-2</v>
      </c>
      <c r="I296">
        <v>1.7190000000000001</v>
      </c>
      <c r="J296">
        <v>1.2205999999999999</v>
      </c>
      <c r="K296">
        <v>13.4551</v>
      </c>
      <c r="L296">
        <v>0.36020000000000002</v>
      </c>
      <c r="M296">
        <v>1.5800000000000002E-2</v>
      </c>
      <c r="N296">
        <v>1.09E-2</v>
      </c>
      <c r="O296">
        <v>0.90839999999999999</v>
      </c>
      <c r="P296">
        <v>0</v>
      </c>
      <c r="Q296">
        <v>0</v>
      </c>
      <c r="R296">
        <v>0.41160000000000002</v>
      </c>
      <c r="S296">
        <v>0.51900000000000002</v>
      </c>
    </row>
    <row r="297" spans="1:19" x14ac:dyDescent="0.25">
      <c r="A297" t="s">
        <v>613</v>
      </c>
      <c r="B297" t="s">
        <v>24</v>
      </c>
      <c r="D297" t="s">
        <v>23</v>
      </c>
      <c r="E297">
        <v>2.09</v>
      </c>
      <c r="F297">
        <v>0.22320000000000001</v>
      </c>
      <c r="G297">
        <v>0.58360000000000001</v>
      </c>
      <c r="H297">
        <v>0.3604</v>
      </c>
      <c r="I297">
        <v>1.9891000000000001</v>
      </c>
      <c r="J297">
        <v>2.4367000000000001</v>
      </c>
      <c r="K297">
        <v>3.0057999999999998</v>
      </c>
      <c r="L297">
        <v>0.72099999999999997</v>
      </c>
      <c r="M297">
        <v>1.5800000000000002E-2</v>
      </c>
      <c r="N297">
        <v>1.09E-2</v>
      </c>
      <c r="O297">
        <v>1.63</v>
      </c>
      <c r="P297">
        <v>26.5275</v>
      </c>
      <c r="Q297">
        <v>32.223100000000002</v>
      </c>
      <c r="R297">
        <v>0.45150000000000001</v>
      </c>
      <c r="S297">
        <v>1.0922000000000001</v>
      </c>
    </row>
    <row r="298" spans="1:19" x14ac:dyDescent="0.25">
      <c r="A298" t="s">
        <v>266</v>
      </c>
      <c r="B298" t="s">
        <v>24</v>
      </c>
      <c r="D298" t="s">
        <v>34</v>
      </c>
      <c r="E298">
        <v>1.77</v>
      </c>
      <c r="F298">
        <v>0.86580000000000001</v>
      </c>
      <c r="G298">
        <v>1.3900999999999999</v>
      </c>
      <c r="H298">
        <v>0.52429999999999999</v>
      </c>
      <c r="I298">
        <v>5.3647</v>
      </c>
      <c r="J298">
        <v>1.5820000000000001</v>
      </c>
      <c r="K298">
        <v>1.8318000000000001</v>
      </c>
      <c r="L298">
        <v>0.50760000000000005</v>
      </c>
      <c r="M298">
        <v>1.5800000000000002E-2</v>
      </c>
      <c r="N298">
        <v>1.09E-2</v>
      </c>
      <c r="O298">
        <v>1.2032</v>
      </c>
      <c r="P298">
        <v>11.4276</v>
      </c>
      <c r="Q298">
        <v>9.7113999999999994</v>
      </c>
      <c r="R298">
        <v>0.54059999999999997</v>
      </c>
      <c r="S298">
        <v>0.74350000000000005</v>
      </c>
    </row>
    <row r="299" spans="1:19" x14ac:dyDescent="0.25">
      <c r="A299" t="s">
        <v>265</v>
      </c>
      <c r="B299" t="s">
        <v>3</v>
      </c>
      <c r="D299" t="s">
        <v>21</v>
      </c>
      <c r="E299">
        <v>2.12</v>
      </c>
      <c r="F299">
        <v>0</v>
      </c>
      <c r="G299">
        <v>0.3291</v>
      </c>
      <c r="H299">
        <v>0.3291</v>
      </c>
      <c r="I299">
        <v>1.8099000000000001</v>
      </c>
      <c r="J299">
        <v>0.76980000000000004</v>
      </c>
      <c r="K299">
        <v>7.3932000000000002</v>
      </c>
      <c r="L299">
        <v>4.8300000000000003E-2</v>
      </c>
      <c r="M299">
        <v>1.5800000000000002E-2</v>
      </c>
      <c r="N299">
        <v>1.09E-2</v>
      </c>
      <c r="O299">
        <v>0.28460000000000002</v>
      </c>
      <c r="P299">
        <v>0</v>
      </c>
      <c r="Q299">
        <v>0</v>
      </c>
      <c r="R299">
        <v>0.39879999999999999</v>
      </c>
      <c r="S299">
        <v>0.30149999999999999</v>
      </c>
    </row>
    <row r="300" spans="1:19" x14ac:dyDescent="0.25">
      <c r="A300" t="s">
        <v>367</v>
      </c>
      <c r="B300" t="s">
        <v>3</v>
      </c>
      <c r="D300" t="s">
        <v>2</v>
      </c>
      <c r="E300">
        <v>0.44</v>
      </c>
      <c r="F300">
        <v>0.1386</v>
      </c>
      <c r="G300">
        <v>0.71060000000000001</v>
      </c>
      <c r="H300">
        <v>0.57199999999999995</v>
      </c>
      <c r="I300">
        <v>2.0869</v>
      </c>
      <c r="J300">
        <v>1.7776000000000001</v>
      </c>
      <c r="K300">
        <v>6.4428000000000001</v>
      </c>
      <c r="L300">
        <v>0.1144</v>
      </c>
      <c r="M300">
        <v>1.5800000000000002E-2</v>
      </c>
      <c r="N300">
        <v>1.09E-2</v>
      </c>
      <c r="O300">
        <v>0.4168</v>
      </c>
      <c r="P300">
        <v>0</v>
      </c>
      <c r="Q300">
        <v>0</v>
      </c>
      <c r="R300">
        <v>0.4284</v>
      </c>
      <c r="S300">
        <v>0.2228</v>
      </c>
    </row>
    <row r="301" spans="1:19" x14ac:dyDescent="0.25">
      <c r="A301" t="s">
        <v>920</v>
      </c>
      <c r="B301" t="s">
        <v>3</v>
      </c>
      <c r="D301" t="s">
        <v>30</v>
      </c>
      <c r="E301">
        <v>1.97</v>
      </c>
      <c r="F301" s="1">
        <v>0</v>
      </c>
      <c r="G301">
        <v>4.7E-2</v>
      </c>
      <c r="H301">
        <v>4.7E-2</v>
      </c>
      <c r="I301">
        <v>1.5113000000000001</v>
      </c>
      <c r="J301">
        <v>8.3486999999999991</v>
      </c>
      <c r="K301">
        <v>8.5830000000000002</v>
      </c>
      <c r="L301">
        <v>0.17519999999999999</v>
      </c>
      <c r="M301">
        <v>1.5800000000000002E-2</v>
      </c>
      <c r="N301">
        <v>1.09E-2</v>
      </c>
      <c r="O301">
        <v>0.53839999999999999</v>
      </c>
      <c r="P301">
        <v>0</v>
      </c>
      <c r="Q301">
        <v>0</v>
      </c>
      <c r="R301">
        <v>0.4027</v>
      </c>
      <c r="S301">
        <v>0.7278</v>
      </c>
    </row>
    <row r="302" spans="1:19" x14ac:dyDescent="0.25">
      <c r="A302" t="s">
        <v>803</v>
      </c>
      <c r="B302" t="s">
        <v>24</v>
      </c>
      <c r="D302" t="s">
        <v>31</v>
      </c>
      <c r="E302">
        <v>0.73</v>
      </c>
      <c r="F302">
        <v>0.53029999999999999</v>
      </c>
      <c r="G302">
        <v>0.46960000000000002</v>
      </c>
      <c r="H302">
        <v>0</v>
      </c>
      <c r="I302">
        <v>2.4135</v>
      </c>
      <c r="J302">
        <v>4.2672999999999996</v>
      </c>
      <c r="K302">
        <v>2.5268000000000002</v>
      </c>
      <c r="L302">
        <v>0.108</v>
      </c>
      <c r="M302">
        <v>1.5800000000000002E-2</v>
      </c>
      <c r="N302">
        <v>1.09E-2</v>
      </c>
      <c r="O302">
        <v>0.40400000000000003</v>
      </c>
      <c r="P302">
        <v>6.6935000000000002</v>
      </c>
      <c r="Q302">
        <v>8.4092000000000002</v>
      </c>
      <c r="R302">
        <v>0.44319999999999998</v>
      </c>
      <c r="S302">
        <v>0.2127</v>
      </c>
    </row>
    <row r="303" spans="1:19" x14ac:dyDescent="0.25">
      <c r="A303" t="s">
        <v>413</v>
      </c>
      <c r="B303" t="s">
        <v>24</v>
      </c>
      <c r="D303" t="s">
        <v>4</v>
      </c>
      <c r="E303">
        <v>0.85</v>
      </c>
      <c r="F303">
        <v>0.72740000000000005</v>
      </c>
      <c r="G303">
        <v>1.3566</v>
      </c>
      <c r="H303">
        <v>0.62919999999999998</v>
      </c>
      <c r="I303">
        <v>3.6494</v>
      </c>
      <c r="J303">
        <v>1.5447</v>
      </c>
      <c r="K303">
        <v>1.7845</v>
      </c>
      <c r="L303">
        <v>0.30730000000000002</v>
      </c>
      <c r="M303">
        <v>1.5800000000000002E-2</v>
      </c>
      <c r="N303">
        <v>1.09E-2</v>
      </c>
      <c r="O303">
        <v>0.80259999999999998</v>
      </c>
      <c r="P303">
        <v>23.1404</v>
      </c>
      <c r="Q303">
        <v>42.7239</v>
      </c>
      <c r="R303">
        <v>0.3513</v>
      </c>
      <c r="S303">
        <v>0.1978</v>
      </c>
    </row>
    <row r="304" spans="1:19" x14ac:dyDescent="0.25">
      <c r="A304" t="s">
        <v>697</v>
      </c>
      <c r="B304" t="s">
        <v>24</v>
      </c>
      <c r="D304" t="s">
        <v>8</v>
      </c>
      <c r="E304">
        <v>2.09</v>
      </c>
      <c r="F304">
        <v>0.56069999999999998</v>
      </c>
      <c r="G304">
        <v>1.1637999999999999</v>
      </c>
      <c r="H304">
        <v>0.60309999999999997</v>
      </c>
      <c r="I304">
        <v>4.0551000000000004</v>
      </c>
      <c r="J304">
        <v>0.93289999999999995</v>
      </c>
      <c r="K304">
        <v>4.4233000000000002</v>
      </c>
      <c r="L304">
        <v>0.16339999999999999</v>
      </c>
      <c r="M304">
        <v>1.5800000000000002E-2</v>
      </c>
      <c r="N304">
        <v>1.09E-2</v>
      </c>
      <c r="O304">
        <v>0.51480000000000004</v>
      </c>
      <c r="P304">
        <v>29.508900000000001</v>
      </c>
      <c r="Q304">
        <v>32.158999999999999</v>
      </c>
      <c r="R304">
        <v>0.47849999999999998</v>
      </c>
      <c r="S304">
        <v>0.45069999999999999</v>
      </c>
    </row>
    <row r="305" spans="1:19" x14ac:dyDescent="0.25">
      <c r="A305" t="s">
        <v>396</v>
      </c>
      <c r="B305" t="s">
        <v>24</v>
      </c>
      <c r="D305" t="s">
        <v>34</v>
      </c>
      <c r="E305">
        <v>1.72</v>
      </c>
      <c r="F305">
        <v>0.46479999999999999</v>
      </c>
      <c r="G305">
        <v>1.3803000000000001</v>
      </c>
      <c r="H305">
        <v>0.91549999999999998</v>
      </c>
      <c r="I305">
        <v>3.8363</v>
      </c>
      <c r="J305">
        <v>0.59360000000000002</v>
      </c>
      <c r="K305">
        <v>2.0310000000000001</v>
      </c>
      <c r="L305">
        <v>0.1739</v>
      </c>
      <c r="M305">
        <v>1.5800000000000002E-2</v>
      </c>
      <c r="N305">
        <v>1.09E-2</v>
      </c>
      <c r="O305">
        <v>0.53580000000000005</v>
      </c>
      <c r="P305">
        <v>2.0691999999999999</v>
      </c>
      <c r="Q305">
        <v>2.1806000000000001</v>
      </c>
      <c r="R305">
        <v>0.4869</v>
      </c>
      <c r="S305">
        <v>0.55730000000000002</v>
      </c>
    </row>
    <row r="306" spans="1:19" x14ac:dyDescent="0.25">
      <c r="A306" t="s">
        <v>284</v>
      </c>
      <c r="B306" t="s">
        <v>3</v>
      </c>
      <c r="D306" t="s">
        <v>15</v>
      </c>
      <c r="E306">
        <v>0.55000000000000004</v>
      </c>
      <c r="F306">
        <v>0.1827</v>
      </c>
      <c r="G306">
        <v>0.29920000000000002</v>
      </c>
      <c r="H306">
        <v>0.11650000000000001</v>
      </c>
      <c r="I306">
        <v>5.1691000000000003</v>
      </c>
      <c r="J306">
        <v>1.3924000000000001</v>
      </c>
      <c r="K306">
        <v>7.5140000000000002</v>
      </c>
      <c r="L306">
        <v>0.75719999999999998</v>
      </c>
      <c r="M306">
        <v>1.5800000000000002E-2</v>
      </c>
      <c r="N306">
        <v>1.09E-2</v>
      </c>
      <c r="O306">
        <v>1.7023999999999999</v>
      </c>
      <c r="P306">
        <v>0</v>
      </c>
      <c r="Q306">
        <v>0</v>
      </c>
      <c r="R306">
        <v>0.44319999999999998</v>
      </c>
      <c r="S306">
        <v>0.35289999999999999</v>
      </c>
    </row>
    <row r="307" spans="1:19" x14ac:dyDescent="0.25">
      <c r="A307" t="s">
        <v>339</v>
      </c>
      <c r="B307" t="s">
        <v>24</v>
      </c>
      <c r="D307" t="s">
        <v>15</v>
      </c>
      <c r="E307">
        <v>0.87</v>
      </c>
      <c r="F307">
        <v>0.66839999999999999</v>
      </c>
      <c r="G307">
        <v>0.56569999999999998</v>
      </c>
      <c r="H307">
        <v>0</v>
      </c>
      <c r="I307">
        <v>5.3148</v>
      </c>
      <c r="J307">
        <v>0.95279999999999998</v>
      </c>
      <c r="K307">
        <v>1.994</v>
      </c>
      <c r="L307">
        <v>0.96189999999999998</v>
      </c>
      <c r="M307">
        <v>1.5800000000000002E-2</v>
      </c>
      <c r="N307">
        <v>1.09E-2</v>
      </c>
      <c r="O307">
        <v>2.1118000000000001</v>
      </c>
      <c r="P307">
        <v>10.4076</v>
      </c>
      <c r="Q307">
        <v>8.7851999999999997</v>
      </c>
      <c r="R307">
        <v>0.5423</v>
      </c>
      <c r="S307">
        <v>1.5789</v>
      </c>
    </row>
    <row r="308" spans="1:19" x14ac:dyDescent="0.25">
      <c r="A308" t="s">
        <v>560</v>
      </c>
      <c r="B308" t="s">
        <v>3</v>
      </c>
      <c r="D308" t="s">
        <v>30</v>
      </c>
      <c r="E308">
        <v>1.18</v>
      </c>
      <c r="F308">
        <v>9.6500000000000002E-2</v>
      </c>
      <c r="G308">
        <v>1.0794999999999999</v>
      </c>
      <c r="H308">
        <v>0.98299999999999998</v>
      </c>
      <c r="I308">
        <v>1.974</v>
      </c>
      <c r="J308">
        <v>7.0110999999999999</v>
      </c>
      <c r="K308">
        <v>7.1158000000000001</v>
      </c>
      <c r="L308">
        <v>8.3500000000000005E-2</v>
      </c>
      <c r="M308">
        <v>1.5800000000000002E-2</v>
      </c>
      <c r="N308">
        <v>1.09E-2</v>
      </c>
      <c r="O308">
        <v>0.35499999999999998</v>
      </c>
      <c r="P308">
        <v>0</v>
      </c>
      <c r="Q308">
        <v>0</v>
      </c>
      <c r="R308">
        <v>0.41810000000000003</v>
      </c>
      <c r="S308">
        <v>0.48470000000000002</v>
      </c>
    </row>
    <row r="309" spans="1:19" x14ac:dyDescent="0.25">
      <c r="A309" t="s">
        <v>899</v>
      </c>
      <c r="B309" t="s">
        <v>3</v>
      </c>
      <c r="D309" t="s">
        <v>30</v>
      </c>
      <c r="E309">
        <v>2.78</v>
      </c>
      <c r="F309">
        <v>0</v>
      </c>
      <c r="G309">
        <v>0.29110000000000003</v>
      </c>
      <c r="H309">
        <v>0.29110000000000003</v>
      </c>
      <c r="I309">
        <v>0.96160000000000001</v>
      </c>
      <c r="J309">
        <v>1.0967</v>
      </c>
      <c r="K309">
        <v>6.9847999999999999</v>
      </c>
      <c r="L309">
        <v>0.40310000000000001</v>
      </c>
      <c r="M309">
        <v>1.5800000000000002E-2</v>
      </c>
      <c r="N309">
        <v>1.09E-2</v>
      </c>
      <c r="O309">
        <v>0.99419999999999997</v>
      </c>
      <c r="P309">
        <v>0</v>
      </c>
      <c r="Q309">
        <v>0</v>
      </c>
      <c r="R309">
        <v>0.38990000000000002</v>
      </c>
      <c r="S309">
        <v>0.39789999999999998</v>
      </c>
    </row>
    <row r="310" spans="1:19" x14ac:dyDescent="0.25">
      <c r="A310" t="s">
        <v>597</v>
      </c>
      <c r="B310" t="s">
        <v>24</v>
      </c>
      <c r="D310" t="s">
        <v>29</v>
      </c>
      <c r="E310">
        <v>1.73</v>
      </c>
      <c r="F310">
        <v>0.44240000000000002</v>
      </c>
      <c r="G310">
        <v>0.60289999999999999</v>
      </c>
      <c r="H310">
        <v>0.1605</v>
      </c>
      <c r="I310">
        <v>3.0032000000000001</v>
      </c>
      <c r="J310">
        <v>2.9563999999999999</v>
      </c>
      <c r="K310">
        <v>8.4662000000000006</v>
      </c>
      <c r="L310">
        <v>0.69110000000000005</v>
      </c>
      <c r="M310">
        <v>1.5800000000000002E-2</v>
      </c>
      <c r="N310">
        <v>1.09E-2</v>
      </c>
      <c r="O310">
        <v>1.5702</v>
      </c>
      <c r="P310">
        <v>4.4484000000000004</v>
      </c>
      <c r="Q310">
        <v>6.4991000000000003</v>
      </c>
      <c r="R310">
        <v>0.40629999999999999</v>
      </c>
      <c r="S310">
        <v>1.6814</v>
      </c>
    </row>
    <row r="311" spans="1:19" x14ac:dyDescent="0.25">
      <c r="A311" t="s">
        <v>307</v>
      </c>
      <c r="B311" t="s">
        <v>24</v>
      </c>
      <c r="D311" t="s">
        <v>1160</v>
      </c>
      <c r="E311">
        <v>1.38</v>
      </c>
      <c r="F311">
        <v>0.37030000000000002</v>
      </c>
      <c r="G311">
        <v>0.42349999999999999</v>
      </c>
      <c r="H311">
        <v>5.3199999999999997E-2</v>
      </c>
      <c r="I311">
        <v>3.5081000000000002</v>
      </c>
      <c r="J311">
        <v>1.4120999999999999</v>
      </c>
      <c r="K311">
        <v>2.8289</v>
      </c>
      <c r="L311">
        <v>0.47420000000000001</v>
      </c>
      <c r="M311">
        <v>1.5800000000000002E-2</v>
      </c>
      <c r="N311">
        <v>1.09E-2</v>
      </c>
      <c r="O311">
        <v>1.1364000000000001</v>
      </c>
      <c r="P311">
        <v>20.456399999999999</v>
      </c>
      <c r="Q311">
        <v>26.734500000000001</v>
      </c>
      <c r="R311">
        <v>0.4335</v>
      </c>
      <c r="S311">
        <v>0.64970000000000006</v>
      </c>
    </row>
    <row r="312" spans="1:19" x14ac:dyDescent="0.25">
      <c r="A312" t="s">
        <v>766</v>
      </c>
      <c r="B312" t="s">
        <v>24</v>
      </c>
      <c r="D312" t="s">
        <v>27</v>
      </c>
      <c r="E312">
        <v>1.68</v>
      </c>
      <c r="F312">
        <v>0.33900000000000002</v>
      </c>
      <c r="G312">
        <v>0.36609999999999998</v>
      </c>
      <c r="H312">
        <v>2.7099999999999999E-2</v>
      </c>
      <c r="I312">
        <v>3.7947000000000002</v>
      </c>
      <c r="J312">
        <v>1.5081</v>
      </c>
      <c r="K312">
        <v>5.1357999999999997</v>
      </c>
      <c r="L312">
        <v>0.26490000000000002</v>
      </c>
      <c r="M312">
        <v>1.5800000000000002E-2</v>
      </c>
      <c r="N312">
        <v>1.09E-2</v>
      </c>
      <c r="O312">
        <v>0.71779999999999999</v>
      </c>
      <c r="P312">
        <v>10.928699999999999</v>
      </c>
      <c r="Q312">
        <v>15.3055</v>
      </c>
      <c r="R312">
        <v>0.41660000000000003</v>
      </c>
      <c r="S312">
        <v>0.54159999999999997</v>
      </c>
    </row>
    <row r="313" spans="1:19" x14ac:dyDescent="0.25">
      <c r="A313" t="s">
        <v>758</v>
      </c>
      <c r="B313" t="s">
        <v>3</v>
      </c>
      <c r="D313" t="s">
        <v>13</v>
      </c>
      <c r="E313">
        <v>2.19</v>
      </c>
      <c r="F313">
        <v>3.4599999999999999E-2</v>
      </c>
      <c r="G313">
        <v>0.12529999999999999</v>
      </c>
      <c r="H313">
        <v>9.0700000000000003E-2</v>
      </c>
      <c r="I313">
        <v>0.86599999999999999</v>
      </c>
      <c r="J313">
        <v>2.1356000000000002</v>
      </c>
      <c r="K313">
        <v>5.9691000000000001</v>
      </c>
      <c r="L313">
        <v>9.8199999999999996E-2</v>
      </c>
      <c r="M313">
        <v>1.5800000000000002E-2</v>
      </c>
      <c r="N313">
        <v>1.09E-2</v>
      </c>
      <c r="O313">
        <v>0.38440000000000002</v>
      </c>
      <c r="P313">
        <v>0</v>
      </c>
      <c r="Q313">
        <v>0</v>
      </c>
      <c r="R313">
        <v>0.42349999999999999</v>
      </c>
      <c r="S313">
        <v>0.1971</v>
      </c>
    </row>
    <row r="314" spans="1:19" x14ac:dyDescent="0.25">
      <c r="A314" t="s">
        <v>405</v>
      </c>
      <c r="B314" t="s">
        <v>3</v>
      </c>
      <c r="D314" t="s">
        <v>15</v>
      </c>
      <c r="E314">
        <v>1.89</v>
      </c>
      <c r="F314">
        <v>0</v>
      </c>
      <c r="G314">
        <v>0.32279999999999998</v>
      </c>
      <c r="H314">
        <v>0.32279999999999998</v>
      </c>
      <c r="I314">
        <v>2.2040000000000002</v>
      </c>
      <c r="J314">
        <v>1.7256</v>
      </c>
      <c r="K314">
        <v>7.6294000000000004</v>
      </c>
      <c r="L314">
        <v>0.23050000000000001</v>
      </c>
      <c r="M314">
        <v>1.5800000000000002E-2</v>
      </c>
      <c r="N314">
        <v>1.09E-2</v>
      </c>
      <c r="O314">
        <v>0.64900000000000002</v>
      </c>
      <c r="P314">
        <v>0</v>
      </c>
      <c r="Q314">
        <v>0</v>
      </c>
      <c r="R314">
        <v>0.40139999999999998</v>
      </c>
      <c r="S314">
        <v>0.33489999999999998</v>
      </c>
    </row>
    <row r="315" spans="1:19" x14ac:dyDescent="0.25">
      <c r="A315" t="s">
        <v>372</v>
      </c>
      <c r="B315" t="s">
        <v>24</v>
      </c>
      <c r="D315" t="s">
        <v>32</v>
      </c>
      <c r="E315">
        <v>1.64</v>
      </c>
      <c r="F315">
        <v>0.7843</v>
      </c>
      <c r="G315">
        <v>2.4437000000000002</v>
      </c>
      <c r="H315">
        <v>1.6594</v>
      </c>
      <c r="I315">
        <v>8.6984999999999992</v>
      </c>
      <c r="J315">
        <v>5.6516999999999999</v>
      </c>
      <c r="K315">
        <v>2.6772</v>
      </c>
      <c r="L315">
        <v>0.6825</v>
      </c>
      <c r="M315">
        <v>1.5800000000000002E-2</v>
      </c>
      <c r="N315">
        <v>1.09E-2</v>
      </c>
      <c r="O315">
        <v>1.5529999999999999</v>
      </c>
      <c r="P315">
        <v>2.7113</v>
      </c>
      <c r="Q315">
        <v>2.8231000000000002</v>
      </c>
      <c r="R315">
        <v>0.4899</v>
      </c>
      <c r="S315">
        <v>0.42180000000000001</v>
      </c>
    </row>
    <row r="316" spans="1:19" x14ac:dyDescent="0.25">
      <c r="A316" t="s">
        <v>411</v>
      </c>
      <c r="B316" t="s">
        <v>3</v>
      </c>
      <c r="D316" t="s">
        <v>32</v>
      </c>
      <c r="E316">
        <v>2.48</v>
      </c>
      <c r="F316">
        <v>0.2218</v>
      </c>
      <c r="G316">
        <v>0.80649999999999999</v>
      </c>
      <c r="H316">
        <v>0.5847</v>
      </c>
      <c r="I316">
        <v>2.5221</v>
      </c>
      <c r="J316">
        <v>1.673</v>
      </c>
      <c r="K316">
        <v>8.5526999999999997</v>
      </c>
      <c r="L316">
        <v>0.24690000000000001</v>
      </c>
      <c r="M316">
        <v>1.5800000000000002E-2</v>
      </c>
      <c r="N316">
        <v>1.09E-2</v>
      </c>
      <c r="O316">
        <v>0.68179999999999996</v>
      </c>
      <c r="P316">
        <v>0</v>
      </c>
      <c r="Q316">
        <v>0</v>
      </c>
      <c r="R316">
        <v>0.39190000000000003</v>
      </c>
      <c r="S316">
        <v>0.60570000000000002</v>
      </c>
    </row>
    <row r="317" spans="1:19" x14ac:dyDescent="0.25">
      <c r="A317" t="s">
        <v>641</v>
      </c>
      <c r="B317" t="s">
        <v>24</v>
      </c>
      <c r="D317" t="s">
        <v>12</v>
      </c>
      <c r="E317">
        <v>0.63</v>
      </c>
      <c r="F317">
        <v>0.51239999999999997</v>
      </c>
      <c r="G317">
        <v>0.70630000000000004</v>
      </c>
      <c r="H317">
        <v>0.19389999999999999</v>
      </c>
      <c r="I317">
        <v>3.1930999999999998</v>
      </c>
      <c r="J317">
        <v>0.9829</v>
      </c>
      <c r="K317">
        <v>4.8902000000000001</v>
      </c>
      <c r="L317">
        <v>1.0353000000000001</v>
      </c>
      <c r="M317">
        <v>1.5800000000000002E-2</v>
      </c>
      <c r="N317">
        <v>1.09E-2</v>
      </c>
      <c r="O317">
        <v>2.2585999999999999</v>
      </c>
      <c r="P317">
        <v>5.9189999999999996</v>
      </c>
      <c r="Q317">
        <v>8.9451999999999998</v>
      </c>
      <c r="R317">
        <v>0.3982</v>
      </c>
      <c r="S317">
        <v>0.48630000000000001</v>
      </c>
    </row>
    <row r="318" spans="1:19" x14ac:dyDescent="0.25">
      <c r="A318" t="s">
        <v>732</v>
      </c>
      <c r="B318" t="s">
        <v>24</v>
      </c>
      <c r="D318" t="s">
        <v>26</v>
      </c>
      <c r="E318">
        <v>1.76</v>
      </c>
      <c r="F318">
        <v>0.52700000000000002</v>
      </c>
      <c r="G318">
        <v>0.8619</v>
      </c>
      <c r="H318">
        <v>0.33489999999999998</v>
      </c>
      <c r="I318">
        <v>3.8624000000000001</v>
      </c>
      <c r="J318">
        <v>2.3525</v>
      </c>
      <c r="K318">
        <v>4.7984999999999998</v>
      </c>
      <c r="L318">
        <v>0.27300000000000002</v>
      </c>
      <c r="M318">
        <v>1.5800000000000002E-2</v>
      </c>
      <c r="N318">
        <v>1.09E-2</v>
      </c>
      <c r="O318">
        <v>0.73399999999999999</v>
      </c>
      <c r="P318">
        <v>11.0672</v>
      </c>
      <c r="Q318">
        <v>20.044499999999999</v>
      </c>
      <c r="R318">
        <v>0.35570000000000002</v>
      </c>
      <c r="S318">
        <v>0.50009999999999999</v>
      </c>
    </row>
    <row r="319" spans="1:19" x14ac:dyDescent="0.25">
      <c r="A319" t="s">
        <v>547</v>
      </c>
      <c r="B319" t="s">
        <v>24</v>
      </c>
      <c r="D319" t="s">
        <v>26</v>
      </c>
      <c r="E319">
        <v>1.55</v>
      </c>
      <c r="F319">
        <v>1.3176000000000001</v>
      </c>
      <c r="G319">
        <v>1.607</v>
      </c>
      <c r="H319">
        <v>0.28939999999999999</v>
      </c>
      <c r="I319">
        <v>7.8922999999999996</v>
      </c>
      <c r="J319">
        <v>0.55840000000000001</v>
      </c>
      <c r="K319">
        <v>3.7692000000000001</v>
      </c>
      <c r="L319">
        <v>0.48630000000000001</v>
      </c>
      <c r="M319">
        <v>1.5800000000000002E-2</v>
      </c>
      <c r="N319">
        <v>1.09E-2</v>
      </c>
      <c r="O319">
        <v>1.1606000000000001</v>
      </c>
      <c r="P319">
        <v>0.96160000000000001</v>
      </c>
      <c r="Q319">
        <v>1.1560999999999999</v>
      </c>
      <c r="R319">
        <v>0.4541</v>
      </c>
      <c r="S319">
        <v>0.59260000000000002</v>
      </c>
    </row>
    <row r="320" spans="1:19" x14ac:dyDescent="0.25">
      <c r="A320" t="s">
        <v>900</v>
      </c>
      <c r="B320" t="s">
        <v>3</v>
      </c>
      <c r="D320" t="s">
        <v>29</v>
      </c>
      <c r="E320">
        <v>1.84</v>
      </c>
      <c r="F320">
        <v>8.7400000000000005E-2</v>
      </c>
      <c r="G320">
        <v>0.47860000000000003</v>
      </c>
      <c r="H320">
        <v>0.39119999999999999</v>
      </c>
      <c r="I320">
        <v>1.5275000000000001</v>
      </c>
      <c r="J320">
        <v>0.35909999999999997</v>
      </c>
      <c r="K320">
        <v>9.2538</v>
      </c>
      <c r="L320">
        <v>4.2599999999999999E-2</v>
      </c>
      <c r="M320">
        <v>1.5800000000000002E-2</v>
      </c>
      <c r="N320">
        <v>1.09E-2</v>
      </c>
      <c r="O320">
        <v>0.2732</v>
      </c>
      <c r="P320">
        <v>0</v>
      </c>
      <c r="Q320">
        <v>0</v>
      </c>
      <c r="R320">
        <v>0.39419999999999999</v>
      </c>
      <c r="S320">
        <v>0.62309999999999999</v>
      </c>
    </row>
    <row r="321" spans="1:19" x14ac:dyDescent="0.25">
      <c r="A321" t="s">
        <v>661</v>
      </c>
      <c r="B321" t="s">
        <v>3</v>
      </c>
      <c r="D321" t="s">
        <v>955</v>
      </c>
      <c r="E321">
        <v>2.0099999999999998</v>
      </c>
      <c r="F321">
        <v>7.4999999999999997E-3</v>
      </c>
      <c r="G321">
        <v>6.5699999999999995E-2</v>
      </c>
      <c r="H321">
        <v>5.8200000000000002E-2</v>
      </c>
      <c r="I321">
        <v>1.3971</v>
      </c>
      <c r="J321">
        <v>1.9511000000000001</v>
      </c>
      <c r="K321">
        <v>8.3497000000000003</v>
      </c>
      <c r="L321">
        <v>0.36759999999999998</v>
      </c>
      <c r="M321">
        <v>1.5800000000000002E-2</v>
      </c>
      <c r="N321">
        <v>1.09E-2</v>
      </c>
      <c r="O321">
        <v>0.92320000000000002</v>
      </c>
      <c r="P321">
        <v>0</v>
      </c>
      <c r="Q321">
        <v>0</v>
      </c>
      <c r="R321">
        <v>0.40910000000000002</v>
      </c>
      <c r="S321">
        <v>0.27310000000000001</v>
      </c>
    </row>
    <row r="322" spans="1:19" x14ac:dyDescent="0.25">
      <c r="A322" t="s">
        <v>556</v>
      </c>
      <c r="B322" t="s">
        <v>24</v>
      </c>
      <c r="D322" t="s">
        <v>19</v>
      </c>
      <c r="E322">
        <v>2.16</v>
      </c>
      <c r="F322">
        <v>0.55740000000000001</v>
      </c>
      <c r="G322">
        <v>0.73719999999999997</v>
      </c>
      <c r="H322">
        <v>0.17979999999999999</v>
      </c>
      <c r="I322">
        <v>4.5526</v>
      </c>
      <c r="J322">
        <v>0.70620000000000005</v>
      </c>
      <c r="K322">
        <v>6.0608000000000004</v>
      </c>
      <c r="L322">
        <v>0.58389999999999997</v>
      </c>
      <c r="M322">
        <v>1.5800000000000002E-2</v>
      </c>
      <c r="N322">
        <v>1.09E-2</v>
      </c>
      <c r="O322">
        <v>1.3557999999999999</v>
      </c>
      <c r="P322">
        <v>1.5861000000000001</v>
      </c>
      <c r="Q322">
        <v>2.1678999999999999</v>
      </c>
      <c r="R322">
        <v>0.42249999999999999</v>
      </c>
      <c r="S322">
        <v>0.63400000000000001</v>
      </c>
    </row>
    <row r="323" spans="1:19" x14ac:dyDescent="0.25">
      <c r="A323" t="s">
        <v>332</v>
      </c>
      <c r="B323" t="s">
        <v>3</v>
      </c>
      <c r="D323" t="s">
        <v>8</v>
      </c>
      <c r="E323">
        <v>2.21</v>
      </c>
      <c r="F323">
        <v>2.4400000000000002E-2</v>
      </c>
      <c r="G323">
        <v>0.56000000000000005</v>
      </c>
      <c r="H323">
        <v>0.53559999999999997</v>
      </c>
      <c r="I323">
        <v>1.1436999999999999</v>
      </c>
      <c r="J323">
        <v>4.6768999999999998</v>
      </c>
      <c r="K323">
        <v>9.2066999999999997</v>
      </c>
      <c r="L323">
        <v>0.621</v>
      </c>
      <c r="M323">
        <v>1.5800000000000002E-2</v>
      </c>
      <c r="N323">
        <v>1.09E-2</v>
      </c>
      <c r="O323">
        <v>1.43</v>
      </c>
      <c r="P323">
        <v>0</v>
      </c>
      <c r="Q323">
        <v>0</v>
      </c>
      <c r="R323">
        <v>0.39140000000000003</v>
      </c>
      <c r="S323">
        <v>0.50409999999999999</v>
      </c>
    </row>
    <row r="324" spans="1:19" x14ac:dyDescent="0.25">
      <c r="A324" t="s">
        <v>352</v>
      </c>
      <c r="B324" t="s">
        <v>24</v>
      </c>
      <c r="D324" t="s">
        <v>17</v>
      </c>
      <c r="E324">
        <v>1.08</v>
      </c>
      <c r="F324">
        <v>0.16300000000000001</v>
      </c>
      <c r="G324">
        <v>1.5038</v>
      </c>
      <c r="H324">
        <v>1.3408</v>
      </c>
      <c r="I324">
        <v>1.2814000000000001</v>
      </c>
      <c r="J324">
        <v>1.1911</v>
      </c>
      <c r="K324">
        <v>3.5264000000000002</v>
      </c>
      <c r="L324">
        <v>0.79379999999999995</v>
      </c>
      <c r="M324">
        <v>1.5800000000000002E-2</v>
      </c>
      <c r="N324">
        <v>1.09E-2</v>
      </c>
      <c r="O324">
        <v>1.7756000000000001</v>
      </c>
      <c r="P324">
        <v>28.543500000000002</v>
      </c>
      <c r="Q324">
        <v>27.807099999999998</v>
      </c>
      <c r="R324">
        <v>0.50649999999999995</v>
      </c>
      <c r="S324">
        <v>0.20480000000000001</v>
      </c>
    </row>
    <row r="325" spans="1:19" x14ac:dyDescent="0.25">
      <c r="A325" t="s">
        <v>748</v>
      </c>
      <c r="B325" t="s">
        <v>24</v>
      </c>
      <c r="D325" t="s">
        <v>4</v>
      </c>
      <c r="E325">
        <v>0.8</v>
      </c>
      <c r="F325">
        <v>6.2199999999999998E-2</v>
      </c>
      <c r="G325">
        <v>8.5400000000000004E-2</v>
      </c>
      <c r="H325">
        <v>2.3199999999999998E-2</v>
      </c>
      <c r="I325">
        <v>1.0944</v>
      </c>
      <c r="J325">
        <v>1.5495000000000001</v>
      </c>
      <c r="K325">
        <v>2.0065</v>
      </c>
      <c r="L325">
        <v>0.60019999999999996</v>
      </c>
      <c r="M325">
        <v>1.5800000000000002E-2</v>
      </c>
      <c r="N325">
        <v>1.09E-2</v>
      </c>
      <c r="O325">
        <v>1.3884000000000001</v>
      </c>
      <c r="P325">
        <v>7.3151000000000002</v>
      </c>
      <c r="Q325">
        <v>17.501100000000001</v>
      </c>
      <c r="R325">
        <v>0.29480000000000001</v>
      </c>
      <c r="S325">
        <v>0.46350000000000002</v>
      </c>
    </row>
    <row r="326" spans="1:19" x14ac:dyDescent="0.25">
      <c r="A326" t="s">
        <v>501</v>
      </c>
      <c r="B326" t="s">
        <v>24</v>
      </c>
      <c r="D326" t="s">
        <v>11</v>
      </c>
      <c r="E326">
        <v>1.81</v>
      </c>
      <c r="F326">
        <v>0.74929999999999997</v>
      </c>
      <c r="G326">
        <v>1.2985</v>
      </c>
      <c r="H326">
        <v>0.54920000000000002</v>
      </c>
      <c r="I326">
        <v>6.0021000000000004</v>
      </c>
      <c r="J326">
        <v>0.49149999999999999</v>
      </c>
      <c r="K326">
        <v>4.2446000000000002</v>
      </c>
      <c r="L326">
        <v>0.2145</v>
      </c>
      <c r="M326">
        <v>1.5800000000000002E-2</v>
      </c>
      <c r="N326">
        <v>1.09E-2</v>
      </c>
      <c r="O326">
        <v>0.61699999999999999</v>
      </c>
      <c r="P326">
        <v>0.47970000000000002</v>
      </c>
      <c r="Q326">
        <v>2.028</v>
      </c>
      <c r="R326">
        <v>0.1913</v>
      </c>
      <c r="S326">
        <v>0.78180000000000005</v>
      </c>
    </row>
    <row r="327" spans="1:19" x14ac:dyDescent="0.25">
      <c r="A327" t="s">
        <v>241</v>
      </c>
      <c r="B327" t="s">
        <v>3</v>
      </c>
      <c r="D327" t="s">
        <v>19</v>
      </c>
      <c r="E327">
        <v>2.2799999999999998</v>
      </c>
      <c r="F327">
        <v>0.24759999999999999</v>
      </c>
      <c r="G327">
        <v>0.49769999999999998</v>
      </c>
      <c r="H327">
        <v>0.25009999999999999</v>
      </c>
      <c r="I327">
        <v>2.0657000000000001</v>
      </c>
      <c r="J327">
        <v>1.3452</v>
      </c>
      <c r="K327">
        <v>5.5079000000000002</v>
      </c>
      <c r="L327">
        <v>0.21840000000000001</v>
      </c>
      <c r="M327">
        <v>1.5800000000000002E-2</v>
      </c>
      <c r="N327">
        <v>1.09E-2</v>
      </c>
      <c r="O327">
        <v>0.62480000000000002</v>
      </c>
      <c r="P327">
        <v>0</v>
      </c>
      <c r="Q327">
        <v>0</v>
      </c>
      <c r="R327">
        <v>0.39439999999999997</v>
      </c>
      <c r="S327">
        <v>0.4456</v>
      </c>
    </row>
    <row r="328" spans="1:19" x14ac:dyDescent="0.25">
      <c r="A328" t="s">
        <v>393</v>
      </c>
      <c r="B328" t="s">
        <v>3</v>
      </c>
      <c r="D328" t="s">
        <v>87</v>
      </c>
      <c r="E328">
        <v>0.37</v>
      </c>
      <c r="F328">
        <v>0.2382</v>
      </c>
      <c r="G328">
        <v>1.7041999999999999</v>
      </c>
      <c r="H328">
        <v>1.466</v>
      </c>
      <c r="I328">
        <v>3.3325999999999998</v>
      </c>
      <c r="J328">
        <v>3.9079000000000002</v>
      </c>
      <c r="K328">
        <v>3.3883999999999999</v>
      </c>
      <c r="L328">
        <v>0.16420000000000001</v>
      </c>
      <c r="M328">
        <v>1.5800000000000002E-2</v>
      </c>
      <c r="N328">
        <v>1.09E-2</v>
      </c>
      <c r="O328">
        <v>0.51639999999999997</v>
      </c>
      <c r="P328">
        <v>0</v>
      </c>
      <c r="Q328">
        <v>0</v>
      </c>
      <c r="R328">
        <v>0.43869999999999998</v>
      </c>
      <c r="S328">
        <v>0.30159999999999998</v>
      </c>
    </row>
    <row r="329" spans="1:19" x14ac:dyDescent="0.25">
      <c r="A329" t="s">
        <v>302</v>
      </c>
      <c r="B329" t="s">
        <v>24</v>
      </c>
      <c r="D329" t="s">
        <v>10</v>
      </c>
      <c r="E329">
        <v>1.4</v>
      </c>
      <c r="F329">
        <v>0.44950000000000001</v>
      </c>
      <c r="G329">
        <v>0.37330000000000002</v>
      </c>
      <c r="H329">
        <v>0</v>
      </c>
      <c r="I329">
        <v>2.7395</v>
      </c>
      <c r="J329">
        <v>0.70520000000000005</v>
      </c>
      <c r="K329">
        <v>4.5357000000000003</v>
      </c>
      <c r="L329">
        <v>0.39929999999999999</v>
      </c>
      <c r="M329">
        <v>1.5800000000000002E-2</v>
      </c>
      <c r="N329">
        <v>1.09E-2</v>
      </c>
      <c r="O329">
        <v>0.98660000000000003</v>
      </c>
      <c r="P329">
        <v>20.504300000000001</v>
      </c>
      <c r="Q329">
        <v>17.157499999999999</v>
      </c>
      <c r="R329">
        <v>0.5444</v>
      </c>
      <c r="S329">
        <v>0.67669999999999997</v>
      </c>
    </row>
    <row r="330" spans="1:19" x14ac:dyDescent="0.25">
      <c r="A330" t="s">
        <v>443</v>
      </c>
      <c r="B330" t="s">
        <v>3</v>
      </c>
      <c r="D330" t="s">
        <v>26</v>
      </c>
      <c r="E330">
        <v>2.64</v>
      </c>
      <c r="F330">
        <v>0.10630000000000001</v>
      </c>
      <c r="G330">
        <v>0.39650000000000002</v>
      </c>
      <c r="H330">
        <v>0.29020000000000001</v>
      </c>
      <c r="I330">
        <v>1.4734</v>
      </c>
      <c r="J330">
        <v>2.0354999999999999</v>
      </c>
      <c r="K330">
        <v>8.6035000000000004</v>
      </c>
      <c r="L330">
        <v>0.31659999999999999</v>
      </c>
      <c r="M330">
        <v>1.5800000000000002E-2</v>
      </c>
      <c r="N330">
        <v>1.09E-2</v>
      </c>
      <c r="O330">
        <v>0.82120000000000004</v>
      </c>
      <c r="P330">
        <v>0</v>
      </c>
      <c r="Q330">
        <v>0</v>
      </c>
      <c r="R330">
        <v>0.38519999999999999</v>
      </c>
      <c r="S330">
        <v>0.4395</v>
      </c>
    </row>
    <row r="331" spans="1:19" x14ac:dyDescent="0.25">
      <c r="A331" t="s">
        <v>669</v>
      </c>
      <c r="B331" t="s">
        <v>24</v>
      </c>
      <c r="D331" t="s">
        <v>9</v>
      </c>
      <c r="E331">
        <v>1.1499999999999999</v>
      </c>
      <c r="F331">
        <v>0.2631</v>
      </c>
      <c r="G331">
        <v>0.49099999999999999</v>
      </c>
      <c r="H331">
        <v>0.22789999999999999</v>
      </c>
      <c r="I331">
        <v>2.484</v>
      </c>
      <c r="J331">
        <v>0.50739999999999996</v>
      </c>
      <c r="K331">
        <v>3.8652000000000002</v>
      </c>
      <c r="L331">
        <v>0.83299999999999996</v>
      </c>
      <c r="M331">
        <v>1.5800000000000002E-2</v>
      </c>
      <c r="N331">
        <v>1.09E-2</v>
      </c>
      <c r="O331">
        <v>1.8540000000000001</v>
      </c>
      <c r="P331">
        <v>3.9367999999999999</v>
      </c>
      <c r="Q331">
        <v>7.4382000000000001</v>
      </c>
      <c r="R331">
        <v>0.34610000000000002</v>
      </c>
      <c r="S331">
        <v>0.71079999999999999</v>
      </c>
    </row>
    <row r="332" spans="1:19" x14ac:dyDescent="0.25">
      <c r="A332" t="s">
        <v>576</v>
      </c>
      <c r="B332" t="s">
        <v>24</v>
      </c>
      <c r="D332" t="s">
        <v>16</v>
      </c>
      <c r="E332">
        <v>0.83</v>
      </c>
      <c r="F332">
        <v>0.6048</v>
      </c>
      <c r="G332">
        <v>1.2316</v>
      </c>
      <c r="H332">
        <v>0.62680000000000002</v>
      </c>
      <c r="I332">
        <v>5.9846000000000004</v>
      </c>
      <c r="J332">
        <v>1.3151999999999999</v>
      </c>
      <c r="K332">
        <v>3.9689000000000001</v>
      </c>
      <c r="L332">
        <v>0.4214</v>
      </c>
      <c r="M332">
        <v>1.5800000000000002E-2</v>
      </c>
      <c r="N332">
        <v>1.09E-2</v>
      </c>
      <c r="O332">
        <v>1.0307999999999999</v>
      </c>
      <c r="P332">
        <v>0.92369999999999997</v>
      </c>
      <c r="Q332">
        <v>1.2183999999999999</v>
      </c>
      <c r="R332">
        <v>0.43120000000000003</v>
      </c>
      <c r="S332">
        <v>1.216</v>
      </c>
    </row>
    <row r="333" spans="1:19" x14ac:dyDescent="0.25">
      <c r="A333" t="s">
        <v>753</v>
      </c>
      <c r="B333" t="s">
        <v>3</v>
      </c>
      <c r="D333" t="s">
        <v>87</v>
      </c>
      <c r="E333">
        <v>1.46</v>
      </c>
      <c r="F333">
        <v>4.5699999999999998E-2</v>
      </c>
      <c r="G333">
        <v>7.5600000000000001E-2</v>
      </c>
      <c r="H333">
        <v>2.9899999999999999E-2</v>
      </c>
      <c r="I333">
        <v>3.1839</v>
      </c>
      <c r="J333">
        <v>9.7804000000000002</v>
      </c>
      <c r="K333">
        <v>6.7705000000000002</v>
      </c>
      <c r="L333">
        <v>0.27929999999999999</v>
      </c>
      <c r="M333">
        <v>1.5800000000000002E-2</v>
      </c>
      <c r="N333">
        <v>1.09E-2</v>
      </c>
      <c r="O333">
        <v>0.74660000000000004</v>
      </c>
      <c r="P333">
        <v>0</v>
      </c>
      <c r="Q333">
        <v>0</v>
      </c>
      <c r="R333">
        <v>0.41199999999999998</v>
      </c>
      <c r="S333">
        <v>0.3241</v>
      </c>
    </row>
    <row r="334" spans="1:19" x14ac:dyDescent="0.25">
      <c r="A334" t="s">
        <v>499</v>
      </c>
      <c r="B334" t="s">
        <v>24</v>
      </c>
      <c r="D334" t="s">
        <v>28</v>
      </c>
      <c r="E334">
        <v>1.8</v>
      </c>
      <c r="F334">
        <v>0.51149999999999995</v>
      </c>
      <c r="G334">
        <v>1.2387999999999999</v>
      </c>
      <c r="H334">
        <v>0.72729999999999995</v>
      </c>
      <c r="I334">
        <v>3.3304</v>
      </c>
      <c r="J334">
        <v>0.85109999999999997</v>
      </c>
      <c r="K334">
        <v>5.181</v>
      </c>
      <c r="L334">
        <v>5.62E-2</v>
      </c>
      <c r="M334">
        <v>1.5800000000000002E-2</v>
      </c>
      <c r="N334">
        <v>1.09E-2</v>
      </c>
      <c r="O334">
        <v>0.3004</v>
      </c>
      <c r="P334">
        <v>16.9328</v>
      </c>
      <c r="Q334">
        <v>17.908300000000001</v>
      </c>
      <c r="R334">
        <v>0.48599999999999999</v>
      </c>
      <c r="S334">
        <v>0.84640000000000004</v>
      </c>
    </row>
    <row r="335" spans="1:19" x14ac:dyDescent="0.25">
      <c r="A335" t="s">
        <v>290</v>
      </c>
      <c r="B335" t="s">
        <v>24</v>
      </c>
      <c r="D335" t="s">
        <v>30</v>
      </c>
      <c r="E335">
        <v>0.84</v>
      </c>
      <c r="F335">
        <v>0.78239999999999998</v>
      </c>
      <c r="G335">
        <v>1.2729999999999999</v>
      </c>
      <c r="H335">
        <v>0.49059999999999998</v>
      </c>
      <c r="I335">
        <v>5.4058000000000002</v>
      </c>
      <c r="J335">
        <v>1.5589</v>
      </c>
      <c r="K335">
        <v>2.8660999999999999</v>
      </c>
      <c r="L335">
        <v>0.41710000000000003</v>
      </c>
      <c r="M335">
        <v>1.5800000000000002E-2</v>
      </c>
      <c r="N335">
        <v>1.09E-2</v>
      </c>
      <c r="O335">
        <v>1.0222</v>
      </c>
      <c r="P335">
        <v>5.6695000000000002</v>
      </c>
      <c r="Q335">
        <v>6.8807</v>
      </c>
      <c r="R335">
        <v>0.45169999999999999</v>
      </c>
      <c r="S335">
        <v>0.63400000000000001</v>
      </c>
    </row>
    <row r="336" spans="1:19" x14ac:dyDescent="0.25">
      <c r="A336" t="s">
        <v>579</v>
      </c>
      <c r="B336" t="s">
        <v>24</v>
      </c>
      <c r="D336" t="s">
        <v>1168</v>
      </c>
      <c r="E336">
        <v>1.95</v>
      </c>
      <c r="F336">
        <v>0.41060000000000002</v>
      </c>
      <c r="G336">
        <v>0.64290000000000003</v>
      </c>
      <c r="H336">
        <v>0.23230000000000001</v>
      </c>
      <c r="I336">
        <v>2.9773000000000001</v>
      </c>
      <c r="J336">
        <v>2.5912999999999999</v>
      </c>
      <c r="K336">
        <v>3.3096999999999999</v>
      </c>
      <c r="L336">
        <v>0.25080000000000002</v>
      </c>
      <c r="M336">
        <v>1.5800000000000002E-2</v>
      </c>
      <c r="N336">
        <v>1.09E-2</v>
      </c>
      <c r="O336">
        <v>0.68959999999999999</v>
      </c>
      <c r="P336">
        <v>7.7653999999999996</v>
      </c>
      <c r="Q336">
        <v>11.8004</v>
      </c>
      <c r="R336">
        <v>0.39689999999999998</v>
      </c>
      <c r="S336">
        <v>0.2611</v>
      </c>
    </row>
    <row r="337" spans="1:19" x14ac:dyDescent="0.25">
      <c r="A337" t="s">
        <v>470</v>
      </c>
      <c r="B337" t="s">
        <v>24</v>
      </c>
      <c r="D337" t="s">
        <v>87</v>
      </c>
      <c r="E337">
        <v>1.94</v>
      </c>
      <c r="F337">
        <v>0.73609999999999998</v>
      </c>
      <c r="G337">
        <v>1.1811</v>
      </c>
      <c r="H337">
        <v>0.44500000000000001</v>
      </c>
      <c r="I337">
        <v>2.4906999999999999</v>
      </c>
      <c r="J337">
        <v>3.5752000000000002</v>
      </c>
      <c r="K337">
        <v>2.9443999999999999</v>
      </c>
      <c r="L337">
        <v>0.1956</v>
      </c>
      <c r="M337">
        <v>1.5800000000000002E-2</v>
      </c>
      <c r="N337">
        <v>1.09E-2</v>
      </c>
      <c r="O337">
        <v>0.57920000000000005</v>
      </c>
      <c r="P337">
        <v>16.144400000000001</v>
      </c>
      <c r="Q337">
        <v>20.542300000000001</v>
      </c>
      <c r="R337">
        <v>0.44009999999999999</v>
      </c>
      <c r="S337">
        <v>0.87039999999999995</v>
      </c>
    </row>
    <row r="338" spans="1:19" x14ac:dyDescent="0.25">
      <c r="A338" t="s">
        <v>593</v>
      </c>
      <c r="B338" t="s">
        <v>24</v>
      </c>
      <c r="D338" t="s">
        <v>22</v>
      </c>
      <c r="E338">
        <v>1.63</v>
      </c>
      <c r="F338">
        <v>0.81799999999999995</v>
      </c>
      <c r="G338">
        <v>1.915</v>
      </c>
      <c r="H338">
        <v>1.097</v>
      </c>
      <c r="I338">
        <v>6.4892000000000003</v>
      </c>
      <c r="J338">
        <v>0.6179</v>
      </c>
      <c r="K338">
        <v>3.2947000000000002</v>
      </c>
      <c r="L338">
        <v>5.7700000000000001E-2</v>
      </c>
      <c r="M338">
        <v>1.5800000000000002E-2</v>
      </c>
      <c r="N338">
        <v>1.09E-2</v>
      </c>
      <c r="O338">
        <v>0.3034</v>
      </c>
      <c r="P338">
        <v>4.7485999999999997</v>
      </c>
      <c r="Q338">
        <v>6.1193999999999997</v>
      </c>
      <c r="R338">
        <v>0.43690000000000001</v>
      </c>
      <c r="S338">
        <v>0.4461</v>
      </c>
    </row>
    <row r="339" spans="1:19" x14ac:dyDescent="0.25">
      <c r="A339" t="s">
        <v>537</v>
      </c>
      <c r="B339" t="s">
        <v>3</v>
      </c>
      <c r="D339" t="s">
        <v>1208</v>
      </c>
      <c r="E339">
        <v>1.31</v>
      </c>
      <c r="F339">
        <v>6.3200000000000006E-2</v>
      </c>
      <c r="G339">
        <v>0.35549999999999998</v>
      </c>
      <c r="H339">
        <v>0.2923</v>
      </c>
      <c r="I339">
        <v>2.0177999999999998</v>
      </c>
      <c r="J339">
        <v>4.1056999999999997</v>
      </c>
      <c r="K339">
        <v>7.9329999999999998</v>
      </c>
      <c r="L339">
        <v>0.36930000000000002</v>
      </c>
      <c r="M339">
        <v>1.5800000000000002E-2</v>
      </c>
      <c r="N339">
        <v>1.09E-2</v>
      </c>
      <c r="O339">
        <v>0.92659999999999998</v>
      </c>
      <c r="P339">
        <v>0</v>
      </c>
      <c r="Q339">
        <v>0</v>
      </c>
      <c r="R339">
        <v>0.42749999999999999</v>
      </c>
      <c r="S339">
        <v>0.38469999999999999</v>
      </c>
    </row>
    <row r="340" spans="1:19" x14ac:dyDescent="0.25">
      <c r="A340" t="s">
        <v>625</v>
      </c>
      <c r="B340" t="s">
        <v>24</v>
      </c>
      <c r="D340" t="s">
        <v>11</v>
      </c>
      <c r="E340">
        <v>1.21</v>
      </c>
      <c r="F340">
        <v>0.3891</v>
      </c>
      <c r="G340">
        <v>0.44550000000000001</v>
      </c>
      <c r="H340">
        <v>5.6399999999999999E-2</v>
      </c>
      <c r="I340">
        <v>2.6227999999999998</v>
      </c>
      <c r="J340">
        <v>0.45469999999999999</v>
      </c>
      <c r="K340">
        <v>5.5881999999999996</v>
      </c>
      <c r="L340">
        <v>0.1598</v>
      </c>
      <c r="M340">
        <v>1.5800000000000002E-2</v>
      </c>
      <c r="N340">
        <v>1.09E-2</v>
      </c>
      <c r="O340">
        <v>0.50760000000000005</v>
      </c>
      <c r="P340">
        <v>2.9127000000000001</v>
      </c>
      <c r="Q340">
        <v>10.3544</v>
      </c>
      <c r="R340">
        <v>0.2195</v>
      </c>
      <c r="S340">
        <v>0.42609999999999998</v>
      </c>
    </row>
    <row r="341" spans="1:19" x14ac:dyDescent="0.25">
      <c r="A341" t="s">
        <v>326</v>
      </c>
      <c r="B341" t="s">
        <v>3</v>
      </c>
      <c r="D341" t="s">
        <v>23</v>
      </c>
      <c r="E341">
        <v>1.27</v>
      </c>
      <c r="F341">
        <v>0.15040000000000001</v>
      </c>
      <c r="G341">
        <v>0.10299999999999999</v>
      </c>
      <c r="H341">
        <v>0</v>
      </c>
      <c r="I341">
        <v>3.0636999999999999</v>
      </c>
      <c r="J341">
        <v>0.78200000000000003</v>
      </c>
      <c r="K341">
        <v>5.3806000000000003</v>
      </c>
      <c r="L341">
        <v>8.5500000000000007E-2</v>
      </c>
      <c r="M341">
        <v>1.5800000000000002E-2</v>
      </c>
      <c r="N341">
        <v>1.09E-2</v>
      </c>
      <c r="O341">
        <v>0.35899999999999999</v>
      </c>
      <c r="P341">
        <v>0</v>
      </c>
      <c r="Q341">
        <v>0</v>
      </c>
      <c r="R341">
        <v>0.41889999999999999</v>
      </c>
      <c r="S341">
        <v>0.17710000000000001</v>
      </c>
    </row>
    <row r="342" spans="1:19" x14ac:dyDescent="0.25">
      <c r="A342" t="s">
        <v>524</v>
      </c>
      <c r="B342" t="s">
        <v>3</v>
      </c>
      <c r="D342" t="s">
        <v>28</v>
      </c>
      <c r="E342">
        <v>1.48</v>
      </c>
      <c r="F342">
        <v>2.7699999999999999E-2</v>
      </c>
      <c r="G342">
        <v>0.25740000000000002</v>
      </c>
      <c r="H342">
        <v>0.22969999999999999</v>
      </c>
      <c r="I342">
        <v>0.51219999999999999</v>
      </c>
      <c r="J342">
        <v>2.3668</v>
      </c>
      <c r="K342">
        <v>11.8431</v>
      </c>
      <c r="L342">
        <v>0.4083</v>
      </c>
      <c r="M342">
        <v>1.5800000000000002E-2</v>
      </c>
      <c r="N342">
        <v>1.09E-2</v>
      </c>
      <c r="O342">
        <v>1.0045999999999999</v>
      </c>
      <c r="P342">
        <v>0</v>
      </c>
      <c r="Q342">
        <v>0</v>
      </c>
      <c r="R342">
        <v>0.41249999999999998</v>
      </c>
      <c r="S342">
        <v>0.61460000000000004</v>
      </c>
    </row>
    <row r="343" spans="1:19" x14ac:dyDescent="0.25">
      <c r="A343" t="s">
        <v>655</v>
      </c>
      <c r="B343" t="s">
        <v>24</v>
      </c>
      <c r="D343" t="s">
        <v>4</v>
      </c>
      <c r="E343">
        <v>1.0900000000000001</v>
      </c>
      <c r="F343">
        <v>0.4</v>
      </c>
      <c r="G343">
        <v>8.2600000000000007E-2</v>
      </c>
      <c r="H343">
        <v>0</v>
      </c>
      <c r="I343">
        <v>3.0871</v>
      </c>
      <c r="J343">
        <v>1.7919</v>
      </c>
      <c r="K343">
        <v>4.9941000000000004</v>
      </c>
      <c r="L343">
        <v>7.3999999999999996E-2</v>
      </c>
      <c r="M343">
        <v>1.5800000000000002E-2</v>
      </c>
      <c r="N343">
        <v>1.09E-2</v>
      </c>
      <c r="O343">
        <v>0.33600000000000002</v>
      </c>
      <c r="P343">
        <v>19.614999999999998</v>
      </c>
      <c r="Q343">
        <v>20.1496</v>
      </c>
      <c r="R343">
        <v>0.49330000000000002</v>
      </c>
      <c r="S343">
        <v>0.80130000000000001</v>
      </c>
    </row>
    <row r="344" spans="1:19" x14ac:dyDescent="0.25">
      <c r="A344" t="s">
        <v>563</v>
      </c>
      <c r="B344" t="s">
        <v>24</v>
      </c>
      <c r="D344" t="s">
        <v>1107</v>
      </c>
      <c r="E344">
        <v>2.21</v>
      </c>
      <c r="F344">
        <v>0.37609999999999999</v>
      </c>
      <c r="G344">
        <v>0.74950000000000006</v>
      </c>
      <c r="H344">
        <v>0.37340000000000001</v>
      </c>
      <c r="I344">
        <v>2.4887999999999999</v>
      </c>
      <c r="J344">
        <v>0.67100000000000004</v>
      </c>
      <c r="K344">
        <v>6.3596000000000004</v>
      </c>
      <c r="L344">
        <v>7.3400000000000007E-2</v>
      </c>
      <c r="M344">
        <v>1.5800000000000002E-2</v>
      </c>
      <c r="N344">
        <v>1.09E-2</v>
      </c>
      <c r="O344">
        <v>0.33479999999999999</v>
      </c>
      <c r="P344">
        <v>29.7714</v>
      </c>
      <c r="Q344">
        <v>35.0627</v>
      </c>
      <c r="R344">
        <v>0.4592</v>
      </c>
      <c r="S344">
        <v>0.56620000000000004</v>
      </c>
    </row>
    <row r="345" spans="1:19" x14ac:dyDescent="0.25">
      <c r="A345" t="s">
        <v>922</v>
      </c>
      <c r="B345" t="s">
        <v>3</v>
      </c>
      <c r="D345" t="s">
        <v>21</v>
      </c>
      <c r="E345">
        <v>2.29</v>
      </c>
      <c r="F345">
        <v>0.1338</v>
      </c>
      <c r="G345">
        <v>0.14940000000000001</v>
      </c>
      <c r="H345">
        <v>1.5599999999999999E-2</v>
      </c>
      <c r="I345">
        <v>2.8098000000000001</v>
      </c>
      <c r="J345">
        <v>0.72199999999999998</v>
      </c>
      <c r="K345">
        <v>4.17</v>
      </c>
      <c r="L345">
        <v>0.22239999999999999</v>
      </c>
      <c r="M345">
        <v>1.5800000000000002E-2</v>
      </c>
      <c r="N345">
        <v>1.09E-2</v>
      </c>
      <c r="O345">
        <v>0.63280000000000003</v>
      </c>
      <c r="P345">
        <v>0</v>
      </c>
      <c r="Q345">
        <v>0</v>
      </c>
      <c r="R345">
        <v>0.41260000000000002</v>
      </c>
      <c r="S345">
        <v>0.47320000000000001</v>
      </c>
    </row>
    <row r="346" spans="1:19" x14ac:dyDescent="0.25">
      <c r="A346" t="s">
        <v>923</v>
      </c>
      <c r="B346" t="s">
        <v>3</v>
      </c>
      <c r="D346" t="s">
        <v>29</v>
      </c>
      <c r="E346">
        <v>0.72</v>
      </c>
      <c r="F346">
        <v>0.1507</v>
      </c>
      <c r="G346">
        <v>0.3256</v>
      </c>
      <c r="H346">
        <v>0.1749</v>
      </c>
      <c r="I346">
        <v>0.71379999999999999</v>
      </c>
      <c r="J346">
        <v>0.96579999999999999</v>
      </c>
      <c r="K346">
        <v>8.9703999999999997</v>
      </c>
      <c r="L346">
        <v>0.47189999999999999</v>
      </c>
      <c r="M346">
        <v>1.5800000000000002E-2</v>
      </c>
      <c r="N346">
        <v>1.09E-2</v>
      </c>
      <c r="O346">
        <v>1.1317999999999999</v>
      </c>
      <c r="P346">
        <v>0</v>
      </c>
      <c r="Q346">
        <v>0</v>
      </c>
      <c r="R346">
        <v>0.439</v>
      </c>
      <c r="S346">
        <v>0.37369999999999998</v>
      </c>
    </row>
    <row r="347" spans="1:19" x14ac:dyDescent="0.25">
      <c r="A347" t="s">
        <v>811</v>
      </c>
      <c r="B347" t="s">
        <v>24</v>
      </c>
      <c r="D347" t="s">
        <v>14</v>
      </c>
      <c r="E347">
        <v>1.07</v>
      </c>
      <c r="F347">
        <v>0.46560000000000001</v>
      </c>
      <c r="G347">
        <v>0.73640000000000005</v>
      </c>
      <c r="H347">
        <v>0.27079999999999999</v>
      </c>
      <c r="I347">
        <v>4.4840999999999998</v>
      </c>
      <c r="J347">
        <v>0.83069999999999999</v>
      </c>
      <c r="K347">
        <v>7.6904000000000003</v>
      </c>
      <c r="L347">
        <v>0.56869999999999998</v>
      </c>
      <c r="M347">
        <v>1.5800000000000002E-2</v>
      </c>
      <c r="N347">
        <v>1.09E-2</v>
      </c>
      <c r="O347">
        <v>1.3253999999999999</v>
      </c>
      <c r="P347">
        <v>0.74309999999999998</v>
      </c>
      <c r="Q347">
        <v>1.4754</v>
      </c>
      <c r="R347">
        <v>0.33500000000000002</v>
      </c>
      <c r="S347">
        <v>0.4017</v>
      </c>
    </row>
    <row r="348" spans="1:19" x14ac:dyDescent="0.25">
      <c r="A348" t="s">
        <v>820</v>
      </c>
      <c r="B348" t="s">
        <v>24</v>
      </c>
      <c r="D348" t="s">
        <v>29</v>
      </c>
      <c r="E348">
        <v>0.75</v>
      </c>
      <c r="F348">
        <v>0.2366</v>
      </c>
      <c r="G348">
        <v>0.49390000000000001</v>
      </c>
      <c r="H348">
        <v>0.25729999999999997</v>
      </c>
      <c r="I348">
        <v>2.0747</v>
      </c>
      <c r="J348">
        <v>0.85189999999999999</v>
      </c>
      <c r="K348">
        <v>7.8284000000000002</v>
      </c>
      <c r="L348">
        <v>0.183</v>
      </c>
      <c r="M348">
        <v>1.5800000000000002E-2</v>
      </c>
      <c r="N348">
        <v>1.09E-2</v>
      </c>
      <c r="O348">
        <v>0.55400000000000005</v>
      </c>
      <c r="P348">
        <v>5.5079000000000002</v>
      </c>
      <c r="Q348">
        <v>11.4413</v>
      </c>
      <c r="R348">
        <v>0.32500000000000001</v>
      </c>
      <c r="S348">
        <v>0.32940000000000003</v>
      </c>
    </row>
    <row r="349" spans="1:19" x14ac:dyDescent="0.25">
      <c r="A349" t="s">
        <v>924</v>
      </c>
      <c r="B349" t="s">
        <v>3</v>
      </c>
      <c r="D349" t="s">
        <v>26</v>
      </c>
      <c r="E349">
        <v>0.9</v>
      </c>
      <c r="F349">
        <v>8.6199999999999999E-2</v>
      </c>
      <c r="G349">
        <v>0.23050000000000001</v>
      </c>
      <c r="H349">
        <v>0.14430000000000001</v>
      </c>
      <c r="I349">
        <v>0.43190000000000001</v>
      </c>
      <c r="J349">
        <v>7.7352999999999996</v>
      </c>
      <c r="K349">
        <v>9.5151000000000003</v>
      </c>
      <c r="L349">
        <v>0.15659999999999999</v>
      </c>
      <c r="M349">
        <v>1.5800000000000002E-2</v>
      </c>
      <c r="N349">
        <v>1.09E-2</v>
      </c>
      <c r="O349">
        <v>0.50119999999999998</v>
      </c>
      <c r="P349">
        <v>0</v>
      </c>
      <c r="Q349">
        <v>0</v>
      </c>
      <c r="R349">
        <v>0.42749999999999999</v>
      </c>
      <c r="S349">
        <v>0.9415</v>
      </c>
    </row>
    <row r="350" spans="1:19" x14ac:dyDescent="0.25">
      <c r="A350" t="s">
        <v>925</v>
      </c>
      <c r="B350" t="s">
        <v>3</v>
      </c>
      <c r="D350" t="s">
        <v>6</v>
      </c>
      <c r="E350">
        <v>0.51</v>
      </c>
      <c r="F350">
        <v>0.19889999999999999</v>
      </c>
      <c r="G350">
        <v>0.40539999999999998</v>
      </c>
      <c r="H350">
        <v>0.20649999999999999</v>
      </c>
      <c r="I350">
        <v>1.0971</v>
      </c>
      <c r="J350">
        <v>6.76</v>
      </c>
      <c r="K350">
        <v>7.5791000000000004</v>
      </c>
      <c r="L350">
        <v>0.25619999999999998</v>
      </c>
      <c r="M350">
        <v>1.5800000000000002E-2</v>
      </c>
      <c r="N350">
        <v>1.09E-2</v>
      </c>
      <c r="O350">
        <v>0.70040000000000002</v>
      </c>
      <c r="P350">
        <v>0</v>
      </c>
      <c r="Q350">
        <v>0</v>
      </c>
      <c r="R350">
        <v>0.44579999999999997</v>
      </c>
      <c r="S350">
        <v>0.78449999999999998</v>
      </c>
    </row>
    <row r="351" spans="1:19" x14ac:dyDescent="0.25">
      <c r="A351" t="s">
        <v>400</v>
      </c>
      <c r="B351" t="s">
        <v>3</v>
      </c>
      <c r="D351" t="s">
        <v>1120</v>
      </c>
      <c r="E351">
        <v>1</v>
      </c>
      <c r="F351">
        <v>0.20979999999999999</v>
      </c>
      <c r="G351">
        <v>0.5494</v>
      </c>
      <c r="H351">
        <v>0.33960000000000001</v>
      </c>
      <c r="I351">
        <v>2.2621000000000002</v>
      </c>
      <c r="J351">
        <v>2.403</v>
      </c>
      <c r="K351">
        <v>7.3268000000000004</v>
      </c>
      <c r="L351">
        <v>0.61709999999999998</v>
      </c>
      <c r="M351">
        <v>1.5800000000000002E-2</v>
      </c>
      <c r="N351">
        <v>1.09E-2</v>
      </c>
      <c r="O351">
        <v>1.4221999999999999</v>
      </c>
      <c r="P351">
        <v>0</v>
      </c>
      <c r="Q351">
        <v>0</v>
      </c>
      <c r="R351">
        <v>0.4264</v>
      </c>
      <c r="S351">
        <v>0.28050000000000003</v>
      </c>
    </row>
    <row r="352" spans="1:19" x14ac:dyDescent="0.25">
      <c r="A352" t="s">
        <v>927</v>
      </c>
      <c r="B352" t="s">
        <v>3</v>
      </c>
      <c r="D352" t="s">
        <v>1172</v>
      </c>
      <c r="E352">
        <v>1.1200000000000001</v>
      </c>
      <c r="F352">
        <v>0.1368</v>
      </c>
      <c r="G352">
        <v>0.61719999999999997</v>
      </c>
      <c r="H352">
        <v>0.48039999999999999</v>
      </c>
      <c r="I352">
        <v>1.0843</v>
      </c>
      <c r="J352">
        <v>8.9890000000000008</v>
      </c>
      <c r="K352">
        <v>6.7438000000000002</v>
      </c>
      <c r="L352">
        <v>1.4146000000000001</v>
      </c>
      <c r="M352">
        <v>1.5800000000000002E-2</v>
      </c>
      <c r="N352">
        <v>1.09E-2</v>
      </c>
      <c r="O352">
        <v>3.0171999999999999</v>
      </c>
      <c r="P352">
        <v>0</v>
      </c>
      <c r="Q352">
        <v>0</v>
      </c>
      <c r="R352">
        <v>0.43669999999999998</v>
      </c>
      <c r="S352">
        <v>0.60970000000000002</v>
      </c>
    </row>
    <row r="353" spans="1:19" x14ac:dyDescent="0.25">
      <c r="A353" t="s">
        <v>798</v>
      </c>
      <c r="B353" t="s">
        <v>24</v>
      </c>
      <c r="D353" t="s">
        <v>26</v>
      </c>
      <c r="E353">
        <v>0.5</v>
      </c>
      <c r="F353">
        <v>0.27779999999999999</v>
      </c>
      <c r="G353">
        <v>0.65069999999999995</v>
      </c>
      <c r="H353">
        <v>0.37290000000000001</v>
      </c>
      <c r="I353">
        <v>2.6812999999999998</v>
      </c>
      <c r="J353">
        <v>3.6383000000000001</v>
      </c>
      <c r="K353">
        <v>4.5179</v>
      </c>
      <c r="L353">
        <v>0.50260000000000005</v>
      </c>
      <c r="M353">
        <v>1.5800000000000002E-2</v>
      </c>
      <c r="N353">
        <v>1.09E-2</v>
      </c>
      <c r="O353">
        <v>1.1932</v>
      </c>
      <c r="P353">
        <v>4.0251000000000001</v>
      </c>
      <c r="Q353">
        <v>6.3975</v>
      </c>
      <c r="R353">
        <v>0.38619999999999999</v>
      </c>
      <c r="S353">
        <v>0.3901</v>
      </c>
    </row>
    <row r="354" spans="1:19" x14ac:dyDescent="0.25">
      <c r="A354" t="s">
        <v>930</v>
      </c>
      <c r="B354" t="s">
        <v>24</v>
      </c>
      <c r="D354" t="s">
        <v>7</v>
      </c>
      <c r="E354">
        <v>2.11</v>
      </c>
      <c r="F354">
        <v>0.53469999999999995</v>
      </c>
      <c r="G354">
        <v>1.0336000000000001</v>
      </c>
      <c r="H354">
        <v>0.49890000000000001</v>
      </c>
      <c r="I354">
        <v>4.8076999999999996</v>
      </c>
      <c r="J354">
        <v>3.0779000000000001</v>
      </c>
      <c r="K354">
        <v>3.9119000000000002</v>
      </c>
      <c r="L354">
        <v>0.22220000000000001</v>
      </c>
      <c r="M354">
        <v>1.5800000000000002E-2</v>
      </c>
      <c r="N354">
        <v>1.09E-2</v>
      </c>
      <c r="O354">
        <v>0.63239999999999996</v>
      </c>
      <c r="P354">
        <v>0.6764</v>
      </c>
      <c r="Q354">
        <v>1.8284</v>
      </c>
      <c r="R354">
        <v>0.27</v>
      </c>
      <c r="S354">
        <v>0.73709999999999998</v>
      </c>
    </row>
    <row r="355" spans="1:19" x14ac:dyDescent="0.25">
      <c r="A355" t="s">
        <v>933</v>
      </c>
      <c r="B355" t="s">
        <v>24</v>
      </c>
      <c r="D355" t="s">
        <v>8</v>
      </c>
      <c r="E355">
        <v>1.62</v>
      </c>
      <c r="F355">
        <v>0.23760000000000001</v>
      </c>
      <c r="G355">
        <v>0.42520000000000002</v>
      </c>
      <c r="H355">
        <v>0.18759999999999999</v>
      </c>
      <c r="I355">
        <v>2.0651999999999999</v>
      </c>
      <c r="J355">
        <v>4.0910000000000002</v>
      </c>
      <c r="K355">
        <v>4.8177000000000003</v>
      </c>
      <c r="L355">
        <v>0.11</v>
      </c>
      <c r="M355">
        <v>1.5800000000000002E-2</v>
      </c>
      <c r="N355">
        <v>1.09E-2</v>
      </c>
      <c r="O355">
        <v>0.40799999999999997</v>
      </c>
      <c r="P355">
        <v>1.1924999999999999</v>
      </c>
      <c r="Q355">
        <v>3.9542999999999999</v>
      </c>
      <c r="R355">
        <v>0.23169999999999999</v>
      </c>
      <c r="S355">
        <v>0.99180000000000001</v>
      </c>
    </row>
    <row r="356" spans="1:19" x14ac:dyDescent="0.25">
      <c r="A356" t="s">
        <v>934</v>
      </c>
      <c r="B356" t="s">
        <v>24</v>
      </c>
      <c r="D356" t="s">
        <v>9</v>
      </c>
      <c r="E356">
        <v>1.01</v>
      </c>
      <c r="F356">
        <v>0.22239999999999999</v>
      </c>
      <c r="G356">
        <v>0.41599999999999998</v>
      </c>
      <c r="H356">
        <v>0.19359999999999999</v>
      </c>
      <c r="I356">
        <v>2.5026000000000002</v>
      </c>
      <c r="J356">
        <v>0.56879999999999997</v>
      </c>
      <c r="K356">
        <v>5.8311000000000002</v>
      </c>
      <c r="L356">
        <v>0.3599</v>
      </c>
      <c r="M356">
        <v>1.5800000000000002E-2</v>
      </c>
      <c r="N356">
        <v>1.09E-2</v>
      </c>
      <c r="O356">
        <v>0.90780000000000005</v>
      </c>
      <c r="P356">
        <v>11.012700000000001</v>
      </c>
      <c r="Q356">
        <v>17.1661</v>
      </c>
      <c r="R356">
        <v>0.39079999999999998</v>
      </c>
      <c r="S356">
        <v>0.44429999999999997</v>
      </c>
    </row>
    <row r="357" spans="1:19" x14ac:dyDescent="0.25">
      <c r="A357" t="s">
        <v>830</v>
      </c>
      <c r="B357" t="s">
        <v>24</v>
      </c>
      <c r="D357" t="s">
        <v>25</v>
      </c>
      <c r="E357">
        <v>1.42</v>
      </c>
      <c r="F357">
        <v>0.3911</v>
      </c>
      <c r="G357">
        <v>0.52300000000000002</v>
      </c>
      <c r="H357">
        <v>0.13189999999999999</v>
      </c>
      <c r="I357">
        <v>2.4270999999999998</v>
      </c>
      <c r="J357">
        <v>1.4398</v>
      </c>
      <c r="K357">
        <v>4.9398</v>
      </c>
      <c r="L357">
        <v>0.12479999999999999</v>
      </c>
      <c r="M357">
        <v>1.5800000000000002E-2</v>
      </c>
      <c r="N357">
        <v>1.09E-2</v>
      </c>
      <c r="O357">
        <v>0.43759999999999999</v>
      </c>
      <c r="P357">
        <v>2.9134000000000002</v>
      </c>
      <c r="Q357">
        <v>1.3237000000000001</v>
      </c>
      <c r="R357">
        <v>0.68759999999999999</v>
      </c>
      <c r="S357">
        <v>0.2364</v>
      </c>
    </row>
    <row r="358" spans="1:19" x14ac:dyDescent="0.25">
      <c r="A358" t="s">
        <v>936</v>
      </c>
      <c r="B358" t="s">
        <v>3</v>
      </c>
      <c r="D358" t="s">
        <v>10</v>
      </c>
      <c r="E358">
        <v>0.41</v>
      </c>
      <c r="F358">
        <v>0.19939999999999999</v>
      </c>
      <c r="G358">
        <v>0.40629999999999999</v>
      </c>
      <c r="H358">
        <v>0.2069</v>
      </c>
      <c r="I358">
        <v>2.4051</v>
      </c>
      <c r="J358">
        <v>0.89270000000000005</v>
      </c>
      <c r="K358">
        <v>5.2102000000000004</v>
      </c>
      <c r="L358">
        <v>0.25669999999999998</v>
      </c>
      <c r="M358">
        <v>1.5800000000000002E-2</v>
      </c>
      <c r="N358">
        <v>1.09E-2</v>
      </c>
      <c r="O358">
        <v>0.70140000000000002</v>
      </c>
      <c r="P358">
        <v>0</v>
      </c>
      <c r="Q358">
        <v>0</v>
      </c>
      <c r="R358">
        <v>0.44579999999999997</v>
      </c>
      <c r="S358">
        <v>0.44700000000000001</v>
      </c>
    </row>
    <row r="359" spans="1:19" x14ac:dyDescent="0.25">
      <c r="A359" t="s">
        <v>601</v>
      </c>
      <c r="B359" t="s">
        <v>24</v>
      </c>
      <c r="D359" t="s">
        <v>5</v>
      </c>
      <c r="E359">
        <v>1.73</v>
      </c>
      <c r="F359">
        <v>0.42480000000000001</v>
      </c>
      <c r="G359">
        <v>0.60650000000000004</v>
      </c>
      <c r="H359">
        <v>0.1817</v>
      </c>
      <c r="I359">
        <v>3.6644999999999999</v>
      </c>
      <c r="J359">
        <v>2.5103</v>
      </c>
      <c r="K359">
        <v>4.9038000000000004</v>
      </c>
      <c r="L359">
        <v>0.3488</v>
      </c>
      <c r="M359">
        <v>1.5800000000000002E-2</v>
      </c>
      <c r="N359">
        <v>1.09E-2</v>
      </c>
      <c r="O359">
        <v>0.88560000000000005</v>
      </c>
      <c r="P359">
        <v>1.4495</v>
      </c>
      <c r="Q359">
        <v>2.6699000000000002</v>
      </c>
      <c r="R359">
        <v>0.35189999999999999</v>
      </c>
      <c r="S359">
        <v>1.1404000000000001</v>
      </c>
    </row>
    <row r="360" spans="1:19" x14ac:dyDescent="0.25">
      <c r="A360" t="s">
        <v>941</v>
      </c>
      <c r="B360" t="s">
        <v>3</v>
      </c>
      <c r="D360" t="s">
        <v>21</v>
      </c>
      <c r="E360">
        <v>1.31</v>
      </c>
      <c r="F360">
        <v>0.14660000000000001</v>
      </c>
      <c r="G360">
        <v>0.31369999999999998</v>
      </c>
      <c r="H360">
        <v>0.1671</v>
      </c>
      <c r="I360">
        <v>3.5265</v>
      </c>
      <c r="J360">
        <v>1.6293</v>
      </c>
      <c r="K360">
        <v>4.1233000000000004</v>
      </c>
      <c r="L360">
        <v>0.20399999999999999</v>
      </c>
      <c r="M360">
        <v>1.5800000000000002E-2</v>
      </c>
      <c r="N360">
        <v>1.09E-2</v>
      </c>
      <c r="O360">
        <v>0.59599999999999997</v>
      </c>
      <c r="P360">
        <v>0</v>
      </c>
      <c r="Q360">
        <v>0</v>
      </c>
      <c r="R360">
        <v>0.43780000000000002</v>
      </c>
      <c r="S360">
        <v>0.3629</v>
      </c>
    </row>
    <row r="361" spans="1:19" x14ac:dyDescent="0.25">
      <c r="A361" t="s">
        <v>291</v>
      </c>
      <c r="B361" t="s">
        <v>24</v>
      </c>
      <c r="D361" t="s">
        <v>28</v>
      </c>
      <c r="E361">
        <v>1.58</v>
      </c>
      <c r="F361">
        <v>0.47949999999999998</v>
      </c>
      <c r="G361">
        <v>1.1573</v>
      </c>
      <c r="H361">
        <v>0.67779999999999996</v>
      </c>
      <c r="I361">
        <v>6.2903000000000002</v>
      </c>
      <c r="J361">
        <v>0.19939999999999999</v>
      </c>
      <c r="K361">
        <v>8.3429000000000002</v>
      </c>
      <c r="L361">
        <v>0.27689999999999998</v>
      </c>
      <c r="M361">
        <v>1.5800000000000002E-2</v>
      </c>
      <c r="N361">
        <v>1.09E-2</v>
      </c>
      <c r="O361">
        <v>0.74180000000000001</v>
      </c>
      <c r="P361">
        <v>17.189599999999999</v>
      </c>
      <c r="Q361">
        <v>26.577100000000002</v>
      </c>
      <c r="R361">
        <v>0.39279999999999998</v>
      </c>
      <c r="S361">
        <v>0.88749999999999996</v>
      </c>
    </row>
    <row r="362" spans="1:19" x14ac:dyDescent="0.25">
      <c r="A362" t="s">
        <v>853</v>
      </c>
      <c r="B362" t="s">
        <v>24</v>
      </c>
      <c r="D362" t="s">
        <v>4</v>
      </c>
      <c r="E362">
        <v>1.02</v>
      </c>
      <c r="F362">
        <v>0.39019999999999999</v>
      </c>
      <c r="G362">
        <v>0.64749999999999996</v>
      </c>
      <c r="H362">
        <v>0.25729999999999997</v>
      </c>
      <c r="I362">
        <v>4.4528999999999996</v>
      </c>
      <c r="J362">
        <v>1.4080999999999999</v>
      </c>
      <c r="K362">
        <v>2.8018999999999998</v>
      </c>
      <c r="L362">
        <v>0.88349999999999995</v>
      </c>
      <c r="M362">
        <v>1.5800000000000002E-2</v>
      </c>
      <c r="N362">
        <v>1.09E-2</v>
      </c>
      <c r="O362">
        <v>1.9550000000000001</v>
      </c>
      <c r="P362">
        <v>1.3569</v>
      </c>
      <c r="Q362">
        <v>2.4085000000000001</v>
      </c>
      <c r="R362">
        <v>0.3604</v>
      </c>
      <c r="S362">
        <v>0.3402</v>
      </c>
    </row>
    <row r="363" spans="1:19" x14ac:dyDescent="0.25">
      <c r="A363" t="s">
        <v>969</v>
      </c>
      <c r="B363" t="s">
        <v>24</v>
      </c>
      <c r="D363" t="s">
        <v>1132</v>
      </c>
      <c r="E363">
        <v>0.81</v>
      </c>
      <c r="F363">
        <v>0.22189999999999999</v>
      </c>
      <c r="G363">
        <v>0.36620000000000003</v>
      </c>
      <c r="H363">
        <v>0.14430000000000001</v>
      </c>
      <c r="I363">
        <v>0.88500000000000001</v>
      </c>
      <c r="J363">
        <v>1.3142</v>
      </c>
      <c r="K363">
        <v>4.1666999999999996</v>
      </c>
      <c r="L363">
        <v>0.2339</v>
      </c>
      <c r="M363">
        <v>1.5800000000000002E-2</v>
      </c>
      <c r="N363">
        <v>1.09E-2</v>
      </c>
      <c r="O363">
        <v>0.65580000000000005</v>
      </c>
      <c r="P363">
        <v>15.2477</v>
      </c>
      <c r="Q363">
        <v>12.2128</v>
      </c>
      <c r="R363">
        <v>0.55530000000000002</v>
      </c>
      <c r="S363">
        <v>0.41060000000000002</v>
      </c>
    </row>
    <row r="364" spans="1:19" x14ac:dyDescent="0.25">
      <c r="A364" t="s">
        <v>368</v>
      </c>
      <c r="B364" t="s">
        <v>3</v>
      </c>
      <c r="D364" t="s">
        <v>15</v>
      </c>
      <c r="E364">
        <v>3.03</v>
      </c>
      <c r="F364">
        <v>3.6900000000000002E-2</v>
      </c>
      <c r="G364">
        <v>4.7300000000000002E-2</v>
      </c>
      <c r="H364">
        <v>1.04E-2</v>
      </c>
      <c r="I364">
        <v>1.7403999999999999</v>
      </c>
      <c r="J364">
        <v>1.7524</v>
      </c>
      <c r="K364">
        <v>9.2388999999999992</v>
      </c>
      <c r="L364">
        <v>0.1426</v>
      </c>
      <c r="M364">
        <v>1.5800000000000002E-2</v>
      </c>
      <c r="N364">
        <v>1.09E-2</v>
      </c>
      <c r="O364">
        <v>0.47320000000000001</v>
      </c>
      <c r="P364">
        <v>0</v>
      </c>
      <c r="Q364">
        <v>0</v>
      </c>
      <c r="R364">
        <v>0.47160000000000002</v>
      </c>
      <c r="S364">
        <v>0.2455</v>
      </c>
    </row>
    <row r="365" spans="1:19" x14ac:dyDescent="0.25">
      <c r="A365" t="s">
        <v>970</v>
      </c>
      <c r="B365" t="s">
        <v>3</v>
      </c>
      <c r="D365" t="s">
        <v>34</v>
      </c>
      <c r="E365">
        <v>0.76</v>
      </c>
      <c r="F365">
        <v>0.2387</v>
      </c>
      <c r="G365">
        <v>0.59189999999999998</v>
      </c>
      <c r="H365">
        <v>0.35320000000000001</v>
      </c>
      <c r="I365">
        <v>2.4965999999999999</v>
      </c>
      <c r="J365">
        <v>2.9359000000000002</v>
      </c>
      <c r="K365">
        <v>5.5857999999999999</v>
      </c>
      <c r="L365">
        <v>0.14910000000000001</v>
      </c>
      <c r="M365">
        <v>1.5800000000000002E-2</v>
      </c>
      <c r="N365">
        <v>1.09E-2</v>
      </c>
      <c r="O365">
        <v>0.48620000000000002</v>
      </c>
      <c r="P365">
        <v>0</v>
      </c>
      <c r="Q365">
        <v>0</v>
      </c>
      <c r="R365">
        <v>0.42549999999999999</v>
      </c>
      <c r="S365">
        <v>0.67969999999999997</v>
      </c>
    </row>
    <row r="366" spans="1:19" x14ac:dyDescent="0.25">
      <c r="A366" t="s">
        <v>1226</v>
      </c>
      <c r="B366" t="s">
        <v>3</v>
      </c>
      <c r="D366" t="s">
        <v>17</v>
      </c>
      <c r="E366">
        <v>3.28</v>
      </c>
      <c r="F366">
        <v>0</v>
      </c>
      <c r="G366">
        <v>4.8500000000000001E-2</v>
      </c>
      <c r="H366">
        <v>4.8500000000000001E-2</v>
      </c>
      <c r="I366">
        <v>0.90559999999999996</v>
      </c>
      <c r="J366">
        <v>7.8346999999999998</v>
      </c>
      <c r="K366">
        <v>8.2433999999999994</v>
      </c>
      <c r="L366">
        <v>0.22270000000000001</v>
      </c>
      <c r="M366">
        <v>1.5800000000000002E-2</v>
      </c>
      <c r="N366">
        <v>1.09E-2</v>
      </c>
      <c r="O366">
        <v>0.63339999999999996</v>
      </c>
      <c r="P366">
        <v>0</v>
      </c>
      <c r="Q366">
        <v>0</v>
      </c>
      <c r="R366">
        <v>0.37980000000000003</v>
      </c>
      <c r="S366">
        <v>0.58779999999999999</v>
      </c>
    </row>
    <row r="367" spans="1:19" x14ac:dyDescent="0.25">
      <c r="A367" t="s">
        <v>971</v>
      </c>
      <c r="B367" t="s">
        <v>3</v>
      </c>
      <c r="D367" t="s">
        <v>21</v>
      </c>
      <c r="E367">
        <v>1.72</v>
      </c>
      <c r="F367">
        <v>4.7199999999999999E-2</v>
      </c>
      <c r="G367">
        <v>0.25290000000000001</v>
      </c>
      <c r="H367">
        <v>0.20569999999999999</v>
      </c>
      <c r="I367">
        <v>1.8528</v>
      </c>
      <c r="J367">
        <v>7.0239000000000003</v>
      </c>
      <c r="K367">
        <v>11.712400000000001</v>
      </c>
      <c r="L367">
        <v>0.78949999999999998</v>
      </c>
      <c r="M367">
        <v>1.5800000000000002E-2</v>
      </c>
      <c r="N367">
        <v>1.09E-2</v>
      </c>
      <c r="O367">
        <v>1.7669999999999999</v>
      </c>
      <c r="P367">
        <v>0</v>
      </c>
      <c r="Q367">
        <v>0</v>
      </c>
      <c r="R367">
        <v>0.41689999999999999</v>
      </c>
      <c r="S367">
        <v>0.40389999999999998</v>
      </c>
    </row>
    <row r="368" spans="1:19" x14ac:dyDescent="0.25">
      <c r="A368" t="s">
        <v>647</v>
      </c>
      <c r="B368" t="s">
        <v>24</v>
      </c>
      <c r="D368" t="s">
        <v>34</v>
      </c>
      <c r="E368">
        <v>0.39</v>
      </c>
      <c r="F368">
        <v>0.26079999999999998</v>
      </c>
      <c r="G368">
        <v>1.0201</v>
      </c>
      <c r="H368">
        <v>0.75929999999999997</v>
      </c>
      <c r="I368">
        <v>3.5215000000000001</v>
      </c>
      <c r="J368">
        <v>1.0345</v>
      </c>
      <c r="K368">
        <v>4.4984000000000002</v>
      </c>
      <c r="L368">
        <v>0.26989999999999997</v>
      </c>
      <c r="M368">
        <v>1.5800000000000002E-2</v>
      </c>
      <c r="N368">
        <v>1.09E-2</v>
      </c>
      <c r="O368">
        <v>0.7278</v>
      </c>
      <c r="P368">
        <v>12.457599999999999</v>
      </c>
      <c r="Q368">
        <v>11.4458</v>
      </c>
      <c r="R368">
        <v>0.5212</v>
      </c>
      <c r="S368">
        <v>0.46820000000000001</v>
      </c>
    </row>
    <row r="369" spans="1:19" x14ac:dyDescent="0.25">
      <c r="A369" t="s">
        <v>780</v>
      </c>
      <c r="B369" t="s">
        <v>24</v>
      </c>
      <c r="D369" t="s">
        <v>11</v>
      </c>
      <c r="E369">
        <v>1.29</v>
      </c>
      <c r="F369">
        <v>0.55640000000000001</v>
      </c>
      <c r="G369">
        <v>0.35759999999999997</v>
      </c>
      <c r="H369">
        <v>0</v>
      </c>
      <c r="I369">
        <v>5.7595000000000001</v>
      </c>
      <c r="J369">
        <v>2.0703999999999998</v>
      </c>
      <c r="K369">
        <v>2.7610000000000001</v>
      </c>
      <c r="L369">
        <v>0.56789999999999996</v>
      </c>
      <c r="M369">
        <v>1.5800000000000002E-2</v>
      </c>
      <c r="N369">
        <v>1.09E-2</v>
      </c>
      <c r="O369">
        <v>1.3238000000000001</v>
      </c>
      <c r="P369">
        <v>0.85560000000000003</v>
      </c>
      <c r="Q369">
        <v>2.1002000000000001</v>
      </c>
      <c r="R369">
        <v>0.28949999999999998</v>
      </c>
      <c r="S369">
        <v>0.90100000000000002</v>
      </c>
    </row>
    <row r="370" spans="1:19" x14ac:dyDescent="0.25">
      <c r="A370" t="s">
        <v>942</v>
      </c>
      <c r="B370" t="s">
        <v>24</v>
      </c>
      <c r="D370" t="s">
        <v>21</v>
      </c>
      <c r="E370">
        <v>1.06</v>
      </c>
      <c r="F370">
        <v>0.3362</v>
      </c>
      <c r="G370">
        <v>0.25209999999999999</v>
      </c>
      <c r="H370">
        <v>0</v>
      </c>
      <c r="I370">
        <v>1.5327</v>
      </c>
      <c r="J370">
        <v>1.3718999999999999</v>
      </c>
      <c r="K370">
        <v>4.2278000000000002</v>
      </c>
      <c r="L370">
        <v>0.16889999999999999</v>
      </c>
      <c r="M370">
        <v>1.5800000000000002E-2</v>
      </c>
      <c r="N370">
        <v>1.09E-2</v>
      </c>
      <c r="O370">
        <v>0.52580000000000005</v>
      </c>
      <c r="P370">
        <v>1.1236999999999999</v>
      </c>
      <c r="Q370">
        <v>1.8994</v>
      </c>
      <c r="R370">
        <v>0.37169999999999997</v>
      </c>
      <c r="S370">
        <v>0.30690000000000001</v>
      </c>
    </row>
    <row r="371" spans="1:19" x14ac:dyDescent="0.25">
      <c r="A371" t="s">
        <v>943</v>
      </c>
      <c r="B371" t="s">
        <v>3</v>
      </c>
      <c r="D371" t="s">
        <v>6</v>
      </c>
      <c r="E371">
        <v>2.19</v>
      </c>
      <c r="F371">
        <v>2.2700000000000001E-2</v>
      </c>
      <c r="G371">
        <v>9.6699999999999994E-2</v>
      </c>
      <c r="H371">
        <v>7.3999999999999996E-2</v>
      </c>
      <c r="I371">
        <v>0.92249999999999999</v>
      </c>
      <c r="J371">
        <v>2.1286999999999998</v>
      </c>
      <c r="K371">
        <v>6.5799000000000003</v>
      </c>
      <c r="L371">
        <v>0.37540000000000001</v>
      </c>
      <c r="M371">
        <v>1.5800000000000002E-2</v>
      </c>
      <c r="N371">
        <v>1.09E-2</v>
      </c>
      <c r="O371">
        <v>0.93879999999999997</v>
      </c>
      <c r="P371">
        <v>0</v>
      </c>
      <c r="Q371">
        <v>0</v>
      </c>
      <c r="R371">
        <v>0.39839999999999998</v>
      </c>
      <c r="S371">
        <v>0.64049999999999996</v>
      </c>
    </row>
    <row r="372" spans="1:19" x14ac:dyDescent="0.25">
      <c r="A372" t="s">
        <v>944</v>
      </c>
      <c r="B372" t="s">
        <v>3</v>
      </c>
      <c r="D372" t="s">
        <v>6</v>
      </c>
      <c r="E372">
        <v>1.56</v>
      </c>
      <c r="F372">
        <v>3.5000000000000003E-2</v>
      </c>
      <c r="G372">
        <v>0.16259999999999999</v>
      </c>
      <c r="H372">
        <v>0.12759999999999999</v>
      </c>
      <c r="I372">
        <v>0.85770000000000002</v>
      </c>
      <c r="J372">
        <v>1.8565</v>
      </c>
      <c r="K372">
        <v>10.2399</v>
      </c>
      <c r="L372">
        <v>0.33479999999999999</v>
      </c>
      <c r="M372">
        <v>1.5800000000000002E-2</v>
      </c>
      <c r="N372">
        <v>1.09E-2</v>
      </c>
      <c r="O372">
        <v>0.85760000000000003</v>
      </c>
      <c r="P372">
        <v>0</v>
      </c>
      <c r="Q372">
        <v>0</v>
      </c>
      <c r="R372">
        <v>0.41549999999999998</v>
      </c>
      <c r="S372">
        <v>0.79059999999999997</v>
      </c>
    </row>
    <row r="373" spans="1:19" x14ac:dyDescent="0.25">
      <c r="A373" t="s">
        <v>754</v>
      </c>
      <c r="B373" t="s">
        <v>3</v>
      </c>
      <c r="D373" t="s">
        <v>31</v>
      </c>
      <c r="E373">
        <v>0.66</v>
      </c>
      <c r="F373">
        <v>0.23499999999999999</v>
      </c>
      <c r="G373">
        <v>0.5544</v>
      </c>
      <c r="H373">
        <v>0.31940000000000002</v>
      </c>
      <c r="I373">
        <v>1.9717</v>
      </c>
      <c r="J373">
        <v>7.8034999999999997</v>
      </c>
      <c r="K373">
        <v>5.1364000000000001</v>
      </c>
      <c r="L373">
        <v>0.21709999999999999</v>
      </c>
      <c r="M373">
        <v>1.5800000000000002E-2</v>
      </c>
      <c r="N373">
        <v>1.09E-2</v>
      </c>
      <c r="O373">
        <v>0.62219999999999998</v>
      </c>
      <c r="P373">
        <v>0</v>
      </c>
      <c r="Q373">
        <v>0</v>
      </c>
      <c r="R373">
        <v>0.44</v>
      </c>
      <c r="S373">
        <v>0.59809999999999997</v>
      </c>
    </row>
    <row r="374" spans="1:19" x14ac:dyDescent="0.25">
      <c r="A374" t="s">
        <v>945</v>
      </c>
      <c r="B374" t="s">
        <v>3</v>
      </c>
      <c r="D374" t="s">
        <v>6</v>
      </c>
      <c r="E374">
        <v>0.73</v>
      </c>
      <c r="F374">
        <v>0.17519999999999999</v>
      </c>
      <c r="G374">
        <v>0.7298</v>
      </c>
      <c r="H374">
        <v>0.55459999999999998</v>
      </c>
      <c r="I374">
        <v>2.3391999999999999</v>
      </c>
      <c r="J374">
        <v>4.6105</v>
      </c>
      <c r="K374">
        <v>3.1438999999999999</v>
      </c>
      <c r="L374">
        <v>0.21440000000000001</v>
      </c>
      <c r="M374">
        <v>1.5800000000000002E-2</v>
      </c>
      <c r="N374">
        <v>1.09E-2</v>
      </c>
      <c r="O374">
        <v>0.61680000000000001</v>
      </c>
      <c r="P374">
        <v>0</v>
      </c>
      <c r="Q374">
        <v>0</v>
      </c>
      <c r="R374">
        <v>0.43959999999999999</v>
      </c>
      <c r="S374">
        <v>0.73119999999999996</v>
      </c>
    </row>
    <row r="375" spans="1:19" x14ac:dyDescent="0.25">
      <c r="A375" t="s">
        <v>972</v>
      </c>
      <c r="B375" t="s">
        <v>3</v>
      </c>
      <c r="D375" t="s">
        <v>13</v>
      </c>
      <c r="E375">
        <v>0.73</v>
      </c>
      <c r="F375">
        <v>9.9400000000000002E-2</v>
      </c>
      <c r="G375">
        <v>0.249</v>
      </c>
      <c r="H375">
        <v>0.14960000000000001</v>
      </c>
      <c r="I375">
        <v>0.47720000000000001</v>
      </c>
      <c r="J375">
        <v>6.6374000000000004</v>
      </c>
      <c r="K375">
        <v>9.1024999999999991</v>
      </c>
      <c r="L375">
        <v>0.16719999999999999</v>
      </c>
      <c r="M375">
        <v>1.5800000000000002E-2</v>
      </c>
      <c r="N375">
        <v>1.09E-2</v>
      </c>
      <c r="O375">
        <v>0.52239999999999998</v>
      </c>
      <c r="P375">
        <v>0</v>
      </c>
      <c r="Q375">
        <v>0</v>
      </c>
      <c r="R375">
        <v>0.43009999999999998</v>
      </c>
      <c r="S375">
        <v>0.65880000000000005</v>
      </c>
    </row>
    <row r="376" spans="1:19" x14ac:dyDescent="0.25">
      <c r="A376" t="s">
        <v>946</v>
      </c>
      <c r="B376" t="s">
        <v>3</v>
      </c>
      <c r="D376" t="s">
        <v>6</v>
      </c>
      <c r="E376">
        <v>2.06</v>
      </c>
      <c r="F376">
        <v>4.6699999999999998E-2</v>
      </c>
      <c r="G376">
        <v>0.1217</v>
      </c>
      <c r="H376">
        <v>7.4999999999999997E-2</v>
      </c>
      <c r="I376">
        <v>1.3343</v>
      </c>
      <c r="J376">
        <v>4.4478</v>
      </c>
      <c r="K376">
        <v>11.7593</v>
      </c>
      <c r="L376">
        <v>0.54279999999999995</v>
      </c>
      <c r="M376">
        <v>1.5800000000000002E-2</v>
      </c>
      <c r="N376">
        <v>1.09E-2</v>
      </c>
      <c r="O376">
        <v>1.2736000000000001</v>
      </c>
      <c r="P376">
        <v>0</v>
      </c>
      <c r="Q376">
        <v>0</v>
      </c>
      <c r="R376">
        <v>0.40570000000000001</v>
      </c>
      <c r="S376">
        <v>0.70820000000000005</v>
      </c>
    </row>
    <row r="377" spans="1:19" x14ac:dyDescent="0.25">
      <c r="A377" t="s">
        <v>604</v>
      </c>
      <c r="B377" t="s">
        <v>24</v>
      </c>
      <c r="D377" t="s">
        <v>14</v>
      </c>
      <c r="E377">
        <v>1.1100000000000001</v>
      </c>
      <c r="F377">
        <v>0.36890000000000001</v>
      </c>
      <c r="G377">
        <v>0.92120000000000002</v>
      </c>
      <c r="H377">
        <v>0.55230000000000001</v>
      </c>
      <c r="I377">
        <v>2.6648999999999998</v>
      </c>
      <c r="J377">
        <v>1.7504</v>
      </c>
      <c r="K377">
        <v>2.0790999999999999</v>
      </c>
      <c r="L377">
        <v>0.33560000000000001</v>
      </c>
      <c r="M377">
        <v>1.5800000000000002E-2</v>
      </c>
      <c r="N377">
        <v>1.09E-2</v>
      </c>
      <c r="O377">
        <v>0.85919999999999996</v>
      </c>
      <c r="P377">
        <v>2.3439000000000001</v>
      </c>
      <c r="Q377">
        <v>4.3558000000000003</v>
      </c>
      <c r="R377">
        <v>0.34989999999999999</v>
      </c>
      <c r="S377">
        <v>0.25609999999999999</v>
      </c>
    </row>
    <row r="378" spans="1:19" x14ac:dyDescent="0.25">
      <c r="A378" t="s">
        <v>756</v>
      </c>
      <c r="B378" t="s">
        <v>24</v>
      </c>
      <c r="D378" t="s">
        <v>31</v>
      </c>
      <c r="E378">
        <v>2.48</v>
      </c>
      <c r="F378">
        <v>0.3886</v>
      </c>
      <c r="G378">
        <v>0.88800000000000001</v>
      </c>
      <c r="H378">
        <v>0.49940000000000001</v>
      </c>
      <c r="I378">
        <v>3.2919</v>
      </c>
      <c r="J378">
        <v>1.4009</v>
      </c>
      <c r="K378">
        <v>5.9789000000000003</v>
      </c>
      <c r="L378">
        <v>0.39350000000000002</v>
      </c>
      <c r="M378">
        <v>1.5800000000000002E-2</v>
      </c>
      <c r="N378">
        <v>1.09E-2</v>
      </c>
      <c r="O378">
        <v>0.97499999999999998</v>
      </c>
      <c r="P378">
        <v>28.813600000000001</v>
      </c>
      <c r="Q378">
        <v>35.676600000000001</v>
      </c>
      <c r="R378">
        <v>0.44679999999999997</v>
      </c>
      <c r="S378">
        <v>0.31759999999999999</v>
      </c>
    </row>
    <row r="379" spans="1:19" x14ac:dyDescent="0.25">
      <c r="A379" t="s">
        <v>617</v>
      </c>
      <c r="B379" t="s">
        <v>24</v>
      </c>
      <c r="D379" t="s">
        <v>13</v>
      </c>
      <c r="E379">
        <v>0.47</v>
      </c>
      <c r="F379">
        <v>0.18179999999999999</v>
      </c>
      <c r="G379">
        <v>0.2969</v>
      </c>
      <c r="H379">
        <v>0.11509999999999999</v>
      </c>
      <c r="I379">
        <v>1.7250000000000001</v>
      </c>
      <c r="J379">
        <v>3.5709</v>
      </c>
      <c r="K379">
        <v>2.391</v>
      </c>
      <c r="L379">
        <v>0.19439999999999999</v>
      </c>
      <c r="M379">
        <v>1.5800000000000002E-2</v>
      </c>
      <c r="N379">
        <v>1.09E-2</v>
      </c>
      <c r="O379">
        <v>0.57679999999999998</v>
      </c>
      <c r="P379">
        <v>1.4158999999999999</v>
      </c>
      <c r="Q379">
        <v>3.9430999999999998</v>
      </c>
      <c r="R379">
        <v>0.26419999999999999</v>
      </c>
      <c r="S379">
        <v>0.50639999999999996</v>
      </c>
    </row>
    <row r="380" spans="1:19" x14ac:dyDescent="0.25">
      <c r="A380" t="s">
        <v>682</v>
      </c>
      <c r="B380" t="s">
        <v>24</v>
      </c>
      <c r="D380" t="s">
        <v>18</v>
      </c>
      <c r="E380">
        <v>0.51</v>
      </c>
      <c r="F380">
        <v>0.27160000000000001</v>
      </c>
      <c r="G380">
        <v>0.54479999999999995</v>
      </c>
      <c r="H380">
        <v>0.2732</v>
      </c>
      <c r="I380">
        <v>1.5550999999999999</v>
      </c>
      <c r="J380">
        <v>0.3659</v>
      </c>
      <c r="K380">
        <v>3.9620000000000002</v>
      </c>
      <c r="L380">
        <v>0.69699999999999995</v>
      </c>
      <c r="M380">
        <v>1.5800000000000002E-2</v>
      </c>
      <c r="N380">
        <v>1.09E-2</v>
      </c>
      <c r="O380">
        <v>1.5820000000000001</v>
      </c>
      <c r="P380">
        <v>1.7456</v>
      </c>
      <c r="Q380">
        <v>4.3849999999999998</v>
      </c>
      <c r="R380">
        <v>0.28470000000000001</v>
      </c>
      <c r="S380">
        <v>1.6882999999999999</v>
      </c>
    </row>
    <row r="381" spans="1:19" x14ac:dyDescent="0.25">
      <c r="A381" t="s">
        <v>569</v>
      </c>
      <c r="B381" t="s">
        <v>24</v>
      </c>
      <c r="D381" t="s">
        <v>23</v>
      </c>
      <c r="E381">
        <v>0.63</v>
      </c>
      <c r="F381">
        <v>0.28270000000000001</v>
      </c>
      <c r="G381">
        <v>0.64680000000000004</v>
      </c>
      <c r="H381">
        <v>0.36409999999999998</v>
      </c>
      <c r="I381">
        <v>2.4801000000000002</v>
      </c>
      <c r="J381">
        <v>1.4339</v>
      </c>
      <c r="K381">
        <v>4.1731999999999996</v>
      </c>
      <c r="L381">
        <v>0.19589999999999999</v>
      </c>
      <c r="M381">
        <v>1.5800000000000002E-2</v>
      </c>
      <c r="N381">
        <v>1.09E-2</v>
      </c>
      <c r="O381">
        <v>0.57979999999999998</v>
      </c>
      <c r="P381">
        <v>1.8544</v>
      </c>
      <c r="Q381">
        <v>2.9380000000000002</v>
      </c>
      <c r="R381">
        <v>0.38690000000000002</v>
      </c>
      <c r="S381">
        <v>0.35</v>
      </c>
    </row>
    <row r="382" spans="1:19" x14ac:dyDescent="0.25">
      <c r="A382" t="s">
        <v>242</v>
      </c>
      <c r="B382" t="s">
        <v>24</v>
      </c>
      <c r="D382" t="s">
        <v>31</v>
      </c>
      <c r="E382">
        <v>0.45</v>
      </c>
      <c r="F382">
        <v>0.504</v>
      </c>
      <c r="G382">
        <v>1.169</v>
      </c>
      <c r="H382">
        <v>0.66500000000000004</v>
      </c>
      <c r="I382">
        <v>5.7293000000000003</v>
      </c>
      <c r="J382">
        <v>4.6740000000000004</v>
      </c>
      <c r="K382">
        <v>2.4119000000000002</v>
      </c>
      <c r="L382">
        <v>0.5333</v>
      </c>
      <c r="M382">
        <v>1.5800000000000002E-2</v>
      </c>
      <c r="N382">
        <v>1.09E-2</v>
      </c>
      <c r="O382">
        <v>1.2545999999999999</v>
      </c>
      <c r="P382">
        <v>2.7311999999999999</v>
      </c>
      <c r="Q382">
        <v>2.0497999999999998</v>
      </c>
      <c r="R382">
        <v>0.57130000000000003</v>
      </c>
      <c r="S382">
        <v>0.84570000000000001</v>
      </c>
    </row>
    <row r="383" spans="1:19" x14ac:dyDescent="0.25">
      <c r="A383" t="s">
        <v>953</v>
      </c>
      <c r="B383" t="s">
        <v>24</v>
      </c>
      <c r="D383" t="s">
        <v>87</v>
      </c>
      <c r="E383">
        <v>0.39</v>
      </c>
      <c r="F383">
        <v>0.1933</v>
      </c>
      <c r="G383">
        <v>0.62190000000000001</v>
      </c>
      <c r="H383">
        <v>0.42859999999999998</v>
      </c>
      <c r="I383">
        <v>2.7469999999999999</v>
      </c>
      <c r="J383">
        <v>1.8777999999999999</v>
      </c>
      <c r="K383">
        <v>4.3555000000000001</v>
      </c>
      <c r="L383">
        <v>0.23069999999999999</v>
      </c>
      <c r="M383">
        <v>1.5800000000000002E-2</v>
      </c>
      <c r="N383">
        <v>1.09E-2</v>
      </c>
      <c r="O383">
        <v>0.64939999999999998</v>
      </c>
      <c r="P383">
        <v>9.0084</v>
      </c>
      <c r="Q383">
        <v>18.734200000000001</v>
      </c>
      <c r="R383">
        <v>0.32469999999999999</v>
      </c>
      <c r="S383">
        <v>0.40560000000000002</v>
      </c>
    </row>
    <row r="384" spans="1:19" x14ac:dyDescent="0.25">
      <c r="A384" t="s">
        <v>954</v>
      </c>
      <c r="B384" t="s">
        <v>3</v>
      </c>
      <c r="D384" t="s">
        <v>13</v>
      </c>
      <c r="E384">
        <v>0.79</v>
      </c>
      <c r="F384">
        <v>0.18709999999999999</v>
      </c>
      <c r="G384">
        <v>0.3851</v>
      </c>
      <c r="H384">
        <v>0.19800000000000001</v>
      </c>
      <c r="I384">
        <v>0.98019999999999996</v>
      </c>
      <c r="J384">
        <v>2.9615</v>
      </c>
      <c r="K384">
        <v>5.6882999999999999</v>
      </c>
      <c r="L384">
        <v>0.24460000000000001</v>
      </c>
      <c r="M384">
        <v>1.5800000000000002E-2</v>
      </c>
      <c r="N384">
        <v>1.09E-2</v>
      </c>
      <c r="O384">
        <v>0.67720000000000002</v>
      </c>
      <c r="P384">
        <v>0</v>
      </c>
      <c r="Q384">
        <v>0</v>
      </c>
      <c r="R384">
        <v>0.44419999999999998</v>
      </c>
      <c r="S384">
        <v>0.42770000000000002</v>
      </c>
    </row>
    <row r="385" spans="1:19" x14ac:dyDescent="0.25">
      <c r="A385" t="s">
        <v>805</v>
      </c>
      <c r="B385" t="s">
        <v>24</v>
      </c>
      <c r="D385" t="s">
        <v>9</v>
      </c>
      <c r="E385">
        <v>1.47</v>
      </c>
      <c r="F385">
        <v>0.52129999999999999</v>
      </c>
      <c r="G385">
        <v>0.73950000000000005</v>
      </c>
      <c r="H385">
        <v>0.21820000000000001</v>
      </c>
      <c r="I385">
        <v>5.2084000000000001</v>
      </c>
      <c r="J385">
        <v>2.0577000000000001</v>
      </c>
      <c r="K385">
        <v>5.8913000000000002</v>
      </c>
      <c r="L385">
        <v>9.8900000000000002E-2</v>
      </c>
      <c r="M385">
        <v>1.5800000000000002E-2</v>
      </c>
      <c r="N385">
        <v>1.09E-2</v>
      </c>
      <c r="O385">
        <v>0.38579999999999998</v>
      </c>
      <c r="P385">
        <v>2.9704000000000002</v>
      </c>
      <c r="Q385">
        <v>3.6177999999999999</v>
      </c>
      <c r="R385">
        <v>0.45090000000000002</v>
      </c>
      <c r="S385">
        <v>0.58409999999999995</v>
      </c>
    </row>
    <row r="386" spans="1:19" x14ac:dyDescent="0.25">
      <c r="A386" t="s">
        <v>825</v>
      </c>
      <c r="B386" t="s">
        <v>24</v>
      </c>
      <c r="D386" t="s">
        <v>14</v>
      </c>
      <c r="E386">
        <v>0.45</v>
      </c>
      <c r="F386">
        <v>0.4869</v>
      </c>
      <c r="G386">
        <v>0.36709999999999998</v>
      </c>
      <c r="H386">
        <v>0</v>
      </c>
      <c r="I386">
        <v>5.1036999999999999</v>
      </c>
      <c r="J386">
        <v>1.6843999999999999</v>
      </c>
      <c r="K386">
        <v>7.2022000000000004</v>
      </c>
      <c r="L386">
        <v>0.50319999999999998</v>
      </c>
      <c r="M386">
        <v>1.5800000000000002E-2</v>
      </c>
      <c r="N386">
        <v>1.09E-2</v>
      </c>
      <c r="O386">
        <v>1.1943999999999999</v>
      </c>
      <c r="P386">
        <v>6.5068999999999999</v>
      </c>
      <c r="Q386">
        <v>10.4222</v>
      </c>
      <c r="R386">
        <v>0.38440000000000002</v>
      </c>
      <c r="S386">
        <v>0.61319999999999997</v>
      </c>
    </row>
    <row r="387" spans="1:19" x14ac:dyDescent="0.25">
      <c r="A387" t="s">
        <v>688</v>
      </c>
      <c r="B387" t="s">
        <v>24</v>
      </c>
      <c r="D387" t="s">
        <v>13</v>
      </c>
      <c r="E387">
        <v>2.12</v>
      </c>
      <c r="F387">
        <v>0.34810000000000002</v>
      </c>
      <c r="G387">
        <v>0.38030000000000003</v>
      </c>
      <c r="H387">
        <v>3.2199999999999999E-2</v>
      </c>
      <c r="I387">
        <v>3.7865000000000002</v>
      </c>
      <c r="J387">
        <v>1.2214</v>
      </c>
      <c r="K387">
        <v>3.3462999999999998</v>
      </c>
      <c r="L387">
        <v>0.50019999999999998</v>
      </c>
      <c r="M387">
        <v>1.5800000000000002E-2</v>
      </c>
      <c r="N387">
        <v>1.09E-2</v>
      </c>
      <c r="O387">
        <v>1.1883999999999999</v>
      </c>
      <c r="P387">
        <v>33.566499999999998</v>
      </c>
      <c r="Q387">
        <v>42.6218</v>
      </c>
      <c r="R387">
        <v>0.44059999999999999</v>
      </c>
      <c r="S387">
        <v>0.68130000000000002</v>
      </c>
    </row>
    <row r="388" spans="1:19" x14ac:dyDescent="0.25">
      <c r="A388" t="s">
        <v>699</v>
      </c>
      <c r="B388" t="s">
        <v>3</v>
      </c>
      <c r="D388" t="s">
        <v>33</v>
      </c>
      <c r="E388">
        <v>1.27</v>
      </c>
      <c r="F388">
        <v>0.2021</v>
      </c>
      <c r="G388">
        <v>0.41099999999999998</v>
      </c>
      <c r="H388">
        <v>0.2089</v>
      </c>
      <c r="I388">
        <v>2.0832000000000002</v>
      </c>
      <c r="J388">
        <v>0.9194</v>
      </c>
      <c r="K388">
        <v>10.851800000000001</v>
      </c>
      <c r="L388">
        <v>0.25929999999999997</v>
      </c>
      <c r="M388">
        <v>1.5800000000000002E-2</v>
      </c>
      <c r="N388">
        <v>1.09E-2</v>
      </c>
      <c r="O388">
        <v>0.70660000000000001</v>
      </c>
      <c r="P388">
        <v>0</v>
      </c>
      <c r="Q388">
        <v>0</v>
      </c>
      <c r="R388">
        <v>0.44619999999999999</v>
      </c>
      <c r="S388">
        <v>0.45129999999999998</v>
      </c>
    </row>
    <row r="389" spans="1:19" x14ac:dyDescent="0.25">
      <c r="A389" t="s">
        <v>958</v>
      </c>
      <c r="B389" t="s">
        <v>24</v>
      </c>
      <c r="D389" t="s">
        <v>8</v>
      </c>
      <c r="E389">
        <v>1.39</v>
      </c>
      <c r="F389">
        <v>0.29899999999999999</v>
      </c>
      <c r="G389">
        <v>0.58620000000000005</v>
      </c>
      <c r="H389">
        <v>0.28720000000000001</v>
      </c>
      <c r="I389">
        <v>2.9481000000000002</v>
      </c>
      <c r="J389">
        <v>1.4359999999999999</v>
      </c>
      <c r="K389">
        <v>3.8866999999999998</v>
      </c>
      <c r="L389">
        <v>0.1326</v>
      </c>
      <c r="M389">
        <v>1.5800000000000002E-2</v>
      </c>
      <c r="N389">
        <v>1.09E-2</v>
      </c>
      <c r="O389">
        <v>0.45319999999999999</v>
      </c>
      <c r="P389">
        <v>4.5389999999999997</v>
      </c>
      <c r="Q389">
        <v>6.1167999999999996</v>
      </c>
      <c r="R389">
        <v>0.42599999999999999</v>
      </c>
      <c r="S389">
        <v>0.7319</v>
      </c>
    </row>
    <row r="390" spans="1:19" x14ac:dyDescent="0.25">
      <c r="A390" t="s">
        <v>694</v>
      </c>
      <c r="B390" t="s">
        <v>24</v>
      </c>
      <c r="D390" t="s">
        <v>4</v>
      </c>
      <c r="E390">
        <v>0.54</v>
      </c>
      <c r="F390">
        <v>0.23580000000000001</v>
      </c>
      <c r="G390">
        <v>0.65510000000000002</v>
      </c>
      <c r="H390">
        <v>0.41930000000000001</v>
      </c>
      <c r="I390">
        <v>2.9033000000000002</v>
      </c>
      <c r="J390">
        <v>0.71799999999999997</v>
      </c>
      <c r="K390">
        <v>1.7901</v>
      </c>
      <c r="L390">
        <v>0.17780000000000001</v>
      </c>
      <c r="M390">
        <v>1.5800000000000002E-2</v>
      </c>
      <c r="N390">
        <v>1.09E-2</v>
      </c>
      <c r="O390">
        <v>0.54359999999999997</v>
      </c>
      <c r="P390">
        <v>20.214600000000001</v>
      </c>
      <c r="Q390">
        <v>36.078200000000002</v>
      </c>
      <c r="R390">
        <v>0.35909999999999997</v>
      </c>
      <c r="S390">
        <v>0.32100000000000001</v>
      </c>
    </row>
    <row r="391" spans="1:19" x14ac:dyDescent="0.25">
      <c r="A391" t="s">
        <v>747</v>
      </c>
      <c r="B391" t="s">
        <v>24</v>
      </c>
      <c r="D391" t="s">
        <v>21</v>
      </c>
      <c r="E391">
        <v>0.54</v>
      </c>
      <c r="F391">
        <v>0.22589999999999999</v>
      </c>
      <c r="G391">
        <v>0.26379999999999998</v>
      </c>
      <c r="H391">
        <v>3.7900000000000003E-2</v>
      </c>
      <c r="I391">
        <v>0.85680000000000001</v>
      </c>
      <c r="J391">
        <v>1.5424</v>
      </c>
      <c r="K391">
        <v>1.2909999999999999</v>
      </c>
      <c r="L391">
        <v>0.17560000000000001</v>
      </c>
      <c r="M391">
        <v>1.5800000000000002E-2</v>
      </c>
      <c r="N391">
        <v>1.09E-2</v>
      </c>
      <c r="O391">
        <v>0.53920000000000001</v>
      </c>
      <c r="P391">
        <v>8.4071999999999996</v>
      </c>
      <c r="Q391">
        <v>11.820499999999999</v>
      </c>
      <c r="R391">
        <v>0.41560000000000002</v>
      </c>
      <c r="S391">
        <v>0.3175</v>
      </c>
    </row>
    <row r="392" spans="1:19" x14ac:dyDescent="0.25">
      <c r="A392" t="s">
        <v>736</v>
      </c>
      <c r="B392" t="s">
        <v>24</v>
      </c>
      <c r="D392" t="s">
        <v>8</v>
      </c>
      <c r="E392">
        <v>1.18</v>
      </c>
      <c r="F392">
        <v>0.38590000000000002</v>
      </c>
      <c r="G392">
        <v>0.72340000000000004</v>
      </c>
      <c r="H392">
        <v>0.33750000000000002</v>
      </c>
      <c r="I392">
        <v>2.9005000000000001</v>
      </c>
      <c r="J392">
        <v>1.4745999999999999</v>
      </c>
      <c r="K392">
        <v>2.8609</v>
      </c>
      <c r="L392">
        <v>0.40279999999999999</v>
      </c>
      <c r="M392">
        <v>1.5800000000000002E-2</v>
      </c>
      <c r="N392">
        <v>1.09E-2</v>
      </c>
      <c r="O392">
        <v>0.99360000000000004</v>
      </c>
      <c r="P392">
        <v>1.1508</v>
      </c>
      <c r="Q392">
        <v>3.6467000000000001</v>
      </c>
      <c r="R392">
        <v>0.2399</v>
      </c>
      <c r="S392">
        <v>0.31109999999999999</v>
      </c>
    </row>
    <row r="393" spans="1:19" x14ac:dyDescent="0.25">
      <c r="A393" t="s">
        <v>626</v>
      </c>
      <c r="B393" t="s">
        <v>3</v>
      </c>
      <c r="D393" t="s">
        <v>25</v>
      </c>
      <c r="E393">
        <v>0.55000000000000004</v>
      </c>
      <c r="F393">
        <v>0.1772</v>
      </c>
      <c r="G393">
        <v>0.36859999999999998</v>
      </c>
      <c r="H393">
        <v>0.19139999999999999</v>
      </c>
      <c r="I393">
        <v>0.89610000000000001</v>
      </c>
      <c r="J393">
        <v>3.7225000000000001</v>
      </c>
      <c r="K393">
        <v>4.3525</v>
      </c>
      <c r="L393">
        <v>0.23519999999999999</v>
      </c>
      <c r="M393">
        <v>1.5800000000000002E-2</v>
      </c>
      <c r="N393">
        <v>1.09E-2</v>
      </c>
      <c r="O393">
        <v>0.65839999999999999</v>
      </c>
      <c r="P393">
        <v>0</v>
      </c>
      <c r="Q393">
        <v>0</v>
      </c>
      <c r="R393">
        <v>0.44290000000000002</v>
      </c>
      <c r="S393">
        <v>0.41270000000000001</v>
      </c>
    </row>
    <row r="394" spans="1:19" x14ac:dyDescent="0.25">
      <c r="A394" t="s">
        <v>959</v>
      </c>
      <c r="B394" t="s">
        <v>24</v>
      </c>
      <c r="D394" t="s">
        <v>6</v>
      </c>
      <c r="E394">
        <v>1.8</v>
      </c>
      <c r="F394">
        <v>0.34279999999999999</v>
      </c>
      <c r="G394">
        <v>0.71930000000000005</v>
      </c>
      <c r="H394">
        <v>0.3765</v>
      </c>
      <c r="I394">
        <v>2.9619</v>
      </c>
      <c r="J394">
        <v>0.98609999999999998</v>
      </c>
      <c r="K394">
        <v>9.0472000000000001</v>
      </c>
      <c r="L394">
        <v>0.3397</v>
      </c>
      <c r="M394">
        <v>1.5800000000000002E-2</v>
      </c>
      <c r="N394">
        <v>1.09E-2</v>
      </c>
      <c r="O394">
        <v>0.86739999999999995</v>
      </c>
      <c r="P394">
        <v>1.6472</v>
      </c>
      <c r="Q394">
        <v>2.4281000000000001</v>
      </c>
      <c r="R394">
        <v>0.4042</v>
      </c>
      <c r="S394">
        <v>0.96699999999999997</v>
      </c>
    </row>
    <row r="395" spans="1:19" x14ac:dyDescent="0.25">
      <c r="A395" t="s">
        <v>572</v>
      </c>
      <c r="B395" t="s">
        <v>3</v>
      </c>
      <c r="D395" t="s">
        <v>29</v>
      </c>
      <c r="E395">
        <v>0.42</v>
      </c>
      <c r="F395">
        <v>0.2</v>
      </c>
      <c r="G395">
        <v>0.40720000000000001</v>
      </c>
      <c r="H395">
        <v>0.2072</v>
      </c>
      <c r="I395">
        <v>2.23</v>
      </c>
      <c r="J395">
        <v>3.3140000000000001</v>
      </c>
      <c r="K395">
        <v>12.533799999999999</v>
      </c>
      <c r="L395">
        <v>0.25719999999999998</v>
      </c>
      <c r="M395">
        <v>1.5800000000000002E-2</v>
      </c>
      <c r="N395">
        <v>1.09E-2</v>
      </c>
      <c r="O395">
        <v>0.70240000000000002</v>
      </c>
      <c r="P395">
        <v>0</v>
      </c>
      <c r="Q395">
        <v>0</v>
      </c>
      <c r="R395">
        <v>0.44590000000000002</v>
      </c>
      <c r="S395">
        <v>0.44790000000000002</v>
      </c>
    </row>
    <row r="396" spans="1:19" x14ac:dyDescent="0.25">
      <c r="A396" t="s">
        <v>615</v>
      </c>
      <c r="B396" t="s">
        <v>24</v>
      </c>
      <c r="D396" t="s">
        <v>1159</v>
      </c>
      <c r="E396">
        <v>1.38</v>
      </c>
      <c r="F396">
        <v>0.49030000000000001</v>
      </c>
      <c r="G396">
        <v>0.58879999999999999</v>
      </c>
      <c r="H396">
        <v>9.8500000000000004E-2</v>
      </c>
      <c r="I396">
        <v>3.7618</v>
      </c>
      <c r="J396">
        <v>0.97799999999999998</v>
      </c>
      <c r="K396">
        <v>3.1785000000000001</v>
      </c>
      <c r="L396">
        <v>0.13070000000000001</v>
      </c>
      <c r="M396">
        <v>1.5800000000000002E-2</v>
      </c>
      <c r="N396">
        <v>1.09E-2</v>
      </c>
      <c r="O396">
        <v>0.44940000000000002</v>
      </c>
      <c r="P396">
        <v>22.315200000000001</v>
      </c>
      <c r="Q396">
        <v>28.700600000000001</v>
      </c>
      <c r="R396">
        <v>0.43740000000000001</v>
      </c>
      <c r="S396">
        <v>0.24590000000000001</v>
      </c>
    </row>
    <row r="397" spans="1:19" x14ac:dyDescent="0.25">
      <c r="A397" t="s">
        <v>408</v>
      </c>
      <c r="B397" t="s">
        <v>3</v>
      </c>
      <c r="D397" t="s">
        <v>140</v>
      </c>
      <c r="E397">
        <v>1.78</v>
      </c>
      <c r="F397">
        <v>0.16869999999999999</v>
      </c>
      <c r="G397">
        <v>0.71409999999999996</v>
      </c>
      <c r="H397">
        <v>0.5454</v>
      </c>
      <c r="I397">
        <v>1.8188</v>
      </c>
      <c r="J397">
        <v>7.2849000000000004</v>
      </c>
      <c r="K397">
        <v>8.9634</v>
      </c>
      <c r="L397">
        <v>9.6100000000000005E-2</v>
      </c>
      <c r="M397">
        <v>1.5800000000000002E-2</v>
      </c>
      <c r="N397">
        <v>1.09E-2</v>
      </c>
      <c r="O397">
        <v>0.38019999999999998</v>
      </c>
      <c r="P397">
        <v>0</v>
      </c>
      <c r="Q397">
        <v>0</v>
      </c>
      <c r="R397">
        <v>0.40639999999999998</v>
      </c>
      <c r="S397">
        <v>0.55379999999999996</v>
      </c>
    </row>
    <row r="398" spans="1:19" x14ac:dyDescent="0.25">
      <c r="A398" t="s">
        <v>746</v>
      </c>
      <c r="B398" t="s">
        <v>3</v>
      </c>
      <c r="D398" t="s">
        <v>20</v>
      </c>
      <c r="E398">
        <v>0.61</v>
      </c>
      <c r="F398">
        <v>0.15770000000000001</v>
      </c>
      <c r="G398">
        <v>0.29239999999999999</v>
      </c>
      <c r="H398">
        <v>0.13469999999999999</v>
      </c>
      <c r="I398">
        <v>1.0904</v>
      </c>
      <c r="J398">
        <v>0.44080000000000003</v>
      </c>
      <c r="K398">
        <v>8.8666999999999998</v>
      </c>
      <c r="L398">
        <v>0.19189999999999999</v>
      </c>
      <c r="M398">
        <v>1.5800000000000002E-2</v>
      </c>
      <c r="N398">
        <v>1.09E-2</v>
      </c>
      <c r="O398">
        <v>0.57179999999999997</v>
      </c>
      <c r="P398">
        <v>0</v>
      </c>
      <c r="Q398">
        <v>0</v>
      </c>
      <c r="R398">
        <v>0.4355</v>
      </c>
      <c r="S398">
        <v>0.34350000000000003</v>
      </c>
    </row>
    <row r="399" spans="1:19" x14ac:dyDescent="0.25">
      <c r="A399" t="s">
        <v>546</v>
      </c>
      <c r="B399" t="s">
        <v>24</v>
      </c>
      <c r="D399" t="s">
        <v>34</v>
      </c>
      <c r="E399">
        <v>1.57</v>
      </c>
      <c r="F399">
        <v>0.35260000000000002</v>
      </c>
      <c r="G399">
        <v>1.6263000000000001</v>
      </c>
      <c r="H399">
        <v>1.2737000000000001</v>
      </c>
      <c r="I399">
        <v>4.3122999999999996</v>
      </c>
      <c r="J399">
        <v>0.98460000000000003</v>
      </c>
      <c r="K399">
        <v>5.8907999999999996</v>
      </c>
      <c r="L399">
        <v>0.23380000000000001</v>
      </c>
      <c r="M399">
        <v>1.5800000000000002E-2</v>
      </c>
      <c r="N399">
        <v>1.09E-2</v>
      </c>
      <c r="O399">
        <v>0.65559999999999996</v>
      </c>
      <c r="P399">
        <v>11.4887</v>
      </c>
      <c r="Q399">
        <v>19.7178</v>
      </c>
      <c r="R399">
        <v>0.36820000000000003</v>
      </c>
      <c r="S399">
        <v>0.6321</v>
      </c>
    </row>
    <row r="400" spans="1:19" x14ac:dyDescent="0.25">
      <c r="A400" t="s">
        <v>863</v>
      </c>
      <c r="B400" t="s">
        <v>24</v>
      </c>
      <c r="D400" t="s">
        <v>15</v>
      </c>
      <c r="E400">
        <v>0.49</v>
      </c>
      <c r="F400">
        <v>0.18609999999999999</v>
      </c>
      <c r="G400">
        <v>0.33729999999999999</v>
      </c>
      <c r="H400">
        <v>0.1512</v>
      </c>
      <c r="I400">
        <v>1.2616000000000001</v>
      </c>
      <c r="J400">
        <v>0.58379999999999999</v>
      </c>
      <c r="K400">
        <v>4.2244000000000002</v>
      </c>
      <c r="L400">
        <v>0.21740000000000001</v>
      </c>
      <c r="M400">
        <v>1.5800000000000002E-2</v>
      </c>
      <c r="N400">
        <v>1.09E-2</v>
      </c>
      <c r="O400">
        <v>0.62280000000000002</v>
      </c>
      <c r="P400">
        <v>11.3751</v>
      </c>
      <c r="Q400">
        <v>17.2592</v>
      </c>
      <c r="R400">
        <v>0.39729999999999999</v>
      </c>
      <c r="S400">
        <v>0.38429999999999997</v>
      </c>
    </row>
    <row r="401" spans="1:19" x14ac:dyDescent="0.25">
      <c r="A401" t="s">
        <v>962</v>
      </c>
      <c r="B401" t="s">
        <v>3</v>
      </c>
      <c r="D401" t="s">
        <v>7</v>
      </c>
      <c r="E401">
        <v>1.72</v>
      </c>
      <c r="F401">
        <v>0.1628</v>
      </c>
      <c r="G401">
        <v>0.85580000000000001</v>
      </c>
      <c r="H401">
        <v>0.69299999999999995</v>
      </c>
      <c r="I401">
        <v>2.1476000000000002</v>
      </c>
      <c r="J401">
        <v>0.61170000000000002</v>
      </c>
      <c r="K401">
        <v>11.433299999999999</v>
      </c>
      <c r="L401">
        <v>0.22170000000000001</v>
      </c>
      <c r="M401">
        <v>1.5800000000000002E-2</v>
      </c>
      <c r="N401">
        <v>1.09E-2</v>
      </c>
      <c r="O401">
        <v>0.63139999999999996</v>
      </c>
      <c r="P401">
        <v>0</v>
      </c>
      <c r="Q401">
        <v>0</v>
      </c>
      <c r="R401">
        <v>0.44080000000000003</v>
      </c>
      <c r="S401">
        <v>0.39119999999999999</v>
      </c>
    </row>
    <row r="402" spans="1:19" x14ac:dyDescent="0.25">
      <c r="A402" t="s">
        <v>673</v>
      </c>
      <c r="B402" t="s">
        <v>24</v>
      </c>
      <c r="D402" t="s">
        <v>17</v>
      </c>
      <c r="E402">
        <v>1.92</v>
      </c>
      <c r="F402">
        <v>0.31969999999999998</v>
      </c>
      <c r="G402">
        <v>0.45269999999999999</v>
      </c>
      <c r="H402">
        <v>0.13300000000000001</v>
      </c>
      <c r="I402">
        <v>2.6821000000000002</v>
      </c>
      <c r="J402">
        <v>1.1424000000000001</v>
      </c>
      <c r="K402">
        <v>2.7168999999999999</v>
      </c>
      <c r="L402">
        <v>0.59840000000000004</v>
      </c>
      <c r="M402">
        <v>1.5800000000000002E-2</v>
      </c>
      <c r="N402">
        <v>1.09E-2</v>
      </c>
      <c r="O402">
        <v>1.3848</v>
      </c>
      <c r="P402">
        <v>16.157599999999999</v>
      </c>
      <c r="Q402">
        <v>25.470700000000001</v>
      </c>
      <c r="R402">
        <v>0.3881</v>
      </c>
      <c r="S402">
        <v>0.76359999999999995</v>
      </c>
    </row>
    <row r="403" spans="1:19" x14ac:dyDescent="0.25">
      <c r="A403" t="s">
        <v>965</v>
      </c>
      <c r="B403" t="s">
        <v>3</v>
      </c>
      <c r="D403" t="s">
        <v>14</v>
      </c>
      <c r="E403">
        <v>0.62</v>
      </c>
      <c r="F403">
        <v>0.21379999999999999</v>
      </c>
      <c r="G403">
        <v>0.43159999999999998</v>
      </c>
      <c r="H403">
        <v>0.21779999999999999</v>
      </c>
      <c r="I403">
        <v>1.2756000000000001</v>
      </c>
      <c r="J403">
        <v>1.0483</v>
      </c>
      <c r="K403">
        <v>8.8111999999999995</v>
      </c>
      <c r="L403">
        <v>0.27110000000000001</v>
      </c>
      <c r="M403">
        <v>1.5800000000000002E-2</v>
      </c>
      <c r="N403">
        <v>1.09E-2</v>
      </c>
      <c r="O403">
        <v>0.73019999999999996</v>
      </c>
      <c r="P403">
        <v>0</v>
      </c>
      <c r="Q403">
        <v>0</v>
      </c>
      <c r="R403">
        <v>0.4476</v>
      </c>
      <c r="S403">
        <v>0.47</v>
      </c>
    </row>
    <row r="404" spans="1:19" x14ac:dyDescent="0.25">
      <c r="A404" t="s">
        <v>966</v>
      </c>
      <c r="B404" t="s">
        <v>3</v>
      </c>
      <c r="D404" t="s">
        <v>16</v>
      </c>
      <c r="E404">
        <v>2.08</v>
      </c>
      <c r="F404" t="s">
        <v>1227</v>
      </c>
      <c r="G404">
        <v>0.51529999999999998</v>
      </c>
      <c r="H404">
        <v>0.51459999999999995</v>
      </c>
      <c r="I404">
        <v>0.22459999999999999</v>
      </c>
      <c r="J404">
        <v>4.8281000000000001</v>
      </c>
      <c r="K404">
        <v>13.957700000000001</v>
      </c>
      <c r="L404">
        <v>0.7389</v>
      </c>
      <c r="M404">
        <v>1.5800000000000002E-2</v>
      </c>
      <c r="N404">
        <v>1.09E-2</v>
      </c>
      <c r="O404">
        <v>1.6657999999999999</v>
      </c>
      <c r="P404">
        <v>0</v>
      </c>
      <c r="Q404">
        <v>0</v>
      </c>
      <c r="R404">
        <v>0.40539999999999998</v>
      </c>
      <c r="S404">
        <v>0.34320000000000001</v>
      </c>
    </row>
    <row r="405" spans="1:19" x14ac:dyDescent="0.25">
      <c r="A405" t="s">
        <v>967</v>
      </c>
      <c r="B405" t="s">
        <v>24</v>
      </c>
      <c r="D405" t="s">
        <v>17</v>
      </c>
      <c r="E405">
        <v>1.1499999999999999</v>
      </c>
      <c r="F405">
        <v>0.32540000000000002</v>
      </c>
      <c r="G405">
        <v>0.57620000000000005</v>
      </c>
      <c r="H405">
        <v>0.25080000000000002</v>
      </c>
      <c r="I405">
        <v>3.2067000000000001</v>
      </c>
      <c r="J405">
        <v>0.78839999999999999</v>
      </c>
      <c r="K405">
        <v>4.0713999999999997</v>
      </c>
      <c r="L405">
        <v>0.28789999999999999</v>
      </c>
      <c r="M405">
        <v>1.5800000000000002E-2</v>
      </c>
      <c r="N405">
        <v>1.09E-2</v>
      </c>
      <c r="O405">
        <v>0.76380000000000003</v>
      </c>
      <c r="P405">
        <v>13.532</v>
      </c>
      <c r="Q405">
        <v>12.887600000000001</v>
      </c>
      <c r="R405">
        <v>0.51219999999999999</v>
      </c>
      <c r="S405">
        <v>0.43030000000000002</v>
      </c>
    </row>
    <row r="406" spans="1:19" x14ac:dyDescent="0.25">
      <c r="A406" t="s">
        <v>968</v>
      </c>
      <c r="B406" t="s">
        <v>3</v>
      </c>
      <c r="D406" t="s">
        <v>21</v>
      </c>
      <c r="E406">
        <v>1.73</v>
      </c>
      <c r="F406">
        <v>0.32169999999999999</v>
      </c>
      <c r="G406">
        <v>0.29149999999999998</v>
      </c>
      <c r="H406">
        <v>0</v>
      </c>
      <c r="I406">
        <v>3.2999000000000001</v>
      </c>
      <c r="J406">
        <v>2.7530000000000001</v>
      </c>
      <c r="K406">
        <v>11.773899999999999</v>
      </c>
      <c r="L406">
        <v>0.19139999999999999</v>
      </c>
      <c r="M406">
        <v>1.5800000000000002E-2</v>
      </c>
      <c r="N406">
        <v>1.09E-2</v>
      </c>
      <c r="O406">
        <v>0.57079999999999997</v>
      </c>
      <c r="P406">
        <v>0</v>
      </c>
      <c r="Q406">
        <v>0</v>
      </c>
      <c r="R406">
        <v>0.43540000000000001</v>
      </c>
      <c r="S406">
        <v>0.60099999999999998</v>
      </c>
    </row>
    <row r="407" spans="1:19" x14ac:dyDescent="0.25">
      <c r="A407" t="s">
        <v>1031</v>
      </c>
      <c r="B407" t="s">
        <v>24</v>
      </c>
      <c r="D407" t="s">
        <v>22</v>
      </c>
      <c r="E407">
        <v>0.56999999999999995</v>
      </c>
      <c r="F407">
        <v>0.22889999999999999</v>
      </c>
      <c r="G407">
        <v>0.4708</v>
      </c>
      <c r="H407">
        <v>0.2419</v>
      </c>
      <c r="I407">
        <v>1.4856</v>
      </c>
      <c r="J407">
        <v>1.2806</v>
      </c>
      <c r="K407">
        <v>5.1041999999999996</v>
      </c>
      <c r="L407">
        <v>0.29470000000000002</v>
      </c>
      <c r="M407">
        <v>1.5800000000000002E-2</v>
      </c>
      <c r="N407">
        <v>1.09E-2</v>
      </c>
      <c r="O407">
        <v>0.77739999999999998</v>
      </c>
      <c r="P407">
        <v>3.5648</v>
      </c>
      <c r="Q407">
        <v>4.2907999999999999</v>
      </c>
      <c r="R407">
        <v>0.45379999999999998</v>
      </c>
      <c r="S407">
        <v>0.93010000000000004</v>
      </c>
    </row>
    <row r="408" spans="1:19" x14ac:dyDescent="0.25">
      <c r="A408" t="s">
        <v>1228</v>
      </c>
      <c r="B408" t="s">
        <v>24</v>
      </c>
      <c r="D408" t="s">
        <v>13</v>
      </c>
      <c r="E408">
        <v>2.59</v>
      </c>
      <c r="F408">
        <v>0.2863</v>
      </c>
      <c r="G408">
        <v>0.71899999999999997</v>
      </c>
      <c r="H408">
        <v>0.43269999999999997</v>
      </c>
      <c r="I408">
        <v>3.0411999999999999</v>
      </c>
      <c r="J408">
        <v>1.9863999999999999</v>
      </c>
      <c r="K408">
        <v>4.3601999999999999</v>
      </c>
      <c r="L408">
        <v>0.1222</v>
      </c>
      <c r="M408">
        <v>1.5800000000000002E-2</v>
      </c>
      <c r="N408">
        <v>1.09E-2</v>
      </c>
      <c r="O408">
        <v>0.43240000000000001</v>
      </c>
      <c r="P408">
        <v>14.3355</v>
      </c>
      <c r="Q408">
        <v>20.9696</v>
      </c>
      <c r="R408">
        <v>0.40600000000000003</v>
      </c>
      <c r="S408">
        <v>0.56230000000000002</v>
      </c>
    </row>
    <row r="409" spans="1:19" x14ac:dyDescent="0.25">
      <c r="A409" t="s">
        <v>247</v>
      </c>
      <c r="B409" t="s">
        <v>24</v>
      </c>
      <c r="D409" t="s">
        <v>30</v>
      </c>
      <c r="E409">
        <v>0.78</v>
      </c>
      <c r="F409">
        <v>0.64590000000000003</v>
      </c>
      <c r="G409">
        <v>1.3365</v>
      </c>
      <c r="H409">
        <v>0.69059999999999999</v>
      </c>
      <c r="I409">
        <v>7.6294000000000004</v>
      </c>
      <c r="J409">
        <v>1.3603000000000001</v>
      </c>
      <c r="K409">
        <v>7.7484000000000002</v>
      </c>
      <c r="L409">
        <v>0.22700000000000001</v>
      </c>
      <c r="M409">
        <v>1.5800000000000002E-2</v>
      </c>
      <c r="N409">
        <v>1.09E-2</v>
      </c>
      <c r="O409">
        <v>0.64200000000000002</v>
      </c>
      <c r="P409">
        <v>22.128799999999998</v>
      </c>
      <c r="Q409">
        <v>29.034800000000001</v>
      </c>
      <c r="R409">
        <v>0.4325</v>
      </c>
      <c r="S409">
        <v>1.0445</v>
      </c>
    </row>
    <row r="410" spans="1:19" x14ac:dyDescent="0.25">
      <c r="A410" t="s">
        <v>1117</v>
      </c>
      <c r="B410" t="s">
        <v>24</v>
      </c>
      <c r="D410" t="s">
        <v>29</v>
      </c>
      <c r="E410">
        <v>2.6</v>
      </c>
      <c r="F410">
        <v>0.18540000000000001</v>
      </c>
      <c r="G410">
        <v>0.74839999999999995</v>
      </c>
      <c r="H410">
        <v>0.56299999999999994</v>
      </c>
      <c r="I410">
        <v>1.778</v>
      </c>
      <c r="J410">
        <v>2.0047999999999999</v>
      </c>
      <c r="K410">
        <v>4.9169999999999998</v>
      </c>
      <c r="L410">
        <v>0.1229</v>
      </c>
      <c r="M410">
        <v>1.5800000000000002E-2</v>
      </c>
      <c r="N410">
        <v>1.09E-2</v>
      </c>
      <c r="O410">
        <v>0.43380000000000002</v>
      </c>
      <c r="P410">
        <v>3.1212</v>
      </c>
      <c r="Q410">
        <v>3.7473000000000001</v>
      </c>
      <c r="R410">
        <v>0.45440000000000003</v>
      </c>
      <c r="S410">
        <v>0.21010000000000001</v>
      </c>
    </row>
    <row r="411" spans="1:19" x14ac:dyDescent="0.25">
      <c r="A411" t="s">
        <v>858</v>
      </c>
      <c r="B411" t="s">
        <v>24</v>
      </c>
      <c r="D411" t="s">
        <v>138</v>
      </c>
      <c r="E411">
        <v>0.81</v>
      </c>
      <c r="F411">
        <v>0.23849999999999999</v>
      </c>
      <c r="G411">
        <v>0.48649999999999999</v>
      </c>
      <c r="H411">
        <v>0.248</v>
      </c>
      <c r="I411">
        <v>1.6724000000000001</v>
      </c>
      <c r="J411">
        <v>3.3319999999999999</v>
      </c>
      <c r="K411">
        <v>5.7450999999999999</v>
      </c>
      <c r="L411">
        <v>0.30330000000000001</v>
      </c>
      <c r="M411">
        <v>1.5800000000000002E-2</v>
      </c>
      <c r="N411">
        <v>1.09E-2</v>
      </c>
      <c r="O411">
        <v>0.79459999999999997</v>
      </c>
      <c r="P411">
        <v>19.805099999999999</v>
      </c>
      <c r="Q411">
        <v>36.347799999999999</v>
      </c>
      <c r="R411">
        <v>0.35270000000000001</v>
      </c>
      <c r="S411">
        <v>0.51829999999999998</v>
      </c>
    </row>
    <row r="412" spans="1:19" x14ac:dyDescent="0.25">
      <c r="A412" t="s">
        <v>1229</v>
      </c>
      <c r="B412" t="s">
        <v>24</v>
      </c>
      <c r="D412" t="s">
        <v>5</v>
      </c>
      <c r="E412">
        <v>1.33</v>
      </c>
      <c r="F412">
        <v>0.2404</v>
      </c>
      <c r="G412">
        <v>0.34460000000000002</v>
      </c>
      <c r="H412">
        <v>0.1042</v>
      </c>
      <c r="I412">
        <v>3.7058</v>
      </c>
      <c r="J412">
        <v>2.8544999999999998</v>
      </c>
      <c r="K412">
        <v>5.3400999999999996</v>
      </c>
      <c r="L412">
        <v>0.2253</v>
      </c>
      <c r="M412">
        <v>1.5800000000000002E-2</v>
      </c>
      <c r="N412">
        <v>1.09E-2</v>
      </c>
      <c r="O412">
        <v>0.63859999999999995</v>
      </c>
      <c r="P412">
        <v>18.486000000000001</v>
      </c>
      <c r="Q412">
        <v>23.6464</v>
      </c>
      <c r="R412">
        <v>0.43880000000000002</v>
      </c>
      <c r="S412">
        <v>0.38500000000000001</v>
      </c>
    </row>
    <row r="413" spans="1:19" x14ac:dyDescent="0.25">
      <c r="A413" t="s">
        <v>1096</v>
      </c>
      <c r="B413" t="s">
        <v>24</v>
      </c>
      <c r="D413" t="s">
        <v>30</v>
      </c>
      <c r="E413">
        <v>0.65</v>
      </c>
      <c r="F413">
        <v>0.44829999999999998</v>
      </c>
      <c r="G413">
        <v>0.43059999999999998</v>
      </c>
      <c r="H413">
        <v>0</v>
      </c>
      <c r="I413">
        <v>7.4882</v>
      </c>
      <c r="J413">
        <v>3.5152000000000001</v>
      </c>
      <c r="K413">
        <v>2.5941000000000001</v>
      </c>
      <c r="L413">
        <v>0.27260000000000001</v>
      </c>
      <c r="M413">
        <v>1.5800000000000002E-2</v>
      </c>
      <c r="N413">
        <v>1.09E-2</v>
      </c>
      <c r="O413">
        <v>0.73319999999999996</v>
      </c>
      <c r="P413">
        <v>2.5981000000000001</v>
      </c>
      <c r="Q413">
        <v>4.5507999999999997</v>
      </c>
      <c r="R413">
        <v>0.3634</v>
      </c>
      <c r="S413">
        <v>0.46579999999999999</v>
      </c>
    </row>
    <row r="414" spans="1:19" x14ac:dyDescent="0.25">
      <c r="A414" t="s">
        <v>1230</v>
      </c>
      <c r="B414" t="s">
        <v>24</v>
      </c>
      <c r="D414" t="s">
        <v>6</v>
      </c>
      <c r="E414">
        <v>1.63</v>
      </c>
      <c r="F414">
        <v>0.23849999999999999</v>
      </c>
      <c r="G414">
        <v>0.4864</v>
      </c>
      <c r="H414">
        <v>0.24790000000000001</v>
      </c>
      <c r="I414">
        <v>1.6714</v>
      </c>
      <c r="J414">
        <v>1.4407000000000001</v>
      </c>
      <c r="K414">
        <v>3.8523000000000001</v>
      </c>
      <c r="L414">
        <v>0.30330000000000001</v>
      </c>
      <c r="M414">
        <v>1.5800000000000002E-2</v>
      </c>
      <c r="N414">
        <v>1.09E-2</v>
      </c>
      <c r="O414">
        <v>0.79459999999999997</v>
      </c>
      <c r="P414">
        <v>8.5798000000000005</v>
      </c>
      <c r="Q414">
        <v>18.3856</v>
      </c>
      <c r="R414">
        <v>0.31819999999999998</v>
      </c>
      <c r="S414">
        <v>0.51829999999999998</v>
      </c>
    </row>
    <row r="415" spans="1:19" x14ac:dyDescent="0.25">
      <c r="A415" t="s">
        <v>826</v>
      </c>
      <c r="B415" t="s">
        <v>24</v>
      </c>
      <c r="D415" t="s">
        <v>23</v>
      </c>
      <c r="E415">
        <v>0.82</v>
      </c>
      <c r="F415">
        <v>0.26440000000000002</v>
      </c>
      <c r="G415">
        <v>0.48049999999999998</v>
      </c>
      <c r="H415">
        <v>0.21609999999999999</v>
      </c>
      <c r="I415">
        <v>3.4039999999999999</v>
      </c>
      <c r="J415">
        <v>3.1835</v>
      </c>
      <c r="K415">
        <v>5.4884000000000004</v>
      </c>
      <c r="L415">
        <v>0.3</v>
      </c>
      <c r="M415">
        <v>1.5800000000000002E-2</v>
      </c>
      <c r="N415">
        <v>1.09E-2</v>
      </c>
      <c r="O415">
        <v>0.78800000000000003</v>
      </c>
      <c r="P415">
        <v>14.513999999999999</v>
      </c>
      <c r="Q415">
        <v>15.304399999999999</v>
      </c>
      <c r="R415">
        <v>0.48670000000000002</v>
      </c>
      <c r="S415">
        <v>0.51280000000000003</v>
      </c>
    </row>
    <row r="416" spans="1:19" x14ac:dyDescent="0.25">
      <c r="A416" t="s">
        <v>821</v>
      </c>
      <c r="B416" t="s">
        <v>24</v>
      </c>
      <c r="D416" t="s">
        <v>5</v>
      </c>
      <c r="E416">
        <v>2.1800000000000002</v>
      </c>
      <c r="F416">
        <v>0.2447</v>
      </c>
      <c r="G416">
        <v>0.56399999999999995</v>
      </c>
      <c r="H416">
        <v>0.31929999999999997</v>
      </c>
      <c r="I416">
        <v>2.7885</v>
      </c>
      <c r="J416">
        <v>0.97699999999999998</v>
      </c>
      <c r="K416">
        <v>7.0869999999999997</v>
      </c>
      <c r="L416">
        <v>0.151</v>
      </c>
      <c r="M416">
        <v>1.5800000000000002E-2</v>
      </c>
      <c r="N416">
        <v>1.09E-2</v>
      </c>
      <c r="O416">
        <v>0.49</v>
      </c>
      <c r="P416">
        <v>1.7583</v>
      </c>
      <c r="Q416">
        <v>0.80059999999999998</v>
      </c>
      <c r="R416">
        <v>0.68710000000000004</v>
      </c>
      <c r="S416">
        <v>0.25800000000000001</v>
      </c>
    </row>
    <row r="417" spans="1:19" x14ac:dyDescent="0.25">
      <c r="A417" t="s">
        <v>1074</v>
      </c>
      <c r="B417" t="s">
        <v>3</v>
      </c>
      <c r="D417" t="s">
        <v>18</v>
      </c>
      <c r="E417">
        <v>2.93</v>
      </c>
      <c r="F417">
        <v>4.4999999999999997E-3</v>
      </c>
      <c r="G417">
        <v>0.14019999999999999</v>
      </c>
      <c r="H417">
        <v>0.13569999999999999</v>
      </c>
      <c r="I417">
        <v>0.65980000000000005</v>
      </c>
      <c r="J417">
        <v>2.2330000000000001</v>
      </c>
      <c r="K417">
        <v>7.0994999999999999</v>
      </c>
      <c r="L417">
        <v>0.1129</v>
      </c>
      <c r="M417">
        <v>1.5800000000000002E-2</v>
      </c>
      <c r="N417">
        <v>1.09E-2</v>
      </c>
      <c r="O417">
        <v>0.4138</v>
      </c>
      <c r="P417">
        <v>0</v>
      </c>
      <c r="Q417">
        <v>0</v>
      </c>
      <c r="R417">
        <v>0.45379999999999998</v>
      </c>
      <c r="S417">
        <v>0.19289999999999999</v>
      </c>
    </row>
    <row r="418" spans="1:19" x14ac:dyDescent="0.25">
      <c r="A418" t="s">
        <v>990</v>
      </c>
      <c r="B418" t="s">
        <v>24</v>
      </c>
      <c r="D418" t="s">
        <v>1121</v>
      </c>
      <c r="E418">
        <v>0.82</v>
      </c>
      <c r="F418">
        <v>0.22559999999999999</v>
      </c>
      <c r="G418">
        <v>0.46539999999999998</v>
      </c>
      <c r="H418">
        <v>0.23980000000000001</v>
      </c>
      <c r="I418">
        <v>1.4277</v>
      </c>
      <c r="J418">
        <v>1.2305999999999999</v>
      </c>
      <c r="K418">
        <v>8.1341000000000001</v>
      </c>
      <c r="L418">
        <v>0.29170000000000001</v>
      </c>
      <c r="M418">
        <v>1.5800000000000002E-2</v>
      </c>
      <c r="N418">
        <v>1.09E-2</v>
      </c>
      <c r="O418">
        <v>0.77139999999999997</v>
      </c>
      <c r="P418">
        <v>5.2695999999999996</v>
      </c>
      <c r="Q418">
        <v>13.4247</v>
      </c>
      <c r="R418">
        <v>0.28189999999999998</v>
      </c>
      <c r="S418">
        <v>0.4985</v>
      </c>
    </row>
    <row r="419" spans="1:19" x14ac:dyDescent="0.25">
      <c r="A419" t="s">
        <v>1048</v>
      </c>
      <c r="B419" t="s">
        <v>24</v>
      </c>
      <c r="D419" t="s">
        <v>29</v>
      </c>
      <c r="E419">
        <v>1.35</v>
      </c>
      <c r="F419">
        <v>0.28470000000000001</v>
      </c>
      <c r="G419">
        <v>0.7893</v>
      </c>
      <c r="H419">
        <v>0.50460000000000005</v>
      </c>
      <c r="I419">
        <v>3.2402000000000002</v>
      </c>
      <c r="J419">
        <v>0.35880000000000001</v>
      </c>
      <c r="K419">
        <v>3.7833000000000001</v>
      </c>
      <c r="L419">
        <v>0.69450000000000001</v>
      </c>
      <c r="M419">
        <v>1.5800000000000002E-2</v>
      </c>
      <c r="N419">
        <v>1.09E-2</v>
      </c>
      <c r="O419">
        <v>1.577</v>
      </c>
      <c r="P419">
        <v>8.2420000000000009</v>
      </c>
      <c r="Q419">
        <v>17.241599999999998</v>
      </c>
      <c r="R419">
        <v>0.32340000000000002</v>
      </c>
      <c r="S419">
        <v>0.56289999999999996</v>
      </c>
    </row>
    <row r="420" spans="1:19" x14ac:dyDescent="0.25">
      <c r="A420" t="s">
        <v>1176</v>
      </c>
      <c r="B420" t="s">
        <v>3</v>
      </c>
      <c r="D420" t="s">
        <v>18</v>
      </c>
      <c r="E420">
        <v>0.98</v>
      </c>
      <c r="F420">
        <v>0.18840000000000001</v>
      </c>
      <c r="G420">
        <v>0.38290000000000002</v>
      </c>
      <c r="H420">
        <v>0.19450000000000001</v>
      </c>
      <c r="I420">
        <v>2.7326000000000001</v>
      </c>
      <c r="J420">
        <v>4.5117000000000003</v>
      </c>
      <c r="K420">
        <v>11.4048</v>
      </c>
      <c r="L420">
        <v>0.24640000000000001</v>
      </c>
      <c r="M420">
        <v>1.5800000000000002E-2</v>
      </c>
      <c r="N420">
        <v>1.09E-2</v>
      </c>
      <c r="O420">
        <v>0.68079999999999996</v>
      </c>
      <c r="P420">
        <v>0</v>
      </c>
      <c r="Q420">
        <v>0</v>
      </c>
      <c r="R420">
        <v>0.45379999999999998</v>
      </c>
      <c r="S420">
        <v>0.77749999999999997</v>
      </c>
    </row>
    <row r="421" spans="1:19" x14ac:dyDescent="0.25">
      <c r="A421" t="s">
        <v>718</v>
      </c>
      <c r="B421" t="s">
        <v>24</v>
      </c>
      <c r="D421" t="s">
        <v>12</v>
      </c>
      <c r="E421">
        <v>1.29</v>
      </c>
      <c r="F421">
        <v>0.35110000000000002</v>
      </c>
      <c r="G421">
        <v>0.75570000000000004</v>
      </c>
      <c r="H421">
        <v>0.40460000000000002</v>
      </c>
      <c r="I421">
        <v>3.5996999999999999</v>
      </c>
      <c r="J421">
        <v>0.92149999999999999</v>
      </c>
      <c r="K421">
        <v>4.2031000000000001</v>
      </c>
      <c r="L421">
        <v>0.18870000000000001</v>
      </c>
      <c r="M421">
        <v>1.5800000000000002E-2</v>
      </c>
      <c r="N421">
        <v>1.09E-2</v>
      </c>
      <c r="O421">
        <v>0.56540000000000001</v>
      </c>
      <c r="P421">
        <v>2.0912000000000002</v>
      </c>
      <c r="Q421">
        <v>2.2944</v>
      </c>
      <c r="R421">
        <v>0.4768</v>
      </c>
      <c r="S421">
        <v>0.32250000000000001</v>
      </c>
    </row>
    <row r="422" spans="1:19" x14ac:dyDescent="0.25">
      <c r="A422" t="s">
        <v>1057</v>
      </c>
      <c r="B422" t="s">
        <v>3</v>
      </c>
      <c r="D422" t="s">
        <v>19</v>
      </c>
      <c r="E422">
        <v>0.89</v>
      </c>
      <c r="F422">
        <v>0.1338</v>
      </c>
      <c r="G422">
        <v>0.32279999999999998</v>
      </c>
      <c r="H422">
        <v>0.189</v>
      </c>
      <c r="I422">
        <v>0.59340000000000004</v>
      </c>
      <c r="J422">
        <v>1.1823999999999999</v>
      </c>
      <c r="K422">
        <v>5.3929999999999998</v>
      </c>
      <c r="L422">
        <v>0.21329999999999999</v>
      </c>
      <c r="M422">
        <v>1.5800000000000002E-2</v>
      </c>
      <c r="N422">
        <v>1.09E-2</v>
      </c>
      <c r="O422">
        <v>0.61460000000000004</v>
      </c>
      <c r="P422">
        <v>0</v>
      </c>
      <c r="Q422">
        <v>0</v>
      </c>
      <c r="R422">
        <v>0.45379999999999998</v>
      </c>
      <c r="S422">
        <v>0.36449999999999999</v>
      </c>
    </row>
    <row r="423" spans="1:19" x14ac:dyDescent="0.25">
      <c r="A423" t="s">
        <v>1178</v>
      </c>
      <c r="B423" t="s">
        <v>3</v>
      </c>
      <c r="D423" t="s">
        <v>1179</v>
      </c>
      <c r="E423">
        <v>0.75</v>
      </c>
      <c r="F423">
        <v>0.24690000000000001</v>
      </c>
      <c r="G423">
        <v>0.47170000000000001</v>
      </c>
      <c r="H423">
        <v>0.2248</v>
      </c>
      <c r="I423">
        <v>3.1850000000000001</v>
      </c>
      <c r="J423">
        <v>4.6688000000000001</v>
      </c>
      <c r="K423">
        <v>10.2059</v>
      </c>
      <c r="L423">
        <v>0.29520000000000002</v>
      </c>
      <c r="M423">
        <v>1.5800000000000002E-2</v>
      </c>
      <c r="N423">
        <v>1.09E-2</v>
      </c>
      <c r="O423">
        <v>0.77839999999999998</v>
      </c>
      <c r="P423">
        <v>0</v>
      </c>
      <c r="Q423">
        <v>0</v>
      </c>
      <c r="R423">
        <v>0.45379999999999998</v>
      </c>
      <c r="S423">
        <v>0.50439999999999996</v>
      </c>
    </row>
    <row r="424" spans="1:19" x14ac:dyDescent="0.25">
      <c r="A424" t="s">
        <v>1058</v>
      </c>
      <c r="B424" t="s">
        <v>3</v>
      </c>
      <c r="D424" t="s">
        <v>22</v>
      </c>
      <c r="E424">
        <v>0.73</v>
      </c>
      <c r="F424">
        <v>0.22570000000000001</v>
      </c>
      <c r="G424">
        <v>0.46560000000000001</v>
      </c>
      <c r="H424">
        <v>0.2399</v>
      </c>
      <c r="I424">
        <v>1.4296</v>
      </c>
      <c r="J424">
        <v>2.8490000000000002</v>
      </c>
      <c r="K424">
        <v>9.7617999999999991</v>
      </c>
      <c r="L424">
        <v>0.2918</v>
      </c>
      <c r="M424">
        <v>1.5800000000000002E-2</v>
      </c>
      <c r="N424">
        <v>1.09E-2</v>
      </c>
      <c r="O424">
        <v>0.77159999999999995</v>
      </c>
      <c r="P424">
        <v>0</v>
      </c>
      <c r="Q424">
        <v>0</v>
      </c>
      <c r="R424">
        <v>0.45379999999999998</v>
      </c>
      <c r="S424">
        <v>0.49869999999999998</v>
      </c>
    </row>
    <row r="425" spans="1:19" x14ac:dyDescent="0.25">
      <c r="A425" t="s">
        <v>1000</v>
      </c>
      <c r="B425" t="s">
        <v>24</v>
      </c>
      <c r="D425" t="s">
        <v>13</v>
      </c>
      <c r="E425">
        <v>1.03</v>
      </c>
      <c r="F425">
        <v>0.51939999999999997</v>
      </c>
      <c r="G425">
        <v>0.86180000000000001</v>
      </c>
      <c r="H425">
        <v>0.34239999999999998</v>
      </c>
      <c r="I425">
        <v>6.4542000000000002</v>
      </c>
      <c r="J425">
        <v>0.7147</v>
      </c>
      <c r="K425">
        <v>2.8485999999999998</v>
      </c>
      <c r="L425">
        <v>0.24540000000000001</v>
      </c>
      <c r="M425">
        <v>1.5800000000000002E-2</v>
      </c>
      <c r="N425">
        <v>1.09E-2</v>
      </c>
      <c r="O425">
        <v>0.67879999999999996</v>
      </c>
      <c r="P425">
        <v>1.8561000000000001</v>
      </c>
      <c r="Q425">
        <v>4.2679999999999998</v>
      </c>
      <c r="R425">
        <v>0.30309999999999998</v>
      </c>
      <c r="S425">
        <v>0.4194</v>
      </c>
    </row>
    <row r="426" spans="1:19" x14ac:dyDescent="0.25">
      <c r="A426" t="s">
        <v>1231</v>
      </c>
      <c r="B426" t="s">
        <v>3</v>
      </c>
      <c r="D426" t="s">
        <v>19</v>
      </c>
      <c r="E426">
        <v>1.24</v>
      </c>
      <c r="F426">
        <v>0.17069999999999999</v>
      </c>
      <c r="G426">
        <v>0.37869999999999998</v>
      </c>
      <c r="H426">
        <v>0.20799999999999999</v>
      </c>
      <c r="I426">
        <v>0.81740000000000002</v>
      </c>
      <c r="J426">
        <v>5.3259999999999996</v>
      </c>
      <c r="K426">
        <v>10.2026</v>
      </c>
      <c r="L426">
        <v>0.59719999999999995</v>
      </c>
      <c r="M426">
        <v>1.5800000000000002E-2</v>
      </c>
      <c r="N426">
        <v>1.09E-2</v>
      </c>
      <c r="O426">
        <v>1.3824000000000001</v>
      </c>
      <c r="P426">
        <v>0</v>
      </c>
      <c r="Q426">
        <v>0</v>
      </c>
      <c r="R426">
        <v>0.45379999999999998</v>
      </c>
      <c r="S426">
        <v>0.7702</v>
      </c>
    </row>
    <row r="427" spans="1:19" x14ac:dyDescent="0.25">
      <c r="A427" t="s">
        <v>1002</v>
      </c>
      <c r="B427" t="s">
        <v>24</v>
      </c>
      <c r="D427" t="s">
        <v>33</v>
      </c>
      <c r="E427">
        <v>0.77</v>
      </c>
      <c r="F427">
        <v>0.36259999999999998</v>
      </c>
      <c r="G427">
        <v>0.59130000000000005</v>
      </c>
      <c r="H427">
        <v>0.22869999999999999</v>
      </c>
      <c r="I427">
        <v>3.7555999999999998</v>
      </c>
      <c r="J427">
        <v>0.58620000000000005</v>
      </c>
      <c r="K427">
        <v>2.3363999999999998</v>
      </c>
      <c r="L427">
        <v>0.2266</v>
      </c>
      <c r="M427">
        <v>1.5800000000000002E-2</v>
      </c>
      <c r="N427">
        <v>1.09E-2</v>
      </c>
      <c r="O427">
        <v>0.64119999999999999</v>
      </c>
      <c r="P427">
        <v>2.3210999999999999</v>
      </c>
      <c r="Q427">
        <v>2.6265000000000001</v>
      </c>
      <c r="R427">
        <v>0.46910000000000002</v>
      </c>
      <c r="S427">
        <v>0.38719999999999999</v>
      </c>
    </row>
    <row r="428" spans="1:19" x14ac:dyDescent="0.25">
      <c r="A428" t="s">
        <v>648</v>
      </c>
      <c r="B428" t="s">
        <v>24</v>
      </c>
      <c r="D428" t="s">
        <v>33</v>
      </c>
      <c r="E428">
        <v>0.53</v>
      </c>
      <c r="F428">
        <v>0.3856</v>
      </c>
      <c r="G428">
        <v>0.45140000000000002</v>
      </c>
      <c r="H428">
        <v>6.5799999999999997E-2</v>
      </c>
      <c r="I428">
        <v>4.2176</v>
      </c>
      <c r="J428">
        <v>1.1148</v>
      </c>
      <c r="K428">
        <v>4.4431000000000003</v>
      </c>
      <c r="L428">
        <v>0.28399999999999997</v>
      </c>
      <c r="M428">
        <v>1.5800000000000002E-2</v>
      </c>
      <c r="N428">
        <v>1.09E-2</v>
      </c>
      <c r="O428">
        <v>0.75600000000000001</v>
      </c>
      <c r="P428">
        <v>3.0394000000000001</v>
      </c>
      <c r="Q428">
        <v>6.9885000000000002</v>
      </c>
      <c r="R428">
        <v>0.30309999999999998</v>
      </c>
      <c r="S428">
        <v>0.89610000000000001</v>
      </c>
    </row>
    <row r="429" spans="1:19" x14ac:dyDescent="0.25">
      <c r="A429" t="s">
        <v>1036</v>
      </c>
      <c r="B429" t="s">
        <v>24</v>
      </c>
      <c r="D429" t="s">
        <v>11</v>
      </c>
      <c r="E429">
        <v>1.32</v>
      </c>
      <c r="F429">
        <v>0.22140000000000001</v>
      </c>
      <c r="G429">
        <v>0.31290000000000001</v>
      </c>
      <c r="H429">
        <v>9.1499999999999998E-2</v>
      </c>
      <c r="I429">
        <v>2.4649999999999999</v>
      </c>
      <c r="J429">
        <v>3.6566999999999998</v>
      </c>
      <c r="K429">
        <v>3.8319000000000001</v>
      </c>
      <c r="L429">
        <v>0.20780000000000001</v>
      </c>
      <c r="M429">
        <v>1.5800000000000002E-2</v>
      </c>
      <c r="N429">
        <v>1.09E-2</v>
      </c>
      <c r="O429">
        <v>0.60360000000000003</v>
      </c>
      <c r="P429">
        <v>20.653400000000001</v>
      </c>
      <c r="Q429">
        <v>37.652900000000002</v>
      </c>
      <c r="R429">
        <v>0.35420000000000001</v>
      </c>
      <c r="S429">
        <v>0.65580000000000005</v>
      </c>
    </row>
    <row r="430" spans="1:19" x14ac:dyDescent="0.25">
      <c r="A430" t="s">
        <v>1232</v>
      </c>
      <c r="B430" t="s">
        <v>3</v>
      </c>
      <c r="D430" t="s">
        <v>1233</v>
      </c>
      <c r="E430">
        <v>0.63</v>
      </c>
      <c r="F430">
        <v>0.2291</v>
      </c>
      <c r="G430">
        <v>0.47120000000000001</v>
      </c>
      <c r="H430">
        <v>0.24210000000000001</v>
      </c>
      <c r="I430">
        <v>1.4894000000000001</v>
      </c>
      <c r="J430">
        <v>1.2838000000000001</v>
      </c>
      <c r="K430">
        <v>5.1163999999999996</v>
      </c>
      <c r="L430">
        <v>0.72150000000000003</v>
      </c>
      <c r="M430">
        <v>1.5800000000000002E-2</v>
      </c>
      <c r="N430">
        <v>1.09E-2</v>
      </c>
      <c r="O430">
        <v>1.631</v>
      </c>
      <c r="P430">
        <v>0</v>
      </c>
      <c r="Q430">
        <v>0</v>
      </c>
      <c r="R430">
        <v>0.45379999999999998</v>
      </c>
      <c r="S430">
        <v>0.504</v>
      </c>
    </row>
    <row r="431" spans="1:19" x14ac:dyDescent="0.25">
      <c r="A431" t="s">
        <v>1075</v>
      </c>
      <c r="B431" t="s">
        <v>3</v>
      </c>
      <c r="D431" t="s">
        <v>33</v>
      </c>
      <c r="E431">
        <v>1.68</v>
      </c>
      <c r="F431">
        <v>0.11310000000000001</v>
      </c>
      <c r="G431">
        <v>0.29210000000000003</v>
      </c>
      <c r="H431">
        <v>0.17899999999999999</v>
      </c>
      <c r="I431">
        <v>1.6309</v>
      </c>
      <c r="J431">
        <v>1.5619000000000001</v>
      </c>
      <c r="K431">
        <v>6.2412999999999998</v>
      </c>
      <c r="L431">
        <v>0.19639999999999999</v>
      </c>
      <c r="M431">
        <v>1.5800000000000002E-2</v>
      </c>
      <c r="N431">
        <v>1.09E-2</v>
      </c>
      <c r="O431">
        <v>0.58079999999999998</v>
      </c>
      <c r="P431">
        <v>0</v>
      </c>
      <c r="Q431">
        <v>0</v>
      </c>
      <c r="R431">
        <v>0.45379999999999998</v>
      </c>
      <c r="S431">
        <v>0.3357</v>
      </c>
    </row>
    <row r="432" spans="1:19" x14ac:dyDescent="0.25">
      <c r="A432" t="s">
        <v>1234</v>
      </c>
      <c r="B432" t="s">
        <v>3</v>
      </c>
      <c r="D432" t="s">
        <v>22</v>
      </c>
      <c r="E432">
        <v>1.39</v>
      </c>
      <c r="F432">
        <v>0.23449999999999999</v>
      </c>
      <c r="G432">
        <v>0.58220000000000005</v>
      </c>
      <c r="H432">
        <v>0.34770000000000001</v>
      </c>
      <c r="I432">
        <v>3.3887</v>
      </c>
      <c r="J432">
        <v>1.3708</v>
      </c>
      <c r="K432">
        <v>7.2622</v>
      </c>
      <c r="L432">
        <v>0.29970000000000002</v>
      </c>
      <c r="M432">
        <v>1.5800000000000002E-2</v>
      </c>
      <c r="N432">
        <v>1.09E-2</v>
      </c>
      <c r="O432">
        <v>0.78739999999999999</v>
      </c>
      <c r="P432">
        <v>0</v>
      </c>
      <c r="Q432">
        <v>0</v>
      </c>
      <c r="R432">
        <v>0.45379999999999998</v>
      </c>
      <c r="S432">
        <v>0.51219999999999999</v>
      </c>
    </row>
    <row r="433" spans="1:19" x14ac:dyDescent="0.25">
      <c r="A433" t="s">
        <v>1003</v>
      </c>
      <c r="B433" t="s">
        <v>24</v>
      </c>
      <c r="D433" t="s">
        <v>34</v>
      </c>
      <c r="E433">
        <v>0.6</v>
      </c>
      <c r="F433">
        <v>0.22650000000000001</v>
      </c>
      <c r="G433">
        <v>0.40870000000000001</v>
      </c>
      <c r="H433">
        <v>0.1822</v>
      </c>
      <c r="I433">
        <v>3.1941000000000002</v>
      </c>
      <c r="J433">
        <v>4.1661999999999999</v>
      </c>
      <c r="K433">
        <v>3.3647999999999998</v>
      </c>
      <c r="L433">
        <v>0.26050000000000001</v>
      </c>
      <c r="M433">
        <v>1.5800000000000002E-2</v>
      </c>
      <c r="N433">
        <v>1.09E-2</v>
      </c>
      <c r="O433">
        <v>0.70899999999999996</v>
      </c>
      <c r="P433">
        <v>16.865400000000001</v>
      </c>
      <c r="Q433">
        <v>8.7797000000000001</v>
      </c>
      <c r="R433">
        <v>0.65759999999999996</v>
      </c>
      <c r="S433">
        <v>0.82210000000000005</v>
      </c>
    </row>
    <row r="434" spans="1:19" x14ac:dyDescent="0.25">
      <c r="A434" t="s">
        <v>1235</v>
      </c>
      <c r="B434" t="s">
        <v>3</v>
      </c>
      <c r="D434" t="s">
        <v>25</v>
      </c>
      <c r="E434">
        <v>1.73</v>
      </c>
      <c r="F434">
        <v>0.20880000000000001</v>
      </c>
      <c r="G434">
        <v>0.43840000000000001</v>
      </c>
      <c r="H434">
        <v>0.2296</v>
      </c>
      <c r="I434">
        <v>1.1850000000000001</v>
      </c>
      <c r="J434">
        <v>2.3612000000000002</v>
      </c>
      <c r="K434">
        <v>6.7504999999999997</v>
      </c>
      <c r="L434">
        <v>0.27689999999999998</v>
      </c>
      <c r="M434">
        <v>1.5800000000000002E-2</v>
      </c>
      <c r="N434">
        <v>1.09E-2</v>
      </c>
      <c r="O434">
        <v>0.74180000000000001</v>
      </c>
      <c r="P434">
        <v>0</v>
      </c>
      <c r="Q434">
        <v>0</v>
      </c>
      <c r="R434">
        <v>0.45379999999999998</v>
      </c>
      <c r="S434">
        <v>0.47320000000000001</v>
      </c>
    </row>
    <row r="435" spans="1:19" x14ac:dyDescent="0.25">
      <c r="A435" t="s">
        <v>1182</v>
      </c>
      <c r="B435" t="s">
        <v>3</v>
      </c>
      <c r="D435" t="s">
        <v>5</v>
      </c>
      <c r="E435">
        <v>2.4300000000000002</v>
      </c>
      <c r="F435">
        <v>7.7600000000000002E-2</v>
      </c>
      <c r="G435">
        <v>0.69520000000000004</v>
      </c>
      <c r="H435">
        <v>0.61760000000000004</v>
      </c>
      <c r="I435">
        <v>1.2010000000000001</v>
      </c>
      <c r="J435">
        <v>2.0907</v>
      </c>
      <c r="K435">
        <v>8.6686999999999994</v>
      </c>
      <c r="L435">
        <v>0.13869999999999999</v>
      </c>
      <c r="M435">
        <v>1.5800000000000002E-2</v>
      </c>
      <c r="N435">
        <v>1.09E-2</v>
      </c>
      <c r="O435">
        <v>0.46539999999999998</v>
      </c>
      <c r="P435">
        <v>0</v>
      </c>
      <c r="Q435">
        <v>0</v>
      </c>
      <c r="R435">
        <v>0.45379999999999998</v>
      </c>
      <c r="S435">
        <v>0.63819999999999999</v>
      </c>
    </row>
    <row r="436" spans="1:19" x14ac:dyDescent="0.25">
      <c r="A436" t="s">
        <v>1060</v>
      </c>
      <c r="B436" t="s">
        <v>3</v>
      </c>
      <c r="D436" t="s">
        <v>15</v>
      </c>
      <c r="E436">
        <v>1.46</v>
      </c>
      <c r="F436">
        <v>9.2899999999999996E-2</v>
      </c>
      <c r="G436">
        <v>0.61880000000000002</v>
      </c>
      <c r="H436">
        <v>0.52590000000000003</v>
      </c>
      <c r="I436">
        <v>0.90500000000000003</v>
      </c>
      <c r="J436">
        <v>2.2871999999999999</v>
      </c>
      <c r="K436">
        <v>12.9854</v>
      </c>
      <c r="L436">
        <v>0.1804</v>
      </c>
      <c r="M436">
        <v>1.5800000000000002E-2</v>
      </c>
      <c r="N436">
        <v>1.09E-2</v>
      </c>
      <c r="O436">
        <v>0.54879999999999995</v>
      </c>
      <c r="P436">
        <v>0</v>
      </c>
      <c r="Q436">
        <v>0</v>
      </c>
      <c r="R436">
        <v>0.45379999999999998</v>
      </c>
      <c r="S436">
        <v>0.56920000000000004</v>
      </c>
    </row>
    <row r="437" spans="1:19" x14ac:dyDescent="0.25">
      <c r="A437" t="s">
        <v>1133</v>
      </c>
      <c r="B437" t="s">
        <v>24</v>
      </c>
      <c r="D437" t="s">
        <v>18</v>
      </c>
      <c r="E437">
        <v>0.85</v>
      </c>
      <c r="F437">
        <v>0.22639999999999999</v>
      </c>
      <c r="G437">
        <v>0.42380000000000001</v>
      </c>
      <c r="H437">
        <v>0.19739999999999999</v>
      </c>
      <c r="I437">
        <v>1.0770999999999999</v>
      </c>
      <c r="J437">
        <v>0.9284</v>
      </c>
      <c r="K437">
        <v>3.7004000000000001</v>
      </c>
      <c r="L437">
        <v>0.26879999999999998</v>
      </c>
      <c r="M437">
        <v>1.5800000000000002E-2</v>
      </c>
      <c r="N437">
        <v>1.09E-2</v>
      </c>
      <c r="O437">
        <v>0.72560000000000002</v>
      </c>
      <c r="P437">
        <v>5.1847000000000003</v>
      </c>
      <c r="Q437">
        <v>9.7548999999999992</v>
      </c>
      <c r="R437">
        <v>0.34699999999999998</v>
      </c>
      <c r="S437">
        <v>0.45939999999999998</v>
      </c>
    </row>
    <row r="438" spans="1:19" x14ac:dyDescent="0.25">
      <c r="A438" t="s">
        <v>1004</v>
      </c>
      <c r="B438" t="s">
        <v>24</v>
      </c>
      <c r="D438" t="s">
        <v>14</v>
      </c>
      <c r="E438">
        <v>0.52</v>
      </c>
      <c r="F438">
        <v>0.2079</v>
      </c>
      <c r="G438">
        <v>0.437</v>
      </c>
      <c r="H438">
        <v>0.2291</v>
      </c>
      <c r="I438">
        <v>1.1739999999999999</v>
      </c>
      <c r="J438">
        <v>3.6669</v>
      </c>
      <c r="K438">
        <v>5.3609</v>
      </c>
      <c r="L438">
        <v>0.27610000000000001</v>
      </c>
      <c r="M438">
        <v>1.5800000000000002E-2</v>
      </c>
      <c r="N438">
        <v>1.09E-2</v>
      </c>
      <c r="O438">
        <v>0.74019999999999997</v>
      </c>
      <c r="P438">
        <v>5.7092000000000001</v>
      </c>
      <c r="Q438">
        <v>6.2640000000000002</v>
      </c>
      <c r="R438">
        <v>0.4768</v>
      </c>
      <c r="S438">
        <v>0.47189999999999999</v>
      </c>
    </row>
    <row r="439" spans="1:19" x14ac:dyDescent="0.25">
      <c r="A439" t="s">
        <v>724</v>
      </c>
      <c r="B439" t="s">
        <v>24</v>
      </c>
      <c r="D439" t="s">
        <v>1136</v>
      </c>
      <c r="E439">
        <v>0.78</v>
      </c>
      <c r="F439">
        <v>0.3669</v>
      </c>
      <c r="G439">
        <v>0.71140000000000003</v>
      </c>
      <c r="H439">
        <v>0.34449999999999997</v>
      </c>
      <c r="I439">
        <v>2.9781</v>
      </c>
      <c r="J439">
        <v>1.2047000000000001</v>
      </c>
      <c r="K439">
        <v>12.7042</v>
      </c>
      <c r="L439">
        <v>0.29010000000000002</v>
      </c>
      <c r="M439">
        <v>1.5800000000000002E-2</v>
      </c>
      <c r="N439">
        <v>1.09E-2</v>
      </c>
      <c r="O439">
        <v>0.76819999999999999</v>
      </c>
      <c r="P439">
        <v>6.9619</v>
      </c>
      <c r="Q439">
        <v>7.6383999999999999</v>
      </c>
      <c r="R439">
        <v>0.4768</v>
      </c>
      <c r="S439">
        <v>0.49569999999999997</v>
      </c>
    </row>
    <row r="440" spans="1:19" x14ac:dyDescent="0.25">
      <c r="A440" t="s">
        <v>1184</v>
      </c>
      <c r="B440" t="s">
        <v>3</v>
      </c>
      <c r="D440" t="s">
        <v>6</v>
      </c>
      <c r="E440">
        <v>0.59</v>
      </c>
      <c r="F440">
        <v>0.218</v>
      </c>
      <c r="G440">
        <v>0.4531</v>
      </c>
      <c r="H440">
        <v>0.2351</v>
      </c>
      <c r="I440">
        <v>1.3092999999999999</v>
      </c>
      <c r="J440">
        <v>1.1286</v>
      </c>
      <c r="K440">
        <v>4.4978999999999996</v>
      </c>
      <c r="L440">
        <v>0.28499999999999998</v>
      </c>
      <c r="M440">
        <v>1.5800000000000002E-2</v>
      </c>
      <c r="N440">
        <v>1.09E-2</v>
      </c>
      <c r="O440">
        <v>0.75800000000000001</v>
      </c>
      <c r="P440">
        <v>0</v>
      </c>
      <c r="Q440">
        <v>0</v>
      </c>
      <c r="R440">
        <v>0.45379999999999998</v>
      </c>
      <c r="S440">
        <v>0.48699999999999999</v>
      </c>
    </row>
    <row r="441" spans="1:19" x14ac:dyDescent="0.25">
      <c r="A441" t="s">
        <v>419</v>
      </c>
      <c r="B441" t="s">
        <v>24</v>
      </c>
      <c r="D441" t="s">
        <v>27</v>
      </c>
      <c r="E441">
        <v>1.02</v>
      </c>
      <c r="F441">
        <v>0.29880000000000001</v>
      </c>
      <c r="G441">
        <v>0.72750000000000004</v>
      </c>
      <c r="H441">
        <v>0.42870000000000003</v>
      </c>
      <c r="I441">
        <v>2.9102999999999999</v>
      </c>
      <c r="J441">
        <v>2.8376000000000001</v>
      </c>
      <c r="K441">
        <v>3.0021</v>
      </c>
      <c r="L441">
        <v>0.2016</v>
      </c>
      <c r="M441">
        <v>1.5800000000000002E-2</v>
      </c>
      <c r="N441">
        <v>1.09E-2</v>
      </c>
      <c r="O441">
        <v>0.59119999999999995</v>
      </c>
      <c r="P441">
        <v>1.1443000000000001</v>
      </c>
      <c r="Q441">
        <v>2.6313</v>
      </c>
      <c r="R441">
        <v>0.30309999999999998</v>
      </c>
      <c r="S441">
        <v>0.92789999999999995</v>
      </c>
    </row>
    <row r="442" spans="1:19" x14ac:dyDescent="0.25">
      <c r="A442" t="s">
        <v>1236</v>
      </c>
      <c r="B442" t="s">
        <v>24</v>
      </c>
      <c r="D442" t="s">
        <v>6</v>
      </c>
      <c r="E442">
        <v>0.64</v>
      </c>
      <c r="F442">
        <v>0.2009</v>
      </c>
      <c r="G442">
        <v>0.42580000000000001</v>
      </c>
      <c r="H442">
        <v>0.22489999999999999</v>
      </c>
      <c r="I442">
        <v>1.0914999999999999</v>
      </c>
      <c r="J442">
        <v>2.1749999999999998</v>
      </c>
      <c r="K442">
        <v>6.2183000000000002</v>
      </c>
      <c r="L442">
        <v>0.66059999999999997</v>
      </c>
      <c r="M442">
        <v>1.5800000000000002E-2</v>
      </c>
      <c r="N442">
        <v>1.09E-2</v>
      </c>
      <c r="O442">
        <v>1.5092000000000001</v>
      </c>
      <c r="P442">
        <v>2.5106000000000002</v>
      </c>
      <c r="Q442">
        <v>3.0219</v>
      </c>
      <c r="R442">
        <v>0.45379999999999998</v>
      </c>
      <c r="S442">
        <v>0.46139999999999998</v>
      </c>
    </row>
    <row r="443" spans="1:19" x14ac:dyDescent="0.25">
      <c r="A443" t="s">
        <v>1139</v>
      </c>
      <c r="B443" t="s">
        <v>24</v>
      </c>
      <c r="D443" t="s">
        <v>12</v>
      </c>
      <c r="E443">
        <v>1.7</v>
      </c>
      <c r="F443">
        <v>0.34760000000000002</v>
      </c>
      <c r="G443">
        <v>0.28760000000000002</v>
      </c>
      <c r="H443">
        <v>0</v>
      </c>
      <c r="I443">
        <v>2.6928000000000001</v>
      </c>
      <c r="J443">
        <v>0.42030000000000001</v>
      </c>
      <c r="K443">
        <v>6.6368</v>
      </c>
      <c r="L443">
        <v>0.47449999999999998</v>
      </c>
      <c r="M443">
        <v>1.5800000000000002E-2</v>
      </c>
      <c r="N443">
        <v>1.09E-2</v>
      </c>
      <c r="O443">
        <v>1.137</v>
      </c>
      <c r="P443">
        <v>27.6356</v>
      </c>
      <c r="Q443">
        <v>29.584</v>
      </c>
      <c r="R443">
        <v>0.48299999999999998</v>
      </c>
      <c r="S443">
        <v>0.33139999999999997</v>
      </c>
    </row>
    <row r="444" spans="1:19" x14ac:dyDescent="0.25">
      <c r="A444" t="s">
        <v>1185</v>
      </c>
      <c r="B444" t="s">
        <v>3</v>
      </c>
      <c r="D444" t="s">
        <v>25</v>
      </c>
      <c r="E444">
        <v>0.92</v>
      </c>
      <c r="F444">
        <v>0.20449999999999999</v>
      </c>
      <c r="G444">
        <v>0.43159999999999998</v>
      </c>
      <c r="H444">
        <v>0.2271</v>
      </c>
      <c r="I444">
        <v>2.4142000000000001</v>
      </c>
      <c r="J444">
        <v>2.2578</v>
      </c>
      <c r="K444">
        <v>10.2982</v>
      </c>
      <c r="L444">
        <v>0.27310000000000001</v>
      </c>
      <c r="M444">
        <v>1.5800000000000002E-2</v>
      </c>
      <c r="N444">
        <v>1.09E-2</v>
      </c>
      <c r="O444">
        <v>0.73419999999999996</v>
      </c>
      <c r="P444">
        <v>0</v>
      </c>
      <c r="Q444">
        <v>0</v>
      </c>
      <c r="R444">
        <v>0.45379999999999998</v>
      </c>
      <c r="S444">
        <v>0.8619</v>
      </c>
    </row>
    <row r="445" spans="1:19" x14ac:dyDescent="0.25">
      <c r="A445" t="s">
        <v>1237</v>
      </c>
      <c r="B445" t="s">
        <v>24</v>
      </c>
      <c r="D445" t="s">
        <v>25</v>
      </c>
      <c r="E445">
        <v>1.3</v>
      </c>
      <c r="F445">
        <v>0.30380000000000001</v>
      </c>
      <c r="G445">
        <v>0.47</v>
      </c>
      <c r="H445">
        <v>0.16619999999999999</v>
      </c>
      <c r="I445">
        <v>4.8140999999999998</v>
      </c>
      <c r="J445">
        <v>1.2724</v>
      </c>
      <c r="K445">
        <v>3.4022000000000001</v>
      </c>
      <c r="L445">
        <v>0.29420000000000002</v>
      </c>
      <c r="M445">
        <v>1.5800000000000002E-2</v>
      </c>
      <c r="N445">
        <v>1.09E-2</v>
      </c>
      <c r="O445">
        <v>0.77639999999999998</v>
      </c>
      <c r="P445">
        <v>3.5383</v>
      </c>
      <c r="Q445">
        <v>6.1976000000000004</v>
      </c>
      <c r="R445">
        <v>0.3634</v>
      </c>
      <c r="S445">
        <v>0.50280000000000002</v>
      </c>
    </row>
    <row r="446" spans="1:19" x14ac:dyDescent="0.25">
      <c r="A446" t="s">
        <v>1186</v>
      </c>
      <c r="B446" t="s">
        <v>3</v>
      </c>
      <c r="D446" t="s">
        <v>21</v>
      </c>
      <c r="E446">
        <v>0.52</v>
      </c>
      <c r="F446">
        <v>0.30509999999999998</v>
      </c>
      <c r="G446">
        <v>0.4718</v>
      </c>
      <c r="H446">
        <v>0.16669999999999999</v>
      </c>
      <c r="I446">
        <v>1.4961</v>
      </c>
      <c r="J446">
        <v>1.2896000000000001</v>
      </c>
      <c r="K446">
        <v>5.1402000000000001</v>
      </c>
      <c r="L446">
        <v>0.29520000000000002</v>
      </c>
      <c r="M446">
        <v>1.5800000000000002E-2</v>
      </c>
      <c r="N446">
        <v>1.09E-2</v>
      </c>
      <c r="O446">
        <v>0.77839999999999998</v>
      </c>
      <c r="P446">
        <v>0</v>
      </c>
      <c r="Q446">
        <v>0</v>
      </c>
      <c r="R446">
        <v>0.45379999999999998</v>
      </c>
      <c r="S446">
        <v>0.50449999999999995</v>
      </c>
    </row>
    <row r="447" spans="1:19" x14ac:dyDescent="0.25">
      <c r="A447" t="s">
        <v>1010</v>
      </c>
      <c r="B447" t="s">
        <v>24</v>
      </c>
      <c r="D447" t="s">
        <v>7</v>
      </c>
      <c r="E447">
        <v>0.55000000000000004</v>
      </c>
      <c r="F447">
        <v>0.31850000000000001</v>
      </c>
      <c r="G447">
        <v>0.44479999999999997</v>
      </c>
      <c r="H447">
        <v>0.1263</v>
      </c>
      <c r="I447">
        <v>8.23</v>
      </c>
      <c r="J447">
        <v>3.8635000000000002</v>
      </c>
      <c r="K447">
        <v>5.6482999999999999</v>
      </c>
      <c r="L447">
        <v>0.28039999999999998</v>
      </c>
      <c r="M447">
        <v>1.5800000000000002E-2</v>
      </c>
      <c r="N447">
        <v>1.09E-2</v>
      </c>
      <c r="O447">
        <v>0.74880000000000002</v>
      </c>
      <c r="P447">
        <v>2.8895</v>
      </c>
      <c r="Q447">
        <v>3.4780000000000002</v>
      </c>
      <c r="R447">
        <v>0.45379999999999998</v>
      </c>
      <c r="S447">
        <v>0.47920000000000001</v>
      </c>
    </row>
    <row r="448" spans="1:19" x14ac:dyDescent="0.25">
      <c r="A448" t="s">
        <v>1106</v>
      </c>
      <c r="B448" t="s">
        <v>24</v>
      </c>
      <c r="D448" t="s">
        <v>13</v>
      </c>
      <c r="E448">
        <v>0.54</v>
      </c>
      <c r="F448">
        <v>0.38129999999999997</v>
      </c>
      <c r="G448">
        <v>0.94879999999999998</v>
      </c>
      <c r="H448">
        <v>0.5675</v>
      </c>
      <c r="I448">
        <v>4.5431999999999997</v>
      </c>
      <c r="J448">
        <v>0.89170000000000005</v>
      </c>
      <c r="K448">
        <v>3.5537999999999998</v>
      </c>
      <c r="L448">
        <v>0.26529999999999998</v>
      </c>
      <c r="M448">
        <v>1.5800000000000002E-2</v>
      </c>
      <c r="N448">
        <v>1.09E-2</v>
      </c>
      <c r="O448">
        <v>0.71860000000000002</v>
      </c>
      <c r="P448">
        <v>6.2529000000000003</v>
      </c>
      <c r="Q448">
        <v>15.805899999999999</v>
      </c>
      <c r="R448">
        <v>0.28349999999999997</v>
      </c>
      <c r="S448">
        <v>0.45340000000000003</v>
      </c>
    </row>
    <row r="449" spans="1:19" x14ac:dyDescent="0.25">
      <c r="A449" t="s">
        <v>1188</v>
      </c>
      <c r="B449" t="s">
        <v>3</v>
      </c>
      <c r="D449" t="s">
        <v>21</v>
      </c>
      <c r="E449">
        <v>1.1299999999999999</v>
      </c>
      <c r="F449">
        <v>0.24590000000000001</v>
      </c>
      <c r="G449">
        <v>0.43640000000000001</v>
      </c>
      <c r="H449">
        <v>0.1905</v>
      </c>
      <c r="I449">
        <v>1.1696</v>
      </c>
      <c r="J449">
        <v>2.3308</v>
      </c>
      <c r="K449">
        <v>5.3411</v>
      </c>
      <c r="L449">
        <v>0.67490000000000006</v>
      </c>
      <c r="M449">
        <v>1.5800000000000002E-2</v>
      </c>
      <c r="N449">
        <v>1.09E-2</v>
      </c>
      <c r="O449">
        <v>1.5378000000000001</v>
      </c>
      <c r="P449">
        <v>0</v>
      </c>
      <c r="Q449">
        <v>0</v>
      </c>
      <c r="R449">
        <v>0.45379999999999998</v>
      </c>
      <c r="S449">
        <v>0.4713</v>
      </c>
    </row>
    <row r="450" spans="1:19" x14ac:dyDescent="0.25">
      <c r="A450" t="s">
        <v>1149</v>
      </c>
      <c r="B450" t="s">
        <v>24</v>
      </c>
      <c r="D450" t="s">
        <v>18</v>
      </c>
      <c r="E450">
        <v>1.28</v>
      </c>
      <c r="F450">
        <v>0.29980000000000001</v>
      </c>
      <c r="G450">
        <v>0.45689999999999997</v>
      </c>
      <c r="H450">
        <v>0.15709999999999999</v>
      </c>
      <c r="I450">
        <v>1.3445</v>
      </c>
      <c r="J450">
        <v>1.1589</v>
      </c>
      <c r="K450">
        <v>3.0988000000000002</v>
      </c>
      <c r="L450">
        <v>0.28710000000000002</v>
      </c>
      <c r="M450">
        <v>1.5800000000000002E-2</v>
      </c>
      <c r="N450">
        <v>1.09E-2</v>
      </c>
      <c r="O450">
        <v>0.76219999999999999</v>
      </c>
      <c r="P450">
        <v>6.6589</v>
      </c>
      <c r="Q450">
        <v>3.8239999999999998</v>
      </c>
      <c r="R450">
        <v>0.63519999999999999</v>
      </c>
      <c r="S450">
        <v>0.49059999999999998</v>
      </c>
    </row>
    <row r="451" spans="1:19" x14ac:dyDescent="0.25">
      <c r="A451" t="s">
        <v>1238</v>
      </c>
      <c r="B451" t="s">
        <v>3</v>
      </c>
      <c r="D451" t="s">
        <v>7</v>
      </c>
      <c r="E451">
        <v>1.46</v>
      </c>
      <c r="F451">
        <v>0.23549999999999999</v>
      </c>
      <c r="G451">
        <v>0.48159999999999997</v>
      </c>
      <c r="H451">
        <v>0.24610000000000001</v>
      </c>
      <c r="I451">
        <v>1.6105</v>
      </c>
      <c r="J451">
        <v>1.3882000000000001</v>
      </c>
      <c r="K451">
        <v>5.5328999999999997</v>
      </c>
      <c r="L451">
        <v>0.30059999999999998</v>
      </c>
      <c r="M451">
        <v>1.5800000000000002E-2</v>
      </c>
      <c r="N451">
        <v>1.09E-2</v>
      </c>
      <c r="O451">
        <v>0.78920000000000001</v>
      </c>
      <c r="P451">
        <v>0</v>
      </c>
      <c r="Q451">
        <v>0</v>
      </c>
      <c r="R451">
        <v>0.45379999999999998</v>
      </c>
      <c r="S451">
        <v>0.51380000000000003</v>
      </c>
    </row>
    <row r="452" spans="1:19" x14ac:dyDescent="0.25">
      <c r="A452" t="s">
        <v>1189</v>
      </c>
      <c r="B452" t="s">
        <v>3</v>
      </c>
      <c r="D452" t="s">
        <v>12</v>
      </c>
      <c r="E452">
        <v>0.73</v>
      </c>
      <c r="F452">
        <v>0.24049999999999999</v>
      </c>
      <c r="G452">
        <v>0.4446</v>
      </c>
      <c r="H452">
        <v>0.2041</v>
      </c>
      <c r="I452">
        <v>1.2355</v>
      </c>
      <c r="J452">
        <v>1.0649999999999999</v>
      </c>
      <c r="K452">
        <v>7.0387000000000004</v>
      </c>
      <c r="L452">
        <v>0.28029999999999999</v>
      </c>
      <c r="M452">
        <v>1.5800000000000002E-2</v>
      </c>
      <c r="N452">
        <v>1.09E-2</v>
      </c>
      <c r="O452">
        <v>0.74860000000000004</v>
      </c>
      <c r="P452">
        <v>0</v>
      </c>
      <c r="Q452">
        <v>0</v>
      </c>
      <c r="R452">
        <v>0.45379999999999998</v>
      </c>
      <c r="S452">
        <v>0.47899999999999998</v>
      </c>
    </row>
    <row r="453" spans="1:19" x14ac:dyDescent="0.25">
      <c r="A453" t="s">
        <v>364</v>
      </c>
      <c r="B453" t="s">
        <v>24</v>
      </c>
      <c r="D453" t="s">
        <v>17</v>
      </c>
      <c r="E453">
        <v>0.52</v>
      </c>
      <c r="F453">
        <v>0.23039999999999999</v>
      </c>
      <c r="G453">
        <v>0.4733</v>
      </c>
      <c r="H453">
        <v>0.2429</v>
      </c>
      <c r="I453">
        <v>1.5126999999999999</v>
      </c>
      <c r="J453">
        <v>1.3039000000000001</v>
      </c>
      <c r="K453">
        <v>5.1966000000000001</v>
      </c>
      <c r="L453">
        <v>0.29609999999999997</v>
      </c>
      <c r="M453">
        <v>1.5800000000000002E-2</v>
      </c>
      <c r="N453">
        <v>1.09E-2</v>
      </c>
      <c r="O453">
        <v>0.7802</v>
      </c>
      <c r="P453">
        <v>7.6291000000000002</v>
      </c>
      <c r="Q453">
        <v>14.353300000000001</v>
      </c>
      <c r="R453">
        <v>0.34710000000000002</v>
      </c>
      <c r="S453">
        <v>0.50590000000000002</v>
      </c>
    </row>
    <row r="454" spans="1:19" x14ac:dyDescent="0.25">
      <c r="A454" t="s">
        <v>1191</v>
      </c>
      <c r="B454" t="s">
        <v>3</v>
      </c>
      <c r="D454" t="s">
        <v>14</v>
      </c>
      <c r="E454">
        <v>0.75</v>
      </c>
      <c r="F454">
        <v>0.21360000000000001</v>
      </c>
      <c r="G454">
        <v>0.4461</v>
      </c>
      <c r="H454">
        <v>0.23250000000000001</v>
      </c>
      <c r="I454">
        <v>1.248</v>
      </c>
      <c r="J454">
        <v>2.4870999999999999</v>
      </c>
      <c r="K454">
        <v>9.9330999999999996</v>
      </c>
      <c r="L454">
        <v>0.28110000000000002</v>
      </c>
      <c r="M454">
        <v>1.5800000000000002E-2</v>
      </c>
      <c r="N454">
        <v>1.09E-2</v>
      </c>
      <c r="O454">
        <v>0.75019999999999998</v>
      </c>
      <c r="P454">
        <v>0</v>
      </c>
      <c r="Q454">
        <v>0</v>
      </c>
      <c r="R454">
        <v>0.45379999999999998</v>
      </c>
      <c r="S454">
        <v>0.48039999999999999</v>
      </c>
    </row>
    <row r="455" spans="1:19" x14ac:dyDescent="0.25">
      <c r="A455" t="s">
        <v>1072</v>
      </c>
      <c r="B455" t="s">
        <v>24</v>
      </c>
      <c r="D455" t="s">
        <v>30</v>
      </c>
      <c r="E455">
        <v>0.51</v>
      </c>
      <c r="F455">
        <v>0.2571</v>
      </c>
      <c r="G455">
        <v>0.4446</v>
      </c>
      <c r="H455">
        <v>0.1875</v>
      </c>
      <c r="I455">
        <v>2.6315</v>
      </c>
      <c r="J455">
        <v>3.8576000000000001</v>
      </c>
      <c r="K455">
        <v>4.2428999999999997</v>
      </c>
      <c r="L455">
        <v>0.28029999999999999</v>
      </c>
      <c r="M455">
        <v>1.5800000000000002E-2</v>
      </c>
      <c r="N455">
        <v>1.09E-2</v>
      </c>
      <c r="O455">
        <v>0.74860000000000004</v>
      </c>
      <c r="P455">
        <v>2.8841000000000001</v>
      </c>
      <c r="Q455">
        <v>3.4716</v>
      </c>
      <c r="R455">
        <v>0.45379999999999998</v>
      </c>
      <c r="S455">
        <v>0.47899999999999998</v>
      </c>
    </row>
    <row r="456" spans="1:19" x14ac:dyDescent="0.25">
      <c r="A456" t="s">
        <v>1154</v>
      </c>
      <c r="B456" t="s">
        <v>24</v>
      </c>
      <c r="D456" t="s">
        <v>23</v>
      </c>
      <c r="E456">
        <v>1.32</v>
      </c>
      <c r="F456">
        <v>0.2266</v>
      </c>
      <c r="G456">
        <v>0.44890000000000002</v>
      </c>
      <c r="H456">
        <v>0.2223</v>
      </c>
      <c r="I456">
        <v>1.272</v>
      </c>
      <c r="J456">
        <v>2.5348000000000002</v>
      </c>
      <c r="K456">
        <v>7.2468000000000004</v>
      </c>
      <c r="L456">
        <v>0.28270000000000001</v>
      </c>
      <c r="M456">
        <v>1.5800000000000002E-2</v>
      </c>
      <c r="N456">
        <v>1.09E-2</v>
      </c>
      <c r="O456">
        <v>0.75339999999999996</v>
      </c>
      <c r="P456">
        <v>2.9823</v>
      </c>
      <c r="Q456">
        <v>3.5897000000000001</v>
      </c>
      <c r="R456">
        <v>0.45379999999999998</v>
      </c>
      <c r="S456">
        <v>0.48309999999999997</v>
      </c>
    </row>
    <row r="457" spans="1:19" x14ac:dyDescent="0.25">
      <c r="A457" t="s">
        <v>540</v>
      </c>
      <c r="B457" t="s">
        <v>24</v>
      </c>
      <c r="D457" t="s">
        <v>11</v>
      </c>
      <c r="E457">
        <v>1.27</v>
      </c>
      <c r="F457">
        <v>0.50600000000000001</v>
      </c>
      <c r="G457">
        <v>0.67120000000000002</v>
      </c>
      <c r="H457">
        <v>0.16520000000000001</v>
      </c>
      <c r="I457">
        <v>5.2615999999999996</v>
      </c>
      <c r="J457">
        <v>2.5350999999999999</v>
      </c>
      <c r="K457">
        <v>3.7465999999999999</v>
      </c>
      <c r="L457">
        <v>0.74170000000000003</v>
      </c>
      <c r="M457">
        <v>1.5800000000000002E-2</v>
      </c>
      <c r="N457">
        <v>1.09E-2</v>
      </c>
      <c r="O457">
        <v>1.6714</v>
      </c>
      <c r="P457">
        <v>1.5736000000000001</v>
      </c>
      <c r="Q457">
        <v>2.3376999999999999</v>
      </c>
      <c r="R457">
        <v>0.40229999999999999</v>
      </c>
      <c r="S457">
        <v>1.4278999999999999</v>
      </c>
    </row>
    <row r="458" spans="1:19" x14ac:dyDescent="0.25">
      <c r="A458" t="s">
        <v>1194</v>
      </c>
      <c r="B458" t="s">
        <v>3</v>
      </c>
      <c r="D458" t="s">
        <v>1195</v>
      </c>
      <c r="E458">
        <v>0.71</v>
      </c>
      <c r="F458">
        <v>0.22939999999999999</v>
      </c>
      <c r="G458">
        <v>0.47160000000000002</v>
      </c>
      <c r="H458">
        <v>0.2422</v>
      </c>
      <c r="I458">
        <v>1.494</v>
      </c>
      <c r="J458">
        <v>2.9773000000000001</v>
      </c>
      <c r="K458">
        <v>10.201599999999999</v>
      </c>
      <c r="L458">
        <v>0.29509999999999997</v>
      </c>
      <c r="M458">
        <v>1.5800000000000002E-2</v>
      </c>
      <c r="N458">
        <v>1.09E-2</v>
      </c>
      <c r="O458">
        <v>0.7782</v>
      </c>
      <c r="P458">
        <v>0</v>
      </c>
      <c r="Q458">
        <v>0</v>
      </c>
      <c r="R458">
        <v>0.45379999999999998</v>
      </c>
      <c r="S458">
        <v>0.50439999999999996</v>
      </c>
    </row>
    <row r="459" spans="1:19" x14ac:dyDescent="0.25">
      <c r="A459" t="s">
        <v>1064</v>
      </c>
      <c r="B459" t="s">
        <v>3</v>
      </c>
      <c r="D459" t="s">
        <v>19</v>
      </c>
      <c r="E459">
        <v>0.68</v>
      </c>
      <c r="F459">
        <v>0.18540000000000001</v>
      </c>
      <c r="G459">
        <v>0.3785</v>
      </c>
      <c r="H459">
        <v>0.19309999999999999</v>
      </c>
      <c r="I459">
        <v>1.7395</v>
      </c>
      <c r="J459">
        <v>1.6268</v>
      </c>
      <c r="K459">
        <v>3.7279</v>
      </c>
      <c r="L459">
        <v>0.24399999999999999</v>
      </c>
      <c r="M459">
        <v>1.5800000000000002E-2</v>
      </c>
      <c r="N459">
        <v>1.09E-2</v>
      </c>
      <c r="O459">
        <v>0.67600000000000005</v>
      </c>
      <c r="P459">
        <v>0</v>
      </c>
      <c r="Q459">
        <v>0</v>
      </c>
      <c r="R459">
        <v>0.45379999999999998</v>
      </c>
      <c r="S459">
        <v>0.41689999999999999</v>
      </c>
    </row>
    <row r="460" spans="1:19" x14ac:dyDescent="0.25">
      <c r="A460" t="s">
        <v>660</v>
      </c>
      <c r="B460" t="s">
        <v>24</v>
      </c>
      <c r="D460" t="s">
        <v>29</v>
      </c>
      <c r="E460">
        <v>0.59</v>
      </c>
      <c r="F460">
        <v>0.2379</v>
      </c>
      <c r="G460">
        <v>0.48549999999999999</v>
      </c>
      <c r="H460">
        <v>0.24759999999999999</v>
      </c>
      <c r="I460">
        <v>1.6598999999999999</v>
      </c>
      <c r="J460">
        <v>1.4308000000000001</v>
      </c>
      <c r="K460">
        <v>3.8258000000000001</v>
      </c>
      <c r="L460">
        <v>0.30280000000000001</v>
      </c>
      <c r="M460">
        <v>1.5800000000000002E-2</v>
      </c>
      <c r="N460">
        <v>1.09E-2</v>
      </c>
      <c r="O460">
        <v>0.79359999999999997</v>
      </c>
      <c r="P460">
        <v>6.2858000000000001</v>
      </c>
      <c r="Q460">
        <v>4.8875000000000002</v>
      </c>
      <c r="R460">
        <v>0.56259999999999999</v>
      </c>
      <c r="S460">
        <v>0.51739999999999997</v>
      </c>
    </row>
    <row r="461" spans="1:19" x14ac:dyDescent="0.25">
      <c r="A461" t="s">
        <v>1196</v>
      </c>
      <c r="B461" t="s">
        <v>3</v>
      </c>
      <c r="D461" t="s">
        <v>1197</v>
      </c>
      <c r="E461">
        <v>0.9</v>
      </c>
      <c r="F461">
        <v>0.1792</v>
      </c>
      <c r="G461">
        <v>0.3841</v>
      </c>
      <c r="H461">
        <v>0.2049</v>
      </c>
      <c r="I461">
        <v>1.7981</v>
      </c>
      <c r="J461">
        <v>1.6816</v>
      </c>
      <c r="K461">
        <v>10.532299999999999</v>
      </c>
      <c r="L461">
        <v>0.247</v>
      </c>
      <c r="M461">
        <v>1.5800000000000002E-2</v>
      </c>
      <c r="N461">
        <v>1.09E-2</v>
      </c>
      <c r="O461">
        <v>0.68200000000000005</v>
      </c>
      <c r="P461">
        <v>0</v>
      </c>
      <c r="Q461">
        <v>0</v>
      </c>
      <c r="R461">
        <v>0.45379999999999998</v>
      </c>
      <c r="S461">
        <v>0.42220000000000002</v>
      </c>
    </row>
    <row r="462" spans="1:19" x14ac:dyDescent="0.25">
      <c r="A462" t="s">
        <v>559</v>
      </c>
      <c r="B462" t="s">
        <v>3</v>
      </c>
      <c r="D462" t="s">
        <v>22</v>
      </c>
      <c r="E462">
        <v>0.77</v>
      </c>
      <c r="F462">
        <v>0.25080000000000002</v>
      </c>
      <c r="G462">
        <v>0.46</v>
      </c>
      <c r="H462">
        <v>0.2092</v>
      </c>
      <c r="I462">
        <v>2.9279000000000002</v>
      </c>
      <c r="J462">
        <v>1.1843999999999999</v>
      </c>
      <c r="K462">
        <v>7.8287000000000004</v>
      </c>
      <c r="L462">
        <v>0.2888</v>
      </c>
      <c r="M462">
        <v>1.5800000000000002E-2</v>
      </c>
      <c r="N462">
        <v>1.09E-2</v>
      </c>
      <c r="O462">
        <v>0.76559999999999995</v>
      </c>
      <c r="P462">
        <v>0</v>
      </c>
      <c r="Q462">
        <v>0</v>
      </c>
      <c r="R462">
        <v>0.45379999999999998</v>
      </c>
      <c r="S462">
        <v>0.49349999999999999</v>
      </c>
    </row>
    <row r="463" spans="1:19" x14ac:dyDescent="0.25">
      <c r="A463" t="s">
        <v>1065</v>
      </c>
      <c r="B463" t="s">
        <v>3</v>
      </c>
      <c r="D463" t="s">
        <v>12</v>
      </c>
      <c r="E463">
        <v>1.98</v>
      </c>
      <c r="F463">
        <v>0.11749999999999999</v>
      </c>
      <c r="G463">
        <v>0.29870000000000002</v>
      </c>
      <c r="H463">
        <v>0.1812</v>
      </c>
      <c r="I463">
        <v>1.1049</v>
      </c>
      <c r="J463">
        <v>4.5511999999999997</v>
      </c>
      <c r="K463">
        <v>9.99</v>
      </c>
      <c r="L463">
        <v>0.4894</v>
      </c>
      <c r="M463">
        <v>1.5800000000000002E-2</v>
      </c>
      <c r="N463">
        <v>1.09E-2</v>
      </c>
      <c r="O463">
        <v>1.1668000000000001</v>
      </c>
      <c r="P463">
        <v>0</v>
      </c>
      <c r="Q463">
        <v>0</v>
      </c>
      <c r="R463">
        <v>0.45379999999999998</v>
      </c>
      <c r="S463">
        <v>1.21</v>
      </c>
    </row>
    <row r="464" spans="1:19" x14ac:dyDescent="0.25">
      <c r="A464" t="s">
        <v>1199</v>
      </c>
      <c r="B464" t="s">
        <v>3</v>
      </c>
      <c r="D464" t="s">
        <v>5</v>
      </c>
      <c r="E464">
        <v>1.01</v>
      </c>
      <c r="F464">
        <v>0.1633</v>
      </c>
      <c r="G464">
        <v>0.57969999999999999</v>
      </c>
      <c r="H464">
        <v>0.41639999999999999</v>
      </c>
      <c r="I464">
        <v>2.1282999999999999</v>
      </c>
      <c r="J464">
        <v>5.7275999999999998</v>
      </c>
      <c r="K464">
        <v>5.1933999999999996</v>
      </c>
      <c r="L464">
        <v>0.22259999999999999</v>
      </c>
      <c r="M464">
        <v>1.5800000000000002E-2</v>
      </c>
      <c r="N464">
        <v>1.09E-2</v>
      </c>
      <c r="O464">
        <v>0.63319999999999999</v>
      </c>
      <c r="P464">
        <v>0</v>
      </c>
      <c r="Q464">
        <v>0</v>
      </c>
      <c r="R464">
        <v>0.45379999999999998</v>
      </c>
      <c r="S464">
        <v>0.38040000000000002</v>
      </c>
    </row>
    <row r="465" spans="1:19" x14ac:dyDescent="0.25">
      <c r="A465" t="s">
        <v>1042</v>
      </c>
      <c r="B465" t="s">
        <v>24</v>
      </c>
      <c r="D465" t="s">
        <v>30</v>
      </c>
      <c r="E465">
        <v>1.02</v>
      </c>
      <c r="F465">
        <v>0.1588</v>
      </c>
      <c r="G465">
        <v>0.36049999999999999</v>
      </c>
      <c r="H465">
        <v>0.20169999999999999</v>
      </c>
      <c r="I465">
        <v>0.73480000000000001</v>
      </c>
      <c r="J465">
        <v>1.4641999999999999</v>
      </c>
      <c r="K465">
        <v>5.0170000000000003</v>
      </c>
      <c r="L465">
        <v>0.23400000000000001</v>
      </c>
      <c r="M465">
        <v>1.5800000000000002E-2</v>
      </c>
      <c r="N465">
        <v>1.09E-2</v>
      </c>
      <c r="O465">
        <v>0.65600000000000003</v>
      </c>
      <c r="P465">
        <v>8.7703000000000007</v>
      </c>
      <c r="Q465">
        <v>12.672700000000001</v>
      </c>
      <c r="R465">
        <v>0.40899999999999997</v>
      </c>
      <c r="S465">
        <v>0.39989999999999998</v>
      </c>
    </row>
    <row r="466" spans="1:19" x14ac:dyDescent="0.25">
      <c r="A466" t="s">
        <v>1043</v>
      </c>
      <c r="B466" t="s">
        <v>24</v>
      </c>
      <c r="D466" t="s">
        <v>15</v>
      </c>
      <c r="E466">
        <v>1.38</v>
      </c>
      <c r="F466">
        <v>0.37319999999999998</v>
      </c>
      <c r="G466">
        <v>0.67679999999999996</v>
      </c>
      <c r="H466">
        <v>0.30359999999999998</v>
      </c>
      <c r="I466">
        <v>2.9653</v>
      </c>
      <c r="J466">
        <v>3.9116</v>
      </c>
      <c r="K466">
        <v>5.5625</v>
      </c>
      <c r="L466">
        <v>0.45290000000000002</v>
      </c>
      <c r="M466">
        <v>1.5800000000000002E-2</v>
      </c>
      <c r="N466">
        <v>1.09E-2</v>
      </c>
      <c r="O466">
        <v>1.0938000000000001</v>
      </c>
      <c r="P466">
        <v>4.1161000000000003</v>
      </c>
      <c r="Q466">
        <v>9.0457000000000001</v>
      </c>
      <c r="R466">
        <v>0.31269999999999998</v>
      </c>
      <c r="S466">
        <v>0.85189999999999999</v>
      </c>
    </row>
    <row r="467" spans="1:19" x14ac:dyDescent="0.25">
      <c r="A467" t="s">
        <v>565</v>
      </c>
      <c r="B467" t="s">
        <v>24</v>
      </c>
      <c r="D467" t="s">
        <v>11</v>
      </c>
      <c r="E467">
        <v>0.56999999999999995</v>
      </c>
      <c r="F467">
        <v>0.2525</v>
      </c>
      <c r="G467">
        <v>0.48980000000000001</v>
      </c>
      <c r="H467">
        <v>0.23730000000000001</v>
      </c>
      <c r="I467">
        <v>3.6591</v>
      </c>
      <c r="J467">
        <v>1.4802999999999999</v>
      </c>
      <c r="K467">
        <v>5.9</v>
      </c>
      <c r="L467">
        <v>0.30520000000000003</v>
      </c>
      <c r="M467">
        <v>1.5800000000000002E-2</v>
      </c>
      <c r="N467">
        <v>1.09E-2</v>
      </c>
      <c r="O467">
        <v>0.7984</v>
      </c>
      <c r="P467">
        <v>13.4946</v>
      </c>
      <c r="Q467">
        <v>21.305599999999998</v>
      </c>
      <c r="R467">
        <v>0.38779999999999998</v>
      </c>
      <c r="S467">
        <v>0.52149999999999996</v>
      </c>
    </row>
    <row r="468" spans="1:19" x14ac:dyDescent="0.25">
      <c r="A468" t="s">
        <v>1158</v>
      </c>
      <c r="B468" t="s">
        <v>24</v>
      </c>
      <c r="D468" t="s">
        <v>15</v>
      </c>
      <c r="E468">
        <v>1.83</v>
      </c>
      <c r="F468">
        <v>0.20519999999999999</v>
      </c>
      <c r="G468">
        <v>0.32429999999999998</v>
      </c>
      <c r="H468">
        <v>0.1191</v>
      </c>
      <c r="I468">
        <v>3.3039999999999998</v>
      </c>
      <c r="J468">
        <v>0.51570000000000005</v>
      </c>
      <c r="K468">
        <v>2.0554000000000001</v>
      </c>
      <c r="L468">
        <v>0.21410000000000001</v>
      </c>
      <c r="M468">
        <v>1.5800000000000002E-2</v>
      </c>
      <c r="N468">
        <v>1.09E-2</v>
      </c>
      <c r="O468">
        <v>0.61619999999999997</v>
      </c>
      <c r="P468">
        <v>22.096900000000002</v>
      </c>
      <c r="Q468">
        <v>27.3813</v>
      </c>
      <c r="R468">
        <v>0.4466</v>
      </c>
      <c r="S468">
        <v>0.98540000000000005</v>
      </c>
    </row>
    <row r="469" spans="1:19" x14ac:dyDescent="0.25">
      <c r="A469" t="s">
        <v>778</v>
      </c>
      <c r="B469" t="s">
        <v>24</v>
      </c>
      <c r="D469" t="s">
        <v>21</v>
      </c>
      <c r="E469">
        <v>0.57999999999999996</v>
      </c>
      <c r="F469">
        <v>0.18940000000000001</v>
      </c>
      <c r="G469">
        <v>0.40770000000000001</v>
      </c>
      <c r="H469">
        <v>0.21829999999999999</v>
      </c>
      <c r="I469">
        <v>0.97370000000000001</v>
      </c>
      <c r="J469">
        <v>3.0411000000000001</v>
      </c>
      <c r="K469">
        <v>3.3451</v>
      </c>
      <c r="L469">
        <v>0.63619999999999999</v>
      </c>
      <c r="M469">
        <v>1.5800000000000002E-2</v>
      </c>
      <c r="N469">
        <v>1.09E-2</v>
      </c>
      <c r="O469">
        <v>1.4603999999999999</v>
      </c>
      <c r="P469">
        <v>4.6365999999999996</v>
      </c>
      <c r="Q469">
        <v>6.2992999999999997</v>
      </c>
      <c r="R469">
        <v>0.42399999999999999</v>
      </c>
      <c r="S469">
        <v>1.1967000000000001</v>
      </c>
    </row>
    <row r="470" spans="1:19" x14ac:dyDescent="0.25">
      <c r="A470" t="s">
        <v>1202</v>
      </c>
      <c r="B470" t="s">
        <v>3</v>
      </c>
      <c r="D470" t="s">
        <v>25</v>
      </c>
      <c r="E470">
        <v>1.1499999999999999</v>
      </c>
      <c r="F470">
        <v>0.21659999999999999</v>
      </c>
      <c r="G470">
        <v>0.40949999999999998</v>
      </c>
      <c r="H470">
        <v>0.19289999999999999</v>
      </c>
      <c r="I470">
        <v>3.2099000000000002</v>
      </c>
      <c r="J470">
        <v>3.0741000000000001</v>
      </c>
      <c r="K470">
        <v>6.7198000000000002</v>
      </c>
      <c r="L470">
        <v>0.26100000000000001</v>
      </c>
      <c r="M470">
        <v>1.5800000000000002E-2</v>
      </c>
      <c r="N470">
        <v>1.09E-2</v>
      </c>
      <c r="O470">
        <v>0.71</v>
      </c>
      <c r="P470">
        <v>0</v>
      </c>
      <c r="Q470">
        <v>0</v>
      </c>
      <c r="R470">
        <v>0.45379999999999998</v>
      </c>
      <c r="S470">
        <v>0.44600000000000001</v>
      </c>
    </row>
    <row r="471" spans="1:19" x14ac:dyDescent="0.25">
      <c r="A471" t="s">
        <v>1099</v>
      </c>
      <c r="B471" t="s">
        <v>3</v>
      </c>
      <c r="D471" t="s">
        <v>87</v>
      </c>
      <c r="E471">
        <v>0.68</v>
      </c>
      <c r="F471">
        <v>0.23499999999999999</v>
      </c>
      <c r="G471">
        <v>0.48070000000000002</v>
      </c>
      <c r="H471">
        <v>0.2457</v>
      </c>
      <c r="I471">
        <v>1.5998000000000001</v>
      </c>
      <c r="J471">
        <v>4.9977</v>
      </c>
      <c r="K471">
        <v>9.1152999999999995</v>
      </c>
      <c r="L471">
        <v>0.30020000000000002</v>
      </c>
      <c r="M471">
        <v>1.5800000000000002E-2</v>
      </c>
      <c r="N471">
        <v>1.09E-2</v>
      </c>
      <c r="O471">
        <v>0.78839999999999999</v>
      </c>
      <c r="P471">
        <v>0</v>
      </c>
      <c r="Q471">
        <v>0</v>
      </c>
      <c r="R471">
        <v>0.45379999999999998</v>
      </c>
      <c r="S471">
        <v>0.51290000000000002</v>
      </c>
    </row>
    <row r="472" spans="1:19" x14ac:dyDescent="0.25">
      <c r="A472" t="s">
        <v>1204</v>
      </c>
      <c r="B472" t="s">
        <v>3</v>
      </c>
      <c r="D472" t="s">
        <v>27</v>
      </c>
      <c r="E472">
        <v>1.66</v>
      </c>
      <c r="F472">
        <v>0.21840000000000001</v>
      </c>
      <c r="G472">
        <v>0.45379999999999998</v>
      </c>
      <c r="H472">
        <v>0.2354</v>
      </c>
      <c r="I472">
        <v>2.8033000000000001</v>
      </c>
      <c r="J472">
        <v>1.1342000000000001</v>
      </c>
      <c r="K472">
        <v>7.4951999999999996</v>
      </c>
      <c r="L472">
        <v>0.28539999999999999</v>
      </c>
      <c r="M472">
        <v>1.5800000000000002E-2</v>
      </c>
      <c r="N472">
        <v>1.09E-2</v>
      </c>
      <c r="O472">
        <v>0.75880000000000003</v>
      </c>
      <c r="P472">
        <v>0</v>
      </c>
      <c r="Q472">
        <v>0</v>
      </c>
      <c r="R472">
        <v>0.45379999999999998</v>
      </c>
      <c r="S472">
        <v>0.48770000000000002</v>
      </c>
    </row>
    <row r="473" spans="1:19" x14ac:dyDescent="0.25">
      <c r="A473" t="s">
        <v>861</v>
      </c>
      <c r="B473" t="s">
        <v>3</v>
      </c>
      <c r="D473" t="s">
        <v>2</v>
      </c>
      <c r="E473">
        <v>1.27</v>
      </c>
      <c r="F473">
        <v>0.22070000000000001</v>
      </c>
      <c r="G473">
        <v>0.45750000000000002</v>
      </c>
      <c r="H473">
        <v>0.23680000000000001</v>
      </c>
      <c r="I473">
        <v>1.3503000000000001</v>
      </c>
      <c r="J473">
        <v>4.2173999999999996</v>
      </c>
      <c r="K473">
        <v>7.6924000000000001</v>
      </c>
      <c r="L473">
        <v>0.28739999999999999</v>
      </c>
      <c r="M473">
        <v>1.5800000000000002E-2</v>
      </c>
      <c r="N473">
        <v>1.09E-2</v>
      </c>
      <c r="O473">
        <v>0.76280000000000003</v>
      </c>
      <c r="P473">
        <v>0</v>
      </c>
      <c r="Q473">
        <v>0</v>
      </c>
      <c r="R473">
        <v>0.45379999999999998</v>
      </c>
      <c r="S473">
        <v>0.49120000000000003</v>
      </c>
    </row>
    <row r="474" spans="1:19" x14ac:dyDescent="0.25">
      <c r="A474" t="s">
        <v>1044</v>
      </c>
      <c r="B474" t="s">
        <v>24</v>
      </c>
      <c r="D474" t="s">
        <v>20</v>
      </c>
      <c r="E474">
        <v>1.4</v>
      </c>
      <c r="F474">
        <v>0.54</v>
      </c>
      <c r="G474">
        <v>1.1484000000000001</v>
      </c>
      <c r="H474">
        <v>0.60840000000000005</v>
      </c>
      <c r="I474">
        <v>5.7359</v>
      </c>
      <c r="J474">
        <v>0.3679</v>
      </c>
      <c r="K474">
        <v>3.8797000000000001</v>
      </c>
      <c r="L474">
        <v>0.4425</v>
      </c>
      <c r="M474">
        <v>1.5800000000000002E-2</v>
      </c>
      <c r="N474">
        <v>1.09E-2</v>
      </c>
      <c r="O474">
        <v>1.073</v>
      </c>
      <c r="P474">
        <v>1.4207000000000001</v>
      </c>
      <c r="Q474">
        <v>2.6133000000000002</v>
      </c>
      <c r="R474">
        <v>0.35220000000000001</v>
      </c>
      <c r="S474">
        <v>0.83240000000000003</v>
      </c>
    </row>
    <row r="475" spans="1:19" x14ac:dyDescent="0.25">
      <c r="A475" t="s">
        <v>1205</v>
      </c>
      <c r="B475" t="s">
        <v>3</v>
      </c>
      <c r="D475" t="s">
        <v>27</v>
      </c>
      <c r="E475">
        <v>0.9</v>
      </c>
      <c r="F475">
        <v>0.33960000000000001</v>
      </c>
      <c r="G475">
        <v>0.36520000000000002</v>
      </c>
      <c r="H475">
        <v>2.5600000000000001E-2</v>
      </c>
      <c r="I475">
        <v>2.4624000000000001</v>
      </c>
      <c r="J475">
        <v>1.5044999999999999</v>
      </c>
      <c r="K475">
        <v>6.0087000000000002</v>
      </c>
      <c r="L475">
        <v>0.92120000000000002</v>
      </c>
      <c r="M475">
        <v>1.5800000000000002E-2</v>
      </c>
      <c r="N475">
        <v>1.09E-2</v>
      </c>
      <c r="O475">
        <v>2.0304000000000002</v>
      </c>
      <c r="P475">
        <v>0</v>
      </c>
      <c r="Q475">
        <v>0</v>
      </c>
      <c r="R475">
        <v>0.45379999999999998</v>
      </c>
      <c r="S475">
        <v>0.74660000000000004</v>
      </c>
    </row>
    <row r="476" spans="1:19" x14ac:dyDescent="0.25">
      <c r="A476" t="s">
        <v>777</v>
      </c>
      <c r="B476" t="s">
        <v>3</v>
      </c>
      <c r="D476" t="s">
        <v>17</v>
      </c>
      <c r="E476">
        <v>1.02</v>
      </c>
      <c r="F476">
        <v>0.28349999999999997</v>
      </c>
      <c r="G476">
        <v>0.58799999999999997</v>
      </c>
      <c r="H476">
        <v>0.30449999999999999</v>
      </c>
      <c r="I476">
        <v>2.9956</v>
      </c>
      <c r="J476">
        <v>1.0809</v>
      </c>
      <c r="K476">
        <v>9.8361999999999998</v>
      </c>
      <c r="L476">
        <v>1.0919000000000001</v>
      </c>
      <c r="M476">
        <v>1.5800000000000002E-2</v>
      </c>
      <c r="N476">
        <v>1.09E-2</v>
      </c>
      <c r="O476">
        <v>2.3717999999999999</v>
      </c>
      <c r="P476">
        <v>0</v>
      </c>
      <c r="Q476">
        <v>0</v>
      </c>
      <c r="R476">
        <v>0.45379999999999998</v>
      </c>
      <c r="S476">
        <v>0.34939999999999999</v>
      </c>
    </row>
    <row r="477" spans="1:19" x14ac:dyDescent="0.25">
      <c r="A477" t="s">
        <v>589</v>
      </c>
      <c r="B477" t="s">
        <v>24</v>
      </c>
      <c r="D477" t="s">
        <v>1161</v>
      </c>
      <c r="E477">
        <v>0.53</v>
      </c>
      <c r="F477">
        <v>0.22059999999999999</v>
      </c>
      <c r="G477">
        <v>0.45739999999999997</v>
      </c>
      <c r="H477">
        <v>0.23680000000000001</v>
      </c>
      <c r="I477">
        <v>1.3486</v>
      </c>
      <c r="J477">
        <v>1.1624000000000001</v>
      </c>
      <c r="K477">
        <v>9.2073999999999998</v>
      </c>
      <c r="L477">
        <v>0.2873</v>
      </c>
      <c r="M477">
        <v>1.5800000000000002E-2</v>
      </c>
      <c r="N477">
        <v>1.09E-2</v>
      </c>
      <c r="O477">
        <v>0.76259999999999994</v>
      </c>
      <c r="P477">
        <v>4.9348000000000001</v>
      </c>
      <c r="Q477">
        <v>3.8374000000000001</v>
      </c>
      <c r="R477">
        <v>0.5625</v>
      </c>
      <c r="S477">
        <v>0.49099999999999999</v>
      </c>
    </row>
    <row r="478" spans="1:19" x14ac:dyDescent="0.25">
      <c r="A478" t="s">
        <v>1206</v>
      </c>
      <c r="B478" t="s">
        <v>3</v>
      </c>
      <c r="D478" t="s">
        <v>33</v>
      </c>
      <c r="E478">
        <v>1.17</v>
      </c>
      <c r="F478">
        <v>0.1913</v>
      </c>
      <c r="G478">
        <v>0.4108</v>
      </c>
      <c r="H478">
        <v>0.2195</v>
      </c>
      <c r="I478">
        <v>0.99229999999999996</v>
      </c>
      <c r="J478">
        <v>5.3425000000000002</v>
      </c>
      <c r="K478">
        <v>5.6524000000000001</v>
      </c>
      <c r="L478">
        <v>0.26169999999999999</v>
      </c>
      <c r="M478">
        <v>1.5800000000000002E-2</v>
      </c>
      <c r="N478">
        <v>1.09E-2</v>
      </c>
      <c r="O478">
        <v>0.71140000000000003</v>
      </c>
      <c r="P478">
        <v>0</v>
      </c>
      <c r="Q478">
        <v>0</v>
      </c>
      <c r="R478">
        <v>0.45379999999999998</v>
      </c>
      <c r="S478">
        <v>0.82579999999999998</v>
      </c>
    </row>
    <row r="479" spans="1:19" x14ac:dyDescent="0.25">
      <c r="A479" t="s">
        <v>1162</v>
      </c>
      <c r="B479" t="s">
        <v>24</v>
      </c>
      <c r="D479" t="s">
        <v>87</v>
      </c>
      <c r="E479">
        <v>0.51</v>
      </c>
      <c r="F479">
        <v>0.2661</v>
      </c>
      <c r="G479">
        <v>0.45739999999999997</v>
      </c>
      <c r="H479">
        <v>0.1913</v>
      </c>
      <c r="I479">
        <v>2.8746</v>
      </c>
      <c r="J479">
        <v>2.6882999999999999</v>
      </c>
      <c r="K479">
        <v>6.1604000000000001</v>
      </c>
      <c r="L479">
        <v>0.70299999999999996</v>
      </c>
      <c r="M479">
        <v>1.5800000000000002E-2</v>
      </c>
      <c r="N479">
        <v>1.09E-2</v>
      </c>
      <c r="O479">
        <v>1.5940000000000001</v>
      </c>
      <c r="P479">
        <v>3.1899000000000002</v>
      </c>
      <c r="Q479">
        <v>7.3345000000000002</v>
      </c>
      <c r="R479">
        <v>0.30309999999999998</v>
      </c>
      <c r="S479">
        <v>1.3223</v>
      </c>
    </row>
    <row r="480" spans="1:19" x14ac:dyDescent="0.25">
      <c r="A480" t="s">
        <v>1207</v>
      </c>
      <c r="B480" t="s">
        <v>3</v>
      </c>
      <c r="D480" t="s">
        <v>31</v>
      </c>
      <c r="E480">
        <v>0.78</v>
      </c>
      <c r="F480">
        <v>0.2364</v>
      </c>
      <c r="G480">
        <v>0.48309999999999997</v>
      </c>
      <c r="H480">
        <v>0.2467</v>
      </c>
      <c r="I480">
        <v>1.6288</v>
      </c>
      <c r="J480">
        <v>3.2450999999999999</v>
      </c>
      <c r="K480">
        <v>5.5952999999999999</v>
      </c>
      <c r="L480">
        <v>0.3014</v>
      </c>
      <c r="M480">
        <v>1.5800000000000002E-2</v>
      </c>
      <c r="N480">
        <v>1.09E-2</v>
      </c>
      <c r="O480">
        <v>0.79079999999999995</v>
      </c>
      <c r="P480">
        <v>0</v>
      </c>
      <c r="Q480">
        <v>0</v>
      </c>
      <c r="R480">
        <v>0.45379999999999998</v>
      </c>
      <c r="S480">
        <v>0.5151</v>
      </c>
    </row>
    <row r="481" spans="1:19" x14ac:dyDescent="0.25">
      <c r="A481" t="s">
        <v>795</v>
      </c>
      <c r="B481" t="s">
        <v>24</v>
      </c>
      <c r="D481" t="s">
        <v>18</v>
      </c>
      <c r="E481">
        <v>0.63</v>
      </c>
      <c r="F481">
        <v>0.36299999999999999</v>
      </c>
      <c r="G481">
        <v>0.4859</v>
      </c>
      <c r="H481">
        <v>0.1229</v>
      </c>
      <c r="I481">
        <v>3.5482999999999998</v>
      </c>
      <c r="J481">
        <v>3.3184999999999998</v>
      </c>
      <c r="K481">
        <v>3.8378000000000001</v>
      </c>
      <c r="L481">
        <v>0.30299999999999999</v>
      </c>
      <c r="M481">
        <v>1.5800000000000002E-2</v>
      </c>
      <c r="N481">
        <v>1.09E-2</v>
      </c>
      <c r="O481">
        <v>0.79400000000000004</v>
      </c>
      <c r="P481">
        <v>10.776400000000001</v>
      </c>
      <c r="Q481">
        <v>11.6065</v>
      </c>
      <c r="R481">
        <v>0.48149999999999998</v>
      </c>
      <c r="S481">
        <v>0.51780000000000004</v>
      </c>
    </row>
    <row r="482" spans="1:19" x14ac:dyDescent="0.25">
      <c r="A482" t="s">
        <v>1239</v>
      </c>
      <c r="B482" t="s">
        <v>24</v>
      </c>
      <c r="D482" t="s">
        <v>19</v>
      </c>
      <c r="E482">
        <v>0.99</v>
      </c>
      <c r="F482">
        <v>0.25829999999999997</v>
      </c>
      <c r="G482">
        <v>0.47139999999999999</v>
      </c>
      <c r="H482">
        <v>0.21310000000000001</v>
      </c>
      <c r="I482">
        <v>1.4919</v>
      </c>
      <c r="J482">
        <v>1.286</v>
      </c>
      <c r="K482">
        <v>3.4386000000000001</v>
      </c>
      <c r="L482">
        <v>0.29499999999999998</v>
      </c>
      <c r="M482">
        <v>1.5800000000000002E-2</v>
      </c>
      <c r="N482">
        <v>1.09E-2</v>
      </c>
      <c r="O482">
        <v>0.77800000000000002</v>
      </c>
      <c r="P482">
        <v>3.5823</v>
      </c>
      <c r="Q482">
        <v>4.3118999999999996</v>
      </c>
      <c r="R482">
        <v>0.45379999999999998</v>
      </c>
      <c r="S482">
        <v>0.50419999999999998</v>
      </c>
    </row>
    <row r="483" spans="1:19" x14ac:dyDescent="0.25">
      <c r="A483" t="s">
        <v>1016</v>
      </c>
      <c r="B483" t="s">
        <v>24</v>
      </c>
      <c r="D483" t="s">
        <v>33</v>
      </c>
      <c r="E483">
        <v>0.91</v>
      </c>
      <c r="F483">
        <v>0.45519999999999999</v>
      </c>
      <c r="G483">
        <v>0.78959999999999997</v>
      </c>
      <c r="H483">
        <v>0.33439999999999998</v>
      </c>
      <c r="I483">
        <v>3.9685000000000001</v>
      </c>
      <c r="J483">
        <v>0.5141</v>
      </c>
      <c r="K483">
        <v>2.7235999999999998</v>
      </c>
      <c r="L483">
        <v>0.21379999999999999</v>
      </c>
      <c r="M483">
        <v>1.5800000000000002E-2</v>
      </c>
      <c r="N483">
        <v>1.09E-2</v>
      </c>
      <c r="O483">
        <v>0.61560000000000004</v>
      </c>
      <c r="P483">
        <v>1.3042</v>
      </c>
      <c r="Q483">
        <v>5.1426999999999996</v>
      </c>
      <c r="R483">
        <v>0.20230000000000001</v>
      </c>
      <c r="S483">
        <v>0.3654</v>
      </c>
    </row>
    <row r="484" spans="1:19" x14ac:dyDescent="0.25">
      <c r="A484" t="s">
        <v>744</v>
      </c>
      <c r="B484" t="s">
        <v>24</v>
      </c>
      <c r="D484" t="s">
        <v>23</v>
      </c>
      <c r="E484">
        <v>0.6</v>
      </c>
      <c r="F484">
        <v>0.25169999999999998</v>
      </c>
      <c r="G484">
        <v>0.46139999999999998</v>
      </c>
      <c r="H484">
        <v>0.2097</v>
      </c>
      <c r="I484">
        <v>2.9571999999999998</v>
      </c>
      <c r="J484">
        <v>1.1964999999999999</v>
      </c>
      <c r="K484">
        <v>9.4760000000000009</v>
      </c>
      <c r="L484">
        <v>0.28960000000000002</v>
      </c>
      <c r="M484">
        <v>1.5800000000000002E-2</v>
      </c>
      <c r="N484">
        <v>1.09E-2</v>
      </c>
      <c r="O484">
        <v>0.76719999999999999</v>
      </c>
      <c r="P484">
        <v>3.2955000000000001</v>
      </c>
      <c r="Q484">
        <v>3.9666999999999999</v>
      </c>
      <c r="R484">
        <v>0.45379999999999998</v>
      </c>
      <c r="S484">
        <v>0.49480000000000002</v>
      </c>
    </row>
    <row r="485" spans="1:19" x14ac:dyDescent="0.25">
      <c r="A485" t="s">
        <v>1169</v>
      </c>
      <c r="B485" t="s">
        <v>24</v>
      </c>
      <c r="D485" t="s">
        <v>4</v>
      </c>
      <c r="E485">
        <v>0.83</v>
      </c>
      <c r="F485">
        <v>0.3533</v>
      </c>
      <c r="G485">
        <v>0.35549999999999998</v>
      </c>
      <c r="H485">
        <v>2.1999999999999802E-3</v>
      </c>
      <c r="I485">
        <v>2.3283</v>
      </c>
      <c r="J485">
        <v>0.61539999999999995</v>
      </c>
      <c r="K485">
        <v>4.0670000000000002</v>
      </c>
      <c r="L485">
        <v>0.23130000000000001</v>
      </c>
      <c r="M485">
        <v>1.5800000000000002E-2</v>
      </c>
      <c r="N485">
        <v>1.09E-2</v>
      </c>
      <c r="O485">
        <v>0.65059999999999996</v>
      </c>
      <c r="P485">
        <v>2.4449000000000001</v>
      </c>
      <c r="Q485">
        <v>3.6320000000000001</v>
      </c>
      <c r="R485">
        <v>0.40229999999999999</v>
      </c>
      <c r="S485">
        <v>0.7298</v>
      </c>
    </row>
    <row r="486" spans="1:19" x14ac:dyDescent="0.25">
      <c r="A486" t="s">
        <v>979</v>
      </c>
      <c r="B486" t="s">
        <v>24</v>
      </c>
      <c r="D486" t="s">
        <v>23</v>
      </c>
      <c r="E486">
        <v>1.78</v>
      </c>
      <c r="F486">
        <v>0.68520000000000003</v>
      </c>
      <c r="G486">
        <v>1.0193000000000001</v>
      </c>
      <c r="H486">
        <v>0.33410000000000001</v>
      </c>
      <c r="I486">
        <v>4.1776999999999997</v>
      </c>
      <c r="J486">
        <v>0.70540000000000003</v>
      </c>
      <c r="K486">
        <v>2.7349999999999999</v>
      </c>
      <c r="L486">
        <v>0.61050000000000004</v>
      </c>
      <c r="M486">
        <v>1.5800000000000002E-2</v>
      </c>
      <c r="N486">
        <v>1.09E-2</v>
      </c>
      <c r="O486">
        <v>1.409</v>
      </c>
      <c r="P486">
        <v>1.6023000000000001</v>
      </c>
      <c r="Q486">
        <v>2.5947</v>
      </c>
      <c r="R486">
        <v>0.38179999999999997</v>
      </c>
      <c r="S486">
        <v>0.2069</v>
      </c>
    </row>
    <row r="487" spans="1:19" x14ac:dyDescent="0.25">
      <c r="A487" t="s">
        <v>472</v>
      </c>
      <c r="B487" t="s">
        <v>24</v>
      </c>
      <c r="D487" t="s">
        <v>32</v>
      </c>
      <c r="E487">
        <v>1.41</v>
      </c>
      <c r="F487">
        <v>0.73909999999999998</v>
      </c>
      <c r="G487">
        <v>0.50390000000000001</v>
      </c>
      <c r="H487">
        <v>0</v>
      </c>
      <c r="I487">
        <v>7.6471</v>
      </c>
      <c r="J487">
        <v>0.16839999999999999</v>
      </c>
      <c r="K487">
        <v>3.4237000000000002</v>
      </c>
      <c r="L487">
        <v>0.23319999999999999</v>
      </c>
      <c r="M487">
        <v>1.5800000000000002E-2</v>
      </c>
      <c r="N487">
        <v>1.09E-2</v>
      </c>
      <c r="O487">
        <v>0.65439999999999998</v>
      </c>
      <c r="P487">
        <v>1.0823</v>
      </c>
      <c r="Q487">
        <v>1.4148000000000001</v>
      </c>
      <c r="R487">
        <v>0.43340000000000001</v>
      </c>
      <c r="S487">
        <v>0.69769999999999999</v>
      </c>
    </row>
    <row r="488" spans="1:19" x14ac:dyDescent="0.25">
      <c r="A488" t="s">
        <v>543</v>
      </c>
      <c r="B488" t="s">
        <v>24</v>
      </c>
      <c r="D488" t="s">
        <v>16</v>
      </c>
      <c r="E488">
        <v>1.88</v>
      </c>
      <c r="F488">
        <v>0.75139999999999996</v>
      </c>
      <c r="G488">
        <v>0.6875</v>
      </c>
      <c r="H488">
        <v>0</v>
      </c>
      <c r="I488">
        <v>5.0801999999999996</v>
      </c>
      <c r="J488">
        <v>0.51800000000000002</v>
      </c>
      <c r="K488">
        <v>2.8601000000000001</v>
      </c>
      <c r="L488">
        <v>8.6800000000000002E-2</v>
      </c>
      <c r="M488">
        <v>1.5800000000000002E-2</v>
      </c>
      <c r="N488">
        <v>1.09E-2</v>
      </c>
      <c r="O488">
        <v>0.36159999999999998</v>
      </c>
      <c r="P488">
        <v>4.9154</v>
      </c>
      <c r="Q488">
        <v>6.7687999999999997</v>
      </c>
      <c r="R488">
        <v>0.42070000000000002</v>
      </c>
      <c r="S488">
        <v>1.3793</v>
      </c>
    </row>
    <row r="489" spans="1:19" x14ac:dyDescent="0.25">
      <c r="A489" t="s">
        <v>984</v>
      </c>
      <c r="B489" t="s">
        <v>3</v>
      </c>
      <c r="D489" t="s">
        <v>26</v>
      </c>
      <c r="E489">
        <v>0.79</v>
      </c>
      <c r="F489">
        <v>0.18160000000000001</v>
      </c>
      <c r="G489">
        <v>0.37609999999999999</v>
      </c>
      <c r="H489">
        <v>0.19450000000000001</v>
      </c>
      <c r="I489">
        <v>0.92759999999999998</v>
      </c>
      <c r="J489">
        <v>2.3117000000000001</v>
      </c>
      <c r="K489">
        <v>7.1294000000000004</v>
      </c>
      <c r="L489">
        <v>0.24</v>
      </c>
      <c r="M489">
        <v>1.5800000000000002E-2</v>
      </c>
      <c r="N489">
        <v>1.09E-2</v>
      </c>
      <c r="O489">
        <v>0.66800000000000004</v>
      </c>
      <c r="P489">
        <v>0</v>
      </c>
      <c r="Q489">
        <v>0</v>
      </c>
      <c r="R489">
        <v>0.45619999999999999</v>
      </c>
      <c r="S489">
        <v>0.41689999999999999</v>
      </c>
    </row>
    <row r="490" spans="1:19" x14ac:dyDescent="0.25">
      <c r="A490" t="s">
        <v>549</v>
      </c>
      <c r="B490" t="s">
        <v>3</v>
      </c>
      <c r="D490" t="s">
        <v>23</v>
      </c>
      <c r="E490">
        <v>1.1200000000000001</v>
      </c>
      <c r="F490">
        <v>0.20669999999999999</v>
      </c>
      <c r="G490">
        <v>0.36170000000000002</v>
      </c>
      <c r="H490">
        <v>0.155</v>
      </c>
      <c r="I490">
        <v>2.5949</v>
      </c>
      <c r="J490">
        <v>1.7833000000000001</v>
      </c>
      <c r="K490">
        <v>9.7861999999999991</v>
      </c>
      <c r="L490">
        <v>0.1331</v>
      </c>
      <c r="M490">
        <v>1.5800000000000002E-2</v>
      </c>
      <c r="N490">
        <v>1.09E-2</v>
      </c>
      <c r="O490">
        <v>0.45419999999999999</v>
      </c>
      <c r="P490">
        <v>0</v>
      </c>
      <c r="Q490">
        <v>0</v>
      </c>
      <c r="R490">
        <v>0.46289999999999998</v>
      </c>
      <c r="S490">
        <v>0.42780000000000001</v>
      </c>
    </row>
    <row r="491" spans="1:19" x14ac:dyDescent="0.25">
      <c r="A491" t="s">
        <v>776</v>
      </c>
      <c r="B491" t="s">
        <v>3</v>
      </c>
      <c r="D491" t="s">
        <v>1175</v>
      </c>
      <c r="E491">
        <v>0.57999999999999996</v>
      </c>
      <c r="F491">
        <v>0.3029</v>
      </c>
      <c r="G491">
        <v>0.34760000000000002</v>
      </c>
      <c r="H491">
        <v>4.4699999999999997E-2</v>
      </c>
      <c r="I491">
        <v>2.0154000000000001</v>
      </c>
      <c r="J491">
        <v>4.4089</v>
      </c>
      <c r="K491">
        <v>6.4142000000000001</v>
      </c>
      <c r="L491">
        <v>0.2238</v>
      </c>
      <c r="M491">
        <v>1.5800000000000002E-2</v>
      </c>
      <c r="N491">
        <v>1.09E-2</v>
      </c>
      <c r="O491">
        <v>0.63560000000000005</v>
      </c>
      <c r="P491">
        <v>0</v>
      </c>
      <c r="Q491">
        <v>0</v>
      </c>
      <c r="R491">
        <v>0.45689999999999997</v>
      </c>
      <c r="S491">
        <v>0.63739999999999997</v>
      </c>
    </row>
    <row r="492" spans="1:19" x14ac:dyDescent="0.25">
      <c r="A492" t="s">
        <v>828</v>
      </c>
      <c r="B492" t="s">
        <v>24</v>
      </c>
      <c r="D492" t="s">
        <v>28</v>
      </c>
      <c r="E492">
        <v>1.01</v>
      </c>
      <c r="F492">
        <v>0.2213</v>
      </c>
      <c r="G492">
        <v>0.38940000000000002</v>
      </c>
      <c r="H492">
        <v>0.1681</v>
      </c>
      <c r="I492">
        <v>2.0369999999999999</v>
      </c>
      <c r="J492">
        <v>1.641</v>
      </c>
      <c r="K492">
        <v>2.4719000000000002</v>
      </c>
      <c r="L492">
        <v>0.2475</v>
      </c>
      <c r="M492">
        <v>1.5800000000000002E-2</v>
      </c>
      <c r="N492">
        <v>1.09E-2</v>
      </c>
      <c r="O492">
        <v>0.68300000000000005</v>
      </c>
      <c r="P492">
        <v>2.2673999999999999</v>
      </c>
      <c r="Q492">
        <v>3.2458999999999998</v>
      </c>
      <c r="R492">
        <v>0.4113</v>
      </c>
      <c r="S492">
        <v>0.42920000000000003</v>
      </c>
    </row>
    <row r="493" spans="1:19" x14ac:dyDescent="0.25">
      <c r="A493" t="s">
        <v>986</v>
      </c>
      <c r="B493" t="s">
        <v>24</v>
      </c>
      <c r="D493" t="s">
        <v>33</v>
      </c>
      <c r="E493">
        <v>0.63</v>
      </c>
      <c r="F493">
        <v>0.191</v>
      </c>
      <c r="G493">
        <v>0.3664</v>
      </c>
      <c r="H493">
        <v>0.1754</v>
      </c>
      <c r="I493">
        <v>3.6236000000000002</v>
      </c>
      <c r="J493">
        <v>2.1547999999999998</v>
      </c>
      <c r="K493">
        <v>4.1158000000000001</v>
      </c>
      <c r="L493">
        <v>0.62839999999999996</v>
      </c>
      <c r="M493">
        <v>1.5800000000000002E-2</v>
      </c>
      <c r="N493">
        <v>1.09E-2</v>
      </c>
      <c r="O493">
        <v>1.4448000000000001</v>
      </c>
      <c r="P493">
        <v>1.9759</v>
      </c>
      <c r="Q493">
        <v>2.8222999999999998</v>
      </c>
      <c r="R493">
        <v>0.4118</v>
      </c>
      <c r="S493">
        <v>0.4078</v>
      </c>
    </row>
    <row r="494" spans="1:19" x14ac:dyDescent="0.25">
      <c r="A494" t="s">
        <v>738</v>
      </c>
      <c r="B494" t="s">
        <v>24</v>
      </c>
      <c r="D494" t="s">
        <v>23</v>
      </c>
      <c r="E494">
        <v>1.1599999999999999</v>
      </c>
      <c r="F494">
        <v>0.20899999999999999</v>
      </c>
      <c r="G494">
        <v>0.2349</v>
      </c>
      <c r="H494">
        <v>2.5899999999999999E-2</v>
      </c>
      <c r="I494">
        <v>2.6343999999999999</v>
      </c>
      <c r="J494">
        <v>1.4430000000000001</v>
      </c>
      <c r="K494">
        <v>5.1616999999999997</v>
      </c>
      <c r="L494">
        <v>0.3624</v>
      </c>
      <c r="M494">
        <v>1.5800000000000002E-2</v>
      </c>
      <c r="N494">
        <v>1.09E-2</v>
      </c>
      <c r="O494">
        <v>0.91279999999999994</v>
      </c>
      <c r="P494">
        <v>17.935300000000002</v>
      </c>
      <c r="Q494">
        <v>25.636800000000001</v>
      </c>
      <c r="R494">
        <v>0.41160000000000002</v>
      </c>
      <c r="S494">
        <v>0.28599999999999998</v>
      </c>
    </row>
    <row r="495" spans="1:19" x14ac:dyDescent="0.25">
      <c r="A495" t="s">
        <v>526</v>
      </c>
      <c r="B495" t="s">
        <v>24</v>
      </c>
      <c r="D495" t="s">
        <v>28</v>
      </c>
      <c r="E495">
        <v>0.47</v>
      </c>
      <c r="F495">
        <v>0.27710000000000001</v>
      </c>
      <c r="G495">
        <v>1.1855</v>
      </c>
      <c r="H495">
        <v>0.90839999999999999</v>
      </c>
      <c r="I495">
        <v>2.7686999999999999</v>
      </c>
      <c r="J495">
        <v>3.5428999999999999</v>
      </c>
      <c r="K495">
        <v>5.7758000000000003</v>
      </c>
      <c r="L495">
        <v>0.68059999999999998</v>
      </c>
      <c r="M495">
        <v>1.5800000000000002E-2</v>
      </c>
      <c r="N495">
        <v>1.09E-2</v>
      </c>
      <c r="O495">
        <v>1.5491999999999999</v>
      </c>
      <c r="P495">
        <v>3.6867000000000001</v>
      </c>
      <c r="Q495">
        <v>5.7309000000000001</v>
      </c>
      <c r="R495">
        <v>0.39150000000000001</v>
      </c>
      <c r="S495">
        <v>0.33989999999999998</v>
      </c>
    </row>
    <row r="496" spans="1:19" x14ac:dyDescent="0.25">
      <c r="A496" t="s">
        <v>710</v>
      </c>
      <c r="B496" t="s">
        <v>24</v>
      </c>
      <c r="D496" t="s">
        <v>22</v>
      </c>
      <c r="E496">
        <v>2.5299999999999998</v>
      </c>
      <c r="F496">
        <v>0.25779999999999997</v>
      </c>
      <c r="G496">
        <v>0.1416</v>
      </c>
      <c r="H496">
        <v>0</v>
      </c>
      <c r="I496">
        <v>2.8395999999999999</v>
      </c>
      <c r="J496">
        <v>2.4792999999999998</v>
      </c>
      <c r="K496">
        <v>7.1974</v>
      </c>
      <c r="L496">
        <v>0.377</v>
      </c>
      <c r="M496">
        <v>1.5800000000000002E-2</v>
      </c>
      <c r="N496">
        <v>1.09E-2</v>
      </c>
      <c r="O496">
        <v>0.94199999999999995</v>
      </c>
      <c r="P496">
        <v>4.5072000000000001</v>
      </c>
      <c r="Q496">
        <v>9.5947999999999993</v>
      </c>
      <c r="R496">
        <v>0.3196</v>
      </c>
      <c r="S496">
        <v>1.0999000000000001</v>
      </c>
    </row>
    <row r="497" spans="1:19" x14ac:dyDescent="0.25">
      <c r="A497" t="s">
        <v>987</v>
      </c>
      <c r="B497" t="s">
        <v>24</v>
      </c>
      <c r="D497" t="s">
        <v>21</v>
      </c>
      <c r="E497">
        <v>0.62</v>
      </c>
      <c r="F497">
        <v>0.67300000000000004</v>
      </c>
      <c r="G497">
        <v>0.76659999999999995</v>
      </c>
      <c r="H497">
        <v>9.3599999999999905E-2</v>
      </c>
      <c r="I497">
        <v>5.3795000000000002</v>
      </c>
      <c r="J497">
        <v>3.3776999999999999</v>
      </c>
      <c r="K497">
        <v>3.9375</v>
      </c>
      <c r="L497">
        <v>0.19439999999999999</v>
      </c>
      <c r="M497">
        <v>1.5800000000000002E-2</v>
      </c>
      <c r="N497">
        <v>1.09E-2</v>
      </c>
      <c r="O497">
        <v>0.57679999999999998</v>
      </c>
      <c r="P497">
        <v>11.314299999999999</v>
      </c>
      <c r="Q497">
        <v>13.6289</v>
      </c>
      <c r="R497">
        <v>0.4536</v>
      </c>
      <c r="S497">
        <v>0.87770000000000004</v>
      </c>
    </row>
    <row r="498" spans="1:19" x14ac:dyDescent="0.25">
      <c r="A498" t="s">
        <v>810</v>
      </c>
      <c r="B498" t="s">
        <v>24</v>
      </c>
      <c r="D498" t="s">
        <v>6</v>
      </c>
      <c r="E498">
        <v>1.1000000000000001</v>
      </c>
      <c r="F498">
        <v>0.2223</v>
      </c>
      <c r="G498">
        <v>0.31759999999999999</v>
      </c>
      <c r="H498">
        <v>9.5299999999999996E-2</v>
      </c>
      <c r="I498">
        <v>3.1716000000000002</v>
      </c>
      <c r="J498">
        <v>0.92</v>
      </c>
      <c r="K498">
        <v>2.2317999999999998</v>
      </c>
      <c r="L498">
        <v>0.20680000000000001</v>
      </c>
      <c r="M498">
        <v>1.5800000000000002E-2</v>
      </c>
      <c r="N498">
        <v>1.09E-2</v>
      </c>
      <c r="O498">
        <v>0.60160000000000002</v>
      </c>
      <c r="P498">
        <v>17.5947</v>
      </c>
      <c r="Q498">
        <v>18.3276</v>
      </c>
      <c r="R498">
        <v>0.48980000000000001</v>
      </c>
      <c r="S498">
        <v>0.36270000000000002</v>
      </c>
    </row>
    <row r="499" spans="1:19" x14ac:dyDescent="0.25">
      <c r="A499" t="s">
        <v>612</v>
      </c>
      <c r="B499" t="s">
        <v>24</v>
      </c>
      <c r="D499" t="s">
        <v>21</v>
      </c>
      <c r="E499">
        <v>1.25</v>
      </c>
      <c r="F499">
        <v>0.22220000000000001</v>
      </c>
      <c r="G499">
        <v>0.46870000000000001</v>
      </c>
      <c r="H499">
        <v>0.2465</v>
      </c>
      <c r="I499">
        <v>3.1703000000000001</v>
      </c>
      <c r="J499">
        <v>1.9309000000000001</v>
      </c>
      <c r="K499">
        <v>4.3090999999999999</v>
      </c>
      <c r="L499">
        <v>0.33750000000000002</v>
      </c>
      <c r="M499">
        <v>1.5800000000000002E-2</v>
      </c>
      <c r="N499">
        <v>1.09E-2</v>
      </c>
      <c r="O499">
        <v>0.86299999999999999</v>
      </c>
      <c r="P499">
        <v>6.2417999999999996</v>
      </c>
      <c r="Q499">
        <v>8.5456000000000003</v>
      </c>
      <c r="R499">
        <v>0.42209999999999998</v>
      </c>
      <c r="S499">
        <v>1.0279</v>
      </c>
    </row>
    <row r="500" spans="1:19" x14ac:dyDescent="0.25">
      <c r="A500" t="s">
        <v>399</v>
      </c>
      <c r="B500" t="s">
        <v>24</v>
      </c>
      <c r="D500" t="s">
        <v>27</v>
      </c>
      <c r="E500">
        <v>0.62</v>
      </c>
      <c r="F500">
        <v>0.1943</v>
      </c>
      <c r="G500">
        <v>0.59709999999999996</v>
      </c>
      <c r="H500">
        <v>0.40279999999999999</v>
      </c>
      <c r="I500">
        <v>1.9790000000000001</v>
      </c>
      <c r="J500">
        <v>3.3843000000000001</v>
      </c>
      <c r="K500">
        <v>3.0438999999999998</v>
      </c>
      <c r="L500">
        <v>0.20019999999999999</v>
      </c>
      <c r="M500">
        <v>1.5800000000000002E-2</v>
      </c>
      <c r="N500">
        <v>1.09E-2</v>
      </c>
      <c r="O500">
        <v>0.58840000000000003</v>
      </c>
      <c r="P500">
        <v>1.4019999999999999</v>
      </c>
      <c r="Q500">
        <v>1.6594</v>
      </c>
      <c r="R500">
        <v>0.45800000000000002</v>
      </c>
      <c r="S500">
        <v>0.70889999999999997</v>
      </c>
    </row>
    <row r="501" spans="1:19" x14ac:dyDescent="0.25">
      <c r="A501" t="s">
        <v>988</v>
      </c>
      <c r="B501" t="s">
        <v>3</v>
      </c>
      <c r="D501" t="s">
        <v>32</v>
      </c>
      <c r="E501">
        <v>1.45</v>
      </c>
      <c r="F501">
        <v>0.2487</v>
      </c>
      <c r="G501">
        <v>0.39</v>
      </c>
      <c r="H501">
        <v>0.14130000000000001</v>
      </c>
      <c r="I501">
        <v>3.3132999999999999</v>
      </c>
      <c r="J501">
        <v>3.6312000000000002</v>
      </c>
      <c r="K501">
        <v>7.2649999999999997</v>
      </c>
      <c r="L501">
        <v>0.24779999999999999</v>
      </c>
      <c r="M501">
        <v>1.5800000000000002E-2</v>
      </c>
      <c r="N501">
        <v>1.09E-2</v>
      </c>
      <c r="O501">
        <v>0.68359999999999999</v>
      </c>
      <c r="P501">
        <v>0</v>
      </c>
      <c r="Q501">
        <v>0</v>
      </c>
      <c r="R501">
        <v>0.45600000000000002</v>
      </c>
      <c r="S501">
        <v>0.42970000000000003</v>
      </c>
    </row>
    <row r="502" spans="1:19" x14ac:dyDescent="0.25">
      <c r="A502" t="s">
        <v>473</v>
      </c>
      <c r="B502" t="s">
        <v>24</v>
      </c>
      <c r="D502" t="s">
        <v>11</v>
      </c>
      <c r="E502">
        <v>0.45</v>
      </c>
      <c r="F502">
        <v>0.1918</v>
      </c>
      <c r="G502">
        <v>0.67300000000000004</v>
      </c>
      <c r="H502">
        <v>0.48120000000000002</v>
      </c>
      <c r="I502">
        <v>2.0411000000000001</v>
      </c>
      <c r="J502">
        <v>0.79920000000000002</v>
      </c>
      <c r="K502">
        <v>7.8127000000000004</v>
      </c>
      <c r="L502">
        <v>0.24429999999999999</v>
      </c>
      <c r="M502">
        <v>1.5800000000000002E-2</v>
      </c>
      <c r="N502">
        <v>1.09E-2</v>
      </c>
      <c r="O502">
        <v>0.67659999999999998</v>
      </c>
      <c r="P502">
        <v>80.331000000000003</v>
      </c>
      <c r="Q502">
        <v>61.853299999999997</v>
      </c>
      <c r="R502">
        <v>0.56499999999999995</v>
      </c>
      <c r="S502">
        <v>0.42399999999999999</v>
      </c>
    </row>
    <row r="503" spans="1:19" x14ac:dyDescent="0.25">
      <c r="A503" t="s">
        <v>375</v>
      </c>
      <c r="B503" t="s">
        <v>24</v>
      </c>
      <c r="D503" t="s">
        <v>32</v>
      </c>
      <c r="E503">
        <v>1.28</v>
      </c>
      <c r="F503">
        <v>0.3846</v>
      </c>
      <c r="G503">
        <v>1.2161999999999999</v>
      </c>
      <c r="H503">
        <v>0.83160000000000001</v>
      </c>
      <c r="I503">
        <v>4.4314</v>
      </c>
      <c r="J503">
        <v>0.52669999999999995</v>
      </c>
      <c r="K503">
        <v>2.5253000000000001</v>
      </c>
      <c r="L503">
        <v>0.37480000000000002</v>
      </c>
      <c r="M503">
        <v>1.5800000000000002E-2</v>
      </c>
      <c r="N503">
        <v>1.09E-2</v>
      </c>
      <c r="O503">
        <v>0.93759999999999999</v>
      </c>
      <c r="P503">
        <v>21.142700000000001</v>
      </c>
      <c r="Q503">
        <v>30.139199999999999</v>
      </c>
      <c r="R503">
        <v>0.4123</v>
      </c>
      <c r="S503">
        <v>0.68430000000000002</v>
      </c>
    </row>
    <row r="504" spans="1:19" x14ac:dyDescent="0.25">
      <c r="A504" t="s">
        <v>568</v>
      </c>
      <c r="B504" t="s">
        <v>24</v>
      </c>
      <c r="D504" t="s">
        <v>6</v>
      </c>
      <c r="E504">
        <v>0.94</v>
      </c>
      <c r="F504">
        <v>0.2306</v>
      </c>
      <c r="G504">
        <v>0.25159999999999999</v>
      </c>
      <c r="H504">
        <v>2.1000000000000001E-2</v>
      </c>
      <c r="I504">
        <v>3.0398000000000001</v>
      </c>
      <c r="J504">
        <v>1.3314999999999999</v>
      </c>
      <c r="K504">
        <v>6.3827999999999996</v>
      </c>
      <c r="L504">
        <v>0.4204</v>
      </c>
      <c r="M504">
        <v>1.5800000000000002E-2</v>
      </c>
      <c r="N504">
        <v>1.09E-2</v>
      </c>
      <c r="O504">
        <v>1.0287999999999999</v>
      </c>
      <c r="P504">
        <v>1.0388999999999999</v>
      </c>
      <c r="Q504">
        <v>2.0303</v>
      </c>
      <c r="R504">
        <v>0.33850000000000002</v>
      </c>
      <c r="S504">
        <v>0.30149999999999999</v>
      </c>
    </row>
    <row r="505" spans="1:19" x14ac:dyDescent="0.25">
      <c r="A505" t="s">
        <v>716</v>
      </c>
      <c r="B505" t="s">
        <v>24</v>
      </c>
      <c r="D505" t="s">
        <v>21</v>
      </c>
      <c r="E505">
        <v>1.43</v>
      </c>
      <c r="F505">
        <v>0.56799999999999995</v>
      </c>
      <c r="G505">
        <v>1.1285000000000001</v>
      </c>
      <c r="H505">
        <v>0.5605</v>
      </c>
      <c r="I505">
        <v>4.5732999999999997</v>
      </c>
      <c r="J505">
        <v>1.7829999999999999</v>
      </c>
      <c r="K505">
        <v>3.8896000000000002</v>
      </c>
      <c r="L505">
        <v>0.1348</v>
      </c>
      <c r="M505">
        <v>1.5800000000000002E-2</v>
      </c>
      <c r="N505">
        <v>1.09E-2</v>
      </c>
      <c r="O505">
        <v>0.45760000000000001</v>
      </c>
      <c r="P505">
        <v>4.9936999999999996</v>
      </c>
      <c r="Q505">
        <v>6.9058999999999999</v>
      </c>
      <c r="R505">
        <v>0.41970000000000002</v>
      </c>
      <c r="S505">
        <v>0.42470000000000002</v>
      </c>
    </row>
    <row r="506" spans="1:19" x14ac:dyDescent="0.25">
      <c r="A506" t="s">
        <v>304</v>
      </c>
      <c r="B506" t="s">
        <v>3</v>
      </c>
      <c r="D506" t="s">
        <v>14</v>
      </c>
      <c r="E506">
        <v>1.08</v>
      </c>
      <c r="F506">
        <v>0.2198</v>
      </c>
      <c r="G506">
        <v>1.6153</v>
      </c>
      <c r="H506">
        <v>1.3955</v>
      </c>
      <c r="I506">
        <v>3.6880000000000002</v>
      </c>
      <c r="J506">
        <v>1.4128000000000001</v>
      </c>
      <c r="K506">
        <v>5.3475000000000001</v>
      </c>
      <c r="L506">
        <v>0.1653</v>
      </c>
      <c r="M506">
        <v>1.5800000000000002E-2</v>
      </c>
      <c r="N506">
        <v>1.09E-2</v>
      </c>
      <c r="O506">
        <v>0.51859999999999995</v>
      </c>
      <c r="P506">
        <v>0</v>
      </c>
      <c r="Q506">
        <v>0</v>
      </c>
      <c r="R506">
        <v>0.46010000000000001</v>
      </c>
      <c r="S506">
        <v>0.48530000000000001</v>
      </c>
    </row>
    <row r="507" spans="1:19" x14ac:dyDescent="0.25">
      <c r="A507" t="s">
        <v>642</v>
      </c>
      <c r="B507" t="s">
        <v>3</v>
      </c>
      <c r="D507" t="s">
        <v>5</v>
      </c>
      <c r="E507">
        <v>1.89</v>
      </c>
      <c r="F507">
        <v>5.6800000000000003E-2</v>
      </c>
      <c r="G507">
        <v>0.31969999999999998</v>
      </c>
      <c r="H507">
        <v>0.26290000000000002</v>
      </c>
      <c r="I507">
        <v>0.96409999999999996</v>
      </c>
      <c r="J507">
        <v>2.3346</v>
      </c>
      <c r="K507">
        <v>10.3133</v>
      </c>
      <c r="L507">
        <v>0.12239999999999999</v>
      </c>
      <c r="M507">
        <v>1.5800000000000002E-2</v>
      </c>
      <c r="N507">
        <v>1.09E-2</v>
      </c>
      <c r="O507">
        <v>0.43280000000000002</v>
      </c>
      <c r="P507">
        <v>0</v>
      </c>
      <c r="Q507">
        <v>0</v>
      </c>
      <c r="R507">
        <v>0.46410000000000001</v>
      </c>
      <c r="S507">
        <v>0.22459999999999999</v>
      </c>
    </row>
    <row r="508" spans="1:19" x14ac:dyDescent="0.25">
      <c r="A508" t="s">
        <v>983</v>
      </c>
      <c r="B508" t="s">
        <v>3</v>
      </c>
      <c r="D508" t="s">
        <v>1181</v>
      </c>
      <c r="E508">
        <v>1.33</v>
      </c>
      <c r="F508">
        <v>0.11360000000000001</v>
      </c>
      <c r="G508">
        <v>0.27010000000000001</v>
      </c>
      <c r="H508">
        <v>0.1565</v>
      </c>
      <c r="I508">
        <v>1.1606000000000001</v>
      </c>
      <c r="J508">
        <v>4.1605999999999996</v>
      </c>
      <c r="K508">
        <v>7.4774000000000003</v>
      </c>
      <c r="L508">
        <v>0.81930000000000003</v>
      </c>
      <c r="M508">
        <v>1.5800000000000002E-2</v>
      </c>
      <c r="N508">
        <v>1.09E-2</v>
      </c>
      <c r="O508">
        <v>1.8266</v>
      </c>
      <c r="P508">
        <v>0</v>
      </c>
      <c r="Q508">
        <v>0</v>
      </c>
      <c r="R508">
        <v>0.45910000000000001</v>
      </c>
      <c r="S508">
        <v>0.60709999999999997</v>
      </c>
    </row>
    <row r="509" spans="1:19" x14ac:dyDescent="0.25">
      <c r="A509" t="s">
        <v>531</v>
      </c>
      <c r="B509" t="s">
        <v>3</v>
      </c>
      <c r="D509" t="s">
        <v>18</v>
      </c>
      <c r="E509">
        <v>1.04</v>
      </c>
      <c r="F509">
        <v>0.14230000000000001</v>
      </c>
      <c r="G509">
        <v>0.21479999999999999</v>
      </c>
      <c r="H509">
        <v>7.2499999999999995E-2</v>
      </c>
      <c r="I509">
        <v>2.5567000000000002</v>
      </c>
      <c r="J509">
        <v>1.9207000000000001</v>
      </c>
      <c r="K509">
        <v>9.8140999999999998</v>
      </c>
      <c r="L509">
        <v>0.3412</v>
      </c>
      <c r="M509">
        <v>1.5800000000000002E-2</v>
      </c>
      <c r="N509">
        <v>1.09E-2</v>
      </c>
      <c r="O509">
        <v>0.87039999999999995</v>
      </c>
      <c r="P509">
        <v>0</v>
      </c>
      <c r="Q509">
        <v>0</v>
      </c>
      <c r="R509">
        <v>0.40260000000000001</v>
      </c>
      <c r="S509">
        <v>0.77400000000000002</v>
      </c>
    </row>
    <row r="510" spans="1:19" x14ac:dyDescent="0.25">
      <c r="A510" t="s">
        <v>865</v>
      </c>
      <c r="B510" t="s">
        <v>3</v>
      </c>
      <c r="D510" t="s">
        <v>26</v>
      </c>
      <c r="E510">
        <v>1.5</v>
      </c>
      <c r="F510">
        <v>6.6100000000000006E-2</v>
      </c>
      <c r="G510">
        <v>0.35560000000000003</v>
      </c>
      <c r="H510">
        <v>0.28949999999999998</v>
      </c>
      <c r="I510">
        <v>1.5106999999999999</v>
      </c>
      <c r="J510">
        <v>2.5583999999999998</v>
      </c>
      <c r="K510">
        <v>13.7485</v>
      </c>
      <c r="L510">
        <v>0.308</v>
      </c>
      <c r="M510">
        <v>1.5800000000000002E-2</v>
      </c>
      <c r="N510">
        <v>1.09E-2</v>
      </c>
      <c r="O510">
        <v>0.80400000000000005</v>
      </c>
      <c r="P510">
        <v>0</v>
      </c>
      <c r="Q510">
        <v>0</v>
      </c>
      <c r="R510">
        <v>0.39400000000000002</v>
      </c>
      <c r="S510">
        <v>0.64639999999999997</v>
      </c>
    </row>
    <row r="511" spans="1:19" x14ac:dyDescent="0.25">
      <c r="A511" t="s">
        <v>866</v>
      </c>
      <c r="B511" t="s">
        <v>24</v>
      </c>
      <c r="D511" t="s">
        <v>30</v>
      </c>
      <c r="E511">
        <v>1.65</v>
      </c>
      <c r="F511">
        <v>0.66120000000000001</v>
      </c>
      <c r="G511">
        <v>1.1561999999999999</v>
      </c>
      <c r="H511">
        <v>0.495</v>
      </c>
      <c r="I511">
        <v>3.4982000000000002</v>
      </c>
      <c r="J511">
        <v>1.0377000000000001</v>
      </c>
      <c r="K511">
        <v>4.4088000000000003</v>
      </c>
      <c r="L511">
        <v>0.2392</v>
      </c>
      <c r="M511">
        <v>1.5800000000000002E-2</v>
      </c>
      <c r="N511">
        <v>1.09E-2</v>
      </c>
      <c r="O511">
        <v>0.66639999999999999</v>
      </c>
      <c r="P511">
        <v>4.4844999999999997</v>
      </c>
      <c r="Q511">
        <v>7.9664000000000001</v>
      </c>
      <c r="R511">
        <v>0.36020000000000002</v>
      </c>
      <c r="S511">
        <v>0.89290000000000003</v>
      </c>
    </row>
    <row r="512" spans="1:19" x14ac:dyDescent="0.25">
      <c r="A512" t="s">
        <v>831</v>
      </c>
      <c r="B512" t="s">
        <v>24</v>
      </c>
      <c r="D512" t="s">
        <v>869</v>
      </c>
      <c r="E512">
        <v>1.1200000000000001</v>
      </c>
      <c r="F512">
        <v>0.38040000000000002</v>
      </c>
      <c r="G512">
        <v>0.34510000000000002</v>
      </c>
      <c r="H512">
        <v>0</v>
      </c>
      <c r="I512">
        <v>1.8759999999999999</v>
      </c>
      <c r="J512">
        <v>1.9329000000000001</v>
      </c>
      <c r="K512">
        <v>2.6465000000000001</v>
      </c>
      <c r="L512">
        <v>0.22020000000000001</v>
      </c>
      <c r="M512">
        <v>1.5800000000000002E-2</v>
      </c>
      <c r="N512">
        <v>1.09E-2</v>
      </c>
      <c r="O512">
        <v>0.62839999999999996</v>
      </c>
      <c r="P512">
        <v>1.9438</v>
      </c>
      <c r="Q512">
        <v>2.9939</v>
      </c>
      <c r="R512">
        <v>0.39369999999999999</v>
      </c>
      <c r="S512">
        <v>0.4002</v>
      </c>
    </row>
    <row r="513" spans="1:19" x14ac:dyDescent="0.25">
      <c r="A513" t="s">
        <v>611</v>
      </c>
      <c r="B513" t="s">
        <v>24</v>
      </c>
      <c r="D513" t="s">
        <v>870</v>
      </c>
      <c r="E513">
        <v>0.43</v>
      </c>
      <c r="F513">
        <v>0.3387</v>
      </c>
      <c r="G513">
        <v>0.3357</v>
      </c>
      <c r="H513">
        <v>0</v>
      </c>
      <c r="I513">
        <v>3.8702000000000001</v>
      </c>
      <c r="J513">
        <v>2.0478999999999998</v>
      </c>
      <c r="K513">
        <v>4.8654000000000002</v>
      </c>
      <c r="L513">
        <v>0.5867</v>
      </c>
      <c r="M513">
        <v>1.5800000000000002E-2</v>
      </c>
      <c r="N513">
        <v>1.09E-2</v>
      </c>
      <c r="O513">
        <v>1.3613999999999999</v>
      </c>
      <c r="P513">
        <v>1.8564000000000001</v>
      </c>
      <c r="Q513">
        <v>2.4990000000000001</v>
      </c>
      <c r="R513">
        <v>0.42620000000000002</v>
      </c>
      <c r="S513">
        <v>1.0777000000000001</v>
      </c>
    </row>
    <row r="514" spans="1:19" x14ac:dyDescent="0.25">
      <c r="A514" t="s">
        <v>490</v>
      </c>
      <c r="B514" t="s">
        <v>24</v>
      </c>
      <c r="D514" t="s">
        <v>15</v>
      </c>
      <c r="E514">
        <v>2.02</v>
      </c>
      <c r="F514">
        <v>0.32119999999999999</v>
      </c>
      <c r="G514">
        <v>0.78049999999999997</v>
      </c>
      <c r="H514">
        <v>0.45929999999999999</v>
      </c>
      <c r="I514">
        <v>3.2351000000000001</v>
      </c>
      <c r="J514">
        <v>2.2766000000000002</v>
      </c>
      <c r="K514">
        <v>8.5965000000000007</v>
      </c>
      <c r="L514">
        <v>0.52200000000000002</v>
      </c>
      <c r="M514">
        <v>1.5800000000000002E-2</v>
      </c>
      <c r="N514">
        <v>1.09E-2</v>
      </c>
      <c r="O514">
        <v>1.232</v>
      </c>
      <c r="P514">
        <v>1.7316</v>
      </c>
      <c r="Q514">
        <v>2.1183999999999998</v>
      </c>
      <c r="R514">
        <v>0.44979999999999998</v>
      </c>
      <c r="S514">
        <v>0.61050000000000004</v>
      </c>
    </row>
    <row r="515" spans="1:19" x14ac:dyDescent="0.25">
      <c r="A515" t="s">
        <v>832</v>
      </c>
      <c r="B515" t="s">
        <v>24</v>
      </c>
      <c r="D515" t="s">
        <v>9</v>
      </c>
      <c r="E515">
        <v>0.92</v>
      </c>
      <c r="F515">
        <v>0.2026</v>
      </c>
      <c r="G515">
        <v>0.51600000000000001</v>
      </c>
      <c r="H515">
        <v>0.31340000000000001</v>
      </c>
      <c r="I515">
        <v>1.9088000000000001</v>
      </c>
      <c r="J515">
        <v>0.9899</v>
      </c>
      <c r="K515">
        <v>3.1962999999999999</v>
      </c>
      <c r="L515">
        <v>0.20580000000000001</v>
      </c>
      <c r="M515">
        <v>1.5800000000000002E-2</v>
      </c>
      <c r="N515">
        <v>1.09E-2</v>
      </c>
      <c r="O515">
        <v>0.59960000000000002</v>
      </c>
      <c r="P515">
        <v>1.7230000000000001</v>
      </c>
      <c r="Q515">
        <v>2.9737</v>
      </c>
      <c r="R515">
        <v>0.3669</v>
      </c>
      <c r="S515">
        <v>0.37859999999999999</v>
      </c>
    </row>
    <row r="516" spans="1:19" x14ac:dyDescent="0.25">
      <c r="A516" t="s">
        <v>300</v>
      </c>
      <c r="B516" t="s">
        <v>24</v>
      </c>
      <c r="D516" t="s">
        <v>9</v>
      </c>
      <c r="E516">
        <v>0.52</v>
      </c>
      <c r="F516">
        <v>0.28949999999999998</v>
      </c>
      <c r="G516">
        <v>0.34279999999999999</v>
      </c>
      <c r="H516">
        <v>5.33E-2</v>
      </c>
      <c r="I516">
        <v>2.3347000000000002</v>
      </c>
      <c r="J516">
        <v>1.2814000000000001</v>
      </c>
      <c r="K516">
        <v>5.5667</v>
      </c>
      <c r="L516">
        <v>0.98650000000000004</v>
      </c>
      <c r="M516">
        <v>1.5800000000000002E-2</v>
      </c>
      <c r="N516">
        <v>1.09E-2</v>
      </c>
      <c r="O516">
        <v>2.161</v>
      </c>
      <c r="P516">
        <v>4.4573</v>
      </c>
      <c r="Q516">
        <v>7.4246999999999996</v>
      </c>
      <c r="R516">
        <v>0.37509999999999999</v>
      </c>
      <c r="S516">
        <v>0.6623</v>
      </c>
    </row>
    <row r="517" spans="1:19" x14ac:dyDescent="0.25">
      <c r="A517" t="s">
        <v>903</v>
      </c>
      <c r="B517" t="s">
        <v>24</v>
      </c>
      <c r="D517" t="s">
        <v>16</v>
      </c>
      <c r="E517">
        <v>1.25</v>
      </c>
      <c r="F517">
        <v>0.21390000000000001</v>
      </c>
      <c r="G517">
        <v>0.43490000000000001</v>
      </c>
      <c r="H517">
        <v>0.221</v>
      </c>
      <c r="I517">
        <v>1.3010999999999999</v>
      </c>
      <c r="J517">
        <v>1.0183</v>
      </c>
      <c r="K517">
        <v>3.2258</v>
      </c>
      <c r="L517">
        <v>0.27210000000000001</v>
      </c>
      <c r="M517">
        <v>1.5800000000000002E-2</v>
      </c>
      <c r="N517">
        <v>1.09E-2</v>
      </c>
      <c r="O517">
        <v>0.73219999999999996</v>
      </c>
      <c r="P517">
        <v>10.0069</v>
      </c>
      <c r="Q517">
        <v>6.9648000000000003</v>
      </c>
      <c r="R517">
        <v>0.58960000000000001</v>
      </c>
      <c r="S517">
        <v>0.47770000000000001</v>
      </c>
    </row>
    <row r="518" spans="1:19" x14ac:dyDescent="0.25">
      <c r="A518" t="s">
        <v>616</v>
      </c>
      <c r="B518" t="s">
        <v>3</v>
      </c>
      <c r="D518" t="s">
        <v>873</v>
      </c>
      <c r="E518">
        <v>0.96</v>
      </c>
      <c r="F518">
        <v>0.15040000000000001</v>
      </c>
      <c r="G518">
        <v>0.31059999999999999</v>
      </c>
      <c r="H518">
        <v>0.16020000000000001</v>
      </c>
      <c r="I518">
        <v>1.0680000000000001</v>
      </c>
      <c r="J518">
        <v>4.0113000000000003</v>
      </c>
      <c r="K518">
        <v>8.0717999999999996</v>
      </c>
      <c r="L518">
        <v>0.39219999999999999</v>
      </c>
      <c r="M518">
        <v>1.5800000000000002E-2</v>
      </c>
      <c r="N518">
        <v>1.09E-2</v>
      </c>
      <c r="O518">
        <v>0.97240000000000004</v>
      </c>
      <c r="P518">
        <v>0</v>
      </c>
      <c r="Q518">
        <v>0</v>
      </c>
      <c r="R518">
        <v>0.4219</v>
      </c>
      <c r="S518">
        <v>0.37040000000000001</v>
      </c>
    </row>
    <row r="519" spans="1:19" x14ac:dyDescent="0.25">
      <c r="A519" t="s">
        <v>706</v>
      </c>
      <c r="B519" t="s">
        <v>3</v>
      </c>
      <c r="D519" t="s">
        <v>21</v>
      </c>
      <c r="E519">
        <v>0.62</v>
      </c>
      <c r="F519">
        <v>0.1426</v>
      </c>
      <c r="G519">
        <v>0.31919999999999998</v>
      </c>
      <c r="H519">
        <v>0.17660000000000001</v>
      </c>
      <c r="I519">
        <v>1.6768000000000001</v>
      </c>
      <c r="J519">
        <v>4.9321999999999999</v>
      </c>
      <c r="K519">
        <v>6.8943000000000003</v>
      </c>
      <c r="L519">
        <v>0.20530000000000001</v>
      </c>
      <c r="M519">
        <v>1.5800000000000002E-2</v>
      </c>
      <c r="N519">
        <v>1.09E-2</v>
      </c>
      <c r="O519">
        <v>0.59860000000000002</v>
      </c>
      <c r="P519">
        <v>0</v>
      </c>
      <c r="Q519">
        <v>0</v>
      </c>
      <c r="R519">
        <v>0.4234</v>
      </c>
      <c r="S519">
        <v>0.37780000000000002</v>
      </c>
    </row>
    <row r="520" spans="1:19" x14ac:dyDescent="0.25">
      <c r="A520" t="s">
        <v>904</v>
      </c>
      <c r="B520" t="s">
        <v>3</v>
      </c>
      <c r="D520" t="s">
        <v>36</v>
      </c>
      <c r="E520">
        <v>1.5</v>
      </c>
      <c r="F520">
        <v>0.1211</v>
      </c>
      <c r="G520">
        <v>0.27600000000000002</v>
      </c>
      <c r="H520">
        <v>0.15490000000000001</v>
      </c>
      <c r="I520">
        <v>1.6265000000000001</v>
      </c>
      <c r="J520">
        <v>1.5424</v>
      </c>
      <c r="K520">
        <v>9.0877999999999997</v>
      </c>
      <c r="L520">
        <v>0.1804</v>
      </c>
      <c r="M520">
        <v>1.5800000000000002E-2</v>
      </c>
      <c r="N520">
        <v>1.09E-2</v>
      </c>
      <c r="O520">
        <v>0.54879999999999995</v>
      </c>
      <c r="P520">
        <v>0</v>
      </c>
      <c r="Q520">
        <v>0</v>
      </c>
      <c r="R520">
        <v>0.41549999999999998</v>
      </c>
      <c r="S520">
        <v>0.89959999999999996</v>
      </c>
    </row>
    <row r="521" spans="1:19" x14ac:dyDescent="0.25">
      <c r="A521" t="s">
        <v>681</v>
      </c>
      <c r="B521" t="s">
        <v>24</v>
      </c>
      <c r="D521" t="s">
        <v>4</v>
      </c>
      <c r="E521">
        <v>0.5</v>
      </c>
      <c r="F521">
        <v>0.46360000000000001</v>
      </c>
      <c r="G521">
        <v>0.83340000000000003</v>
      </c>
      <c r="H521">
        <v>0.36980000000000002</v>
      </c>
      <c r="I521">
        <v>6.0716999999999999</v>
      </c>
      <c r="J521">
        <v>0.56200000000000006</v>
      </c>
      <c r="K521">
        <v>3.9277000000000002</v>
      </c>
      <c r="L521">
        <v>0.2225</v>
      </c>
      <c r="M521">
        <v>1.5800000000000002E-2</v>
      </c>
      <c r="N521">
        <v>1.09E-2</v>
      </c>
      <c r="O521">
        <v>0.63300000000000001</v>
      </c>
      <c r="P521">
        <v>15.006600000000001</v>
      </c>
      <c r="Q521">
        <v>21.1678</v>
      </c>
      <c r="R521">
        <v>0.4148</v>
      </c>
      <c r="S521">
        <v>0.68420000000000003</v>
      </c>
    </row>
    <row r="522" spans="1:19" x14ac:dyDescent="0.25">
      <c r="A522" t="s">
        <v>324</v>
      </c>
      <c r="B522" t="s">
        <v>24</v>
      </c>
      <c r="D522" t="s">
        <v>13</v>
      </c>
      <c r="E522">
        <v>0.74</v>
      </c>
      <c r="F522">
        <v>0.53300000000000003</v>
      </c>
      <c r="G522">
        <v>0.96830000000000005</v>
      </c>
      <c r="H522">
        <v>0.43530000000000002</v>
      </c>
      <c r="I522">
        <v>4.2049000000000003</v>
      </c>
      <c r="J522">
        <v>0.19089999999999999</v>
      </c>
      <c r="K522">
        <v>3.7294</v>
      </c>
      <c r="L522">
        <v>0.65790000000000004</v>
      </c>
      <c r="M522">
        <v>1.5800000000000002E-2</v>
      </c>
      <c r="N522">
        <v>1.09E-2</v>
      </c>
      <c r="O522">
        <v>1.5038</v>
      </c>
      <c r="P522">
        <v>1.2981</v>
      </c>
      <c r="Q522">
        <v>2.4729000000000001</v>
      </c>
      <c r="R522">
        <v>0.34420000000000001</v>
      </c>
      <c r="S522">
        <v>0.68340000000000001</v>
      </c>
    </row>
    <row r="523" spans="1:19" x14ac:dyDescent="0.25">
      <c r="A523" t="s">
        <v>786</v>
      </c>
      <c r="B523" t="s">
        <v>24</v>
      </c>
      <c r="D523" t="s">
        <v>11</v>
      </c>
      <c r="E523">
        <v>1.48</v>
      </c>
      <c r="F523">
        <v>0.48830000000000001</v>
      </c>
      <c r="G523">
        <v>0.40839999999999999</v>
      </c>
      <c r="H523">
        <v>0</v>
      </c>
      <c r="I523">
        <v>6.1120000000000001</v>
      </c>
      <c r="J523">
        <v>6.4748999999999999</v>
      </c>
      <c r="K523">
        <v>3.3220000000000001</v>
      </c>
      <c r="L523">
        <v>0.1351</v>
      </c>
      <c r="M523">
        <v>1.5800000000000002E-2</v>
      </c>
      <c r="N523">
        <v>1.09E-2</v>
      </c>
      <c r="O523">
        <v>0.4582</v>
      </c>
      <c r="P523">
        <v>21.911300000000001</v>
      </c>
      <c r="Q523">
        <v>21.401800000000001</v>
      </c>
      <c r="R523">
        <v>0.50590000000000002</v>
      </c>
      <c r="S523">
        <v>0.39729999999999999</v>
      </c>
    </row>
    <row r="524" spans="1:19" x14ac:dyDescent="0.25">
      <c r="A524" t="s">
        <v>687</v>
      </c>
      <c r="B524" t="s">
        <v>24</v>
      </c>
      <c r="D524" t="s">
        <v>5</v>
      </c>
      <c r="E524">
        <v>2.42</v>
      </c>
      <c r="F524">
        <v>0.28370000000000001</v>
      </c>
      <c r="G524">
        <v>0.35299999999999998</v>
      </c>
      <c r="H524">
        <v>6.93E-2</v>
      </c>
      <c r="I524">
        <v>3.5619999999999998</v>
      </c>
      <c r="J524">
        <v>0.81699999999999995</v>
      </c>
      <c r="K524">
        <v>3.5485000000000002</v>
      </c>
      <c r="L524">
        <v>0.43230000000000002</v>
      </c>
      <c r="M524">
        <v>1.5800000000000002E-2</v>
      </c>
      <c r="N524">
        <v>1.09E-2</v>
      </c>
      <c r="O524">
        <v>1.0526</v>
      </c>
      <c r="P524">
        <v>29.639099999999999</v>
      </c>
      <c r="Q524">
        <v>30.807400000000001</v>
      </c>
      <c r="R524">
        <v>0.49030000000000001</v>
      </c>
      <c r="S524">
        <v>0.31830000000000003</v>
      </c>
    </row>
    <row r="525" spans="1:19" x14ac:dyDescent="0.25">
      <c r="A525" t="s">
        <v>730</v>
      </c>
      <c r="B525" t="s">
        <v>24</v>
      </c>
      <c r="D525" t="s">
        <v>34</v>
      </c>
      <c r="E525">
        <v>0.79</v>
      </c>
      <c r="F525">
        <v>0.2442</v>
      </c>
      <c r="G525">
        <v>0.52780000000000005</v>
      </c>
      <c r="H525">
        <v>0.28360000000000002</v>
      </c>
      <c r="I525">
        <v>5.0770999999999997</v>
      </c>
      <c r="J525">
        <v>1.6739999999999999</v>
      </c>
      <c r="K525">
        <v>3.3595999999999999</v>
      </c>
      <c r="L525">
        <v>0.1595</v>
      </c>
      <c r="M525">
        <v>1.5800000000000002E-2</v>
      </c>
      <c r="N525">
        <v>1.09E-2</v>
      </c>
      <c r="O525">
        <v>0.50700000000000001</v>
      </c>
      <c r="P525">
        <v>32.967500000000001</v>
      </c>
      <c r="Q525">
        <v>25.075800000000001</v>
      </c>
      <c r="R525">
        <v>0.56799999999999995</v>
      </c>
      <c r="S525">
        <v>0.30930000000000002</v>
      </c>
    </row>
    <row r="526" spans="1:19" x14ac:dyDescent="0.25">
      <c r="A526" t="s">
        <v>818</v>
      </c>
      <c r="B526" t="s">
        <v>24</v>
      </c>
      <c r="D526" t="s">
        <v>16</v>
      </c>
      <c r="E526">
        <v>0.55000000000000004</v>
      </c>
      <c r="F526">
        <v>0.31359999999999999</v>
      </c>
      <c r="G526">
        <v>0.47899999999999998</v>
      </c>
      <c r="H526">
        <v>0.16539999999999999</v>
      </c>
      <c r="I526">
        <v>3.9622999999999999</v>
      </c>
      <c r="J526">
        <v>3.1873999999999998</v>
      </c>
      <c r="K526">
        <v>4.5651000000000002</v>
      </c>
      <c r="L526">
        <v>0.19370000000000001</v>
      </c>
      <c r="M526">
        <v>1.5800000000000002E-2</v>
      </c>
      <c r="N526">
        <v>1.09E-2</v>
      </c>
      <c r="O526">
        <v>0.57540000000000002</v>
      </c>
      <c r="P526">
        <v>11.6226</v>
      </c>
      <c r="Q526">
        <v>10.1755</v>
      </c>
      <c r="R526">
        <v>0.53320000000000001</v>
      </c>
      <c r="S526">
        <v>0.55800000000000005</v>
      </c>
    </row>
    <row r="527" spans="1:19" x14ac:dyDescent="0.25">
      <c r="A527" t="s">
        <v>279</v>
      </c>
      <c r="B527" t="s">
        <v>3</v>
      </c>
      <c r="D527" t="s">
        <v>27</v>
      </c>
      <c r="E527">
        <v>0.38</v>
      </c>
      <c r="F527">
        <v>0.2092</v>
      </c>
      <c r="G527">
        <v>0.36049999999999999</v>
      </c>
      <c r="H527">
        <v>0.15129999999999999</v>
      </c>
      <c r="I527">
        <v>2.0253000000000001</v>
      </c>
      <c r="J527">
        <v>1.6968000000000001</v>
      </c>
      <c r="K527">
        <v>3.3586999999999998</v>
      </c>
      <c r="L527">
        <v>0.52449999999999997</v>
      </c>
      <c r="M527">
        <v>1.5800000000000002E-2</v>
      </c>
      <c r="N527">
        <v>1.09E-2</v>
      </c>
      <c r="O527">
        <v>1.2370000000000001</v>
      </c>
      <c r="P527">
        <v>0</v>
      </c>
      <c r="Q527">
        <v>0</v>
      </c>
      <c r="R527">
        <v>0.43030000000000002</v>
      </c>
      <c r="S527">
        <v>0.41349999999999998</v>
      </c>
    </row>
    <row r="528" spans="1:19" x14ac:dyDescent="0.25">
      <c r="A528" t="s">
        <v>797</v>
      </c>
      <c r="B528" t="s">
        <v>24</v>
      </c>
      <c r="D528" t="s">
        <v>15</v>
      </c>
      <c r="E528">
        <v>2.0299999999999998</v>
      </c>
      <c r="F528">
        <v>0.37430000000000002</v>
      </c>
      <c r="G528">
        <v>0.7722</v>
      </c>
      <c r="H528">
        <v>0.39789999999999998</v>
      </c>
      <c r="I528">
        <v>2.7143000000000002</v>
      </c>
      <c r="J528">
        <v>1.5204</v>
      </c>
      <c r="K528">
        <v>4.0915999999999997</v>
      </c>
      <c r="L528">
        <v>0.24060000000000001</v>
      </c>
      <c r="M528">
        <v>1.5800000000000002E-2</v>
      </c>
      <c r="N528">
        <v>1.09E-2</v>
      </c>
      <c r="O528">
        <v>0.66920000000000002</v>
      </c>
      <c r="P528">
        <v>9.8797999999999995</v>
      </c>
      <c r="Q528">
        <v>17.474299999999999</v>
      </c>
      <c r="R528">
        <v>0.36120000000000002</v>
      </c>
      <c r="S528">
        <v>0.60519999999999996</v>
      </c>
    </row>
    <row r="529" spans="1:19" x14ac:dyDescent="0.25">
      <c r="A529" t="s">
        <v>520</v>
      </c>
      <c r="B529" t="s">
        <v>3</v>
      </c>
      <c r="D529" t="s">
        <v>13</v>
      </c>
      <c r="E529">
        <v>1.62</v>
      </c>
      <c r="F529">
        <v>1.18E-2</v>
      </c>
      <c r="G529">
        <v>0.1434</v>
      </c>
      <c r="H529">
        <v>0.13159999999999999</v>
      </c>
      <c r="I529">
        <v>0.87160000000000004</v>
      </c>
      <c r="J529">
        <v>2.5859000000000001</v>
      </c>
      <c r="K529">
        <v>8.9636999999999993</v>
      </c>
      <c r="L529">
        <v>0.1037</v>
      </c>
      <c r="M529">
        <v>1.5800000000000002E-2</v>
      </c>
      <c r="N529">
        <v>1.09E-2</v>
      </c>
      <c r="O529">
        <v>0.39539999999999997</v>
      </c>
      <c r="P529">
        <v>0</v>
      </c>
      <c r="Q529">
        <v>0</v>
      </c>
      <c r="R529">
        <v>0.3846</v>
      </c>
      <c r="S529">
        <v>0.41449999999999998</v>
      </c>
    </row>
    <row r="530" spans="1:19" x14ac:dyDescent="0.25">
      <c r="A530" t="s">
        <v>671</v>
      </c>
      <c r="B530" t="s">
        <v>3</v>
      </c>
      <c r="D530" t="s">
        <v>8</v>
      </c>
      <c r="E530">
        <v>1.63</v>
      </c>
      <c r="F530">
        <v>0.15010000000000001</v>
      </c>
      <c r="G530">
        <v>0.33789999999999998</v>
      </c>
      <c r="H530">
        <v>0.18779999999999999</v>
      </c>
      <c r="I530">
        <v>1.0277000000000001</v>
      </c>
      <c r="J530">
        <v>2.3851</v>
      </c>
      <c r="K530">
        <v>7.7998000000000003</v>
      </c>
      <c r="L530">
        <v>0.42109999999999997</v>
      </c>
      <c r="M530">
        <v>1.5800000000000002E-2</v>
      </c>
      <c r="N530">
        <v>1.09E-2</v>
      </c>
      <c r="O530">
        <v>1.0302</v>
      </c>
      <c r="P530">
        <v>0</v>
      </c>
      <c r="Q530">
        <v>0</v>
      </c>
      <c r="R530">
        <v>0.3947</v>
      </c>
      <c r="S530">
        <v>0.71160000000000001</v>
      </c>
    </row>
    <row r="531" spans="1:19" x14ac:dyDescent="0.25">
      <c r="A531" t="s">
        <v>497</v>
      </c>
      <c r="B531" t="s">
        <v>24</v>
      </c>
      <c r="D531" t="s">
        <v>11</v>
      </c>
      <c r="E531">
        <v>0.59</v>
      </c>
      <c r="F531">
        <v>0.2387</v>
      </c>
      <c r="G531">
        <v>0.29820000000000002</v>
      </c>
      <c r="H531">
        <v>5.9499999999999997E-2</v>
      </c>
      <c r="I531">
        <v>3.5402</v>
      </c>
      <c r="J531">
        <v>0.92759999999999998</v>
      </c>
      <c r="K531">
        <v>2.3188</v>
      </c>
      <c r="L531">
        <v>0.19309999999999999</v>
      </c>
      <c r="M531">
        <v>1.5800000000000002E-2</v>
      </c>
      <c r="N531">
        <v>1.09E-2</v>
      </c>
      <c r="O531">
        <v>0.57420000000000004</v>
      </c>
      <c r="P531">
        <v>16.662400000000002</v>
      </c>
      <c r="Q531">
        <v>26.201599999999999</v>
      </c>
      <c r="R531">
        <v>0.38869999999999999</v>
      </c>
      <c r="S531">
        <v>0.35970000000000002</v>
      </c>
    </row>
    <row r="532" spans="1:19" x14ac:dyDescent="0.25">
      <c r="A532" t="s">
        <v>907</v>
      </c>
      <c r="B532" t="s">
        <v>3</v>
      </c>
      <c r="D532" t="s">
        <v>23</v>
      </c>
      <c r="E532">
        <v>0.93</v>
      </c>
      <c r="F532">
        <v>0.13950000000000001</v>
      </c>
      <c r="G532">
        <v>0.30280000000000001</v>
      </c>
      <c r="H532">
        <v>0.1633</v>
      </c>
      <c r="I532">
        <v>1.5079</v>
      </c>
      <c r="J532">
        <v>5.8205999999999998</v>
      </c>
      <c r="K532">
        <v>5.2605000000000004</v>
      </c>
      <c r="L532">
        <v>1.0321</v>
      </c>
      <c r="M532">
        <v>1.5800000000000002E-2</v>
      </c>
      <c r="N532">
        <v>1.09E-2</v>
      </c>
      <c r="O532">
        <v>2.2522000000000002</v>
      </c>
      <c r="P532">
        <v>0</v>
      </c>
      <c r="Q532">
        <v>0</v>
      </c>
      <c r="R532">
        <v>0.42049999999999998</v>
      </c>
      <c r="S532">
        <v>0.55979999999999996</v>
      </c>
    </row>
    <row r="533" spans="1:19" x14ac:dyDescent="0.25">
      <c r="A533" t="s">
        <v>457</v>
      </c>
      <c r="B533" t="s">
        <v>24</v>
      </c>
      <c r="D533" t="s">
        <v>878</v>
      </c>
      <c r="E533">
        <v>0.87</v>
      </c>
      <c r="F533">
        <v>0.88270000000000004</v>
      </c>
      <c r="G533">
        <v>1.0087999999999999</v>
      </c>
      <c r="H533">
        <v>0.12609999999999999</v>
      </c>
      <c r="I533">
        <v>5.7789000000000001</v>
      </c>
      <c r="J533">
        <v>0.62749999999999995</v>
      </c>
      <c r="K533">
        <v>5.2332999999999998</v>
      </c>
      <c r="L533">
        <v>0.57820000000000005</v>
      </c>
      <c r="M533">
        <v>1.5800000000000002E-2</v>
      </c>
      <c r="N533">
        <v>1.09E-2</v>
      </c>
      <c r="O533">
        <v>1.3444</v>
      </c>
      <c r="P533">
        <v>3.548</v>
      </c>
      <c r="Q533">
        <v>6.2179000000000002</v>
      </c>
      <c r="R533">
        <v>0.36330000000000001</v>
      </c>
      <c r="S533">
        <v>0.45619999999999999</v>
      </c>
    </row>
    <row r="534" spans="1:19" x14ac:dyDescent="0.25">
      <c r="A534" t="s">
        <v>344</v>
      </c>
      <c r="B534" t="s">
        <v>3</v>
      </c>
      <c r="D534" t="s">
        <v>30</v>
      </c>
      <c r="E534">
        <v>2.73</v>
      </c>
      <c r="F534">
        <v>9.6600000000000005E-2</v>
      </c>
      <c r="G534">
        <v>0.35709999999999997</v>
      </c>
      <c r="H534">
        <v>0.26050000000000001</v>
      </c>
      <c r="I534">
        <v>3.3012000000000001</v>
      </c>
      <c r="J534">
        <v>3.3418999999999999</v>
      </c>
      <c r="K534">
        <v>5.8815</v>
      </c>
      <c r="L534">
        <v>0.1414</v>
      </c>
      <c r="M534">
        <v>1.5800000000000002E-2</v>
      </c>
      <c r="N534">
        <v>1.09E-2</v>
      </c>
      <c r="O534">
        <v>0.4708</v>
      </c>
      <c r="P534">
        <v>0</v>
      </c>
      <c r="Q534">
        <v>0</v>
      </c>
      <c r="R534">
        <v>0.4012</v>
      </c>
      <c r="S534">
        <v>0.28220000000000001</v>
      </c>
    </row>
    <row r="535" spans="1:19" x14ac:dyDescent="0.25">
      <c r="A535" t="s">
        <v>911</v>
      </c>
      <c r="B535" t="s">
        <v>24</v>
      </c>
      <c r="D535" t="s">
        <v>138</v>
      </c>
      <c r="E535">
        <v>0.93</v>
      </c>
      <c r="F535">
        <v>0.19450000000000001</v>
      </c>
      <c r="G535">
        <v>0.31569999999999998</v>
      </c>
      <c r="H535">
        <v>0.1212</v>
      </c>
      <c r="I535">
        <v>3.6913</v>
      </c>
      <c r="J535">
        <v>2.1181999999999999</v>
      </c>
      <c r="K535">
        <v>3.5457999999999998</v>
      </c>
      <c r="L535">
        <v>0.20330000000000001</v>
      </c>
      <c r="M535">
        <v>1.5800000000000002E-2</v>
      </c>
      <c r="N535">
        <v>1.09E-2</v>
      </c>
      <c r="O535">
        <v>0.59460000000000002</v>
      </c>
      <c r="P535">
        <v>18.583300000000001</v>
      </c>
      <c r="Q535">
        <v>18.258600000000001</v>
      </c>
      <c r="R535">
        <v>0.50439999999999996</v>
      </c>
      <c r="S535">
        <v>0.37480000000000002</v>
      </c>
    </row>
    <row r="536" spans="1:19" x14ac:dyDescent="0.25">
      <c r="A536" t="s">
        <v>288</v>
      </c>
      <c r="B536" t="s">
        <v>24</v>
      </c>
      <c r="D536" t="s">
        <v>17</v>
      </c>
      <c r="E536">
        <v>0.33</v>
      </c>
      <c r="F536">
        <v>0.26950000000000002</v>
      </c>
      <c r="G536">
        <v>0.9698</v>
      </c>
      <c r="H536">
        <v>0.70030000000000003</v>
      </c>
      <c r="I536">
        <v>3.0270999999999999</v>
      </c>
      <c r="J536">
        <v>0.51849999999999996</v>
      </c>
      <c r="K536">
        <v>2.8942999999999999</v>
      </c>
      <c r="L536">
        <v>0.21590000000000001</v>
      </c>
      <c r="M536">
        <v>1.5800000000000002E-2</v>
      </c>
      <c r="N536">
        <v>1.09E-2</v>
      </c>
      <c r="O536">
        <v>0.61980000000000002</v>
      </c>
      <c r="P536">
        <v>26.0124</v>
      </c>
      <c r="Q536">
        <v>12.2736</v>
      </c>
      <c r="R536">
        <v>0.6794</v>
      </c>
      <c r="S536">
        <v>0.39369999999999999</v>
      </c>
    </row>
    <row r="537" spans="1:19" x14ac:dyDescent="0.25">
      <c r="A537" t="s">
        <v>429</v>
      </c>
      <c r="B537" t="s">
        <v>24</v>
      </c>
      <c r="D537" t="s">
        <v>32</v>
      </c>
      <c r="E537">
        <v>1.1000000000000001</v>
      </c>
      <c r="F537">
        <v>0.37169999999999997</v>
      </c>
      <c r="G537">
        <v>0.35510000000000003</v>
      </c>
      <c r="H537">
        <v>0</v>
      </c>
      <c r="I537">
        <v>5.0837000000000003</v>
      </c>
      <c r="J537">
        <v>1.0620000000000001</v>
      </c>
      <c r="K537">
        <v>5.1589999999999998</v>
      </c>
      <c r="L537">
        <v>0.1232</v>
      </c>
      <c r="M537">
        <v>1.5800000000000002E-2</v>
      </c>
      <c r="N537">
        <v>1.09E-2</v>
      </c>
      <c r="O537">
        <v>0.43440000000000001</v>
      </c>
      <c r="P537">
        <v>1.1076999999999999</v>
      </c>
      <c r="Q537">
        <v>3.5053000000000001</v>
      </c>
      <c r="R537">
        <v>0.24010000000000001</v>
      </c>
      <c r="S537">
        <v>0.65090000000000003</v>
      </c>
    </row>
    <row r="538" spans="1:19" x14ac:dyDescent="0.25">
      <c r="A538" t="s">
        <v>248</v>
      </c>
      <c r="B538" t="s">
        <v>24</v>
      </c>
      <c r="D538" t="s">
        <v>22</v>
      </c>
      <c r="E538">
        <v>0.53</v>
      </c>
      <c r="F538">
        <v>0.37919999999999998</v>
      </c>
      <c r="G538">
        <v>0.66569999999999996</v>
      </c>
      <c r="H538">
        <v>0.28649999999999998</v>
      </c>
      <c r="I538">
        <v>2.5308000000000002</v>
      </c>
      <c r="J538">
        <v>1.0029999999999999</v>
      </c>
      <c r="K538">
        <v>2.3397999999999999</v>
      </c>
      <c r="L538">
        <v>0.25</v>
      </c>
      <c r="M538">
        <v>1.5800000000000002E-2</v>
      </c>
      <c r="N538">
        <v>1.09E-2</v>
      </c>
      <c r="O538">
        <v>0.68799999999999994</v>
      </c>
      <c r="P538">
        <v>6.4379</v>
      </c>
      <c r="Q538">
        <v>1.5584</v>
      </c>
      <c r="R538">
        <v>0.80510000000000004</v>
      </c>
      <c r="S538">
        <v>0.49070000000000003</v>
      </c>
    </row>
    <row r="539" spans="1:19" x14ac:dyDescent="0.25">
      <c r="A539" t="s">
        <v>527</v>
      </c>
      <c r="B539" t="s">
        <v>24</v>
      </c>
      <c r="D539" t="s">
        <v>21</v>
      </c>
      <c r="E539">
        <v>1.21</v>
      </c>
      <c r="F539">
        <v>0.15210000000000001</v>
      </c>
      <c r="G539">
        <v>0.3458</v>
      </c>
      <c r="H539">
        <v>0.19370000000000001</v>
      </c>
      <c r="I539">
        <v>1.7448999999999999</v>
      </c>
      <c r="J539">
        <v>1.0366</v>
      </c>
      <c r="K539">
        <v>4.6920999999999999</v>
      </c>
      <c r="L539">
        <v>0.49249999999999999</v>
      </c>
      <c r="M539">
        <v>1.5800000000000002E-2</v>
      </c>
      <c r="N539">
        <v>1.09E-2</v>
      </c>
      <c r="O539">
        <v>1.173</v>
      </c>
      <c r="P539">
        <v>47.424700000000001</v>
      </c>
      <c r="Q539">
        <v>34.619500000000002</v>
      </c>
      <c r="R539">
        <v>0.57799999999999996</v>
      </c>
      <c r="S539">
        <v>0.43269999999999997</v>
      </c>
    </row>
    <row r="540" spans="1:19" x14ac:dyDescent="0.25">
      <c r="A540" t="s">
        <v>881</v>
      </c>
      <c r="B540" t="s">
        <v>3</v>
      </c>
      <c r="D540" t="s">
        <v>2</v>
      </c>
      <c r="E540">
        <v>0.49</v>
      </c>
      <c r="F540">
        <v>0.1827</v>
      </c>
      <c r="G540">
        <v>0.32379999999999998</v>
      </c>
      <c r="H540">
        <v>0.1411</v>
      </c>
      <c r="I540">
        <v>1.5162</v>
      </c>
      <c r="J540">
        <v>0.46970000000000001</v>
      </c>
      <c r="K540">
        <v>7.5754000000000001</v>
      </c>
      <c r="L540">
        <v>0.2079</v>
      </c>
      <c r="M540">
        <v>1.5800000000000002E-2</v>
      </c>
      <c r="N540">
        <v>1.09E-2</v>
      </c>
      <c r="O540">
        <v>0.6038</v>
      </c>
      <c r="P540">
        <v>0</v>
      </c>
      <c r="Q540">
        <v>0</v>
      </c>
      <c r="R540">
        <v>0.42420000000000002</v>
      </c>
      <c r="S540">
        <v>0.38179999999999997</v>
      </c>
    </row>
    <row r="541" spans="1:19" x14ac:dyDescent="0.25">
      <c r="A541" t="s">
        <v>882</v>
      </c>
      <c r="B541" t="s">
        <v>3</v>
      </c>
      <c r="D541" t="s">
        <v>30</v>
      </c>
      <c r="E541">
        <v>1.53</v>
      </c>
      <c r="F541">
        <v>0.43659999999999999</v>
      </c>
      <c r="G541">
        <v>0.33700000000000002</v>
      </c>
      <c r="H541">
        <v>0</v>
      </c>
      <c r="I541">
        <v>4.3476999999999997</v>
      </c>
      <c r="J541">
        <v>6.0585000000000004</v>
      </c>
      <c r="K541">
        <v>6.8224999999999998</v>
      </c>
      <c r="L541">
        <v>0.2155</v>
      </c>
      <c r="M541">
        <v>1.5800000000000002E-2</v>
      </c>
      <c r="N541">
        <v>1.09E-2</v>
      </c>
      <c r="O541">
        <v>0.61899999999999999</v>
      </c>
      <c r="P541">
        <v>0</v>
      </c>
      <c r="Q541">
        <v>0</v>
      </c>
      <c r="R541">
        <v>0.42649999999999999</v>
      </c>
      <c r="S541">
        <v>0.39319999999999999</v>
      </c>
    </row>
    <row r="542" spans="1:19" x14ac:dyDescent="0.25">
      <c r="A542" t="s">
        <v>535</v>
      </c>
      <c r="B542" t="s">
        <v>24</v>
      </c>
      <c r="D542" t="s">
        <v>25</v>
      </c>
      <c r="E542">
        <v>1.68</v>
      </c>
      <c r="F542">
        <v>0.28439999999999999</v>
      </c>
      <c r="G542">
        <v>0.22620000000000001</v>
      </c>
      <c r="H542">
        <v>0</v>
      </c>
      <c r="I542">
        <v>4.3219000000000003</v>
      </c>
      <c r="J542">
        <v>3.2797999999999998</v>
      </c>
      <c r="K542">
        <v>7.2126999999999999</v>
      </c>
      <c r="L542">
        <v>0.28410000000000002</v>
      </c>
      <c r="M542">
        <v>1.5800000000000002E-2</v>
      </c>
      <c r="N542">
        <v>1.09E-2</v>
      </c>
      <c r="O542">
        <v>0.75619999999999998</v>
      </c>
      <c r="P542">
        <v>1.4428000000000001</v>
      </c>
      <c r="Q542">
        <v>3.57</v>
      </c>
      <c r="R542">
        <v>0.2878</v>
      </c>
      <c r="S542">
        <v>1.0303</v>
      </c>
    </row>
    <row r="543" spans="1:19" x14ac:dyDescent="0.25">
      <c r="A543" t="s">
        <v>677</v>
      </c>
      <c r="B543" t="s">
        <v>24</v>
      </c>
      <c r="D543" t="s">
        <v>20</v>
      </c>
      <c r="E543">
        <v>1.27</v>
      </c>
      <c r="F543">
        <v>0.15590000000000001</v>
      </c>
      <c r="G543">
        <v>0.18099999999999999</v>
      </c>
      <c r="H543">
        <v>2.5100000000000001E-2</v>
      </c>
      <c r="I543">
        <v>1.1927000000000001</v>
      </c>
      <c r="J543">
        <v>0.1217</v>
      </c>
      <c r="K543">
        <v>4.1254</v>
      </c>
      <c r="L543">
        <v>0.1255</v>
      </c>
      <c r="M543">
        <v>1.5800000000000002E-2</v>
      </c>
      <c r="N543">
        <v>1.09E-2</v>
      </c>
      <c r="O543">
        <v>0.439</v>
      </c>
      <c r="P543">
        <v>2.3662999999999998</v>
      </c>
      <c r="Q543">
        <v>2.4161000000000001</v>
      </c>
      <c r="R543">
        <v>0.49480000000000002</v>
      </c>
      <c r="S543">
        <v>0.25850000000000001</v>
      </c>
    </row>
    <row r="544" spans="1:19" x14ac:dyDescent="0.25">
      <c r="A544" t="s">
        <v>299</v>
      </c>
      <c r="B544" t="s">
        <v>3</v>
      </c>
      <c r="D544" t="s">
        <v>9</v>
      </c>
      <c r="E544">
        <v>0.54</v>
      </c>
      <c r="F544">
        <v>8.9700000000000002E-2</v>
      </c>
      <c r="G544">
        <v>0.24360000000000001</v>
      </c>
      <c r="H544">
        <v>0.15390000000000001</v>
      </c>
      <c r="I544">
        <v>0.47860000000000003</v>
      </c>
      <c r="J544">
        <v>0.77159999999999995</v>
      </c>
      <c r="K544">
        <v>6.3760000000000003</v>
      </c>
      <c r="L544">
        <v>0.83279999999999998</v>
      </c>
      <c r="M544">
        <v>1.5800000000000002E-2</v>
      </c>
      <c r="N544">
        <v>1.09E-2</v>
      </c>
      <c r="O544">
        <v>1.8535999999999999</v>
      </c>
      <c r="P544">
        <v>0</v>
      </c>
      <c r="Q544">
        <v>0</v>
      </c>
      <c r="R544">
        <v>0.40889999999999999</v>
      </c>
      <c r="S544">
        <v>1.1915</v>
      </c>
    </row>
    <row r="545" spans="1:19" x14ac:dyDescent="0.25">
      <c r="A545" t="s">
        <v>629</v>
      </c>
      <c r="B545" t="s">
        <v>24</v>
      </c>
      <c r="D545" t="s">
        <v>21</v>
      </c>
      <c r="E545">
        <v>1.69</v>
      </c>
      <c r="F545">
        <v>0.23100000000000001</v>
      </c>
      <c r="G545">
        <v>0.49509999999999998</v>
      </c>
      <c r="H545">
        <v>0.2641</v>
      </c>
      <c r="I545">
        <v>1.7145999999999999</v>
      </c>
      <c r="J545">
        <v>2.3332999999999999</v>
      </c>
      <c r="K545">
        <v>5.5791000000000004</v>
      </c>
      <c r="L545">
        <v>0.14149999999999999</v>
      </c>
      <c r="M545">
        <v>1.5800000000000002E-2</v>
      </c>
      <c r="N545">
        <v>1.09E-2</v>
      </c>
      <c r="O545">
        <v>0.47099999999999997</v>
      </c>
      <c r="P545">
        <v>10.4941</v>
      </c>
      <c r="Q545">
        <v>14.500400000000001</v>
      </c>
      <c r="R545">
        <v>0.4199</v>
      </c>
      <c r="S545">
        <v>0.59350000000000003</v>
      </c>
    </row>
    <row r="546" spans="1:19" x14ac:dyDescent="0.25">
      <c r="A546" t="s">
        <v>578</v>
      </c>
      <c r="B546" t="s">
        <v>3</v>
      </c>
      <c r="D546" t="s">
        <v>32</v>
      </c>
      <c r="E546">
        <v>1.58</v>
      </c>
      <c r="F546">
        <v>0.1195</v>
      </c>
      <c r="G546">
        <v>0.1414</v>
      </c>
      <c r="H546">
        <v>2.1899999999999999E-2</v>
      </c>
      <c r="I546">
        <v>0.59279999999999999</v>
      </c>
      <c r="J546">
        <v>1.8657999999999999</v>
      </c>
      <c r="K546">
        <v>7.0726000000000004</v>
      </c>
      <c r="L546">
        <v>0.23760000000000001</v>
      </c>
      <c r="M546">
        <v>1.5800000000000002E-2</v>
      </c>
      <c r="N546">
        <v>1.09E-2</v>
      </c>
      <c r="O546">
        <v>0.66320000000000001</v>
      </c>
      <c r="P546">
        <v>0</v>
      </c>
      <c r="Q546">
        <v>0</v>
      </c>
      <c r="R546">
        <v>0.3841</v>
      </c>
      <c r="S546">
        <v>0.2243</v>
      </c>
    </row>
    <row r="547" spans="1:19" x14ac:dyDescent="0.25">
      <c r="A547" t="s">
        <v>725</v>
      </c>
      <c r="B547" t="s">
        <v>24</v>
      </c>
      <c r="D547" t="s">
        <v>10</v>
      </c>
      <c r="E547">
        <v>0.54</v>
      </c>
      <c r="F547">
        <v>0.3196</v>
      </c>
      <c r="G547">
        <v>0.33460000000000001</v>
      </c>
      <c r="H547">
        <v>1.4999999999999999E-2</v>
      </c>
      <c r="I547">
        <v>2.8791000000000002</v>
      </c>
      <c r="J547">
        <v>0.50780000000000003</v>
      </c>
      <c r="K547">
        <v>2.8347000000000002</v>
      </c>
      <c r="L547">
        <v>0.2142</v>
      </c>
      <c r="M547">
        <v>1.5800000000000002E-2</v>
      </c>
      <c r="N547">
        <v>1.09E-2</v>
      </c>
      <c r="O547">
        <v>0.61639999999999995</v>
      </c>
      <c r="P547">
        <v>1.8471</v>
      </c>
      <c r="Q547">
        <v>3.1955</v>
      </c>
      <c r="R547">
        <v>0.36630000000000001</v>
      </c>
      <c r="S547">
        <v>0.63060000000000005</v>
      </c>
    </row>
    <row r="548" spans="1:19" x14ac:dyDescent="0.25">
      <c r="A548" t="s">
        <v>455</v>
      </c>
      <c r="B548" t="s">
        <v>24</v>
      </c>
      <c r="D548" t="s">
        <v>16</v>
      </c>
      <c r="E548">
        <v>1.43</v>
      </c>
      <c r="F548">
        <v>0.48880000000000001</v>
      </c>
      <c r="G548">
        <v>1.0404</v>
      </c>
      <c r="H548">
        <v>0.55159999999999998</v>
      </c>
      <c r="I548">
        <v>4.4390000000000001</v>
      </c>
      <c r="J548">
        <v>1.5760000000000001</v>
      </c>
      <c r="K548">
        <v>2.5448</v>
      </c>
      <c r="L548">
        <v>0.31530000000000002</v>
      </c>
      <c r="M548">
        <v>1.5800000000000002E-2</v>
      </c>
      <c r="N548">
        <v>1.09E-2</v>
      </c>
      <c r="O548">
        <v>0.81859999999999999</v>
      </c>
      <c r="P548">
        <v>0.88439999999999996</v>
      </c>
      <c r="Q548">
        <v>1.9295</v>
      </c>
      <c r="R548">
        <v>0.31430000000000002</v>
      </c>
      <c r="S548">
        <v>1.5322</v>
      </c>
    </row>
    <row r="549" spans="1:19" x14ac:dyDescent="0.25">
      <c r="A549" t="s">
        <v>796</v>
      </c>
      <c r="B549" t="s">
        <v>24</v>
      </c>
      <c r="D549" t="s">
        <v>139</v>
      </c>
      <c r="E549">
        <v>1.1000000000000001</v>
      </c>
      <c r="F549">
        <v>0.40639999999999998</v>
      </c>
      <c r="G549">
        <v>0.26540000000000002</v>
      </c>
      <c r="H549">
        <v>0</v>
      </c>
      <c r="I549">
        <v>3.6255000000000002</v>
      </c>
      <c r="J549">
        <v>0.29880000000000001</v>
      </c>
      <c r="K549">
        <v>2.6808999999999998</v>
      </c>
      <c r="L549">
        <v>0.17419999999999999</v>
      </c>
      <c r="M549">
        <v>1.5800000000000002E-2</v>
      </c>
      <c r="N549">
        <v>1.09E-2</v>
      </c>
      <c r="O549">
        <v>0.53639999999999999</v>
      </c>
      <c r="P549">
        <v>1.3434999999999999</v>
      </c>
      <c r="Q549">
        <v>2.3014000000000001</v>
      </c>
      <c r="R549">
        <v>0.36859999999999998</v>
      </c>
      <c r="S549">
        <v>0.76680000000000004</v>
      </c>
    </row>
    <row r="550" spans="1:19" x14ac:dyDescent="0.25">
      <c r="A550" t="s">
        <v>369</v>
      </c>
      <c r="B550" t="s">
        <v>3</v>
      </c>
      <c r="D550" t="s">
        <v>5</v>
      </c>
      <c r="E550">
        <v>1.5</v>
      </c>
      <c r="F550">
        <v>0</v>
      </c>
      <c r="G550">
        <v>0.114</v>
      </c>
      <c r="H550">
        <v>0.114</v>
      </c>
      <c r="I550">
        <v>2.2185999999999999</v>
      </c>
      <c r="J550">
        <v>0.44490000000000002</v>
      </c>
      <c r="K550">
        <v>8.4809000000000001</v>
      </c>
      <c r="L550">
        <v>8.6800000000000002E-2</v>
      </c>
      <c r="M550">
        <v>1.5800000000000002E-2</v>
      </c>
      <c r="N550">
        <v>1.09E-2</v>
      </c>
      <c r="O550">
        <v>0.36159999999999998</v>
      </c>
      <c r="P550">
        <v>0</v>
      </c>
      <c r="Q550">
        <v>0</v>
      </c>
      <c r="R550">
        <v>0.3584</v>
      </c>
      <c r="S550">
        <v>0.42370000000000002</v>
      </c>
    </row>
    <row r="551" spans="1:19" x14ac:dyDescent="0.25">
      <c r="A551" t="s">
        <v>585</v>
      </c>
      <c r="B551" t="s">
        <v>24</v>
      </c>
      <c r="D551" t="s">
        <v>6</v>
      </c>
      <c r="E551">
        <v>0.57999999999999996</v>
      </c>
      <c r="F551">
        <v>0.11990000000000001</v>
      </c>
      <c r="G551">
        <v>1.7228000000000001</v>
      </c>
      <c r="H551">
        <v>1.6029</v>
      </c>
      <c r="I551">
        <v>1.3173999999999999</v>
      </c>
      <c r="J551">
        <v>1.5036</v>
      </c>
      <c r="K551">
        <v>3.2111999999999998</v>
      </c>
      <c r="L551">
        <v>0.35249999999999998</v>
      </c>
      <c r="M551">
        <v>1.5800000000000002E-2</v>
      </c>
      <c r="N551">
        <v>1.09E-2</v>
      </c>
      <c r="O551">
        <v>0.89300000000000002</v>
      </c>
      <c r="P551">
        <v>5.4720000000000004</v>
      </c>
      <c r="Q551">
        <v>7.6623999999999999</v>
      </c>
      <c r="R551">
        <v>0.41660000000000003</v>
      </c>
      <c r="S551">
        <v>0.31909999999999999</v>
      </c>
    </row>
    <row r="552" spans="1:19" x14ac:dyDescent="0.25">
      <c r="A552" t="s">
        <v>258</v>
      </c>
      <c r="B552" t="s">
        <v>24</v>
      </c>
      <c r="D552" t="s">
        <v>9</v>
      </c>
      <c r="E552">
        <v>0.65</v>
      </c>
      <c r="F552">
        <v>0.73509999999999998</v>
      </c>
      <c r="G552">
        <v>0.70899999999999996</v>
      </c>
      <c r="H552">
        <v>0</v>
      </c>
      <c r="I552">
        <v>4.7572999999999999</v>
      </c>
      <c r="J552">
        <v>0.1517</v>
      </c>
      <c r="K552">
        <v>4.3506</v>
      </c>
      <c r="L552">
        <v>0.1351</v>
      </c>
      <c r="M552">
        <v>1.5800000000000002E-2</v>
      </c>
      <c r="N552">
        <v>1.09E-2</v>
      </c>
      <c r="O552">
        <v>0.4582</v>
      </c>
      <c r="P552">
        <v>1.1479999999999999</v>
      </c>
      <c r="Q552">
        <v>1.5128999999999999</v>
      </c>
      <c r="R552">
        <v>0.43140000000000001</v>
      </c>
      <c r="S552">
        <v>0.27289999999999998</v>
      </c>
    </row>
    <row r="553" spans="1:19" x14ac:dyDescent="0.25">
      <c r="A553" t="s">
        <v>782</v>
      </c>
      <c r="B553" t="s">
        <v>3</v>
      </c>
      <c r="D553" t="s">
        <v>25</v>
      </c>
      <c r="E553">
        <v>1.07</v>
      </c>
      <c r="F553">
        <v>0.1638</v>
      </c>
      <c r="G553">
        <v>0.35199999999999998</v>
      </c>
      <c r="H553">
        <v>0.18820000000000001</v>
      </c>
      <c r="I553">
        <v>1.5662</v>
      </c>
      <c r="J553">
        <v>5.5301</v>
      </c>
      <c r="K553">
        <v>8.7444000000000006</v>
      </c>
      <c r="L553">
        <v>0.22420000000000001</v>
      </c>
      <c r="M553">
        <v>1.5800000000000002E-2</v>
      </c>
      <c r="N553">
        <v>1.09E-2</v>
      </c>
      <c r="O553">
        <v>0.63639999999999997</v>
      </c>
      <c r="P553">
        <v>0</v>
      </c>
      <c r="Q553">
        <v>0</v>
      </c>
      <c r="R553">
        <v>0.4289</v>
      </c>
      <c r="S553">
        <v>0.40610000000000002</v>
      </c>
    </row>
    <row r="554" spans="1:19" x14ac:dyDescent="0.25">
      <c r="A554" t="s">
        <v>913</v>
      </c>
      <c r="B554" t="s">
        <v>3</v>
      </c>
      <c r="D554" t="s">
        <v>16</v>
      </c>
      <c r="E554">
        <v>0.99</v>
      </c>
      <c r="F554">
        <v>0.16489999999999999</v>
      </c>
      <c r="G554">
        <v>0.35360000000000003</v>
      </c>
      <c r="H554">
        <v>0.18870000000000001</v>
      </c>
      <c r="I554">
        <v>1.4478</v>
      </c>
      <c r="J554">
        <v>11.903</v>
      </c>
      <c r="K554">
        <v>10.8996</v>
      </c>
      <c r="L554">
        <v>0.22520000000000001</v>
      </c>
      <c r="M554">
        <v>1.5800000000000002E-2</v>
      </c>
      <c r="N554">
        <v>1.09E-2</v>
      </c>
      <c r="O554">
        <v>0.63839999999999997</v>
      </c>
      <c r="P554">
        <v>0</v>
      </c>
      <c r="Q554">
        <v>0</v>
      </c>
      <c r="R554">
        <v>0.42920000000000003</v>
      </c>
      <c r="S554">
        <v>0.40749999999999997</v>
      </c>
    </row>
    <row r="555" spans="1:19" x14ac:dyDescent="0.25">
      <c r="A555" t="s">
        <v>467</v>
      </c>
      <c r="B555" t="s">
        <v>24</v>
      </c>
      <c r="D555" t="s">
        <v>34</v>
      </c>
      <c r="E555">
        <v>0.67</v>
      </c>
      <c r="F555">
        <v>0.37480000000000002</v>
      </c>
      <c r="G555">
        <v>1.0188999999999999</v>
      </c>
      <c r="H555">
        <v>0.64410000000000001</v>
      </c>
      <c r="I555">
        <v>4.0991999999999997</v>
      </c>
      <c r="J555">
        <v>0.89829999999999999</v>
      </c>
      <c r="K555">
        <v>1.8744000000000001</v>
      </c>
      <c r="L555">
        <v>0.13769999999999999</v>
      </c>
      <c r="M555">
        <v>1.5800000000000002E-2</v>
      </c>
      <c r="N555">
        <v>1.09E-2</v>
      </c>
      <c r="O555">
        <v>0.46339999999999998</v>
      </c>
      <c r="P555">
        <v>10.2873</v>
      </c>
      <c r="Q555">
        <v>10.588800000000001</v>
      </c>
      <c r="R555">
        <v>0.49280000000000002</v>
      </c>
      <c r="S555">
        <v>0.95889999999999997</v>
      </c>
    </row>
    <row r="556" spans="1:19" x14ac:dyDescent="0.25">
      <c r="A556" t="s">
        <v>889</v>
      </c>
      <c r="B556" t="s">
        <v>3</v>
      </c>
      <c r="D556" t="s">
        <v>22</v>
      </c>
      <c r="E556">
        <v>0.67</v>
      </c>
      <c r="F556">
        <v>0.1966</v>
      </c>
      <c r="G556">
        <v>0.4052</v>
      </c>
      <c r="H556">
        <v>0.20860000000000001</v>
      </c>
      <c r="I556">
        <v>1.9617</v>
      </c>
      <c r="J556">
        <v>2.1741999999999999</v>
      </c>
      <c r="K556">
        <v>3.9502999999999999</v>
      </c>
      <c r="L556">
        <v>0.25490000000000002</v>
      </c>
      <c r="M556">
        <v>1.5800000000000002E-2</v>
      </c>
      <c r="N556">
        <v>1.09E-2</v>
      </c>
      <c r="O556">
        <v>0.69779999999999998</v>
      </c>
      <c r="P556">
        <v>0</v>
      </c>
      <c r="Q556">
        <v>0</v>
      </c>
      <c r="R556">
        <v>0.437</v>
      </c>
      <c r="S556">
        <v>0.4521</v>
      </c>
    </row>
    <row r="557" spans="1:19" x14ac:dyDescent="0.25">
      <c r="A557" t="s">
        <v>890</v>
      </c>
      <c r="B557" t="s">
        <v>3</v>
      </c>
      <c r="D557" t="s">
        <v>5</v>
      </c>
      <c r="E557">
        <v>2.2000000000000002</v>
      </c>
      <c r="F557">
        <v>4.1000000000000002E-2</v>
      </c>
      <c r="G557">
        <v>0.32400000000000001</v>
      </c>
      <c r="H557">
        <v>0.28299999999999997</v>
      </c>
      <c r="I557">
        <v>1.9662999999999999</v>
      </c>
      <c r="J557">
        <v>1.5121</v>
      </c>
      <c r="K557">
        <v>9.5559999999999992</v>
      </c>
      <c r="L557">
        <v>0.26250000000000001</v>
      </c>
      <c r="M557">
        <v>1.5800000000000002E-2</v>
      </c>
      <c r="N557">
        <v>1.09E-2</v>
      </c>
      <c r="O557">
        <v>0.71299999999999997</v>
      </c>
      <c r="P557">
        <v>0</v>
      </c>
      <c r="Q557">
        <v>0</v>
      </c>
      <c r="R557">
        <v>0.39439999999999997</v>
      </c>
      <c r="S557">
        <v>0.62539999999999996</v>
      </c>
    </row>
    <row r="558" spans="1:19" x14ac:dyDescent="0.25">
      <c r="A558" t="s">
        <v>602</v>
      </c>
      <c r="B558" t="s">
        <v>3</v>
      </c>
      <c r="D558" t="s">
        <v>15</v>
      </c>
      <c r="E558">
        <v>2.84</v>
      </c>
      <c r="F558">
        <v>0</v>
      </c>
      <c r="G558">
        <v>0.27200000000000002</v>
      </c>
      <c r="H558">
        <v>0.27200000000000002</v>
      </c>
      <c r="I558">
        <v>1.3769</v>
      </c>
      <c r="J558">
        <v>1.758</v>
      </c>
      <c r="K558">
        <v>6.3418000000000001</v>
      </c>
      <c r="L558">
        <v>0.1807</v>
      </c>
      <c r="M558">
        <v>1.5800000000000002E-2</v>
      </c>
      <c r="N558">
        <v>1.09E-2</v>
      </c>
      <c r="O558">
        <v>0.5494</v>
      </c>
      <c r="P558">
        <v>0</v>
      </c>
      <c r="Q558">
        <v>0</v>
      </c>
      <c r="R558">
        <v>0.34749999999999998</v>
      </c>
      <c r="S558">
        <v>0.36370000000000002</v>
      </c>
    </row>
    <row r="559" spans="1:19" x14ac:dyDescent="0.25">
      <c r="A559" t="s">
        <v>517</v>
      </c>
      <c r="B559" t="s">
        <v>24</v>
      </c>
      <c r="D559" t="s">
        <v>32</v>
      </c>
      <c r="E559">
        <v>0.95</v>
      </c>
      <c r="F559">
        <v>0.33329999999999999</v>
      </c>
      <c r="G559">
        <v>0.68720000000000003</v>
      </c>
      <c r="H559">
        <v>0.35389999999999999</v>
      </c>
      <c r="I559">
        <v>2.5173000000000001</v>
      </c>
      <c r="J559">
        <v>1.8233999999999999</v>
      </c>
      <c r="K559">
        <v>4.8577000000000004</v>
      </c>
      <c r="L559">
        <v>0.49199999999999999</v>
      </c>
      <c r="M559">
        <v>1.5800000000000002E-2</v>
      </c>
      <c r="N559">
        <v>1.09E-2</v>
      </c>
      <c r="O559">
        <v>1.1719999999999999</v>
      </c>
      <c r="P559">
        <v>0.92500000000000004</v>
      </c>
      <c r="Q559">
        <v>2.8717999999999999</v>
      </c>
      <c r="R559">
        <v>0.24360000000000001</v>
      </c>
      <c r="S559">
        <v>0.82410000000000005</v>
      </c>
    </row>
    <row r="560" spans="1:19" x14ac:dyDescent="0.25">
      <c r="A560" t="s">
        <v>800</v>
      </c>
      <c r="B560" t="s">
        <v>24</v>
      </c>
      <c r="D560" t="s">
        <v>33</v>
      </c>
      <c r="E560">
        <v>0.76</v>
      </c>
      <c r="F560">
        <v>0.1618</v>
      </c>
      <c r="G560">
        <v>0.23130000000000001</v>
      </c>
      <c r="H560">
        <v>6.9500000000000006E-2</v>
      </c>
      <c r="I560">
        <v>1.7401</v>
      </c>
      <c r="J560">
        <v>2.0356999999999998</v>
      </c>
      <c r="K560">
        <v>2.9775</v>
      </c>
      <c r="L560">
        <v>0.43309999999999998</v>
      </c>
      <c r="M560">
        <v>1.5800000000000002E-2</v>
      </c>
      <c r="N560">
        <v>1.09E-2</v>
      </c>
      <c r="O560">
        <v>1.0542</v>
      </c>
      <c r="P560">
        <v>1.4024000000000001</v>
      </c>
      <c r="Q560">
        <v>2.1711999999999998</v>
      </c>
      <c r="R560">
        <v>0.39240000000000003</v>
      </c>
      <c r="S560">
        <v>0.30199999999999999</v>
      </c>
    </row>
    <row r="561" spans="1:19" x14ac:dyDescent="0.25">
      <c r="A561" t="s">
        <v>317</v>
      </c>
      <c r="B561" t="s">
        <v>24</v>
      </c>
      <c r="D561" t="s">
        <v>12</v>
      </c>
      <c r="E561">
        <v>1.78</v>
      </c>
      <c r="F561">
        <v>0.42659999999999998</v>
      </c>
      <c r="G561">
        <v>1.0099</v>
      </c>
      <c r="H561">
        <v>0.58330000000000004</v>
      </c>
      <c r="I561">
        <v>4.8143000000000002</v>
      </c>
      <c r="J561">
        <v>1.7578</v>
      </c>
      <c r="K561">
        <v>5.7450000000000001</v>
      </c>
      <c r="L561">
        <v>1.0505</v>
      </c>
      <c r="M561">
        <v>1.5800000000000002E-2</v>
      </c>
      <c r="N561">
        <v>1.09E-2</v>
      </c>
      <c r="O561">
        <v>2.2890000000000001</v>
      </c>
      <c r="P561">
        <v>42.424999999999997</v>
      </c>
      <c r="Q561">
        <v>37.276699999999998</v>
      </c>
      <c r="R561">
        <v>0.5323</v>
      </c>
      <c r="S561">
        <v>0.49280000000000002</v>
      </c>
    </row>
    <row r="562" spans="1:19" x14ac:dyDescent="0.25">
      <c r="A562" t="s">
        <v>658</v>
      </c>
      <c r="B562" t="s">
        <v>3</v>
      </c>
      <c r="D562" t="s">
        <v>13</v>
      </c>
      <c r="E562">
        <v>2.95</v>
      </c>
      <c r="F562">
        <v>0</v>
      </c>
      <c r="G562">
        <v>9.1300000000000006E-2</v>
      </c>
      <c r="H562">
        <v>9.1300000000000006E-2</v>
      </c>
      <c r="I562">
        <v>0.41839999999999999</v>
      </c>
      <c r="J562">
        <v>5.5292000000000003</v>
      </c>
      <c r="K562">
        <v>10.972099999999999</v>
      </c>
      <c r="L562">
        <v>0.3024</v>
      </c>
      <c r="M562">
        <v>1.5800000000000002E-2</v>
      </c>
      <c r="N562">
        <v>1.09E-2</v>
      </c>
      <c r="O562">
        <v>0.79279999999999995</v>
      </c>
      <c r="P562">
        <v>0</v>
      </c>
      <c r="Q562">
        <v>0</v>
      </c>
      <c r="R562">
        <v>0.36880000000000002</v>
      </c>
      <c r="S562">
        <v>0.25679999999999997</v>
      </c>
    </row>
    <row r="563" spans="1:19" x14ac:dyDescent="0.25">
      <c r="A563" t="s">
        <v>665</v>
      </c>
      <c r="B563" t="s">
        <v>24</v>
      </c>
      <c r="D563" t="s">
        <v>894</v>
      </c>
      <c r="E563">
        <v>0.59</v>
      </c>
      <c r="F563">
        <v>0.5484</v>
      </c>
      <c r="G563">
        <v>0.8014</v>
      </c>
      <c r="H563">
        <v>0.253</v>
      </c>
      <c r="I563">
        <v>5.9222999999999999</v>
      </c>
      <c r="J563">
        <v>1.3229</v>
      </c>
      <c r="K563">
        <v>2.9333999999999998</v>
      </c>
      <c r="L563">
        <v>0.15939999999999999</v>
      </c>
      <c r="M563">
        <v>1.5800000000000002E-2</v>
      </c>
      <c r="N563">
        <v>1.09E-2</v>
      </c>
      <c r="O563">
        <v>0.50680000000000003</v>
      </c>
      <c r="P563">
        <v>3.8645999999999998</v>
      </c>
      <c r="Q563">
        <v>4.3202999999999996</v>
      </c>
      <c r="R563">
        <v>0.47220000000000001</v>
      </c>
      <c r="S563">
        <v>0.49909999999999999</v>
      </c>
    </row>
    <row r="564" spans="1:19" x14ac:dyDescent="0.25">
      <c r="A564" t="s">
        <v>745</v>
      </c>
      <c r="B564" t="s">
        <v>24</v>
      </c>
      <c r="D564" t="s">
        <v>895</v>
      </c>
      <c r="E564">
        <v>0.77</v>
      </c>
      <c r="F564">
        <v>0.74160000000000004</v>
      </c>
      <c r="G564">
        <v>1.1706000000000001</v>
      </c>
      <c r="H564">
        <v>0.42899999999999999</v>
      </c>
      <c r="I564">
        <v>6.4724000000000004</v>
      </c>
      <c r="J564">
        <v>0.61839999999999995</v>
      </c>
      <c r="K564">
        <v>5.3071000000000002</v>
      </c>
      <c r="L564">
        <v>0.1719</v>
      </c>
      <c r="M564">
        <v>1.5800000000000002E-2</v>
      </c>
      <c r="N564">
        <v>1.09E-2</v>
      </c>
      <c r="O564">
        <v>0.53180000000000005</v>
      </c>
      <c r="P564">
        <v>3.5274000000000001</v>
      </c>
      <c r="Q564">
        <v>6.0819999999999999</v>
      </c>
      <c r="R564">
        <v>0.36709999999999998</v>
      </c>
      <c r="S564">
        <v>0.32779999999999998</v>
      </c>
    </row>
    <row r="565" spans="1:19" x14ac:dyDescent="0.25">
      <c r="A565" t="s">
        <v>705</v>
      </c>
      <c r="B565" t="s">
        <v>24</v>
      </c>
      <c r="D565" t="s">
        <v>6</v>
      </c>
      <c r="E565">
        <v>0.55000000000000004</v>
      </c>
      <c r="F565">
        <v>0.2576</v>
      </c>
      <c r="G565">
        <v>1.0978000000000001</v>
      </c>
      <c r="H565">
        <v>0.84019999999999995</v>
      </c>
      <c r="I565">
        <v>1.4836</v>
      </c>
      <c r="J565">
        <v>0.42130000000000001</v>
      </c>
      <c r="K565">
        <v>4.1978999999999997</v>
      </c>
      <c r="L565">
        <v>0.19939999999999999</v>
      </c>
      <c r="M565">
        <v>1.5800000000000002E-2</v>
      </c>
      <c r="N565">
        <v>1.09E-2</v>
      </c>
      <c r="O565">
        <v>0.58679999999999999</v>
      </c>
      <c r="P565">
        <v>3.9115000000000002</v>
      </c>
      <c r="Q565">
        <v>2.2443</v>
      </c>
      <c r="R565">
        <v>0.63539999999999996</v>
      </c>
      <c r="S565">
        <v>0.59509999999999996</v>
      </c>
    </row>
    <row r="566" spans="1:19" x14ac:dyDescent="0.25">
      <c r="A566" t="s">
        <v>595</v>
      </c>
      <c r="B566" t="s">
        <v>3</v>
      </c>
      <c r="D566" t="s">
        <v>896</v>
      </c>
      <c r="E566">
        <v>1.03</v>
      </c>
      <c r="F566">
        <v>8.7900000000000006E-2</v>
      </c>
      <c r="G566">
        <v>0.2412</v>
      </c>
      <c r="H566">
        <v>0.15329999999999999</v>
      </c>
      <c r="I566">
        <v>0.47270000000000001</v>
      </c>
      <c r="J566">
        <v>1.7021999999999999</v>
      </c>
      <c r="K566">
        <v>6.8308999999999997</v>
      </c>
      <c r="L566">
        <v>0.71830000000000005</v>
      </c>
      <c r="M566">
        <v>1.5800000000000002E-2</v>
      </c>
      <c r="N566">
        <v>1.09E-2</v>
      </c>
      <c r="O566">
        <v>1.6246</v>
      </c>
      <c r="P566">
        <v>0</v>
      </c>
      <c r="Q566">
        <v>0</v>
      </c>
      <c r="R566">
        <v>0.40839999999999999</v>
      </c>
      <c r="S566">
        <v>0.3105</v>
      </c>
    </row>
    <row r="567" spans="1:19" x14ac:dyDescent="0.25">
      <c r="A567" t="s">
        <v>582</v>
      </c>
      <c r="B567" t="s">
        <v>3</v>
      </c>
      <c r="D567" t="s">
        <v>2</v>
      </c>
      <c r="E567">
        <v>1.1599999999999999</v>
      </c>
      <c r="F567">
        <v>6.4399999999999999E-2</v>
      </c>
      <c r="G567">
        <v>0.18490000000000001</v>
      </c>
      <c r="H567">
        <v>0.1205</v>
      </c>
      <c r="I567">
        <v>2.1040000000000001</v>
      </c>
      <c r="J567">
        <v>3.4453</v>
      </c>
      <c r="K567">
        <v>8.8864999999999998</v>
      </c>
      <c r="L567">
        <v>0.12770000000000001</v>
      </c>
      <c r="M567">
        <v>1.5800000000000002E-2</v>
      </c>
      <c r="N567">
        <v>1.09E-2</v>
      </c>
      <c r="O567">
        <v>0.44340000000000002</v>
      </c>
      <c r="P567">
        <v>0</v>
      </c>
      <c r="Q567">
        <v>0</v>
      </c>
      <c r="R567">
        <v>0.39550000000000002</v>
      </c>
      <c r="S567">
        <v>0.80920000000000003</v>
      </c>
    </row>
    <row r="568" spans="1:19" x14ac:dyDescent="0.25">
      <c r="A568" t="s">
        <v>257</v>
      </c>
      <c r="B568" t="s">
        <v>24</v>
      </c>
      <c r="D568" t="s">
        <v>19</v>
      </c>
      <c r="E568">
        <v>0.44</v>
      </c>
      <c r="F568">
        <v>0.1618</v>
      </c>
      <c r="G568">
        <v>0.32379999999999998</v>
      </c>
      <c r="H568">
        <v>0.16200000000000001</v>
      </c>
      <c r="I568">
        <v>0.7167</v>
      </c>
      <c r="J568">
        <v>0.47</v>
      </c>
      <c r="K568">
        <v>5.2039999999999997</v>
      </c>
      <c r="L568">
        <v>0.85</v>
      </c>
      <c r="M568">
        <v>1.5800000000000002E-2</v>
      </c>
      <c r="N568">
        <v>1.09E-2</v>
      </c>
      <c r="O568">
        <v>1.8879999999999999</v>
      </c>
      <c r="P568">
        <v>55.630800000000001</v>
      </c>
      <c r="Q568">
        <v>73.301000000000002</v>
      </c>
      <c r="R568">
        <v>0.43149999999999999</v>
      </c>
      <c r="S568">
        <v>0.38179999999999997</v>
      </c>
    </row>
    <row r="569" spans="1:19" x14ac:dyDescent="0.25">
      <c r="A569" t="s">
        <v>295</v>
      </c>
      <c r="B569" t="s">
        <v>24</v>
      </c>
      <c r="D569" t="s">
        <v>873</v>
      </c>
      <c r="E569">
        <v>2.1</v>
      </c>
      <c r="F569">
        <v>0.30209999999999998</v>
      </c>
      <c r="G569">
        <v>0.50919999999999999</v>
      </c>
      <c r="H569">
        <v>0.20710000000000001</v>
      </c>
      <c r="I569">
        <v>2.3666</v>
      </c>
      <c r="J569">
        <v>2.1985000000000001</v>
      </c>
      <c r="K569">
        <v>5.6172000000000004</v>
      </c>
      <c r="L569">
        <v>0.31769999999999998</v>
      </c>
      <c r="M569">
        <v>1.5800000000000002E-2</v>
      </c>
      <c r="N569">
        <v>1.09E-2</v>
      </c>
      <c r="O569">
        <v>0.82340000000000002</v>
      </c>
      <c r="P569">
        <v>1.1062000000000001</v>
      </c>
      <c r="Q569">
        <v>1.7746999999999999</v>
      </c>
      <c r="R569">
        <v>0.38400000000000001</v>
      </c>
      <c r="S569">
        <v>0.48609999999999998</v>
      </c>
    </row>
    <row r="570" spans="1:19" x14ac:dyDescent="0.25">
      <c r="A570" t="s">
        <v>701</v>
      </c>
      <c r="B570" t="s">
        <v>24</v>
      </c>
      <c r="D570" t="s">
        <v>13</v>
      </c>
      <c r="E570">
        <v>0.98</v>
      </c>
      <c r="F570">
        <v>0.15690000000000001</v>
      </c>
      <c r="G570">
        <v>0.21190000000000001</v>
      </c>
      <c r="H570">
        <v>5.5E-2</v>
      </c>
      <c r="I570">
        <v>1.7456</v>
      </c>
      <c r="J570">
        <v>1.9420999999999999</v>
      </c>
      <c r="K570">
        <v>4.6020000000000003</v>
      </c>
      <c r="L570">
        <v>0.14330000000000001</v>
      </c>
      <c r="M570">
        <v>1.5800000000000002E-2</v>
      </c>
      <c r="N570">
        <v>1.09E-2</v>
      </c>
      <c r="O570">
        <v>0.47460000000000002</v>
      </c>
      <c r="P570">
        <v>26.698499999999999</v>
      </c>
      <c r="Q570">
        <v>42.036200000000001</v>
      </c>
      <c r="R570">
        <v>0.38840000000000002</v>
      </c>
      <c r="S570">
        <v>0.28520000000000001</v>
      </c>
    </row>
    <row r="571" spans="1:19" x14ac:dyDescent="0.25">
      <c r="A571" t="s">
        <v>759</v>
      </c>
      <c r="B571" t="s">
        <v>24</v>
      </c>
      <c r="D571" t="s">
        <v>14</v>
      </c>
      <c r="E571">
        <v>0.43</v>
      </c>
      <c r="F571">
        <v>0.43359999999999999</v>
      </c>
      <c r="G571">
        <v>0.40200000000000002</v>
      </c>
      <c r="H571">
        <v>0</v>
      </c>
      <c r="I571">
        <v>5.7907000000000002</v>
      </c>
      <c r="J571">
        <v>1.5259</v>
      </c>
      <c r="K571">
        <v>6.9877000000000002</v>
      </c>
      <c r="L571">
        <v>0.25309999999999999</v>
      </c>
      <c r="M571">
        <v>1.5800000000000002E-2</v>
      </c>
      <c r="N571">
        <v>1.09E-2</v>
      </c>
      <c r="O571">
        <v>0.69420000000000004</v>
      </c>
      <c r="P571">
        <v>2.6194000000000002</v>
      </c>
      <c r="Q571">
        <v>3.3803000000000001</v>
      </c>
      <c r="R571">
        <v>0.43659999999999999</v>
      </c>
      <c r="S571">
        <v>0.44940000000000002</v>
      </c>
    </row>
    <row r="572" spans="1:19" x14ac:dyDescent="0.25">
      <c r="A572" t="s">
        <v>382</v>
      </c>
      <c r="B572" t="s">
        <v>24</v>
      </c>
      <c r="D572" t="s">
        <v>22</v>
      </c>
      <c r="E572">
        <v>0.75</v>
      </c>
      <c r="F572">
        <v>0.60550000000000004</v>
      </c>
      <c r="G572">
        <v>0.73540000000000005</v>
      </c>
      <c r="H572">
        <v>0.12989999999999999</v>
      </c>
      <c r="I572">
        <v>5.2708000000000004</v>
      </c>
      <c r="J572">
        <v>1.4965999999999999</v>
      </c>
      <c r="K572">
        <v>1.5612999999999999</v>
      </c>
      <c r="L572">
        <v>0.75470000000000004</v>
      </c>
      <c r="M572">
        <v>1.5800000000000002E-2</v>
      </c>
      <c r="N572">
        <v>1.09E-2</v>
      </c>
      <c r="O572">
        <v>1.6974</v>
      </c>
      <c r="P572">
        <v>2.5859999999999999</v>
      </c>
      <c r="Q572">
        <v>3.4169</v>
      </c>
      <c r="R572">
        <v>0.43080000000000002</v>
      </c>
      <c r="S572">
        <v>0.47510000000000002</v>
      </c>
    </row>
    <row r="573" spans="1:19" x14ac:dyDescent="0.25">
      <c r="A573" t="s">
        <v>381</v>
      </c>
      <c r="B573" t="s">
        <v>3</v>
      </c>
      <c r="D573" t="s">
        <v>887</v>
      </c>
      <c r="E573">
        <v>0.63</v>
      </c>
      <c r="F573">
        <v>0.11749999999999999</v>
      </c>
      <c r="G573">
        <v>1.0033000000000001</v>
      </c>
      <c r="H573">
        <v>0.88580000000000003</v>
      </c>
      <c r="I573">
        <v>1.0239</v>
      </c>
      <c r="J573">
        <v>1.3551</v>
      </c>
      <c r="K573">
        <v>8.8864000000000001</v>
      </c>
      <c r="L573">
        <v>0.184</v>
      </c>
      <c r="M573">
        <v>1.5800000000000002E-2</v>
      </c>
      <c r="N573">
        <v>1.09E-2</v>
      </c>
      <c r="O573">
        <v>0.55600000000000005</v>
      </c>
      <c r="P573">
        <v>0</v>
      </c>
      <c r="Q573">
        <v>0</v>
      </c>
      <c r="R573">
        <v>0.41670000000000001</v>
      </c>
      <c r="S573">
        <v>0.34599999999999997</v>
      </c>
    </row>
    <row r="574" spans="1:19" x14ac:dyDescent="0.25">
      <c r="A574" t="s">
        <v>689</v>
      </c>
      <c r="B574" t="s">
        <v>24</v>
      </c>
      <c r="D574" t="s">
        <v>30</v>
      </c>
      <c r="E574">
        <v>1</v>
      </c>
      <c r="F574">
        <v>0.32969999999999999</v>
      </c>
      <c r="G574">
        <v>0.17630000000000001</v>
      </c>
      <c r="H574">
        <v>0</v>
      </c>
      <c r="I574">
        <v>2.8860999999999999</v>
      </c>
      <c r="J574">
        <v>2.6425000000000001</v>
      </c>
      <c r="K574">
        <v>4.6528</v>
      </c>
      <c r="L574">
        <v>0.29780000000000001</v>
      </c>
      <c r="M574">
        <v>1.5800000000000002E-2</v>
      </c>
      <c r="N574">
        <v>1.09E-2</v>
      </c>
      <c r="O574">
        <v>0.78359999999999996</v>
      </c>
      <c r="P574">
        <v>1.7609999999999999</v>
      </c>
      <c r="Q574">
        <v>1.5656000000000001</v>
      </c>
      <c r="R574">
        <v>0.52939999999999998</v>
      </c>
      <c r="S574">
        <v>0.2545</v>
      </c>
    </row>
    <row r="575" spans="1:19" x14ac:dyDescent="0.25">
      <c r="A575" t="s">
        <v>371</v>
      </c>
      <c r="B575" t="s">
        <v>24</v>
      </c>
      <c r="D575" t="s">
        <v>16</v>
      </c>
      <c r="E575">
        <v>0.86</v>
      </c>
      <c r="F575">
        <v>0.4849</v>
      </c>
      <c r="G575">
        <v>0.72609999999999997</v>
      </c>
      <c r="H575">
        <v>0.2412</v>
      </c>
      <c r="I575">
        <v>4.5305999999999997</v>
      </c>
      <c r="J575">
        <v>0.87</v>
      </c>
      <c r="K575">
        <v>4.2195999999999998</v>
      </c>
      <c r="L575">
        <v>0.52990000000000004</v>
      </c>
      <c r="M575">
        <v>1.5800000000000002E-2</v>
      </c>
      <c r="N575">
        <v>1.09E-2</v>
      </c>
      <c r="O575">
        <v>1.2478</v>
      </c>
      <c r="P575">
        <v>3.7896000000000001</v>
      </c>
      <c r="Q575">
        <v>3.8292999999999999</v>
      </c>
      <c r="R575">
        <v>0.49740000000000001</v>
      </c>
      <c r="S575">
        <v>0.50260000000000005</v>
      </c>
    </row>
    <row r="576" spans="1:19" x14ac:dyDescent="0.25">
      <c r="A576" t="s">
        <v>654</v>
      </c>
      <c r="B576" t="s">
        <v>24</v>
      </c>
      <c r="D576" t="s">
        <v>2</v>
      </c>
      <c r="E576">
        <v>1.62</v>
      </c>
      <c r="F576">
        <v>0.16200000000000001</v>
      </c>
      <c r="G576">
        <v>0.52090000000000003</v>
      </c>
      <c r="H576">
        <v>0.3589</v>
      </c>
      <c r="I576">
        <v>1.8440000000000001</v>
      </c>
      <c r="J576">
        <v>2.1857000000000002</v>
      </c>
      <c r="K576">
        <v>5.9870000000000001</v>
      </c>
      <c r="L576">
        <v>0.42920000000000003</v>
      </c>
      <c r="M576">
        <v>1.5800000000000002E-2</v>
      </c>
      <c r="N576">
        <v>1.09E-2</v>
      </c>
      <c r="O576">
        <v>1.0464</v>
      </c>
      <c r="P576">
        <v>2.2383000000000002</v>
      </c>
      <c r="Q576">
        <v>2.4723999999999999</v>
      </c>
      <c r="R576">
        <v>0.47520000000000001</v>
      </c>
      <c r="S576">
        <v>0.57069999999999999</v>
      </c>
    </row>
    <row r="577" spans="1:19" x14ac:dyDescent="0.25">
      <c r="A577" t="s">
        <v>921</v>
      </c>
      <c r="B577" t="s">
        <v>24</v>
      </c>
      <c r="D577" t="s">
        <v>6</v>
      </c>
      <c r="E577">
        <v>1.07</v>
      </c>
      <c r="F577">
        <v>0.29699999999999999</v>
      </c>
      <c r="G577">
        <v>0.41889999999999999</v>
      </c>
      <c r="H577">
        <v>0.12189999999999999</v>
      </c>
      <c r="I577">
        <v>5.3570000000000002</v>
      </c>
      <c r="J577">
        <v>0.77869999999999995</v>
      </c>
      <c r="K577">
        <v>6.3094999999999999</v>
      </c>
      <c r="L577">
        <v>0.26490000000000002</v>
      </c>
      <c r="M577">
        <v>1.5800000000000002E-2</v>
      </c>
      <c r="N577">
        <v>1.09E-2</v>
      </c>
      <c r="O577">
        <v>0.71779999999999999</v>
      </c>
      <c r="P577">
        <v>6.2404000000000002</v>
      </c>
      <c r="Q577">
        <v>12.705500000000001</v>
      </c>
      <c r="R577">
        <v>0.32940000000000003</v>
      </c>
      <c r="S577">
        <v>0.46989999999999998</v>
      </c>
    </row>
    <row r="578" spans="1:19" x14ac:dyDescent="0.25">
      <c r="A578" t="s">
        <v>926</v>
      </c>
      <c r="B578" t="s">
        <v>3</v>
      </c>
      <c r="D578" t="s">
        <v>23</v>
      </c>
      <c r="E578">
        <v>2.2799999999999998</v>
      </c>
      <c r="F578">
        <v>0.21210000000000001</v>
      </c>
      <c r="G578">
        <v>0.4466</v>
      </c>
      <c r="H578">
        <v>0.23449999999999999</v>
      </c>
      <c r="I578">
        <v>2.5661999999999998</v>
      </c>
      <c r="J578">
        <v>2.3734999999999999</v>
      </c>
      <c r="K578">
        <v>8.9494000000000007</v>
      </c>
      <c r="L578">
        <v>0.28050000000000003</v>
      </c>
      <c r="M578">
        <v>1.5800000000000002E-2</v>
      </c>
      <c r="N578">
        <v>1.09E-2</v>
      </c>
      <c r="O578">
        <v>0.749</v>
      </c>
      <c r="P578">
        <v>0</v>
      </c>
      <c r="Q578">
        <v>0</v>
      </c>
      <c r="R578">
        <v>0.434</v>
      </c>
      <c r="S578">
        <v>0.4924</v>
      </c>
    </row>
    <row r="579" spans="1:19" x14ac:dyDescent="0.25">
      <c r="A579" t="s">
        <v>561</v>
      </c>
      <c r="B579" t="s">
        <v>24</v>
      </c>
      <c r="D579" t="s">
        <v>928</v>
      </c>
      <c r="E579">
        <v>0.65</v>
      </c>
      <c r="F579">
        <v>0.2387</v>
      </c>
      <c r="G579">
        <v>0.4884</v>
      </c>
      <c r="H579">
        <v>0.24970000000000001</v>
      </c>
      <c r="I579">
        <v>1.7230000000000001</v>
      </c>
      <c r="J579">
        <v>5.1778000000000004</v>
      </c>
      <c r="K579">
        <v>6.0404</v>
      </c>
      <c r="L579">
        <v>0.3039</v>
      </c>
      <c r="M579">
        <v>1.5800000000000002E-2</v>
      </c>
      <c r="N579">
        <v>1.09E-2</v>
      </c>
      <c r="O579">
        <v>0.79579999999999995</v>
      </c>
      <c r="P579">
        <v>4.3559999999999999</v>
      </c>
      <c r="Q579">
        <v>5.4715999999999996</v>
      </c>
      <c r="R579">
        <v>0.44319999999999998</v>
      </c>
      <c r="S579">
        <v>0.52649999999999997</v>
      </c>
    </row>
    <row r="580" spans="1:19" x14ac:dyDescent="0.25">
      <c r="A580" t="s">
        <v>929</v>
      </c>
      <c r="B580" t="s">
        <v>3</v>
      </c>
      <c r="D580" t="s">
        <v>14</v>
      </c>
      <c r="E580">
        <v>0.88</v>
      </c>
      <c r="F580">
        <v>0.2404</v>
      </c>
      <c r="G580">
        <v>0.39479999999999998</v>
      </c>
      <c r="H580">
        <v>0.15440000000000001</v>
      </c>
      <c r="I580">
        <v>1.8614999999999999</v>
      </c>
      <c r="J580">
        <v>1.6497999999999999</v>
      </c>
      <c r="K580">
        <v>3.3847</v>
      </c>
      <c r="L580">
        <v>0.25140000000000001</v>
      </c>
      <c r="M580">
        <v>1.5800000000000002E-2</v>
      </c>
      <c r="N580">
        <v>1.09E-2</v>
      </c>
      <c r="O580">
        <v>0.69079999999999997</v>
      </c>
      <c r="P580">
        <v>0</v>
      </c>
      <c r="Q580">
        <v>0</v>
      </c>
      <c r="R580">
        <v>0.4219</v>
      </c>
      <c r="S580">
        <v>0.45029999999999998</v>
      </c>
    </row>
    <row r="581" spans="1:19" x14ac:dyDescent="0.25">
      <c r="A581" t="s">
        <v>734</v>
      </c>
      <c r="B581" t="s">
        <v>24</v>
      </c>
      <c r="D581" t="s">
        <v>7</v>
      </c>
      <c r="E581">
        <v>0.56999999999999995</v>
      </c>
      <c r="F581">
        <v>0.23569999999999999</v>
      </c>
      <c r="G581">
        <v>0.48370000000000002</v>
      </c>
      <c r="H581">
        <v>0.248</v>
      </c>
      <c r="I581">
        <v>1.6621999999999999</v>
      </c>
      <c r="J581">
        <v>1.3360000000000001</v>
      </c>
      <c r="K581">
        <v>3.9268999999999998</v>
      </c>
      <c r="L581">
        <v>0.30120000000000002</v>
      </c>
      <c r="M581">
        <v>1.5800000000000002E-2</v>
      </c>
      <c r="N581">
        <v>1.09E-2</v>
      </c>
      <c r="O581">
        <v>0.79039999999999999</v>
      </c>
      <c r="P581">
        <v>10.136699999999999</v>
      </c>
      <c r="Q581">
        <v>7.1807999999999996</v>
      </c>
      <c r="R581">
        <v>0.58530000000000004</v>
      </c>
      <c r="S581">
        <v>0.52259999999999995</v>
      </c>
    </row>
    <row r="582" spans="1:19" x14ac:dyDescent="0.25">
      <c r="A582" t="s">
        <v>931</v>
      </c>
      <c r="B582" t="s">
        <v>3</v>
      </c>
      <c r="D582" t="s">
        <v>5</v>
      </c>
      <c r="E582">
        <v>0.89</v>
      </c>
      <c r="F582">
        <v>0.18160000000000001</v>
      </c>
      <c r="G582">
        <v>0.39989999999999998</v>
      </c>
      <c r="H582">
        <v>0.21829999999999999</v>
      </c>
      <c r="I582">
        <v>0.96719999999999995</v>
      </c>
      <c r="J582">
        <v>1.7079</v>
      </c>
      <c r="K582">
        <v>10.000400000000001</v>
      </c>
      <c r="L582">
        <v>0.25430000000000003</v>
      </c>
      <c r="M582">
        <v>1.5800000000000002E-2</v>
      </c>
      <c r="N582">
        <v>1.09E-2</v>
      </c>
      <c r="O582">
        <v>0.6966</v>
      </c>
      <c r="P582">
        <v>0</v>
      </c>
      <c r="Q582">
        <v>0</v>
      </c>
      <c r="R582">
        <v>0.42320000000000002</v>
      </c>
      <c r="S582">
        <v>0.45440000000000003</v>
      </c>
    </row>
    <row r="583" spans="1:19" x14ac:dyDescent="0.25">
      <c r="A583" t="s">
        <v>932</v>
      </c>
      <c r="B583" t="s">
        <v>3</v>
      </c>
      <c r="D583" t="s">
        <v>901</v>
      </c>
      <c r="E583">
        <v>1.42</v>
      </c>
      <c r="F583">
        <v>0.17150000000000001</v>
      </c>
      <c r="G583">
        <v>0.38479999999999998</v>
      </c>
      <c r="H583">
        <v>0.21329999999999999</v>
      </c>
      <c r="I583">
        <v>1.7571000000000001</v>
      </c>
      <c r="J583">
        <v>1.5424</v>
      </c>
      <c r="K583">
        <v>6.1906999999999996</v>
      </c>
      <c r="L583">
        <v>0.24579999999999999</v>
      </c>
      <c r="M583">
        <v>1.5800000000000002E-2</v>
      </c>
      <c r="N583">
        <v>1.09E-2</v>
      </c>
      <c r="O583">
        <v>0.67959999999999998</v>
      </c>
      <c r="P583">
        <v>0</v>
      </c>
      <c r="Q583">
        <v>0</v>
      </c>
      <c r="R583">
        <v>0.41959999999999997</v>
      </c>
      <c r="S583">
        <v>0.44209999999999999</v>
      </c>
    </row>
    <row r="584" spans="1:19" x14ac:dyDescent="0.25">
      <c r="A584" t="s">
        <v>750</v>
      </c>
      <c r="B584" t="s">
        <v>24</v>
      </c>
      <c r="D584" t="s">
        <v>15</v>
      </c>
      <c r="E584">
        <v>0.56999999999999995</v>
      </c>
      <c r="F584">
        <v>0.22869999999999999</v>
      </c>
      <c r="G584">
        <v>0.47260000000000002</v>
      </c>
      <c r="H584">
        <v>0.24390000000000001</v>
      </c>
      <c r="I584">
        <v>1.5331999999999999</v>
      </c>
      <c r="J584">
        <v>2.8902000000000001</v>
      </c>
      <c r="K584">
        <v>5.3975999999999997</v>
      </c>
      <c r="L584">
        <v>0.29499999999999998</v>
      </c>
      <c r="M584">
        <v>1.5800000000000002E-2</v>
      </c>
      <c r="N584">
        <v>1.09E-2</v>
      </c>
      <c r="O584">
        <v>0.77800000000000002</v>
      </c>
      <c r="P584">
        <v>29.0166</v>
      </c>
      <c r="Q584">
        <v>27.296299999999999</v>
      </c>
      <c r="R584">
        <v>0.51529999999999998</v>
      </c>
      <c r="S584">
        <v>0.51349999999999996</v>
      </c>
    </row>
    <row r="585" spans="1:19" x14ac:dyDescent="0.25">
      <c r="A585" t="s">
        <v>935</v>
      </c>
      <c r="B585" t="s">
        <v>24</v>
      </c>
      <c r="D585" t="s">
        <v>31</v>
      </c>
      <c r="E585">
        <v>2.46</v>
      </c>
      <c r="F585">
        <v>0.79759999999999998</v>
      </c>
      <c r="G585">
        <v>0.91239999999999999</v>
      </c>
      <c r="H585">
        <v>0.1148</v>
      </c>
      <c r="I585">
        <v>4.6395999999999997</v>
      </c>
      <c r="J585">
        <v>0.33279999999999998</v>
      </c>
      <c r="K585">
        <v>3.1036000000000001</v>
      </c>
      <c r="L585">
        <v>0.3135</v>
      </c>
      <c r="M585">
        <v>1.5800000000000002E-2</v>
      </c>
      <c r="N585">
        <v>1.09E-2</v>
      </c>
      <c r="O585">
        <v>0.81499999999999995</v>
      </c>
      <c r="P585">
        <v>15.4114</v>
      </c>
      <c r="Q585">
        <v>28.853899999999999</v>
      </c>
      <c r="R585">
        <v>0.34820000000000001</v>
      </c>
      <c r="S585">
        <v>0.60329999999999995</v>
      </c>
    </row>
    <row r="586" spans="1:19" x14ac:dyDescent="0.25">
      <c r="A586" t="s">
        <v>938</v>
      </c>
      <c r="B586" t="s">
        <v>24</v>
      </c>
      <c r="D586" t="s">
        <v>939</v>
      </c>
      <c r="E586">
        <v>0.54</v>
      </c>
      <c r="F586">
        <v>0.26240000000000002</v>
      </c>
      <c r="G586">
        <v>0.46150000000000002</v>
      </c>
      <c r="H586">
        <v>0.1991</v>
      </c>
      <c r="I586">
        <v>2.8382999999999998</v>
      </c>
      <c r="J586">
        <v>2.653</v>
      </c>
      <c r="K586">
        <v>5.0128000000000004</v>
      </c>
      <c r="L586">
        <v>0.2888</v>
      </c>
      <c r="M586">
        <v>1.5800000000000002E-2</v>
      </c>
      <c r="N586">
        <v>1.09E-2</v>
      </c>
      <c r="O586">
        <v>0.76559999999999995</v>
      </c>
      <c r="P586">
        <v>5.1676000000000002</v>
      </c>
      <c r="Q586">
        <v>6.1105</v>
      </c>
      <c r="R586">
        <v>0.4582</v>
      </c>
      <c r="S586">
        <v>0.85409999999999997</v>
      </c>
    </row>
    <row r="587" spans="1:19" x14ac:dyDescent="0.25">
      <c r="A587" t="s">
        <v>940</v>
      </c>
      <c r="B587" t="s">
        <v>3</v>
      </c>
      <c r="D587" t="s">
        <v>8</v>
      </c>
      <c r="E587">
        <v>1.99</v>
      </c>
      <c r="F587">
        <v>0.18509999999999999</v>
      </c>
      <c r="G587">
        <v>0.4052</v>
      </c>
      <c r="H587">
        <v>0.22009999999999999</v>
      </c>
      <c r="I587">
        <v>0.99760000000000004</v>
      </c>
      <c r="J587">
        <v>0.69830000000000003</v>
      </c>
      <c r="K587">
        <v>6.9512999999999998</v>
      </c>
      <c r="L587">
        <v>0.25729999999999997</v>
      </c>
      <c r="M587">
        <v>1.5800000000000002E-2</v>
      </c>
      <c r="N587">
        <v>1.09E-2</v>
      </c>
      <c r="O587">
        <v>0.7026</v>
      </c>
      <c r="P587">
        <v>0</v>
      </c>
      <c r="Q587">
        <v>0</v>
      </c>
      <c r="R587">
        <v>0.4244</v>
      </c>
      <c r="S587">
        <v>0.45879999999999999</v>
      </c>
    </row>
    <row r="588" spans="1:19" x14ac:dyDescent="0.25">
      <c r="A588" t="s">
        <v>486</v>
      </c>
      <c r="B588" t="s">
        <v>24</v>
      </c>
      <c r="D588" t="s">
        <v>87</v>
      </c>
      <c r="E588">
        <v>0.55000000000000004</v>
      </c>
      <c r="F588">
        <v>0.2918</v>
      </c>
      <c r="G588">
        <v>0.4698</v>
      </c>
      <c r="H588">
        <v>0.17799999999999999</v>
      </c>
      <c r="I588">
        <v>3.0101</v>
      </c>
      <c r="J588">
        <v>1.1842999999999999</v>
      </c>
      <c r="K588">
        <v>3.5777999999999999</v>
      </c>
      <c r="L588">
        <v>0.29349999999999998</v>
      </c>
      <c r="M588">
        <v>1.5800000000000002E-2</v>
      </c>
      <c r="N588">
        <v>1.09E-2</v>
      </c>
      <c r="O588">
        <v>0.77500000000000002</v>
      </c>
      <c r="P588">
        <v>3.7521</v>
      </c>
      <c r="Q588">
        <v>9.8468</v>
      </c>
      <c r="R588">
        <v>0.27589999999999998</v>
      </c>
      <c r="S588">
        <v>0.51129999999999998</v>
      </c>
    </row>
    <row r="589" spans="1:19" x14ac:dyDescent="0.25">
      <c r="A589" t="s">
        <v>630</v>
      </c>
      <c r="B589" t="s">
        <v>3</v>
      </c>
      <c r="D589" t="s">
        <v>12</v>
      </c>
      <c r="E589">
        <v>1.59</v>
      </c>
      <c r="F589">
        <v>0.19539999999999999</v>
      </c>
      <c r="G589">
        <v>0.40489999999999998</v>
      </c>
      <c r="H589">
        <v>0.20949999999999999</v>
      </c>
      <c r="I589">
        <v>0.99570000000000003</v>
      </c>
      <c r="J589">
        <v>6.0513000000000003</v>
      </c>
      <c r="K589">
        <v>6.9371999999999998</v>
      </c>
      <c r="L589">
        <v>0.2571</v>
      </c>
      <c r="M589">
        <v>1.5800000000000002E-2</v>
      </c>
      <c r="N589">
        <v>1.09E-2</v>
      </c>
      <c r="O589">
        <v>0.70220000000000005</v>
      </c>
      <c r="P589">
        <v>0</v>
      </c>
      <c r="Q589">
        <v>0</v>
      </c>
      <c r="R589">
        <v>0.42430000000000001</v>
      </c>
      <c r="S589">
        <v>0.45850000000000002</v>
      </c>
    </row>
    <row r="590" spans="1:19" x14ac:dyDescent="0.25">
      <c r="A590" t="s">
        <v>783</v>
      </c>
      <c r="B590" t="s">
        <v>24</v>
      </c>
      <c r="D590" t="s">
        <v>27</v>
      </c>
      <c r="E590">
        <v>0.62</v>
      </c>
      <c r="F590">
        <v>0.26350000000000001</v>
      </c>
      <c r="G590">
        <v>0.4108</v>
      </c>
      <c r="H590">
        <v>0.14729999999999999</v>
      </c>
      <c r="I590">
        <v>3.0644999999999998</v>
      </c>
      <c r="J590">
        <v>1.841</v>
      </c>
      <c r="K590">
        <v>3.6949000000000001</v>
      </c>
      <c r="L590">
        <v>0.26040000000000002</v>
      </c>
      <c r="M590">
        <v>1.5800000000000002E-2</v>
      </c>
      <c r="N590">
        <v>1.09E-2</v>
      </c>
      <c r="O590">
        <v>0.70879999999999999</v>
      </c>
      <c r="P590">
        <v>2.5417999999999998</v>
      </c>
      <c r="Q590">
        <v>5.5900999999999996</v>
      </c>
      <c r="R590">
        <v>0.31259999999999999</v>
      </c>
      <c r="S590">
        <v>0.77969999999999995</v>
      </c>
    </row>
    <row r="591" spans="1:19" x14ac:dyDescent="0.25">
      <c r="A591" t="s">
        <v>461</v>
      </c>
      <c r="B591" t="s">
        <v>24</v>
      </c>
      <c r="D591" t="s">
        <v>6</v>
      </c>
      <c r="E591">
        <v>1.31</v>
      </c>
      <c r="F591">
        <v>0.61429999999999996</v>
      </c>
      <c r="G591">
        <v>0.72460000000000002</v>
      </c>
      <c r="H591">
        <v>0.1103</v>
      </c>
      <c r="I591">
        <v>4.4878999999999998</v>
      </c>
      <c r="J591">
        <v>1.8687</v>
      </c>
      <c r="K591">
        <v>5.3802000000000003</v>
      </c>
      <c r="L591">
        <v>0.1898</v>
      </c>
      <c r="M591">
        <v>1.5800000000000002E-2</v>
      </c>
      <c r="N591">
        <v>1.09E-2</v>
      </c>
      <c r="O591">
        <v>0.56759999999999999</v>
      </c>
      <c r="P591">
        <v>1.3777999999999999</v>
      </c>
      <c r="Q591">
        <v>3.6166999999999998</v>
      </c>
      <c r="R591">
        <v>0.27589999999999998</v>
      </c>
      <c r="S591">
        <v>0.59450000000000003</v>
      </c>
    </row>
    <row r="592" spans="1:19" x14ac:dyDescent="0.25">
      <c r="A592" t="s">
        <v>947</v>
      </c>
      <c r="B592" t="s">
        <v>3</v>
      </c>
      <c r="D592" t="s">
        <v>7</v>
      </c>
      <c r="E592">
        <v>1.1599999999999999</v>
      </c>
      <c r="F592">
        <v>0.21709999999999999</v>
      </c>
      <c r="G592">
        <v>0.43709999999999999</v>
      </c>
      <c r="H592">
        <v>0.22</v>
      </c>
      <c r="I592">
        <v>3.6118999999999999</v>
      </c>
      <c r="J592">
        <v>3.5259999999999998</v>
      </c>
      <c r="K592">
        <v>9.7919</v>
      </c>
      <c r="L592">
        <v>0.27510000000000001</v>
      </c>
      <c r="M592">
        <v>1.5800000000000002E-2</v>
      </c>
      <c r="N592">
        <v>1.09E-2</v>
      </c>
      <c r="O592">
        <v>0.73819999999999997</v>
      </c>
      <c r="P592">
        <v>0</v>
      </c>
      <c r="Q592">
        <v>0</v>
      </c>
      <c r="R592">
        <v>0.43180000000000002</v>
      </c>
      <c r="S592">
        <v>0.81810000000000005</v>
      </c>
    </row>
    <row r="593" spans="1:19" x14ac:dyDescent="0.25">
      <c r="A593" t="s">
        <v>973</v>
      </c>
      <c r="B593" t="s">
        <v>3</v>
      </c>
      <c r="D593" t="s">
        <v>11</v>
      </c>
      <c r="E593">
        <v>0.66</v>
      </c>
      <c r="F593">
        <v>0.2389</v>
      </c>
      <c r="G593">
        <v>0.48880000000000001</v>
      </c>
      <c r="H593">
        <v>0.24990000000000001</v>
      </c>
      <c r="I593">
        <v>1.7273000000000001</v>
      </c>
      <c r="J593">
        <v>1.3985000000000001</v>
      </c>
      <c r="K593">
        <v>4.0705999999999998</v>
      </c>
      <c r="L593">
        <v>0.30409999999999998</v>
      </c>
      <c r="M593">
        <v>1.5800000000000002E-2</v>
      </c>
      <c r="N593">
        <v>1.09E-2</v>
      </c>
      <c r="O593">
        <v>0.79620000000000002</v>
      </c>
      <c r="P593">
        <v>0</v>
      </c>
      <c r="Q593">
        <v>0</v>
      </c>
      <c r="R593">
        <v>0.44330000000000003</v>
      </c>
      <c r="S593">
        <v>0.52669999999999995</v>
      </c>
    </row>
    <row r="594" spans="1:19" x14ac:dyDescent="0.25">
      <c r="A594" t="s">
        <v>948</v>
      </c>
      <c r="B594" t="s">
        <v>3</v>
      </c>
      <c r="D594" t="s">
        <v>4</v>
      </c>
      <c r="E594">
        <v>1.1100000000000001</v>
      </c>
      <c r="F594">
        <v>0.22470000000000001</v>
      </c>
      <c r="G594">
        <v>0.46639999999999998</v>
      </c>
      <c r="H594">
        <v>0.2417</v>
      </c>
      <c r="I594">
        <v>1.468</v>
      </c>
      <c r="J594">
        <v>2.7532000000000001</v>
      </c>
      <c r="K594">
        <v>3.4979</v>
      </c>
      <c r="L594">
        <v>0.29149999999999998</v>
      </c>
      <c r="M594">
        <v>1.5800000000000002E-2</v>
      </c>
      <c r="N594">
        <v>1.09E-2</v>
      </c>
      <c r="O594">
        <v>0.77100000000000002</v>
      </c>
      <c r="P594">
        <v>0</v>
      </c>
      <c r="Q594">
        <v>0</v>
      </c>
      <c r="R594">
        <v>0.43840000000000001</v>
      </c>
      <c r="S594">
        <v>0.50849999999999995</v>
      </c>
    </row>
    <row r="595" spans="1:19" x14ac:dyDescent="0.25">
      <c r="A595" t="s">
        <v>974</v>
      </c>
      <c r="B595" t="s">
        <v>24</v>
      </c>
      <c r="D595" t="s">
        <v>23</v>
      </c>
      <c r="E595">
        <v>1.1299999999999999</v>
      </c>
      <c r="F595">
        <v>0.36309999999999998</v>
      </c>
      <c r="G595">
        <v>0.32350000000000001</v>
      </c>
      <c r="H595">
        <v>0</v>
      </c>
      <c r="I595">
        <v>3.0933999999999999</v>
      </c>
      <c r="J595">
        <v>1.6953</v>
      </c>
      <c r="K595">
        <v>1.6702999999999999</v>
      </c>
      <c r="L595">
        <v>0.50009999999999999</v>
      </c>
      <c r="M595">
        <v>1.5800000000000002E-2</v>
      </c>
      <c r="N595">
        <v>1.09E-2</v>
      </c>
      <c r="O595">
        <v>1.1881999999999999</v>
      </c>
      <c r="P595">
        <v>2.2837999999999998</v>
      </c>
      <c r="Q595">
        <v>3.6545999999999998</v>
      </c>
      <c r="R595">
        <v>0.3846</v>
      </c>
      <c r="S595">
        <v>0.39229999999999998</v>
      </c>
    </row>
    <row r="596" spans="1:19" x14ac:dyDescent="0.25">
      <c r="A596" t="s">
        <v>949</v>
      </c>
      <c r="B596" t="s">
        <v>24</v>
      </c>
      <c r="D596" t="s">
        <v>140</v>
      </c>
      <c r="E596">
        <v>1.62</v>
      </c>
      <c r="F596">
        <v>0.43540000000000001</v>
      </c>
      <c r="G596">
        <v>0.74960000000000004</v>
      </c>
      <c r="H596">
        <v>0.31419999999999998</v>
      </c>
      <c r="I596">
        <v>3.9498000000000002</v>
      </c>
      <c r="J596">
        <v>2.2320000000000002</v>
      </c>
      <c r="K596">
        <v>9.2225000000000001</v>
      </c>
      <c r="L596">
        <v>0.2361</v>
      </c>
      <c r="M596">
        <v>1.5800000000000002E-2</v>
      </c>
      <c r="N596">
        <v>1.09E-2</v>
      </c>
      <c r="O596">
        <v>0.66020000000000001</v>
      </c>
      <c r="P596">
        <v>6.2662000000000004</v>
      </c>
      <c r="Q596">
        <v>15.066700000000001</v>
      </c>
      <c r="R596">
        <v>0.29370000000000002</v>
      </c>
      <c r="S596">
        <v>1.0038</v>
      </c>
    </row>
    <row r="597" spans="1:19" x14ac:dyDescent="0.25">
      <c r="A597" t="s">
        <v>950</v>
      </c>
      <c r="B597" t="s">
        <v>3</v>
      </c>
      <c r="D597" t="s">
        <v>23</v>
      </c>
      <c r="E597">
        <v>0.74</v>
      </c>
      <c r="F597">
        <v>0.24399999999999999</v>
      </c>
      <c r="G597">
        <v>0.46899999999999997</v>
      </c>
      <c r="H597">
        <v>0.22500000000000001</v>
      </c>
      <c r="I597">
        <v>1.4947999999999999</v>
      </c>
      <c r="J597">
        <v>4.4439000000000002</v>
      </c>
      <c r="K597">
        <v>5.2671000000000001</v>
      </c>
      <c r="L597">
        <v>0.68759999999999999</v>
      </c>
      <c r="M597">
        <v>1.5800000000000002E-2</v>
      </c>
      <c r="N597">
        <v>1.09E-2</v>
      </c>
      <c r="O597">
        <v>1.5631999999999999</v>
      </c>
      <c r="P597">
        <v>0</v>
      </c>
      <c r="Q597">
        <v>0</v>
      </c>
      <c r="R597">
        <v>0.439</v>
      </c>
      <c r="S597">
        <v>0.51060000000000005</v>
      </c>
    </row>
    <row r="598" spans="1:19" x14ac:dyDescent="0.25">
      <c r="A598" t="s">
        <v>951</v>
      </c>
      <c r="B598" t="s">
        <v>24</v>
      </c>
      <c r="D598" t="s">
        <v>15</v>
      </c>
      <c r="E598">
        <v>0.61</v>
      </c>
      <c r="F598">
        <v>0.34200000000000003</v>
      </c>
      <c r="G598">
        <v>0.42680000000000001</v>
      </c>
      <c r="H598">
        <v>8.48E-2</v>
      </c>
      <c r="I598">
        <v>2.2585999999999999</v>
      </c>
      <c r="J598">
        <v>0.82969999999999999</v>
      </c>
      <c r="K598">
        <v>6.6158999999999999</v>
      </c>
      <c r="L598">
        <v>0.26929999999999998</v>
      </c>
      <c r="M598">
        <v>1.5800000000000002E-2</v>
      </c>
      <c r="N598">
        <v>1.09E-2</v>
      </c>
      <c r="O598">
        <v>0.72660000000000002</v>
      </c>
      <c r="P598">
        <v>68.329899999999995</v>
      </c>
      <c r="Q598">
        <v>66.529200000000003</v>
      </c>
      <c r="R598">
        <v>0.50670000000000004</v>
      </c>
      <c r="S598">
        <v>0.4763</v>
      </c>
    </row>
    <row r="599" spans="1:19" x14ac:dyDescent="0.25">
      <c r="A599" t="s">
        <v>333</v>
      </c>
      <c r="B599" t="s">
        <v>24</v>
      </c>
      <c r="D599" t="s">
        <v>9</v>
      </c>
      <c r="E599">
        <v>0.57999999999999996</v>
      </c>
      <c r="F599">
        <v>0.2397</v>
      </c>
      <c r="G599">
        <v>0.49</v>
      </c>
      <c r="H599">
        <v>0.25030000000000002</v>
      </c>
      <c r="I599">
        <v>1.7437</v>
      </c>
      <c r="J599">
        <v>3.33</v>
      </c>
      <c r="K599">
        <v>4.1069000000000004</v>
      </c>
      <c r="L599">
        <v>0.30480000000000002</v>
      </c>
      <c r="M599">
        <v>1.5800000000000002E-2</v>
      </c>
      <c r="N599">
        <v>1.09E-2</v>
      </c>
      <c r="O599">
        <v>0.79759999999999998</v>
      </c>
      <c r="P599">
        <v>33.863</v>
      </c>
      <c r="Q599">
        <v>25.699300000000001</v>
      </c>
      <c r="R599">
        <v>0.56850000000000001</v>
      </c>
      <c r="S599">
        <v>0.52780000000000005</v>
      </c>
    </row>
    <row r="600" spans="1:19" x14ac:dyDescent="0.25">
      <c r="A600" t="s">
        <v>952</v>
      </c>
      <c r="B600" t="s">
        <v>24</v>
      </c>
      <c r="D600" t="s">
        <v>18</v>
      </c>
      <c r="E600">
        <v>1.43</v>
      </c>
      <c r="F600">
        <v>0.30620000000000003</v>
      </c>
      <c r="G600">
        <v>0.89600000000000002</v>
      </c>
      <c r="H600">
        <v>0.58979999999999999</v>
      </c>
      <c r="I600">
        <v>4.7229000000000001</v>
      </c>
      <c r="J600">
        <v>2.5486</v>
      </c>
      <c r="K600">
        <v>5.0499000000000001</v>
      </c>
      <c r="L600">
        <v>0.19500000000000001</v>
      </c>
      <c r="M600">
        <v>1.5800000000000002E-2</v>
      </c>
      <c r="N600">
        <v>1.09E-2</v>
      </c>
      <c r="O600">
        <v>0.57799999999999996</v>
      </c>
      <c r="P600">
        <v>3.0844</v>
      </c>
      <c r="Q600">
        <v>2.7080000000000002</v>
      </c>
      <c r="R600">
        <v>0.53249999999999997</v>
      </c>
      <c r="S600">
        <v>0.84819999999999995</v>
      </c>
    </row>
    <row r="601" spans="1:19" x14ac:dyDescent="0.25">
      <c r="A601" t="s">
        <v>817</v>
      </c>
      <c r="B601" t="s">
        <v>24</v>
      </c>
      <c r="D601" t="s">
        <v>13</v>
      </c>
      <c r="E601">
        <v>0.56999999999999995</v>
      </c>
      <c r="F601">
        <v>0.2175</v>
      </c>
      <c r="G601">
        <v>0.4551</v>
      </c>
      <c r="H601">
        <v>0.23760000000000001</v>
      </c>
      <c r="I601">
        <v>1.3597999999999999</v>
      </c>
      <c r="J601">
        <v>1.0458000000000001</v>
      </c>
      <c r="K601">
        <v>3.2591999999999999</v>
      </c>
      <c r="L601">
        <v>0.28520000000000001</v>
      </c>
      <c r="M601">
        <v>1.5800000000000002E-2</v>
      </c>
      <c r="N601">
        <v>1.09E-2</v>
      </c>
      <c r="O601">
        <v>0.75839999999999996</v>
      </c>
      <c r="P601">
        <v>3.3698000000000001</v>
      </c>
      <c r="Q601">
        <v>4.3609999999999998</v>
      </c>
      <c r="R601">
        <v>0.43590000000000001</v>
      </c>
      <c r="S601">
        <v>0.84470000000000001</v>
      </c>
    </row>
    <row r="602" spans="1:19" x14ac:dyDescent="0.25">
      <c r="A602" t="s">
        <v>398</v>
      </c>
      <c r="B602" t="s">
        <v>24</v>
      </c>
      <c r="D602" t="s">
        <v>18</v>
      </c>
      <c r="E602">
        <v>0.54</v>
      </c>
      <c r="F602">
        <v>0.2324</v>
      </c>
      <c r="G602">
        <v>0.47839999999999999</v>
      </c>
      <c r="H602">
        <v>0.246</v>
      </c>
      <c r="I602">
        <v>1.5992</v>
      </c>
      <c r="J602">
        <v>1.2755000000000001</v>
      </c>
      <c r="K602">
        <v>3.7877000000000001</v>
      </c>
      <c r="L602">
        <v>0.29830000000000001</v>
      </c>
      <c r="M602">
        <v>1.5800000000000002E-2</v>
      </c>
      <c r="N602">
        <v>1.09E-2</v>
      </c>
      <c r="O602">
        <v>0.78459999999999996</v>
      </c>
      <c r="P602">
        <v>9.6864000000000008</v>
      </c>
      <c r="Q602">
        <v>8.7095000000000002</v>
      </c>
      <c r="R602">
        <v>0.52659999999999996</v>
      </c>
      <c r="S602">
        <v>0.51829999999999998</v>
      </c>
    </row>
    <row r="603" spans="1:19" x14ac:dyDescent="0.25">
      <c r="A603" t="s">
        <v>975</v>
      </c>
      <c r="B603" t="s">
        <v>3</v>
      </c>
      <c r="D603" t="s">
        <v>29</v>
      </c>
      <c r="E603">
        <v>0.99</v>
      </c>
      <c r="F603">
        <v>0.14660000000000001</v>
      </c>
      <c r="G603">
        <v>0.3478</v>
      </c>
      <c r="H603">
        <v>0.20119999999999999</v>
      </c>
      <c r="I603">
        <v>0.72660000000000002</v>
      </c>
      <c r="J603">
        <v>2.7404000000000002</v>
      </c>
      <c r="K603">
        <v>9.89</v>
      </c>
      <c r="L603">
        <v>0.22509999999999999</v>
      </c>
      <c r="M603">
        <v>1.5800000000000002E-2</v>
      </c>
      <c r="N603">
        <v>1.09E-2</v>
      </c>
      <c r="O603">
        <v>0.63819999999999999</v>
      </c>
      <c r="P603">
        <v>0</v>
      </c>
      <c r="Q603">
        <v>0</v>
      </c>
      <c r="R603">
        <v>0.41049999999999998</v>
      </c>
      <c r="S603">
        <v>0.68710000000000004</v>
      </c>
    </row>
    <row r="604" spans="1:19" x14ac:dyDescent="0.25">
      <c r="A604" t="s">
        <v>816</v>
      </c>
      <c r="B604" t="s">
        <v>24</v>
      </c>
      <c r="D604" t="s">
        <v>6</v>
      </c>
      <c r="E604">
        <v>0.64</v>
      </c>
      <c r="F604">
        <v>0.34589999999999999</v>
      </c>
      <c r="G604">
        <v>0.41909999999999997</v>
      </c>
      <c r="H604">
        <v>7.3200000000000001E-2</v>
      </c>
      <c r="I604">
        <v>4.2952000000000004</v>
      </c>
      <c r="J604">
        <v>4.2892000000000001</v>
      </c>
      <c r="K604">
        <v>6.3193999999999999</v>
      </c>
      <c r="L604">
        <v>0.2651</v>
      </c>
      <c r="M604">
        <v>1.5800000000000002E-2</v>
      </c>
      <c r="N604">
        <v>1.09E-2</v>
      </c>
      <c r="O604">
        <v>0.71819999999999995</v>
      </c>
      <c r="P604">
        <v>3.8633000000000002</v>
      </c>
      <c r="Q604">
        <v>5.8609999999999998</v>
      </c>
      <c r="R604">
        <v>0.39729999999999999</v>
      </c>
      <c r="S604">
        <v>0.47010000000000002</v>
      </c>
    </row>
    <row r="605" spans="1:19" x14ac:dyDescent="0.25">
      <c r="A605" t="s">
        <v>774</v>
      </c>
      <c r="B605" t="s">
        <v>24</v>
      </c>
      <c r="D605" t="s">
        <v>32</v>
      </c>
      <c r="E605">
        <v>0.53</v>
      </c>
      <c r="F605">
        <v>0.30359999999999998</v>
      </c>
      <c r="G605">
        <v>0.4698</v>
      </c>
      <c r="H605">
        <v>0.16619999999999999</v>
      </c>
      <c r="I605">
        <v>4.516</v>
      </c>
      <c r="J605">
        <v>1.1842999999999999</v>
      </c>
      <c r="K605">
        <v>3.5777999999999999</v>
      </c>
      <c r="L605">
        <v>0.29349999999999998</v>
      </c>
      <c r="M605">
        <v>1.5800000000000002E-2</v>
      </c>
      <c r="N605">
        <v>1.09E-2</v>
      </c>
      <c r="O605">
        <v>0.77500000000000002</v>
      </c>
      <c r="P605">
        <v>16.058399999999999</v>
      </c>
      <c r="Q605">
        <v>14.901999999999999</v>
      </c>
      <c r="R605">
        <v>0.51870000000000005</v>
      </c>
      <c r="S605">
        <v>0.51129999999999998</v>
      </c>
    </row>
    <row r="606" spans="1:19" x14ac:dyDescent="0.25">
      <c r="A606" t="s">
        <v>772</v>
      </c>
      <c r="B606" t="s">
        <v>24</v>
      </c>
      <c r="D606" t="s">
        <v>87</v>
      </c>
      <c r="E606">
        <v>0.87</v>
      </c>
      <c r="F606">
        <v>0.30609999999999998</v>
      </c>
      <c r="G606">
        <v>0.35139999999999999</v>
      </c>
      <c r="H606">
        <v>4.53E-2</v>
      </c>
      <c r="I606">
        <v>5.7568999999999999</v>
      </c>
      <c r="J606">
        <v>1.2343</v>
      </c>
      <c r="K606">
        <v>5.1677</v>
      </c>
      <c r="L606">
        <v>0.2271</v>
      </c>
      <c r="M606">
        <v>1.5800000000000002E-2</v>
      </c>
      <c r="N606">
        <v>1.09E-2</v>
      </c>
      <c r="O606">
        <v>0.64219999999999999</v>
      </c>
      <c r="P606">
        <v>33.467100000000002</v>
      </c>
      <c r="Q606">
        <v>35.172800000000002</v>
      </c>
      <c r="R606">
        <v>0.48759999999999998</v>
      </c>
      <c r="S606">
        <v>0.41489999999999999</v>
      </c>
    </row>
    <row r="607" spans="1:19" x14ac:dyDescent="0.25">
      <c r="A607" t="s">
        <v>956</v>
      </c>
      <c r="B607" t="s">
        <v>3</v>
      </c>
      <c r="D607" t="s">
        <v>23</v>
      </c>
      <c r="E607">
        <v>1.2</v>
      </c>
      <c r="F607">
        <v>0.17749999999999999</v>
      </c>
      <c r="G607">
        <v>0.38619999999999999</v>
      </c>
      <c r="H607">
        <v>0.2087</v>
      </c>
      <c r="I607">
        <v>2.6472000000000002</v>
      </c>
      <c r="J607">
        <v>6.3426999999999998</v>
      </c>
      <c r="K607">
        <v>9.2424999999999997</v>
      </c>
      <c r="L607">
        <v>0.24660000000000001</v>
      </c>
      <c r="M607">
        <v>1.5800000000000002E-2</v>
      </c>
      <c r="N607">
        <v>1.09E-2</v>
      </c>
      <c r="O607">
        <v>0.68120000000000003</v>
      </c>
      <c r="P607">
        <v>0</v>
      </c>
      <c r="Q607">
        <v>0</v>
      </c>
      <c r="R607">
        <v>0.4199</v>
      </c>
      <c r="S607">
        <v>0.44319999999999998</v>
      </c>
    </row>
    <row r="608" spans="1:19" x14ac:dyDescent="0.25">
      <c r="A608" t="s">
        <v>957</v>
      </c>
      <c r="B608" t="s">
        <v>3</v>
      </c>
      <c r="D608" t="s">
        <v>33</v>
      </c>
      <c r="E608">
        <v>0.95</v>
      </c>
      <c r="F608">
        <v>0.2392</v>
      </c>
      <c r="G608">
        <v>0.48920000000000002</v>
      </c>
      <c r="H608">
        <v>0.25</v>
      </c>
      <c r="I608">
        <v>1.7326999999999999</v>
      </c>
      <c r="J608">
        <v>1.4036999999999999</v>
      </c>
      <c r="K608">
        <v>12.048299999999999</v>
      </c>
      <c r="L608">
        <v>0.30430000000000001</v>
      </c>
      <c r="M608">
        <v>1.5800000000000002E-2</v>
      </c>
      <c r="N608">
        <v>1.09E-2</v>
      </c>
      <c r="O608">
        <v>0.79659999999999997</v>
      </c>
      <c r="P608">
        <v>0</v>
      </c>
      <c r="Q608">
        <v>0</v>
      </c>
      <c r="R608">
        <v>0.44340000000000002</v>
      </c>
      <c r="S608">
        <v>0.52710000000000001</v>
      </c>
    </row>
    <row r="609" spans="1:19" x14ac:dyDescent="0.25">
      <c r="A609" t="s">
        <v>587</v>
      </c>
      <c r="B609" t="s">
        <v>24</v>
      </c>
      <c r="D609" t="s">
        <v>32</v>
      </c>
      <c r="E609">
        <v>0.56999999999999995</v>
      </c>
      <c r="F609">
        <v>0.46339999999999998</v>
      </c>
      <c r="G609">
        <v>0.41760000000000003</v>
      </c>
      <c r="H609">
        <v>0</v>
      </c>
      <c r="I609">
        <v>3.1932</v>
      </c>
      <c r="J609">
        <v>0.77049999999999996</v>
      </c>
      <c r="K609">
        <v>5.0490000000000004</v>
      </c>
      <c r="L609">
        <v>0.26419999999999999</v>
      </c>
      <c r="M609">
        <v>1.5800000000000002E-2</v>
      </c>
      <c r="N609">
        <v>1.09E-2</v>
      </c>
      <c r="O609">
        <v>0.71640000000000004</v>
      </c>
      <c r="P609">
        <v>2.6444000000000001</v>
      </c>
      <c r="Q609">
        <v>3.5440999999999998</v>
      </c>
      <c r="R609">
        <v>0.42730000000000001</v>
      </c>
      <c r="S609">
        <v>0.46879999999999999</v>
      </c>
    </row>
    <row r="610" spans="1:19" x14ac:dyDescent="0.25">
      <c r="A610" t="s">
        <v>731</v>
      </c>
      <c r="B610" t="s">
        <v>3</v>
      </c>
      <c r="D610" t="s">
        <v>33</v>
      </c>
      <c r="E610">
        <v>1.1499999999999999</v>
      </c>
      <c r="F610">
        <v>0.21390000000000001</v>
      </c>
      <c r="G610">
        <v>0.36730000000000002</v>
      </c>
      <c r="H610">
        <v>0.15340000000000001</v>
      </c>
      <c r="I610">
        <v>3.1602999999999999</v>
      </c>
      <c r="J610">
        <v>2.2290000000000001</v>
      </c>
      <c r="K610">
        <v>8.3148</v>
      </c>
      <c r="L610">
        <v>0.23599999999999999</v>
      </c>
      <c r="M610">
        <v>1.5800000000000002E-2</v>
      </c>
      <c r="N610">
        <v>1.09E-2</v>
      </c>
      <c r="O610">
        <v>0.66</v>
      </c>
      <c r="P610">
        <v>0</v>
      </c>
      <c r="Q610">
        <v>0</v>
      </c>
      <c r="R610">
        <v>0.4153</v>
      </c>
      <c r="S610">
        <v>0.4279</v>
      </c>
    </row>
    <row r="611" spans="1:19" x14ac:dyDescent="0.25">
      <c r="A611" t="s">
        <v>960</v>
      </c>
      <c r="B611" t="s">
        <v>24</v>
      </c>
      <c r="D611" t="s">
        <v>9</v>
      </c>
      <c r="E611">
        <v>1.41</v>
      </c>
      <c r="F611">
        <v>0.32690000000000002</v>
      </c>
      <c r="G611">
        <v>0.28410000000000002</v>
      </c>
      <c r="H611">
        <v>0</v>
      </c>
      <c r="I611">
        <v>3.4836999999999998</v>
      </c>
      <c r="J611">
        <v>1.3216000000000001</v>
      </c>
      <c r="K611">
        <v>7.6154000000000002</v>
      </c>
      <c r="L611">
        <v>0.44919999999999999</v>
      </c>
      <c r="M611">
        <v>1.5800000000000002E-2</v>
      </c>
      <c r="N611">
        <v>1.09E-2</v>
      </c>
      <c r="O611">
        <v>1.0864</v>
      </c>
      <c r="P611">
        <v>2.4119000000000002</v>
      </c>
      <c r="Q611">
        <v>3.6057999999999999</v>
      </c>
      <c r="R611">
        <v>0.40079999999999999</v>
      </c>
      <c r="S611">
        <v>1.06</v>
      </c>
    </row>
    <row r="612" spans="1:19" x14ac:dyDescent="0.25">
      <c r="A612" t="s">
        <v>976</v>
      </c>
      <c r="B612" t="s">
        <v>3</v>
      </c>
      <c r="D612" t="s">
        <v>977</v>
      </c>
      <c r="E612">
        <v>0.72</v>
      </c>
      <c r="F612">
        <v>0.20710000000000001</v>
      </c>
      <c r="G612">
        <v>0.439</v>
      </c>
      <c r="H612">
        <v>0.2319</v>
      </c>
      <c r="I612">
        <v>2.4401000000000002</v>
      </c>
      <c r="J612">
        <v>0.91549999999999998</v>
      </c>
      <c r="K612">
        <v>9.9090000000000007</v>
      </c>
      <c r="L612">
        <v>0.2762</v>
      </c>
      <c r="M612">
        <v>1.5800000000000002E-2</v>
      </c>
      <c r="N612">
        <v>1.09E-2</v>
      </c>
      <c r="O612">
        <v>0.74039999999999995</v>
      </c>
      <c r="P612">
        <v>0</v>
      </c>
      <c r="Q612">
        <v>0</v>
      </c>
      <c r="R612">
        <v>0.43219999999999997</v>
      </c>
      <c r="S612">
        <v>0.48620000000000002</v>
      </c>
    </row>
    <row r="613" spans="1:19" x14ac:dyDescent="0.25">
      <c r="A613" t="s">
        <v>961</v>
      </c>
      <c r="B613" t="s">
        <v>24</v>
      </c>
      <c r="D613" t="s">
        <v>8</v>
      </c>
      <c r="E613">
        <v>0.6</v>
      </c>
      <c r="F613">
        <v>0.3614</v>
      </c>
      <c r="G613">
        <v>0.76849999999999996</v>
      </c>
      <c r="H613">
        <v>0.40710000000000002</v>
      </c>
      <c r="I613">
        <v>7.1654999999999998</v>
      </c>
      <c r="J613">
        <v>4.8029000000000002</v>
      </c>
      <c r="K613">
        <v>5.6359000000000004</v>
      </c>
      <c r="L613">
        <v>0.27450000000000002</v>
      </c>
      <c r="M613">
        <v>1.5800000000000002E-2</v>
      </c>
      <c r="N613">
        <v>1.09E-2</v>
      </c>
      <c r="O613">
        <v>0.73699999999999999</v>
      </c>
      <c r="P613">
        <v>8.3516999999999992</v>
      </c>
      <c r="Q613">
        <v>10.3592</v>
      </c>
      <c r="R613">
        <v>0.44640000000000002</v>
      </c>
      <c r="S613">
        <v>0.48380000000000001</v>
      </c>
    </row>
    <row r="614" spans="1:19" x14ac:dyDescent="0.25">
      <c r="A614" t="s">
        <v>963</v>
      </c>
      <c r="B614" t="s">
        <v>3</v>
      </c>
      <c r="D614" t="s">
        <v>23</v>
      </c>
      <c r="E614">
        <v>0.6</v>
      </c>
      <c r="F614">
        <v>0.21079999999999999</v>
      </c>
      <c r="G614">
        <v>0.44469999999999998</v>
      </c>
      <c r="H614">
        <v>0.2339</v>
      </c>
      <c r="I614">
        <v>1.2699</v>
      </c>
      <c r="J614">
        <v>7.8625999999999996</v>
      </c>
      <c r="K614">
        <v>8.8384999999999998</v>
      </c>
      <c r="L614">
        <v>0.27939999999999998</v>
      </c>
      <c r="M614">
        <v>1.5800000000000002E-2</v>
      </c>
      <c r="N614">
        <v>1.09E-2</v>
      </c>
      <c r="O614">
        <v>0.74680000000000002</v>
      </c>
      <c r="P614">
        <v>0</v>
      </c>
      <c r="Q614">
        <v>0</v>
      </c>
      <c r="R614">
        <v>0.4335</v>
      </c>
      <c r="S614">
        <v>0.82940000000000003</v>
      </c>
    </row>
    <row r="615" spans="1:19" x14ac:dyDescent="0.25">
      <c r="A615" t="s">
        <v>964</v>
      </c>
      <c r="B615" t="s">
        <v>3</v>
      </c>
      <c r="D615" t="s">
        <v>32</v>
      </c>
      <c r="E615">
        <v>1.1000000000000001</v>
      </c>
      <c r="F615">
        <v>0.14680000000000001</v>
      </c>
      <c r="G615">
        <v>0.31019999999999998</v>
      </c>
      <c r="H615">
        <v>0.16339999999999999</v>
      </c>
      <c r="I615">
        <v>1.7376</v>
      </c>
      <c r="J615">
        <v>2.1819999999999999</v>
      </c>
      <c r="K615">
        <v>7.4375</v>
      </c>
      <c r="L615">
        <v>0.20399999999999999</v>
      </c>
      <c r="M615">
        <v>1.5800000000000002E-2</v>
      </c>
      <c r="N615">
        <v>1.09E-2</v>
      </c>
      <c r="O615">
        <v>0.59599999999999997</v>
      </c>
      <c r="P615">
        <v>0</v>
      </c>
      <c r="Q615">
        <v>0</v>
      </c>
      <c r="R615">
        <v>0.40089999999999998</v>
      </c>
      <c r="S615">
        <v>0.38150000000000001</v>
      </c>
    </row>
    <row r="616" spans="1:19" x14ac:dyDescent="0.25">
      <c r="A616" t="s">
        <v>598</v>
      </c>
      <c r="B616" t="s">
        <v>24</v>
      </c>
      <c r="D616" t="s">
        <v>5</v>
      </c>
      <c r="E616">
        <v>0.57999999999999996</v>
      </c>
      <c r="F616">
        <v>0.32669999999999999</v>
      </c>
      <c r="G616">
        <v>0.48459999999999998</v>
      </c>
      <c r="H616">
        <v>0.15790000000000001</v>
      </c>
      <c r="I616">
        <v>3.3553000000000002</v>
      </c>
      <c r="J616">
        <v>1.3475999999999999</v>
      </c>
      <c r="K616">
        <v>3.9535999999999998</v>
      </c>
      <c r="L616">
        <v>0.30180000000000001</v>
      </c>
      <c r="M616">
        <v>1.5800000000000002E-2</v>
      </c>
      <c r="N616">
        <v>1.09E-2</v>
      </c>
      <c r="O616">
        <v>0.79159999999999997</v>
      </c>
      <c r="P616">
        <v>6.2194000000000003</v>
      </c>
      <c r="Q616">
        <v>5.3174000000000001</v>
      </c>
      <c r="R616">
        <v>0.53910000000000002</v>
      </c>
      <c r="S616">
        <v>0.88790000000000002</v>
      </c>
    </row>
    <row r="617" spans="1:19" x14ac:dyDescent="0.25">
      <c r="A617" t="s">
        <v>468</v>
      </c>
      <c r="E617">
        <v>3.25</v>
      </c>
      <c r="F617">
        <v>1.4132142857142855E-2</v>
      </c>
      <c r="G617">
        <v>0.13002857142857147</v>
      </c>
      <c r="H617">
        <v>0.15579598214285717</v>
      </c>
      <c r="I617">
        <v>1.5</v>
      </c>
      <c r="J617">
        <v>9.25</v>
      </c>
      <c r="K617">
        <v>8.1199999999999992</v>
      </c>
      <c r="L617">
        <v>0.2</v>
      </c>
      <c r="M617">
        <v>0.01</v>
      </c>
      <c r="N617">
        <v>1.09E-2</v>
      </c>
      <c r="P617">
        <v>0</v>
      </c>
      <c r="Q617">
        <v>0</v>
      </c>
    </row>
    <row r="618" spans="1:19" x14ac:dyDescent="0.25">
      <c r="A618" t="s">
        <v>1224</v>
      </c>
      <c r="E618">
        <v>1.35</v>
      </c>
      <c r="F618">
        <v>1.4132142857142855E-2</v>
      </c>
      <c r="G618">
        <v>0.13002857142857147</v>
      </c>
      <c r="H618">
        <v>0.15579598214285717</v>
      </c>
      <c r="I618">
        <v>1.5196745535714293</v>
      </c>
      <c r="J618">
        <v>3.443496875000001</v>
      </c>
      <c r="K618">
        <v>7.2275049107142824</v>
      </c>
      <c r="L618">
        <v>0.280892857142857</v>
      </c>
      <c r="M618">
        <v>1.4200000000000074E-2</v>
      </c>
      <c r="N618">
        <v>1.718437500000004E-2</v>
      </c>
      <c r="O618">
        <v>0.63295267857142878</v>
      </c>
      <c r="P618">
        <v>1.2361607142857144E-3</v>
      </c>
      <c r="Q618">
        <v>1.9450892857142859E-3</v>
      </c>
      <c r="R618">
        <v>7.0437219730941705E-2</v>
      </c>
    </row>
    <row r="622" spans="1:19" x14ac:dyDescent="0.25">
      <c r="D622" t="s">
        <v>24</v>
      </c>
      <c r="E622">
        <v>1.4378832116788318</v>
      </c>
      <c r="F622">
        <v>0.39514854014598533</v>
      </c>
      <c r="G622">
        <v>0.64842956204379543</v>
      </c>
      <c r="H622">
        <v>0.33938029197080294</v>
      </c>
      <c r="I622">
        <v>3.6578806569343065</v>
      </c>
      <c r="J622">
        <v>1.7030788321167853</v>
      </c>
      <c r="K622">
        <v>3.740863138686132</v>
      </c>
      <c r="L622">
        <v>0.29925182481751811</v>
      </c>
      <c r="M622">
        <v>1.42000000000001E-2</v>
      </c>
      <c r="N622">
        <v>1.6621897810218979E-2</v>
      </c>
      <c r="O622">
        <v>0.66967299270072989</v>
      </c>
      <c r="P622">
        <v>13.728145255474454</v>
      </c>
      <c r="Q622">
        <v>15.856843795620435</v>
      </c>
      <c r="R622">
        <v>0.40536058394160601</v>
      </c>
    </row>
    <row r="623" spans="1:19" x14ac:dyDescent="0.25">
      <c r="D623" t="s">
        <v>3</v>
      </c>
      <c r="E623">
        <v>1.8674107142857139</v>
      </c>
      <c r="F623">
        <v>1.4132142857142855E-2</v>
      </c>
      <c r="G623">
        <v>0.13002857142857147</v>
      </c>
      <c r="H623">
        <v>0.15579598214285717</v>
      </c>
      <c r="I623">
        <v>1.5196745535714293</v>
      </c>
      <c r="J623">
        <v>3.443496875000001</v>
      </c>
      <c r="K623">
        <v>7.2275049107142824</v>
      </c>
      <c r="L623">
        <v>0.280892857142857</v>
      </c>
      <c r="M623">
        <v>1.4200000000000074E-2</v>
      </c>
      <c r="N623">
        <v>1.718437500000004E-2</v>
      </c>
      <c r="O623">
        <v>0.63295267857142878</v>
      </c>
      <c r="P623">
        <v>1.2361607142857144E-3</v>
      </c>
      <c r="Q623">
        <v>1.9450892857142859E-3</v>
      </c>
      <c r="R623">
        <v>7.0437219730941705E-2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877"/>
  <sheetViews>
    <sheetView topLeftCell="A277" zoomScaleNormal="100" workbookViewId="0">
      <selection activeCell="A294" sqref="A294"/>
    </sheetView>
  </sheetViews>
  <sheetFormatPr defaultRowHeight="15" x14ac:dyDescent="0.25"/>
  <cols>
    <col min="1" max="1" width="24.5703125" bestFit="1" customWidth="1"/>
  </cols>
  <sheetData>
    <row r="1" spans="1:21" x14ac:dyDescent="0.25">
      <c r="A1" t="s">
        <v>0</v>
      </c>
      <c r="B1" t="s">
        <v>55</v>
      </c>
      <c r="C1" t="s">
        <v>54</v>
      </c>
      <c r="D1" t="s">
        <v>53</v>
      </c>
      <c r="E1" t="s">
        <v>52</v>
      </c>
      <c r="F1" t="s">
        <v>51</v>
      </c>
      <c r="G1" t="s">
        <v>50</v>
      </c>
      <c r="H1" t="s">
        <v>49</v>
      </c>
      <c r="I1" t="s">
        <v>48</v>
      </c>
      <c r="J1" t="s">
        <v>47</v>
      </c>
      <c r="K1" t="s">
        <v>46</v>
      </c>
      <c r="L1" t="s">
        <v>45</v>
      </c>
      <c r="M1" t="s">
        <v>44</v>
      </c>
      <c r="N1" t="s">
        <v>43</v>
      </c>
      <c r="O1" t="s">
        <v>42</v>
      </c>
      <c r="P1" t="s">
        <v>41</v>
      </c>
      <c r="Q1" t="s">
        <v>40</v>
      </c>
      <c r="R1" t="s">
        <v>39</v>
      </c>
      <c r="S1" t="s">
        <v>38</v>
      </c>
      <c r="T1" t="s">
        <v>37</v>
      </c>
      <c r="U1" t="s">
        <v>73</v>
      </c>
    </row>
    <row r="2" spans="1:21" x14ac:dyDescent="0.25">
      <c r="A2" t="s">
        <v>654</v>
      </c>
      <c r="B2" t="s">
        <v>104</v>
      </c>
      <c r="C2">
        <v>29</v>
      </c>
      <c r="D2" t="s">
        <v>16</v>
      </c>
      <c r="E2">
        <v>8.4835270447562792</v>
      </c>
      <c r="G2">
        <v>1.0724</v>
      </c>
      <c r="H2">
        <v>4.5819999999999999</v>
      </c>
      <c r="K2">
        <v>0.43099999999999999</v>
      </c>
      <c r="L2">
        <v>0.64139999999999997</v>
      </c>
      <c r="M2">
        <v>15.922000000000001</v>
      </c>
      <c r="N2">
        <v>2.5369999999999999</v>
      </c>
      <c r="O2">
        <v>0.55100000000000005</v>
      </c>
      <c r="P2">
        <v>0.189</v>
      </c>
      <c r="Q2">
        <v>1E-3</v>
      </c>
      <c r="R2">
        <v>1.6002000000000001</v>
      </c>
      <c r="S2">
        <v>1.8774999999999999</v>
      </c>
      <c r="T2">
        <v>0.44</v>
      </c>
      <c r="U2">
        <v>0.79200000000000004</v>
      </c>
    </row>
    <row r="3" spans="1:21" x14ac:dyDescent="0.25">
      <c r="A3" t="s">
        <v>1098</v>
      </c>
      <c r="B3" t="s">
        <v>74</v>
      </c>
      <c r="C3">
        <v>20</v>
      </c>
      <c r="D3" t="s">
        <v>23</v>
      </c>
      <c r="E3">
        <v>14</v>
      </c>
      <c r="G3">
        <v>1.91835</v>
      </c>
      <c r="H3">
        <v>8.4339999999999993</v>
      </c>
      <c r="K3">
        <v>0.93484999999999996</v>
      </c>
      <c r="L3">
        <v>0.98350000000000004</v>
      </c>
      <c r="M3">
        <v>4.3109999999999999</v>
      </c>
      <c r="N3">
        <v>2.2839999999999998</v>
      </c>
      <c r="O3">
        <v>0.66600000000000004</v>
      </c>
      <c r="P3">
        <v>2.9000000000000001E-2</v>
      </c>
      <c r="Q3">
        <v>7.0000000000000001E-3</v>
      </c>
      <c r="R3">
        <v>13.297000000000001</v>
      </c>
      <c r="S3">
        <v>16.980699999999999</v>
      </c>
      <c r="T3">
        <v>0.46</v>
      </c>
      <c r="U3">
        <v>0.60899999999999999</v>
      </c>
    </row>
    <row r="4" spans="1:21" x14ac:dyDescent="0.25">
      <c r="A4" t="s">
        <v>563</v>
      </c>
      <c r="B4" t="s">
        <v>101</v>
      </c>
      <c r="C4">
        <v>34</v>
      </c>
      <c r="D4" t="s">
        <v>1107</v>
      </c>
      <c r="E4">
        <v>13.003344709835799</v>
      </c>
      <c r="G4">
        <v>1.9335500000000001</v>
      </c>
      <c r="H4">
        <v>6.5039999999999996</v>
      </c>
      <c r="K4">
        <v>0.98140000000000005</v>
      </c>
      <c r="L4">
        <v>0.95215000000000005</v>
      </c>
      <c r="M4">
        <v>3.7029999999999998</v>
      </c>
      <c r="N4">
        <v>3.0790000000000002</v>
      </c>
      <c r="O4">
        <v>0.58199999999999996</v>
      </c>
      <c r="P4">
        <v>7.0000000000000001E-3</v>
      </c>
      <c r="Q4">
        <v>1.7999999999999999E-2</v>
      </c>
      <c r="R4">
        <v>20.159800000000001</v>
      </c>
      <c r="S4">
        <v>16.830200000000001</v>
      </c>
      <c r="T4">
        <v>0</v>
      </c>
      <c r="U4">
        <v>0.69099999999999995</v>
      </c>
    </row>
    <row r="5" spans="1:21" x14ac:dyDescent="0.25">
      <c r="A5" t="s">
        <v>521</v>
      </c>
      <c r="B5" t="s">
        <v>74</v>
      </c>
      <c r="C5">
        <v>31</v>
      </c>
      <c r="D5" t="s">
        <v>9</v>
      </c>
      <c r="E5">
        <v>13.1869909942249</v>
      </c>
      <c r="G5">
        <v>1.5582</v>
      </c>
      <c r="H5">
        <v>5.6849999999999996</v>
      </c>
      <c r="K5">
        <v>0.62</v>
      </c>
      <c r="L5">
        <v>0.93820000000000003</v>
      </c>
      <c r="M5">
        <v>9.4909999999999997</v>
      </c>
      <c r="N5">
        <v>2.5510000000000002</v>
      </c>
      <c r="O5">
        <v>0.503</v>
      </c>
      <c r="P5">
        <v>0.36</v>
      </c>
      <c r="Q5">
        <v>2.4E-2</v>
      </c>
      <c r="R5">
        <v>28.540700000000001</v>
      </c>
      <c r="S5">
        <v>28.253699999999998</v>
      </c>
      <c r="T5">
        <v>0.43</v>
      </c>
      <c r="U5">
        <v>0.46500000000000002</v>
      </c>
    </row>
    <row r="6" spans="1:21" x14ac:dyDescent="0.25">
      <c r="A6" t="s">
        <v>791</v>
      </c>
      <c r="B6" t="s">
        <v>101</v>
      </c>
      <c r="C6">
        <v>25</v>
      </c>
      <c r="D6" t="s">
        <v>901</v>
      </c>
      <c r="E6">
        <v>9.4569325256280603</v>
      </c>
      <c r="G6">
        <v>1.24115</v>
      </c>
      <c r="H6">
        <v>4.9240000000000004</v>
      </c>
      <c r="K6">
        <v>0.54854999999999998</v>
      </c>
      <c r="L6">
        <v>0.69259999999999999</v>
      </c>
      <c r="M6">
        <v>2.1960000000000002</v>
      </c>
      <c r="N6">
        <v>2.4049999999999998</v>
      </c>
      <c r="O6">
        <v>0.69799999999999995</v>
      </c>
      <c r="P6">
        <v>0.04</v>
      </c>
      <c r="Q6">
        <v>1.0999999999999999E-2</v>
      </c>
      <c r="R6">
        <v>12.2113</v>
      </c>
      <c r="S6">
        <v>13.8261</v>
      </c>
      <c r="T6">
        <v>0.43</v>
      </c>
      <c r="U6">
        <v>0.34200000000000003</v>
      </c>
    </row>
    <row r="7" spans="1:21" x14ac:dyDescent="0.25">
      <c r="A7" t="s">
        <v>335</v>
      </c>
      <c r="B7" t="s">
        <v>1108</v>
      </c>
      <c r="C7">
        <v>28</v>
      </c>
      <c r="D7" t="s">
        <v>26</v>
      </c>
      <c r="E7">
        <v>14.091224034209301</v>
      </c>
      <c r="G7">
        <v>2.1279499999999998</v>
      </c>
      <c r="H7">
        <v>9.4369999999999994</v>
      </c>
      <c r="K7">
        <v>1.1593500000000001</v>
      </c>
      <c r="L7">
        <v>0.96860000000000002</v>
      </c>
      <c r="M7">
        <v>4.8899999999999997</v>
      </c>
      <c r="N7">
        <v>1.5289999999999999</v>
      </c>
      <c r="O7">
        <v>1.119</v>
      </c>
      <c r="P7">
        <v>2.7E-2</v>
      </c>
      <c r="Q7">
        <v>3.9E-2</v>
      </c>
      <c r="R7">
        <v>0.3921</v>
      </c>
      <c r="S7">
        <v>0.74099999999999999</v>
      </c>
      <c r="T7">
        <v>0.39</v>
      </c>
      <c r="U7">
        <v>0.98</v>
      </c>
    </row>
    <row r="8" spans="1:21" x14ac:dyDescent="0.25">
      <c r="A8" t="s">
        <v>1031</v>
      </c>
      <c r="B8" t="s">
        <v>104</v>
      </c>
      <c r="C8">
        <v>28</v>
      </c>
      <c r="D8" t="s">
        <v>22</v>
      </c>
      <c r="E8">
        <v>8.8141181513471594</v>
      </c>
      <c r="G8">
        <v>1.3668</v>
      </c>
      <c r="H8">
        <v>6.7270000000000003</v>
      </c>
      <c r="K8">
        <v>0.62250000000000005</v>
      </c>
      <c r="L8">
        <v>0.74429999999999996</v>
      </c>
      <c r="M8">
        <v>10.164</v>
      </c>
      <c r="N8">
        <v>2.714</v>
      </c>
      <c r="O8">
        <v>1.2090000000000001</v>
      </c>
      <c r="P8">
        <v>0.59199999999999997</v>
      </c>
      <c r="Q8">
        <v>0.316</v>
      </c>
      <c r="R8">
        <v>1.1494</v>
      </c>
      <c r="S8">
        <v>1.0397000000000001</v>
      </c>
      <c r="T8">
        <v>0.42</v>
      </c>
      <c r="U8">
        <v>0.60699999999999998</v>
      </c>
    </row>
    <row r="9" spans="1:21" x14ac:dyDescent="0.25">
      <c r="A9" t="s">
        <v>278</v>
      </c>
      <c r="B9" t="s">
        <v>74</v>
      </c>
      <c r="C9">
        <v>29</v>
      </c>
      <c r="D9" t="s">
        <v>31</v>
      </c>
      <c r="E9">
        <v>14.188090876478</v>
      </c>
      <c r="G9">
        <v>2.79555</v>
      </c>
      <c r="H9">
        <v>7.8620000000000001</v>
      </c>
      <c r="K9">
        <v>0.99770000000000003</v>
      </c>
      <c r="L9">
        <v>1.7978499999999999</v>
      </c>
      <c r="M9">
        <v>3.9710000000000001</v>
      </c>
      <c r="N9">
        <v>2.3650000000000002</v>
      </c>
      <c r="O9">
        <v>0.47199999999999998</v>
      </c>
      <c r="P9">
        <v>6.0000000000000001E-3</v>
      </c>
      <c r="Q9">
        <v>0</v>
      </c>
      <c r="R9">
        <v>26.312100000000001</v>
      </c>
      <c r="S9">
        <v>20.511700000000001</v>
      </c>
      <c r="T9">
        <v>0.46</v>
      </c>
      <c r="U9">
        <v>0.88600000000000001</v>
      </c>
    </row>
    <row r="10" spans="1:21" x14ac:dyDescent="0.25">
      <c r="A10" t="s">
        <v>921</v>
      </c>
      <c r="B10" t="s">
        <v>103</v>
      </c>
      <c r="C10">
        <v>33</v>
      </c>
      <c r="D10" t="s">
        <v>6</v>
      </c>
      <c r="E10">
        <v>11.4202846949264</v>
      </c>
      <c r="G10">
        <v>1.7863500000000001</v>
      </c>
      <c r="H10">
        <v>6.16</v>
      </c>
      <c r="K10">
        <v>0.77485000000000004</v>
      </c>
      <c r="L10">
        <v>1.0115000000000001</v>
      </c>
      <c r="M10">
        <v>4.7779999999999996</v>
      </c>
      <c r="N10">
        <v>2.9249999999999998</v>
      </c>
      <c r="O10">
        <v>0.70699999999999996</v>
      </c>
      <c r="P10">
        <v>0.151</v>
      </c>
      <c r="Q10">
        <v>1.2999999999999999E-2</v>
      </c>
      <c r="R10">
        <v>14.5428</v>
      </c>
      <c r="S10">
        <v>15.538399999999999</v>
      </c>
      <c r="T10">
        <v>0.43</v>
      </c>
      <c r="U10">
        <v>1.113</v>
      </c>
    </row>
    <row r="11" spans="1:21" x14ac:dyDescent="0.25">
      <c r="A11" t="s">
        <v>720</v>
      </c>
      <c r="B11" t="s">
        <v>103</v>
      </c>
      <c r="C11">
        <v>34</v>
      </c>
      <c r="D11" t="s">
        <v>2</v>
      </c>
      <c r="E11">
        <v>9.8200244519664608</v>
      </c>
      <c r="G11">
        <v>1.00735</v>
      </c>
      <c r="H11">
        <v>5.0110000000000001</v>
      </c>
      <c r="K11">
        <v>0.49509999999999998</v>
      </c>
      <c r="L11">
        <v>0.51224999999999998</v>
      </c>
      <c r="M11">
        <v>4.4859999999999998</v>
      </c>
      <c r="N11">
        <v>2.2509999999999999</v>
      </c>
      <c r="O11">
        <v>0.65200000000000002</v>
      </c>
      <c r="P11">
        <v>2.1999999999999999E-2</v>
      </c>
      <c r="Q11">
        <v>4.7E-2</v>
      </c>
      <c r="R11">
        <v>1.3066</v>
      </c>
      <c r="S11">
        <v>2.5895000000000001</v>
      </c>
      <c r="T11">
        <v>0.4</v>
      </c>
      <c r="U11">
        <v>0.82499999999999996</v>
      </c>
    </row>
    <row r="12" spans="1:21" x14ac:dyDescent="0.25">
      <c r="A12" t="s">
        <v>978</v>
      </c>
      <c r="B12" t="s">
        <v>102</v>
      </c>
      <c r="C12">
        <v>27</v>
      </c>
      <c r="D12" t="s">
        <v>2</v>
      </c>
      <c r="E12">
        <v>14.9862471080324</v>
      </c>
      <c r="G12">
        <v>2.0160499999999999</v>
      </c>
      <c r="H12">
        <v>8.5530000000000008</v>
      </c>
      <c r="K12">
        <v>0.85099999999999998</v>
      </c>
      <c r="L12">
        <v>1.1650499999999999</v>
      </c>
      <c r="M12">
        <v>3.1389999999999998</v>
      </c>
      <c r="N12">
        <v>1.8029999999999999</v>
      </c>
      <c r="O12">
        <v>0.35499999999999998</v>
      </c>
      <c r="P12">
        <v>6.2E-2</v>
      </c>
      <c r="Q12">
        <v>4.2000000000000003E-2</v>
      </c>
      <c r="R12">
        <v>0.88080000000000003</v>
      </c>
      <c r="S12">
        <v>0.94069999999999998</v>
      </c>
      <c r="T12">
        <v>0.43</v>
      </c>
      <c r="U12">
        <v>1.23</v>
      </c>
    </row>
    <row r="13" spans="1:21" x14ac:dyDescent="0.25">
      <c r="A13" t="s">
        <v>523</v>
      </c>
      <c r="B13" t="s">
        <v>102</v>
      </c>
      <c r="C13">
        <v>31</v>
      </c>
      <c r="D13" t="s">
        <v>9</v>
      </c>
      <c r="E13">
        <v>12.4320727602805</v>
      </c>
      <c r="G13">
        <v>1.57165</v>
      </c>
      <c r="H13">
        <v>6.72</v>
      </c>
      <c r="K13">
        <v>0.57799999999999996</v>
      </c>
      <c r="L13">
        <v>0.99365000000000003</v>
      </c>
      <c r="M13">
        <v>2.081</v>
      </c>
      <c r="N13">
        <v>2.786</v>
      </c>
      <c r="O13">
        <v>0.315</v>
      </c>
      <c r="P13">
        <v>7.0000000000000001E-3</v>
      </c>
      <c r="Q13">
        <v>0</v>
      </c>
      <c r="R13">
        <v>0.66320000000000001</v>
      </c>
      <c r="S13">
        <v>1.119</v>
      </c>
      <c r="T13">
        <v>0.43</v>
      </c>
      <c r="U13">
        <v>1.167</v>
      </c>
    </row>
    <row r="14" spans="1:21" x14ac:dyDescent="0.25">
      <c r="A14" t="s">
        <v>353</v>
      </c>
      <c r="B14" t="s">
        <v>104</v>
      </c>
      <c r="C14">
        <v>35</v>
      </c>
      <c r="D14" t="s">
        <v>5</v>
      </c>
      <c r="E14">
        <v>14.6962750566372</v>
      </c>
      <c r="G14">
        <v>2.1405500000000002</v>
      </c>
      <c r="H14">
        <v>6.4630000000000001</v>
      </c>
      <c r="K14">
        <v>0.96460000000000001</v>
      </c>
      <c r="L14">
        <v>1.1759500000000001</v>
      </c>
      <c r="M14">
        <v>3.6720000000000002</v>
      </c>
      <c r="N14">
        <v>1.3959999999999999</v>
      </c>
      <c r="O14">
        <v>1.127</v>
      </c>
      <c r="P14">
        <v>0.03</v>
      </c>
      <c r="Q14">
        <v>0.02</v>
      </c>
      <c r="R14">
        <v>0.67210000000000003</v>
      </c>
      <c r="S14">
        <v>1.1684000000000001</v>
      </c>
      <c r="T14">
        <v>0</v>
      </c>
      <c r="U14">
        <v>0.47199999999999998</v>
      </c>
    </row>
    <row r="15" spans="1:21" x14ac:dyDescent="0.25">
      <c r="A15" t="s">
        <v>1109</v>
      </c>
      <c r="B15" t="s">
        <v>104</v>
      </c>
      <c r="C15">
        <v>23</v>
      </c>
      <c r="D15" t="s">
        <v>26</v>
      </c>
      <c r="E15">
        <v>12.541383919964099</v>
      </c>
      <c r="G15">
        <v>1.4560999999999999</v>
      </c>
      <c r="H15">
        <v>8.19</v>
      </c>
      <c r="K15">
        <v>0.77280000000000004</v>
      </c>
      <c r="L15">
        <v>0.68330000000000002</v>
      </c>
      <c r="M15">
        <v>6.03</v>
      </c>
      <c r="N15">
        <v>1.764</v>
      </c>
      <c r="O15">
        <v>1.0409999999999999</v>
      </c>
      <c r="P15">
        <v>0.11899999999999999</v>
      </c>
      <c r="Q15">
        <v>5.0000000000000001E-3</v>
      </c>
      <c r="R15">
        <v>1.3293999999999999</v>
      </c>
      <c r="S15">
        <v>1.2234</v>
      </c>
      <c r="T15">
        <v>0.43</v>
      </c>
      <c r="U15">
        <v>0.61199999999999999</v>
      </c>
    </row>
    <row r="16" spans="1:21" x14ac:dyDescent="0.25">
      <c r="A16" t="s">
        <v>679</v>
      </c>
      <c r="B16" t="s">
        <v>101</v>
      </c>
      <c r="C16">
        <v>24</v>
      </c>
      <c r="D16" t="s">
        <v>6</v>
      </c>
      <c r="E16">
        <v>13.4971900033051</v>
      </c>
      <c r="G16">
        <v>1.841</v>
      </c>
      <c r="H16">
        <v>5.5170000000000003</v>
      </c>
      <c r="K16">
        <v>0.80779999999999996</v>
      </c>
      <c r="L16">
        <v>1.0331999999999999</v>
      </c>
      <c r="M16">
        <v>2.5579999999999998</v>
      </c>
      <c r="N16">
        <v>2.2690000000000001</v>
      </c>
      <c r="O16">
        <v>0.52800000000000002</v>
      </c>
      <c r="P16">
        <v>7.0000000000000001E-3</v>
      </c>
      <c r="Q16">
        <v>0</v>
      </c>
      <c r="R16">
        <v>13.723800000000001</v>
      </c>
      <c r="S16">
        <v>17.734100000000002</v>
      </c>
      <c r="T16">
        <v>0.34</v>
      </c>
      <c r="U16">
        <v>1.0920000000000001</v>
      </c>
    </row>
    <row r="17" spans="1:21" x14ac:dyDescent="0.25">
      <c r="A17" t="s">
        <v>1110</v>
      </c>
      <c r="B17" t="s">
        <v>104</v>
      </c>
      <c r="C17">
        <v>26</v>
      </c>
      <c r="D17" t="s">
        <v>1111</v>
      </c>
      <c r="E17">
        <v>13.7472530480293</v>
      </c>
      <c r="G17">
        <v>1.9750000000000001</v>
      </c>
      <c r="H17">
        <v>8.0530000000000008</v>
      </c>
      <c r="K17">
        <v>1.12835</v>
      </c>
      <c r="L17">
        <v>0.84665000000000001</v>
      </c>
      <c r="M17">
        <v>2.4060000000000001</v>
      </c>
      <c r="N17">
        <v>2.04</v>
      </c>
      <c r="O17">
        <v>0.53700000000000003</v>
      </c>
      <c r="P17">
        <v>3.7999999999999999E-2</v>
      </c>
      <c r="Q17">
        <v>1.0999999999999999E-2</v>
      </c>
      <c r="R17">
        <v>3.0465</v>
      </c>
      <c r="S17">
        <v>2.8130000000000002</v>
      </c>
      <c r="T17" t="s">
        <v>1054</v>
      </c>
      <c r="U17">
        <v>0.63300000000000001</v>
      </c>
    </row>
    <row r="18" spans="1:21" x14ac:dyDescent="0.25">
      <c r="A18" t="s">
        <v>264</v>
      </c>
      <c r="B18" t="s">
        <v>102</v>
      </c>
      <c r="C18">
        <v>39</v>
      </c>
      <c r="D18" t="s">
        <v>29</v>
      </c>
      <c r="E18">
        <v>14.765912143717699</v>
      </c>
      <c r="G18">
        <v>2.2955000000000001</v>
      </c>
      <c r="H18">
        <v>8.9920000000000009</v>
      </c>
      <c r="K18">
        <v>1.1986000000000001</v>
      </c>
      <c r="L18">
        <v>1.0969</v>
      </c>
      <c r="M18">
        <v>7.5490000000000004</v>
      </c>
      <c r="N18">
        <v>1.367</v>
      </c>
      <c r="O18">
        <v>0.52100000000000002</v>
      </c>
      <c r="P18">
        <v>6.0000000000000001E-3</v>
      </c>
      <c r="Q18">
        <v>2.1999999999999999E-2</v>
      </c>
      <c r="R18">
        <v>0.23119999999999999</v>
      </c>
      <c r="S18">
        <v>0.34489999999999998</v>
      </c>
      <c r="T18" t="s">
        <v>1054</v>
      </c>
      <c r="U18">
        <v>0.49</v>
      </c>
    </row>
    <row r="19" spans="1:21" x14ac:dyDescent="0.25">
      <c r="A19" t="s">
        <v>386</v>
      </c>
      <c r="B19" t="s">
        <v>103</v>
      </c>
      <c r="C19">
        <v>28</v>
      </c>
      <c r="D19" t="s">
        <v>4</v>
      </c>
      <c r="E19">
        <v>14.9721045463221</v>
      </c>
      <c r="G19">
        <v>2.5038</v>
      </c>
      <c r="H19">
        <v>8.4740000000000002</v>
      </c>
      <c r="K19">
        <v>1.0405500000000001</v>
      </c>
      <c r="L19">
        <v>1.4632499999999999</v>
      </c>
      <c r="M19">
        <v>2.7719999999999998</v>
      </c>
      <c r="N19">
        <v>3.4119999999999999</v>
      </c>
      <c r="O19">
        <v>0.57399999999999995</v>
      </c>
      <c r="P19">
        <v>4.4999999999999998E-2</v>
      </c>
      <c r="Q19">
        <v>1.7000000000000001E-2</v>
      </c>
      <c r="R19">
        <v>1.5499000000000001</v>
      </c>
      <c r="S19">
        <v>2.0468999999999999</v>
      </c>
      <c r="T19">
        <v>0.32</v>
      </c>
      <c r="U19">
        <v>0.66300000000000003</v>
      </c>
    </row>
    <row r="20" spans="1:21" x14ac:dyDescent="0.25">
      <c r="A20" t="s">
        <v>1112</v>
      </c>
      <c r="B20" t="s">
        <v>101</v>
      </c>
      <c r="C20">
        <v>23</v>
      </c>
      <c r="D20" t="s">
        <v>26</v>
      </c>
      <c r="E20">
        <v>10.451908727602699</v>
      </c>
      <c r="G20">
        <v>1.5160499999999999</v>
      </c>
      <c r="H20">
        <v>5.0890000000000004</v>
      </c>
      <c r="K20">
        <v>0.55489999999999995</v>
      </c>
      <c r="L20">
        <v>0.96114999999999995</v>
      </c>
      <c r="M20">
        <v>3.3849999999999998</v>
      </c>
      <c r="N20">
        <v>2.64</v>
      </c>
      <c r="O20">
        <v>0.89100000000000001</v>
      </c>
      <c r="P20">
        <v>5.3999999999999999E-2</v>
      </c>
      <c r="Q20">
        <v>1.6E-2</v>
      </c>
      <c r="R20">
        <v>7.6386000000000003</v>
      </c>
      <c r="S20">
        <v>7.6364999999999998</v>
      </c>
      <c r="T20" t="s">
        <v>1054</v>
      </c>
      <c r="U20">
        <v>0.39400000000000002</v>
      </c>
    </row>
    <row r="21" spans="1:21" x14ac:dyDescent="0.25">
      <c r="A21" t="s">
        <v>686</v>
      </c>
      <c r="B21" t="s">
        <v>74</v>
      </c>
      <c r="C21">
        <v>30</v>
      </c>
      <c r="D21" t="s">
        <v>1113</v>
      </c>
      <c r="E21">
        <v>14.1029362458456</v>
      </c>
      <c r="G21">
        <v>1.3489</v>
      </c>
      <c r="H21">
        <v>3.383</v>
      </c>
      <c r="K21">
        <v>0.37190000000000001</v>
      </c>
      <c r="L21">
        <v>0.97699999999999998</v>
      </c>
      <c r="M21">
        <v>2.1030000000000002</v>
      </c>
      <c r="N21">
        <v>2.92</v>
      </c>
      <c r="O21">
        <v>0.433</v>
      </c>
      <c r="P21">
        <v>6.0000000000000001E-3</v>
      </c>
      <c r="Q21">
        <v>0</v>
      </c>
      <c r="R21">
        <v>22.855899999999998</v>
      </c>
      <c r="S21">
        <v>25.914200000000001</v>
      </c>
      <c r="T21">
        <v>0.4</v>
      </c>
      <c r="U21">
        <v>1.5569999999999999</v>
      </c>
    </row>
    <row r="22" spans="1:21" x14ac:dyDescent="0.25">
      <c r="A22" t="s">
        <v>989</v>
      </c>
      <c r="B22" t="s">
        <v>104</v>
      </c>
      <c r="C22">
        <v>30</v>
      </c>
      <c r="D22" t="s">
        <v>33</v>
      </c>
      <c r="E22">
        <v>14.0999542939209</v>
      </c>
      <c r="G22">
        <v>1.4494</v>
      </c>
      <c r="H22">
        <v>5.0970000000000004</v>
      </c>
      <c r="K22">
        <v>0.51234999999999997</v>
      </c>
      <c r="L22">
        <v>0.93705000000000005</v>
      </c>
      <c r="M22">
        <v>2.1</v>
      </c>
      <c r="N22">
        <v>1.863</v>
      </c>
      <c r="O22">
        <v>0.47099999999999997</v>
      </c>
      <c r="P22">
        <v>7.0000000000000001E-3</v>
      </c>
      <c r="Q22">
        <v>0</v>
      </c>
      <c r="R22">
        <v>0.37730000000000002</v>
      </c>
      <c r="S22">
        <v>0.46179999999999999</v>
      </c>
      <c r="T22">
        <v>0.51</v>
      </c>
      <c r="U22">
        <v>1.0389999999999999</v>
      </c>
    </row>
    <row r="23" spans="1:21" x14ac:dyDescent="0.25">
      <c r="A23" t="s">
        <v>997</v>
      </c>
      <c r="B23" t="s">
        <v>103</v>
      </c>
      <c r="C23">
        <v>23</v>
      </c>
      <c r="D23" t="s">
        <v>27</v>
      </c>
      <c r="E23">
        <v>12.5</v>
      </c>
      <c r="G23">
        <v>1.48125</v>
      </c>
      <c r="H23">
        <v>6.9089999999999998</v>
      </c>
      <c r="K23">
        <v>0.71599999999999997</v>
      </c>
      <c r="L23">
        <v>0.76524999999999999</v>
      </c>
      <c r="M23">
        <v>2.83</v>
      </c>
      <c r="N23">
        <v>1.5609999999999999</v>
      </c>
      <c r="O23">
        <v>0.85899999999999999</v>
      </c>
      <c r="P23">
        <v>1.7000000000000001E-2</v>
      </c>
      <c r="Q23">
        <v>4.0000000000000001E-3</v>
      </c>
      <c r="R23">
        <v>1.1847000000000001</v>
      </c>
      <c r="S23">
        <v>1.7258</v>
      </c>
      <c r="T23">
        <v>0.38</v>
      </c>
      <c r="U23">
        <v>0.753</v>
      </c>
    </row>
    <row r="24" spans="1:21" x14ac:dyDescent="0.25">
      <c r="A24" t="s">
        <v>866</v>
      </c>
      <c r="B24" t="s">
        <v>1108</v>
      </c>
      <c r="C24">
        <v>30</v>
      </c>
      <c r="D24" t="s">
        <v>30</v>
      </c>
      <c r="E24">
        <v>12.4094235501823</v>
      </c>
      <c r="G24">
        <v>1.8190500000000001</v>
      </c>
      <c r="H24">
        <v>6.0410000000000004</v>
      </c>
      <c r="K24">
        <v>0.55415000000000003</v>
      </c>
      <c r="L24">
        <v>1.2648999999999999</v>
      </c>
      <c r="M24">
        <v>3.1219999999999999</v>
      </c>
      <c r="N24">
        <v>2.8530000000000002</v>
      </c>
      <c r="O24">
        <v>0.70499999999999996</v>
      </c>
      <c r="P24">
        <v>0.01</v>
      </c>
      <c r="Q24">
        <v>1E-3</v>
      </c>
      <c r="R24">
        <v>3.1825999999999999</v>
      </c>
      <c r="S24">
        <v>3.8603000000000001</v>
      </c>
      <c r="T24">
        <v>0</v>
      </c>
      <c r="U24">
        <v>0.442</v>
      </c>
    </row>
    <row r="25" spans="1:21" x14ac:dyDescent="0.25">
      <c r="A25" t="s">
        <v>979</v>
      </c>
      <c r="B25" t="s">
        <v>104</v>
      </c>
      <c r="C25">
        <v>25</v>
      </c>
      <c r="D25" t="s">
        <v>23</v>
      </c>
      <c r="E25">
        <v>12.947509493275501</v>
      </c>
      <c r="G25">
        <v>1.7877000000000001</v>
      </c>
      <c r="H25">
        <v>6.0780000000000003</v>
      </c>
      <c r="K25">
        <v>0.76629999999999998</v>
      </c>
      <c r="L25">
        <v>1.0214000000000001</v>
      </c>
      <c r="M25">
        <v>2.5030000000000001</v>
      </c>
      <c r="N25">
        <v>1.841</v>
      </c>
      <c r="O25">
        <v>0.81699999999999995</v>
      </c>
      <c r="P25">
        <v>1.7000000000000001E-2</v>
      </c>
      <c r="Q25">
        <v>2E-3</v>
      </c>
      <c r="R25">
        <v>1.1160000000000001</v>
      </c>
      <c r="S25">
        <v>1.6758999999999999</v>
      </c>
      <c r="T25">
        <v>0.41</v>
      </c>
      <c r="U25">
        <v>0.82499999999999996</v>
      </c>
    </row>
    <row r="26" spans="1:21" x14ac:dyDescent="0.25">
      <c r="A26" t="s">
        <v>811</v>
      </c>
      <c r="B26" t="s">
        <v>104</v>
      </c>
      <c r="C26">
        <v>25</v>
      </c>
      <c r="D26" t="s">
        <v>14</v>
      </c>
      <c r="E26">
        <v>11.218679904782899</v>
      </c>
      <c r="G26">
        <v>1.0919000000000001</v>
      </c>
      <c r="H26">
        <v>6.9109999999999996</v>
      </c>
      <c r="K26">
        <v>0.68030000000000002</v>
      </c>
      <c r="L26">
        <v>0.41160000000000002</v>
      </c>
      <c r="M26">
        <v>9.798</v>
      </c>
      <c r="N26">
        <v>3.3010000000000002</v>
      </c>
      <c r="O26">
        <v>0.77200000000000002</v>
      </c>
      <c r="P26">
        <v>5.7000000000000002E-2</v>
      </c>
      <c r="Q26">
        <v>1E-3</v>
      </c>
      <c r="R26">
        <v>0.3614</v>
      </c>
      <c r="S26">
        <v>0.51439999999999997</v>
      </c>
      <c r="T26">
        <v>0</v>
      </c>
      <c r="U26">
        <v>0.66500000000000004</v>
      </c>
    </row>
    <row r="27" spans="1:21" x14ac:dyDescent="0.25">
      <c r="A27" t="s">
        <v>636</v>
      </c>
      <c r="B27" t="s">
        <v>104</v>
      </c>
      <c r="C27">
        <v>23</v>
      </c>
      <c r="D27" t="s">
        <v>10</v>
      </c>
      <c r="E27">
        <v>15.362509386170601</v>
      </c>
      <c r="G27">
        <v>2.0231499999999998</v>
      </c>
      <c r="H27">
        <v>7.5069999999999997</v>
      </c>
      <c r="K27">
        <v>0.9929</v>
      </c>
      <c r="L27">
        <v>1.0302500000000001</v>
      </c>
      <c r="M27">
        <v>3.6829999999999998</v>
      </c>
      <c r="N27">
        <v>1.389</v>
      </c>
      <c r="O27">
        <v>0.72399999999999998</v>
      </c>
      <c r="P27">
        <v>4.2999999999999997E-2</v>
      </c>
      <c r="Q27">
        <v>1.4E-2</v>
      </c>
      <c r="R27">
        <v>0.96550000000000002</v>
      </c>
      <c r="S27">
        <v>2.3169</v>
      </c>
      <c r="T27">
        <v>0</v>
      </c>
      <c r="U27">
        <v>0.50700000000000001</v>
      </c>
    </row>
    <row r="28" spans="1:21" x14ac:dyDescent="0.25">
      <c r="A28" t="s">
        <v>820</v>
      </c>
      <c r="B28" t="s">
        <v>101</v>
      </c>
      <c r="C28">
        <v>24</v>
      </c>
      <c r="D28" t="s">
        <v>29</v>
      </c>
      <c r="E28">
        <v>12.309581850831901</v>
      </c>
      <c r="G28">
        <v>1.47285</v>
      </c>
      <c r="H28">
        <v>6.4189999999999996</v>
      </c>
      <c r="K28">
        <v>0.46410000000000001</v>
      </c>
      <c r="L28">
        <v>1.00875</v>
      </c>
      <c r="M28">
        <v>2.1509999999999998</v>
      </c>
      <c r="N28">
        <v>2.2189999999999999</v>
      </c>
      <c r="O28">
        <v>0.28999999999999998</v>
      </c>
      <c r="P28">
        <v>8.0000000000000002E-3</v>
      </c>
      <c r="Q28">
        <v>0</v>
      </c>
      <c r="R28">
        <v>3.0756000000000001</v>
      </c>
      <c r="S28">
        <v>3.8946999999999998</v>
      </c>
      <c r="T28">
        <v>0</v>
      </c>
      <c r="U28">
        <v>0.60599999999999998</v>
      </c>
    </row>
    <row r="29" spans="1:21" x14ac:dyDescent="0.25">
      <c r="A29" t="s">
        <v>831</v>
      </c>
      <c r="B29" t="s">
        <v>102</v>
      </c>
      <c r="C29">
        <v>28</v>
      </c>
      <c r="D29" t="s">
        <v>869</v>
      </c>
      <c r="E29">
        <v>12.3091787637471</v>
      </c>
      <c r="G29">
        <v>1.6152</v>
      </c>
      <c r="H29">
        <v>4.6609999999999996</v>
      </c>
      <c r="K29">
        <v>0.54649999999999999</v>
      </c>
      <c r="L29">
        <v>1.0687</v>
      </c>
      <c r="M29">
        <v>2.113</v>
      </c>
      <c r="N29">
        <v>1.7709999999999999</v>
      </c>
      <c r="O29">
        <v>0.443</v>
      </c>
      <c r="P29">
        <v>2.1999999999999999E-2</v>
      </c>
      <c r="Q29">
        <v>5.0000000000000001E-3</v>
      </c>
      <c r="R29">
        <v>1.1549</v>
      </c>
      <c r="S29">
        <v>1.6305000000000001</v>
      </c>
      <c r="T29" t="s">
        <v>1054</v>
      </c>
      <c r="U29">
        <v>0.67800000000000005</v>
      </c>
    </row>
    <row r="30" spans="1:21" x14ac:dyDescent="0.25">
      <c r="A30" t="s">
        <v>452</v>
      </c>
      <c r="B30" t="s">
        <v>102</v>
      </c>
      <c r="C30">
        <v>34</v>
      </c>
      <c r="D30" t="s">
        <v>20</v>
      </c>
      <c r="E30">
        <v>13.831273775403099</v>
      </c>
      <c r="G30">
        <v>1.7540500000000001</v>
      </c>
      <c r="H30">
        <v>8.0380000000000003</v>
      </c>
      <c r="K30">
        <v>1.0227999999999999</v>
      </c>
      <c r="L30">
        <v>0.73124999999999996</v>
      </c>
      <c r="M30">
        <v>7.2640000000000002</v>
      </c>
      <c r="N30">
        <v>2.7080000000000002</v>
      </c>
      <c r="O30">
        <v>0.84099999999999997</v>
      </c>
      <c r="P30">
        <v>0.108</v>
      </c>
      <c r="Q30">
        <v>1.7000000000000001E-2</v>
      </c>
      <c r="R30">
        <v>1.2588999999999999</v>
      </c>
      <c r="S30">
        <v>1.6258999999999999</v>
      </c>
      <c r="T30">
        <v>0.43</v>
      </c>
      <c r="U30">
        <v>1.002</v>
      </c>
    </row>
    <row r="31" spans="1:21" x14ac:dyDescent="0.25">
      <c r="A31" t="s">
        <v>453</v>
      </c>
      <c r="B31" t="s">
        <v>104</v>
      </c>
      <c r="C31">
        <v>29</v>
      </c>
      <c r="D31" t="s">
        <v>87</v>
      </c>
      <c r="E31">
        <v>12.5848356260431</v>
      </c>
      <c r="G31">
        <v>1.58755</v>
      </c>
      <c r="H31">
        <v>6.6959999999999997</v>
      </c>
      <c r="K31">
        <v>0.55089999999999995</v>
      </c>
      <c r="L31">
        <v>1.0366500000000001</v>
      </c>
      <c r="M31">
        <v>1.2989999999999999</v>
      </c>
      <c r="N31">
        <v>1.5529999999999999</v>
      </c>
      <c r="O31">
        <v>0.57299999999999995</v>
      </c>
      <c r="P31">
        <v>7.0000000000000001E-3</v>
      </c>
      <c r="Q31">
        <v>0</v>
      </c>
      <c r="R31">
        <v>0.52580000000000005</v>
      </c>
      <c r="S31">
        <v>0.54400000000000004</v>
      </c>
      <c r="T31">
        <v>0.43</v>
      </c>
      <c r="U31">
        <v>1.911</v>
      </c>
    </row>
    <row r="32" spans="1:21" x14ac:dyDescent="0.25">
      <c r="A32" t="s">
        <v>591</v>
      </c>
      <c r="B32" t="s">
        <v>104</v>
      </c>
      <c r="C32">
        <v>30</v>
      </c>
      <c r="D32" t="s">
        <v>21</v>
      </c>
      <c r="E32">
        <v>12.3391470621329</v>
      </c>
      <c r="G32">
        <v>1.6032</v>
      </c>
      <c r="H32">
        <v>7.2060000000000004</v>
      </c>
      <c r="K32">
        <v>0.73939999999999995</v>
      </c>
      <c r="L32">
        <v>0.86380000000000001</v>
      </c>
      <c r="M32">
        <v>1.6779999999999999</v>
      </c>
      <c r="N32">
        <v>2.871</v>
      </c>
      <c r="O32">
        <v>0.27400000000000002</v>
      </c>
      <c r="P32">
        <v>7.1999999999999995E-2</v>
      </c>
      <c r="Q32">
        <v>2.1999999999999999E-2</v>
      </c>
      <c r="R32">
        <v>10.291</v>
      </c>
      <c r="S32">
        <v>12.0595</v>
      </c>
      <c r="T32" t="s">
        <v>1054</v>
      </c>
      <c r="U32">
        <v>0.63500000000000001</v>
      </c>
    </row>
    <row r="33" spans="1:21" x14ac:dyDescent="0.25">
      <c r="A33" t="s">
        <v>735</v>
      </c>
      <c r="B33" t="s">
        <v>104</v>
      </c>
      <c r="C33">
        <v>30</v>
      </c>
      <c r="D33" t="s">
        <v>994</v>
      </c>
      <c r="E33">
        <v>12.3946255202179</v>
      </c>
      <c r="G33">
        <v>1.4621500000000001</v>
      </c>
      <c r="H33">
        <v>5.6840000000000002</v>
      </c>
      <c r="K33">
        <v>0.39200000000000002</v>
      </c>
      <c r="L33">
        <v>1.0701499999999999</v>
      </c>
      <c r="M33">
        <v>2.6909999999999998</v>
      </c>
      <c r="N33">
        <v>1.9910000000000001</v>
      </c>
      <c r="O33">
        <v>0.98</v>
      </c>
      <c r="P33">
        <v>1.7000000000000001E-2</v>
      </c>
      <c r="Q33">
        <v>3.0000000000000001E-3</v>
      </c>
      <c r="R33">
        <v>1.1837</v>
      </c>
      <c r="S33">
        <v>1.7561</v>
      </c>
      <c r="T33" t="s">
        <v>1054</v>
      </c>
      <c r="U33">
        <v>0.36199999999999999</v>
      </c>
    </row>
    <row r="34" spans="1:21" x14ac:dyDescent="0.25">
      <c r="A34" t="s">
        <v>698</v>
      </c>
      <c r="B34" t="s">
        <v>104</v>
      </c>
      <c r="C34">
        <v>28</v>
      </c>
      <c r="D34" t="s">
        <v>137</v>
      </c>
      <c r="E34">
        <v>13.75</v>
      </c>
      <c r="G34">
        <v>2.1876000000000002</v>
      </c>
      <c r="H34">
        <v>5.774</v>
      </c>
      <c r="K34">
        <v>1.0245</v>
      </c>
      <c r="L34">
        <v>1.1631</v>
      </c>
      <c r="M34">
        <v>0.73899999999999999</v>
      </c>
      <c r="N34">
        <v>1.28</v>
      </c>
      <c r="O34">
        <v>0.28599999999999998</v>
      </c>
      <c r="P34">
        <v>0.01</v>
      </c>
      <c r="Q34">
        <v>2E-3</v>
      </c>
      <c r="R34">
        <v>0.48630000000000001</v>
      </c>
      <c r="S34">
        <v>0.43359999999999999</v>
      </c>
      <c r="T34" t="s">
        <v>1054</v>
      </c>
      <c r="U34">
        <v>0.38</v>
      </c>
    </row>
    <row r="35" spans="1:21" x14ac:dyDescent="0.25">
      <c r="A35" t="s">
        <v>260</v>
      </c>
      <c r="B35" t="s">
        <v>102</v>
      </c>
      <c r="C35">
        <v>24</v>
      </c>
      <c r="D35" t="s">
        <v>34</v>
      </c>
      <c r="E35">
        <v>14.3923458154868</v>
      </c>
      <c r="G35">
        <v>2.3864999999999998</v>
      </c>
      <c r="H35">
        <v>8.766</v>
      </c>
      <c r="K35">
        <v>1.0341</v>
      </c>
      <c r="L35">
        <v>1.3524</v>
      </c>
      <c r="M35">
        <v>8.9</v>
      </c>
      <c r="N35">
        <v>1.403</v>
      </c>
      <c r="O35">
        <v>1.681</v>
      </c>
      <c r="P35">
        <v>4.5999999999999999E-2</v>
      </c>
      <c r="Q35">
        <v>2.7E-2</v>
      </c>
      <c r="R35">
        <v>0.44929999999999998</v>
      </c>
      <c r="S35">
        <v>0.50280000000000002</v>
      </c>
      <c r="T35" t="s">
        <v>1054</v>
      </c>
      <c r="U35">
        <v>0.45700000000000002</v>
      </c>
    </row>
    <row r="36" spans="1:21" x14ac:dyDescent="0.25">
      <c r="A36" t="s">
        <v>824</v>
      </c>
      <c r="B36" t="s">
        <v>102</v>
      </c>
      <c r="C36">
        <v>37</v>
      </c>
      <c r="D36" t="s">
        <v>11</v>
      </c>
      <c r="E36">
        <v>8.8393735853187891</v>
      </c>
      <c r="G36">
        <v>1.2372000000000001</v>
      </c>
      <c r="H36">
        <v>5.0819999999999999</v>
      </c>
      <c r="K36">
        <v>0.46089999999999998</v>
      </c>
      <c r="L36">
        <v>0.77629999999999999</v>
      </c>
      <c r="M36">
        <v>3.5369999999999999</v>
      </c>
      <c r="N36">
        <v>2.726</v>
      </c>
      <c r="O36">
        <v>0.85799999999999998</v>
      </c>
      <c r="P36">
        <v>8.0000000000000002E-3</v>
      </c>
      <c r="Q36">
        <v>0</v>
      </c>
      <c r="R36">
        <v>1.8340000000000001</v>
      </c>
      <c r="S36">
        <v>2.9609999999999999</v>
      </c>
      <c r="T36">
        <v>0.38</v>
      </c>
      <c r="U36">
        <v>0.59</v>
      </c>
    </row>
    <row r="37" spans="1:21" x14ac:dyDescent="0.25">
      <c r="A37" t="s">
        <v>446</v>
      </c>
      <c r="B37" t="s">
        <v>105</v>
      </c>
      <c r="C37">
        <v>30</v>
      </c>
      <c r="D37" t="s">
        <v>2</v>
      </c>
      <c r="E37">
        <v>13.3221808888391</v>
      </c>
      <c r="G37">
        <v>1.69445</v>
      </c>
      <c r="H37">
        <v>5.2220000000000004</v>
      </c>
      <c r="K37">
        <v>0.57515000000000005</v>
      </c>
      <c r="L37">
        <v>1.1193</v>
      </c>
      <c r="M37">
        <v>1.5640000000000001</v>
      </c>
      <c r="N37">
        <v>2.145</v>
      </c>
      <c r="O37">
        <v>0.55900000000000005</v>
      </c>
      <c r="P37">
        <v>2.8000000000000001E-2</v>
      </c>
      <c r="Q37">
        <v>0</v>
      </c>
      <c r="R37">
        <v>24.430299999999999</v>
      </c>
      <c r="S37">
        <v>21.430099999999999</v>
      </c>
      <c r="T37" t="s">
        <v>1054</v>
      </c>
      <c r="U37">
        <v>0.41799999999999998</v>
      </c>
    </row>
    <row r="38" spans="1:21" x14ac:dyDescent="0.25">
      <c r="A38" t="s">
        <v>416</v>
      </c>
      <c r="B38" t="s">
        <v>104</v>
      </c>
      <c r="C38">
        <v>28</v>
      </c>
      <c r="D38" t="s">
        <v>22</v>
      </c>
      <c r="E38">
        <v>13.874314528754701</v>
      </c>
      <c r="G38">
        <v>2.1078999999999999</v>
      </c>
      <c r="H38">
        <v>6.6360000000000001</v>
      </c>
      <c r="K38">
        <v>0.85340000000000005</v>
      </c>
      <c r="L38">
        <v>1.2544999999999999</v>
      </c>
      <c r="M38">
        <v>4.1120000000000001</v>
      </c>
      <c r="N38">
        <v>1.7150000000000001</v>
      </c>
      <c r="O38">
        <v>0.78200000000000003</v>
      </c>
      <c r="P38">
        <v>2.7E-2</v>
      </c>
      <c r="Q38">
        <v>2.1999999999999999E-2</v>
      </c>
      <c r="R38">
        <v>0.54010000000000002</v>
      </c>
      <c r="S38">
        <v>0.67069999999999996</v>
      </c>
      <c r="T38">
        <v>0.48</v>
      </c>
      <c r="U38">
        <v>1.3280000000000001</v>
      </c>
    </row>
    <row r="39" spans="1:21" x14ac:dyDescent="0.25">
      <c r="A39" t="s">
        <v>611</v>
      </c>
      <c r="B39" t="s">
        <v>104</v>
      </c>
      <c r="C39">
        <v>27</v>
      </c>
      <c r="D39" t="s">
        <v>1114</v>
      </c>
      <c r="E39">
        <v>12.730776036204199</v>
      </c>
      <c r="G39">
        <v>1.3344</v>
      </c>
      <c r="H39">
        <v>7.0739999999999998</v>
      </c>
      <c r="K39">
        <v>0.49109999999999998</v>
      </c>
      <c r="L39">
        <v>0.84330000000000005</v>
      </c>
      <c r="M39">
        <v>3.347</v>
      </c>
      <c r="N39">
        <v>2.2010000000000001</v>
      </c>
      <c r="O39">
        <v>0.36699999999999999</v>
      </c>
      <c r="P39">
        <v>6.0000000000000001E-3</v>
      </c>
      <c r="Q39">
        <v>0</v>
      </c>
      <c r="R39">
        <v>2.5026000000000002</v>
      </c>
      <c r="S39">
        <v>2.3287</v>
      </c>
      <c r="T39">
        <v>0.4</v>
      </c>
      <c r="U39">
        <v>0.65600000000000003</v>
      </c>
    </row>
    <row r="40" spans="1:21" x14ac:dyDescent="0.25">
      <c r="A40" t="s">
        <v>532</v>
      </c>
      <c r="B40" t="s">
        <v>101</v>
      </c>
      <c r="C40">
        <v>27</v>
      </c>
      <c r="D40" t="s">
        <v>19</v>
      </c>
      <c r="E40">
        <v>14.6447695362879</v>
      </c>
      <c r="G40">
        <v>1.7756000000000001</v>
      </c>
      <c r="H40">
        <v>5.8719999999999999</v>
      </c>
      <c r="K40">
        <v>0.67264999999999997</v>
      </c>
      <c r="L40">
        <v>1.1029500000000001</v>
      </c>
      <c r="M40">
        <v>2.6</v>
      </c>
      <c r="N40">
        <v>2.8919999999999999</v>
      </c>
      <c r="O40">
        <v>0.70599999999999996</v>
      </c>
      <c r="P40">
        <v>5.0999999999999997E-2</v>
      </c>
      <c r="Q40">
        <v>6.9000000000000006E-2</v>
      </c>
      <c r="R40">
        <v>19.296399999999998</v>
      </c>
      <c r="S40">
        <v>18.9405</v>
      </c>
      <c r="T40" t="s">
        <v>1054</v>
      </c>
      <c r="U40">
        <v>0.47699999999999998</v>
      </c>
    </row>
    <row r="41" spans="1:21" x14ac:dyDescent="0.25">
      <c r="A41" t="s">
        <v>717</v>
      </c>
      <c r="B41" t="s">
        <v>103</v>
      </c>
      <c r="C41">
        <v>29</v>
      </c>
      <c r="D41" t="s">
        <v>1115</v>
      </c>
      <c r="E41">
        <v>13.709684377080301</v>
      </c>
      <c r="G41">
        <v>1.9325000000000001</v>
      </c>
      <c r="H41">
        <v>6.9420000000000002</v>
      </c>
      <c r="K41">
        <v>0.9577</v>
      </c>
      <c r="L41">
        <v>0.9748</v>
      </c>
      <c r="M41">
        <v>2.65</v>
      </c>
      <c r="N41">
        <v>1.9419999999999999</v>
      </c>
      <c r="O41">
        <v>0.48299999999999998</v>
      </c>
      <c r="P41">
        <v>8.0000000000000002E-3</v>
      </c>
      <c r="Q41">
        <v>4.3999999999999997E-2</v>
      </c>
      <c r="R41">
        <v>1.0242</v>
      </c>
      <c r="S41">
        <v>1.4785999999999999</v>
      </c>
      <c r="T41">
        <v>0.44</v>
      </c>
      <c r="U41">
        <v>1.0189999999999999</v>
      </c>
    </row>
    <row r="42" spans="1:21" x14ac:dyDescent="0.25">
      <c r="A42" t="s">
        <v>417</v>
      </c>
      <c r="B42" t="s">
        <v>104</v>
      </c>
      <c r="C42">
        <v>30</v>
      </c>
      <c r="D42" t="s">
        <v>1116</v>
      </c>
      <c r="E42">
        <v>12.662407529711199</v>
      </c>
      <c r="G42">
        <v>2.05525</v>
      </c>
      <c r="H42">
        <v>6.8840000000000003</v>
      </c>
      <c r="K42">
        <v>0.95965</v>
      </c>
      <c r="L42">
        <v>1.0955999999999999</v>
      </c>
      <c r="M42">
        <v>3.5819999999999999</v>
      </c>
      <c r="N42">
        <v>2.0409999999999999</v>
      </c>
      <c r="O42">
        <v>0.65700000000000003</v>
      </c>
      <c r="P42">
        <v>0.114</v>
      </c>
      <c r="Q42">
        <v>0</v>
      </c>
      <c r="R42">
        <v>0.44500000000000001</v>
      </c>
      <c r="S42">
        <v>0.62529999999999997</v>
      </c>
      <c r="T42">
        <v>0.4</v>
      </c>
      <c r="U42">
        <v>0.69499999999999995</v>
      </c>
    </row>
    <row r="43" spans="1:21" x14ac:dyDescent="0.25">
      <c r="A43" t="s">
        <v>562</v>
      </c>
      <c r="B43" t="s">
        <v>101</v>
      </c>
      <c r="C43">
        <v>23</v>
      </c>
      <c r="D43" t="s">
        <v>31</v>
      </c>
      <c r="E43">
        <v>12.859642512947</v>
      </c>
      <c r="G43">
        <v>1.86555</v>
      </c>
      <c r="H43">
        <v>7.9340000000000002</v>
      </c>
      <c r="K43">
        <v>0.79159999999999997</v>
      </c>
      <c r="L43">
        <v>1.07395</v>
      </c>
      <c r="M43">
        <v>2.528</v>
      </c>
      <c r="N43">
        <v>2.2789999999999999</v>
      </c>
      <c r="O43">
        <v>0.84099999999999997</v>
      </c>
      <c r="P43">
        <v>3.4000000000000002E-2</v>
      </c>
      <c r="Q43">
        <v>1.9E-2</v>
      </c>
      <c r="R43">
        <v>22.632000000000001</v>
      </c>
      <c r="S43">
        <v>21.099299999999999</v>
      </c>
      <c r="T43">
        <v>0.36</v>
      </c>
      <c r="U43">
        <v>0.59</v>
      </c>
    </row>
    <row r="44" spans="1:21" x14ac:dyDescent="0.25">
      <c r="A44" t="s">
        <v>318</v>
      </c>
      <c r="B44" t="s">
        <v>74</v>
      </c>
      <c r="C44">
        <v>37</v>
      </c>
      <c r="D44" t="s">
        <v>26</v>
      </c>
      <c r="E44">
        <v>14.6080566630558</v>
      </c>
      <c r="G44">
        <v>2.0809000000000002</v>
      </c>
      <c r="H44">
        <v>4.835</v>
      </c>
      <c r="K44">
        <v>0.7117</v>
      </c>
      <c r="L44">
        <v>1.3692</v>
      </c>
      <c r="M44">
        <v>1.8380000000000001</v>
      </c>
      <c r="N44">
        <v>2.7370000000000001</v>
      </c>
      <c r="O44">
        <v>0.35399999999999998</v>
      </c>
      <c r="P44">
        <v>0.02</v>
      </c>
      <c r="Q44">
        <v>4.7E-2</v>
      </c>
      <c r="R44">
        <v>29.4574</v>
      </c>
      <c r="S44">
        <v>23.094899999999999</v>
      </c>
      <c r="T44" t="s">
        <v>1054</v>
      </c>
      <c r="U44">
        <v>0.41099999999999998</v>
      </c>
    </row>
    <row r="45" spans="1:21" x14ac:dyDescent="0.25">
      <c r="A45" t="s">
        <v>285</v>
      </c>
      <c r="B45" t="s">
        <v>102</v>
      </c>
      <c r="C45">
        <v>33</v>
      </c>
      <c r="D45" t="s">
        <v>10</v>
      </c>
      <c r="E45">
        <v>16.323027022106199</v>
      </c>
      <c r="G45">
        <v>2.8860999999999999</v>
      </c>
      <c r="H45">
        <v>7.9420000000000002</v>
      </c>
      <c r="K45">
        <v>1.1369</v>
      </c>
      <c r="L45">
        <v>1.7492000000000001</v>
      </c>
      <c r="M45">
        <v>0.67500000000000004</v>
      </c>
      <c r="N45">
        <v>0.70799999999999996</v>
      </c>
      <c r="O45">
        <v>0.45500000000000002</v>
      </c>
      <c r="P45">
        <v>5.0000000000000001E-3</v>
      </c>
      <c r="Q45">
        <v>1.9E-2</v>
      </c>
      <c r="R45">
        <v>0.23830000000000001</v>
      </c>
      <c r="S45">
        <v>0.49930000000000002</v>
      </c>
      <c r="T45">
        <v>0.5</v>
      </c>
      <c r="U45">
        <v>1.1830000000000001</v>
      </c>
    </row>
    <row r="46" spans="1:21" x14ac:dyDescent="0.25">
      <c r="A46" t="s">
        <v>551</v>
      </c>
      <c r="B46" t="s">
        <v>104</v>
      </c>
      <c r="C46">
        <v>23</v>
      </c>
      <c r="D46" t="s">
        <v>26</v>
      </c>
      <c r="E46">
        <v>10.302291711863599</v>
      </c>
      <c r="G46">
        <v>1.4595</v>
      </c>
      <c r="H46">
        <v>9.6630000000000003</v>
      </c>
      <c r="K46">
        <v>0.61585000000000001</v>
      </c>
      <c r="L46">
        <v>0.84365000000000001</v>
      </c>
      <c r="M46">
        <v>2.8839999999999999</v>
      </c>
      <c r="N46">
        <v>1.5069999999999999</v>
      </c>
      <c r="O46">
        <v>0.61599999999999999</v>
      </c>
      <c r="P46">
        <v>2.5000000000000001E-2</v>
      </c>
      <c r="Q46">
        <v>2.7E-2</v>
      </c>
      <c r="R46">
        <v>0.32990000000000003</v>
      </c>
      <c r="S46">
        <v>0.4138</v>
      </c>
      <c r="T46">
        <v>0</v>
      </c>
      <c r="U46">
        <v>0.41899999999999998</v>
      </c>
    </row>
    <row r="47" spans="1:21" x14ac:dyDescent="0.25">
      <c r="A47" t="s">
        <v>592</v>
      </c>
      <c r="B47" t="s">
        <v>104</v>
      </c>
      <c r="C47">
        <v>29</v>
      </c>
      <c r="D47" t="s">
        <v>11</v>
      </c>
      <c r="E47">
        <v>13.826259040284</v>
      </c>
      <c r="G47">
        <v>2.0343</v>
      </c>
      <c r="H47">
        <v>7.2510000000000003</v>
      </c>
      <c r="K47">
        <v>0.84419999999999995</v>
      </c>
      <c r="L47">
        <v>1.1900999999999999</v>
      </c>
      <c r="M47">
        <v>3.758</v>
      </c>
      <c r="N47">
        <v>1.9950000000000001</v>
      </c>
      <c r="O47">
        <v>0.65600000000000003</v>
      </c>
      <c r="P47">
        <v>7.0000000000000001E-3</v>
      </c>
      <c r="Q47">
        <v>0</v>
      </c>
      <c r="R47">
        <v>0.53759999999999997</v>
      </c>
      <c r="S47">
        <v>1.27</v>
      </c>
      <c r="T47">
        <v>0.52</v>
      </c>
      <c r="U47">
        <v>0.78</v>
      </c>
    </row>
    <row r="48" spans="1:21" x14ac:dyDescent="0.25">
      <c r="A48" t="s">
        <v>1026</v>
      </c>
      <c r="B48" t="s">
        <v>105</v>
      </c>
      <c r="C48">
        <v>32</v>
      </c>
      <c r="D48" t="s">
        <v>2</v>
      </c>
      <c r="E48">
        <v>8.8172649933581102</v>
      </c>
      <c r="G48">
        <v>1.0426500000000001</v>
      </c>
      <c r="H48">
        <v>4.9269999999999996</v>
      </c>
      <c r="K48">
        <v>0.4158</v>
      </c>
      <c r="L48">
        <v>0.62685000000000002</v>
      </c>
      <c r="M48">
        <v>2.7389999999999999</v>
      </c>
      <c r="N48">
        <v>2.9260000000000002</v>
      </c>
      <c r="O48">
        <v>0.73599999999999999</v>
      </c>
      <c r="P48">
        <v>1.7000000000000001E-2</v>
      </c>
      <c r="Q48">
        <v>3.0000000000000001E-3</v>
      </c>
      <c r="R48">
        <v>17.2944</v>
      </c>
      <c r="S48">
        <v>19.408100000000001</v>
      </c>
      <c r="T48">
        <v>0.4</v>
      </c>
      <c r="U48">
        <v>1.2390000000000001</v>
      </c>
    </row>
    <row r="49" spans="1:21" x14ac:dyDescent="0.25">
      <c r="A49" t="s">
        <v>490</v>
      </c>
      <c r="B49" t="s">
        <v>103</v>
      </c>
      <c r="C49">
        <v>33</v>
      </c>
      <c r="D49" t="s">
        <v>19</v>
      </c>
      <c r="E49">
        <v>7.6334896649107504</v>
      </c>
      <c r="G49">
        <v>1.0180499999999999</v>
      </c>
      <c r="H49">
        <v>5.1710000000000003</v>
      </c>
      <c r="K49">
        <v>0.54769999999999996</v>
      </c>
      <c r="L49">
        <v>0.47034999999999999</v>
      </c>
      <c r="M49">
        <v>17.978999999999999</v>
      </c>
      <c r="N49">
        <v>4.4180000000000001</v>
      </c>
      <c r="O49">
        <v>1.796</v>
      </c>
      <c r="P49">
        <v>1.2889999999999999</v>
      </c>
      <c r="Q49">
        <v>0.38900000000000001</v>
      </c>
      <c r="R49">
        <v>0.49930000000000002</v>
      </c>
      <c r="S49">
        <v>1.1319999999999999</v>
      </c>
      <c r="T49">
        <v>0.48</v>
      </c>
      <c r="U49">
        <v>1.1439999999999999</v>
      </c>
    </row>
    <row r="50" spans="1:21" x14ac:dyDescent="0.25">
      <c r="A50" t="s">
        <v>247</v>
      </c>
      <c r="B50" t="s">
        <v>74</v>
      </c>
      <c r="C50">
        <v>27</v>
      </c>
      <c r="D50" t="s">
        <v>30</v>
      </c>
      <c r="E50">
        <v>16.747908659301899</v>
      </c>
      <c r="G50">
        <v>3.0917500000000002</v>
      </c>
      <c r="H50">
        <v>12.359</v>
      </c>
      <c r="K50">
        <v>1.7962</v>
      </c>
      <c r="L50">
        <v>1.29555</v>
      </c>
      <c r="M50">
        <v>3.375</v>
      </c>
      <c r="N50">
        <v>3.84</v>
      </c>
      <c r="O50">
        <v>0.32</v>
      </c>
      <c r="P50">
        <v>5.0000000000000001E-3</v>
      </c>
      <c r="Q50">
        <v>1.4E-2</v>
      </c>
      <c r="R50">
        <v>27.433399999999999</v>
      </c>
      <c r="S50">
        <v>24.066600000000001</v>
      </c>
      <c r="T50">
        <v>0</v>
      </c>
      <c r="U50">
        <v>0.41299999999999998</v>
      </c>
    </row>
    <row r="51" spans="1:21" x14ac:dyDescent="0.25">
      <c r="A51" t="s">
        <v>832</v>
      </c>
      <c r="B51" t="s">
        <v>102</v>
      </c>
      <c r="C51">
        <v>26</v>
      </c>
      <c r="D51" t="s">
        <v>9</v>
      </c>
      <c r="E51">
        <v>8.4814788714471607</v>
      </c>
      <c r="G51">
        <v>1.42195</v>
      </c>
      <c r="H51">
        <v>6.476</v>
      </c>
      <c r="K51">
        <v>0.61009999999999998</v>
      </c>
      <c r="L51">
        <v>0.81184999999999996</v>
      </c>
      <c r="M51">
        <v>6.7569999999999997</v>
      </c>
      <c r="N51">
        <v>2.0619999999999998</v>
      </c>
      <c r="O51">
        <v>0.35299999999999998</v>
      </c>
      <c r="P51">
        <v>1.4999999999999999E-2</v>
      </c>
      <c r="Q51">
        <v>3.0000000000000001E-3</v>
      </c>
      <c r="R51">
        <v>0.69920000000000004</v>
      </c>
      <c r="S51">
        <v>0.99309999999999998</v>
      </c>
      <c r="T51">
        <v>0.38</v>
      </c>
      <c r="U51">
        <v>0.67500000000000004</v>
      </c>
    </row>
    <row r="52" spans="1:21" x14ac:dyDescent="0.25">
      <c r="A52" t="s">
        <v>420</v>
      </c>
      <c r="B52" t="s">
        <v>1108</v>
      </c>
      <c r="C52">
        <v>31</v>
      </c>
      <c r="D52" t="s">
        <v>10</v>
      </c>
      <c r="E52">
        <v>11.0172308799545</v>
      </c>
      <c r="G52">
        <v>1.23725</v>
      </c>
      <c r="H52">
        <v>4.0890000000000004</v>
      </c>
      <c r="K52">
        <v>0.41704999999999998</v>
      </c>
      <c r="L52">
        <v>0.82020000000000004</v>
      </c>
      <c r="M52">
        <v>9.1549999999999994</v>
      </c>
      <c r="N52">
        <v>4.1079999999999997</v>
      </c>
      <c r="O52">
        <v>1.0609999999999999</v>
      </c>
      <c r="P52">
        <v>0.30099999999999999</v>
      </c>
      <c r="Q52">
        <v>4.4999999999999998E-2</v>
      </c>
      <c r="R52">
        <v>19.104700000000001</v>
      </c>
      <c r="S52">
        <v>16.7258</v>
      </c>
      <c r="T52">
        <v>0.42</v>
      </c>
      <c r="U52">
        <v>1.335</v>
      </c>
    </row>
    <row r="53" spans="1:21" x14ac:dyDescent="0.25">
      <c r="A53" t="s">
        <v>646</v>
      </c>
      <c r="B53" t="s">
        <v>74</v>
      </c>
      <c r="C53">
        <v>24</v>
      </c>
      <c r="D53" t="s">
        <v>13</v>
      </c>
      <c r="E53">
        <v>13.789400000000001</v>
      </c>
      <c r="G53">
        <v>1.4054</v>
      </c>
      <c r="H53">
        <v>6.0730000000000004</v>
      </c>
      <c r="K53">
        <v>0.67500000000000004</v>
      </c>
      <c r="L53">
        <v>0.84645000000000004</v>
      </c>
      <c r="M53">
        <v>3.3460000000000001</v>
      </c>
      <c r="N53">
        <v>1.9910000000000001</v>
      </c>
      <c r="O53">
        <v>0.88400000000000001</v>
      </c>
      <c r="P53">
        <v>8.0000000000000002E-3</v>
      </c>
      <c r="Q53">
        <v>4.2999999999999997E-2</v>
      </c>
      <c r="R53">
        <v>22.4194</v>
      </c>
      <c r="S53">
        <v>22.765000000000001</v>
      </c>
      <c r="T53">
        <v>0.46</v>
      </c>
      <c r="U53">
        <v>0.95699999999999996</v>
      </c>
    </row>
    <row r="54" spans="1:21" x14ac:dyDescent="0.25">
      <c r="A54" t="s">
        <v>1117</v>
      </c>
      <c r="B54" t="s">
        <v>102</v>
      </c>
      <c r="C54">
        <v>26</v>
      </c>
      <c r="D54" t="s">
        <v>29</v>
      </c>
      <c r="E54">
        <v>11.7147312779485</v>
      </c>
      <c r="G54">
        <v>1.2956000000000001</v>
      </c>
      <c r="H54">
        <v>5.7480000000000002</v>
      </c>
      <c r="K54">
        <v>0.47735</v>
      </c>
      <c r="L54">
        <v>0.81825000000000003</v>
      </c>
      <c r="M54">
        <v>12.874000000000001</v>
      </c>
      <c r="N54">
        <v>4.1929999999999996</v>
      </c>
      <c r="O54">
        <v>0.66100000000000003</v>
      </c>
      <c r="P54">
        <v>7.4999999999999997E-2</v>
      </c>
      <c r="Q54">
        <v>6.0000000000000001E-3</v>
      </c>
      <c r="R54">
        <v>1.7604</v>
      </c>
      <c r="S54">
        <v>1.8725000000000001</v>
      </c>
      <c r="T54">
        <v>0.44</v>
      </c>
      <c r="U54">
        <v>0.80800000000000005</v>
      </c>
    </row>
    <row r="55" spans="1:21" x14ac:dyDescent="0.25">
      <c r="A55" t="s">
        <v>858</v>
      </c>
      <c r="B55" t="s">
        <v>74</v>
      </c>
      <c r="C55">
        <v>26</v>
      </c>
      <c r="D55" t="s">
        <v>138</v>
      </c>
      <c r="E55">
        <v>9.9108961356909493</v>
      </c>
      <c r="G55">
        <v>0.98424999999999996</v>
      </c>
      <c r="H55">
        <v>4.0380000000000003</v>
      </c>
      <c r="K55">
        <v>0.46300000000000002</v>
      </c>
      <c r="L55">
        <v>0.52124999999999999</v>
      </c>
      <c r="M55">
        <v>7.0869999999999997</v>
      </c>
      <c r="N55">
        <v>1.571</v>
      </c>
      <c r="O55">
        <v>0.67400000000000004</v>
      </c>
      <c r="P55">
        <v>2.5000000000000001E-2</v>
      </c>
      <c r="Q55">
        <v>7.0000000000000001E-3</v>
      </c>
      <c r="R55">
        <v>10.673</v>
      </c>
      <c r="S55">
        <v>11.241400000000001</v>
      </c>
      <c r="T55">
        <v>0.39</v>
      </c>
      <c r="U55">
        <v>0.57599999999999996</v>
      </c>
    </row>
    <row r="56" spans="1:21" x14ac:dyDescent="0.25">
      <c r="A56" t="s">
        <v>373</v>
      </c>
      <c r="B56" t="s">
        <v>104</v>
      </c>
      <c r="C56">
        <v>33</v>
      </c>
      <c r="D56" t="s">
        <v>22</v>
      </c>
      <c r="E56">
        <v>14.340278818664</v>
      </c>
      <c r="G56">
        <v>2.0878000000000001</v>
      </c>
      <c r="H56">
        <v>9.1210000000000004</v>
      </c>
      <c r="K56">
        <v>1.0206500000000001</v>
      </c>
      <c r="L56">
        <v>1.06715</v>
      </c>
      <c r="M56">
        <v>6.0469999999999997</v>
      </c>
      <c r="N56">
        <v>2.4239999999999999</v>
      </c>
      <c r="O56">
        <v>1.2529999999999999</v>
      </c>
      <c r="P56">
        <v>5.2999999999999999E-2</v>
      </c>
      <c r="Q56">
        <v>1.7000000000000001E-2</v>
      </c>
      <c r="R56">
        <v>1.4524999999999999</v>
      </c>
      <c r="S56">
        <v>1.7025999999999999</v>
      </c>
      <c r="T56">
        <v>0.42</v>
      </c>
      <c r="U56">
        <v>0.70499999999999996</v>
      </c>
    </row>
    <row r="57" spans="1:21" x14ac:dyDescent="0.25">
      <c r="A57" t="s">
        <v>773</v>
      </c>
      <c r="B57" t="s">
        <v>74</v>
      </c>
      <c r="C57">
        <v>27</v>
      </c>
      <c r="D57" t="s">
        <v>26</v>
      </c>
      <c r="E57">
        <v>10.2883731762818</v>
      </c>
      <c r="G57">
        <v>1.5282500000000001</v>
      </c>
      <c r="H57">
        <v>6.4859999999999998</v>
      </c>
      <c r="K57">
        <v>0.61065000000000003</v>
      </c>
      <c r="L57">
        <v>0.91759999999999997</v>
      </c>
      <c r="M57">
        <v>5.3319999999999999</v>
      </c>
      <c r="N57">
        <v>1.724</v>
      </c>
      <c r="O57">
        <v>1.1240000000000001</v>
      </c>
      <c r="P57">
        <v>6.0999999999999999E-2</v>
      </c>
      <c r="Q57">
        <v>0</v>
      </c>
      <c r="R57">
        <v>16.1694</v>
      </c>
      <c r="S57">
        <v>16.838699999999999</v>
      </c>
      <c r="T57">
        <v>0.35</v>
      </c>
      <c r="U57">
        <v>1.1180000000000001</v>
      </c>
    </row>
    <row r="58" spans="1:21" x14ac:dyDescent="0.25">
      <c r="A58" t="s">
        <v>300</v>
      </c>
      <c r="B58" t="s">
        <v>103</v>
      </c>
      <c r="C58">
        <v>38</v>
      </c>
      <c r="D58" t="s">
        <v>10</v>
      </c>
      <c r="E58">
        <v>12.263123361192299</v>
      </c>
      <c r="G58">
        <v>2.0658500000000002</v>
      </c>
      <c r="H58">
        <v>6.7439999999999998</v>
      </c>
      <c r="K58">
        <v>0.68905000000000005</v>
      </c>
      <c r="L58">
        <v>1.3768</v>
      </c>
      <c r="M58">
        <v>2.3740000000000001</v>
      </c>
      <c r="N58">
        <v>2.581</v>
      </c>
      <c r="O58">
        <v>0.96499999999999997</v>
      </c>
      <c r="P58">
        <v>4.1000000000000002E-2</v>
      </c>
      <c r="Q58">
        <v>0</v>
      </c>
      <c r="R58">
        <v>2.1901000000000002</v>
      </c>
      <c r="S58">
        <v>1.5513999999999999</v>
      </c>
      <c r="T58" t="s">
        <v>1054</v>
      </c>
      <c r="U58">
        <v>0.97799999999999998</v>
      </c>
    </row>
    <row r="59" spans="1:21" x14ac:dyDescent="0.25">
      <c r="A59" t="s">
        <v>374</v>
      </c>
      <c r="B59" t="s">
        <v>74</v>
      </c>
      <c r="C59">
        <v>29</v>
      </c>
      <c r="D59" t="s">
        <v>20</v>
      </c>
      <c r="E59">
        <v>15.769061317234099</v>
      </c>
      <c r="G59">
        <v>2.0630500000000001</v>
      </c>
      <c r="H59">
        <v>8.2430000000000003</v>
      </c>
      <c r="K59">
        <v>0.98199999999999998</v>
      </c>
      <c r="L59">
        <v>1.0810500000000001</v>
      </c>
      <c r="M59">
        <v>2.714</v>
      </c>
      <c r="N59">
        <v>2.206</v>
      </c>
      <c r="O59">
        <v>0.66800000000000004</v>
      </c>
      <c r="P59">
        <v>6.0000000000000001E-3</v>
      </c>
      <c r="Q59">
        <v>1.4999999999999999E-2</v>
      </c>
      <c r="R59">
        <v>28.044699999999999</v>
      </c>
      <c r="S59">
        <v>24.396100000000001</v>
      </c>
      <c r="T59">
        <v>0.39</v>
      </c>
      <c r="U59">
        <v>2.0830000000000002</v>
      </c>
    </row>
    <row r="60" spans="1:21" x14ac:dyDescent="0.25">
      <c r="A60" t="s">
        <v>1019</v>
      </c>
      <c r="B60" t="s">
        <v>103</v>
      </c>
      <c r="C60">
        <v>23</v>
      </c>
      <c r="D60" t="s">
        <v>32</v>
      </c>
      <c r="E60">
        <v>11.734429407034</v>
      </c>
      <c r="G60">
        <v>1.6407499999999999</v>
      </c>
      <c r="H60">
        <v>5.7519999999999998</v>
      </c>
      <c r="K60">
        <v>0.71094999999999997</v>
      </c>
      <c r="L60">
        <v>0.92979999999999996</v>
      </c>
      <c r="M60">
        <v>2.794</v>
      </c>
      <c r="N60">
        <v>2.1549999999999998</v>
      </c>
      <c r="O60">
        <v>0.434</v>
      </c>
      <c r="P60">
        <v>2.9000000000000001E-2</v>
      </c>
      <c r="Q60">
        <v>7.0000000000000001E-3</v>
      </c>
      <c r="R60">
        <v>1.7000999999999999</v>
      </c>
      <c r="S60">
        <v>1.6228</v>
      </c>
      <c r="T60">
        <v>0.42</v>
      </c>
      <c r="U60">
        <v>1.39</v>
      </c>
    </row>
    <row r="61" spans="1:21" x14ac:dyDescent="0.25">
      <c r="A61" t="s">
        <v>1096</v>
      </c>
      <c r="B61" t="s">
        <v>74</v>
      </c>
      <c r="C61">
        <v>28</v>
      </c>
      <c r="D61" t="s">
        <v>30</v>
      </c>
      <c r="E61">
        <v>13</v>
      </c>
      <c r="G61">
        <v>2.0790999999999999</v>
      </c>
      <c r="H61">
        <v>10.821</v>
      </c>
      <c r="K61">
        <v>1.2149000000000001</v>
      </c>
      <c r="L61">
        <v>0.86419999999999997</v>
      </c>
      <c r="M61">
        <v>10.02</v>
      </c>
      <c r="N61">
        <v>1.988</v>
      </c>
      <c r="O61">
        <v>0.97699999999999998</v>
      </c>
      <c r="P61">
        <v>0.17699999999999999</v>
      </c>
      <c r="Q61">
        <v>0.155</v>
      </c>
      <c r="R61">
        <v>2.0291999999999999</v>
      </c>
      <c r="S61">
        <v>1.6932</v>
      </c>
      <c r="T61">
        <v>0.5</v>
      </c>
      <c r="U61">
        <v>1.302</v>
      </c>
    </row>
    <row r="62" spans="1:21" x14ac:dyDescent="0.25">
      <c r="A62" t="s">
        <v>409</v>
      </c>
      <c r="B62" t="s">
        <v>74</v>
      </c>
      <c r="C62">
        <v>31</v>
      </c>
      <c r="D62" t="s">
        <v>23</v>
      </c>
      <c r="E62">
        <v>15.607825138175</v>
      </c>
      <c r="G62">
        <v>1.8566499999999999</v>
      </c>
      <c r="H62">
        <v>7.64</v>
      </c>
      <c r="K62">
        <v>0.97794999999999999</v>
      </c>
      <c r="L62">
        <v>0.87870000000000004</v>
      </c>
      <c r="M62">
        <v>6.4080000000000004</v>
      </c>
      <c r="N62">
        <v>3.9390000000000001</v>
      </c>
      <c r="O62">
        <v>0.71899999999999997</v>
      </c>
      <c r="P62">
        <v>2.9000000000000001E-2</v>
      </c>
      <c r="Q62">
        <v>2.3E-2</v>
      </c>
      <c r="R62">
        <v>29.710799999999999</v>
      </c>
      <c r="S62">
        <v>24.928599999999999</v>
      </c>
      <c r="T62" t="s">
        <v>1054</v>
      </c>
      <c r="U62">
        <v>0.65200000000000002</v>
      </c>
    </row>
    <row r="63" spans="1:21" x14ac:dyDescent="0.25">
      <c r="A63" t="s">
        <v>829</v>
      </c>
      <c r="B63" t="s">
        <v>102</v>
      </c>
      <c r="C63">
        <v>26</v>
      </c>
      <c r="D63" t="s">
        <v>135</v>
      </c>
      <c r="E63">
        <v>10.3353426676825</v>
      </c>
      <c r="G63">
        <v>1.21315</v>
      </c>
      <c r="H63">
        <v>5.843</v>
      </c>
      <c r="K63">
        <v>0.4945</v>
      </c>
      <c r="L63">
        <v>0.71865000000000001</v>
      </c>
      <c r="M63">
        <v>7.9779999999999998</v>
      </c>
      <c r="N63">
        <v>1.5620000000000001</v>
      </c>
      <c r="O63">
        <v>0.64400000000000002</v>
      </c>
      <c r="P63">
        <v>7.4999999999999997E-2</v>
      </c>
      <c r="Q63">
        <v>8.2000000000000003E-2</v>
      </c>
      <c r="R63">
        <v>1.1808000000000001</v>
      </c>
      <c r="S63">
        <v>1.6123000000000001</v>
      </c>
      <c r="T63">
        <v>0</v>
      </c>
      <c r="U63">
        <v>0.56100000000000005</v>
      </c>
    </row>
    <row r="64" spans="1:21" x14ac:dyDescent="0.25">
      <c r="A64" t="s">
        <v>252</v>
      </c>
      <c r="B64" t="s">
        <v>102</v>
      </c>
      <c r="C64">
        <v>36</v>
      </c>
      <c r="D64" t="s">
        <v>12</v>
      </c>
      <c r="E64">
        <v>13.8845505450502</v>
      </c>
      <c r="G64">
        <v>2.26715</v>
      </c>
      <c r="H64">
        <v>8.0079999999999991</v>
      </c>
      <c r="K64">
        <v>0.9385</v>
      </c>
      <c r="L64">
        <v>1.3286500000000001</v>
      </c>
      <c r="M64">
        <v>4.3630000000000004</v>
      </c>
      <c r="N64">
        <v>1.3360000000000001</v>
      </c>
      <c r="O64">
        <v>1.61</v>
      </c>
      <c r="P64">
        <v>5.8999999999999997E-2</v>
      </c>
      <c r="Q64">
        <v>7.0000000000000007E-2</v>
      </c>
      <c r="R64">
        <v>0.96160000000000001</v>
      </c>
      <c r="S64">
        <v>1.3033999999999999</v>
      </c>
      <c r="T64">
        <v>0.41</v>
      </c>
      <c r="U64">
        <v>1.3049999999999999</v>
      </c>
    </row>
    <row r="65" spans="1:21" x14ac:dyDescent="0.25">
      <c r="A65" t="s">
        <v>238</v>
      </c>
      <c r="B65" t="s">
        <v>102</v>
      </c>
      <c r="C65">
        <v>25</v>
      </c>
      <c r="D65" t="s">
        <v>15</v>
      </c>
      <c r="E65">
        <v>15.3994874563832</v>
      </c>
      <c r="G65">
        <v>2.5238499999999999</v>
      </c>
      <c r="H65">
        <v>11.993</v>
      </c>
      <c r="K65">
        <v>1.1914499999999999</v>
      </c>
      <c r="L65">
        <v>1.3324</v>
      </c>
      <c r="M65">
        <v>12.131</v>
      </c>
      <c r="N65">
        <v>1.319</v>
      </c>
      <c r="O65">
        <v>1.3169999999999999</v>
      </c>
      <c r="P65">
        <v>0.28699999999999998</v>
      </c>
      <c r="Q65">
        <v>0.16400000000000001</v>
      </c>
      <c r="R65">
        <v>5.3112000000000004</v>
      </c>
      <c r="S65">
        <v>5.6833999999999998</v>
      </c>
      <c r="T65">
        <v>0.52</v>
      </c>
      <c r="U65">
        <v>0.77700000000000002</v>
      </c>
    </row>
    <row r="66" spans="1:21" x14ac:dyDescent="0.25">
      <c r="A66" t="s">
        <v>555</v>
      </c>
      <c r="B66" t="s">
        <v>104</v>
      </c>
      <c r="C66">
        <v>27</v>
      </c>
      <c r="D66" t="s">
        <v>35</v>
      </c>
      <c r="E66">
        <v>9.1364531155738202</v>
      </c>
      <c r="G66">
        <v>1.1480999999999999</v>
      </c>
      <c r="H66">
        <v>7.1769999999999996</v>
      </c>
      <c r="K66">
        <v>0.58450000000000002</v>
      </c>
      <c r="L66">
        <v>0.56359999999999999</v>
      </c>
      <c r="M66">
        <v>14.87</v>
      </c>
      <c r="N66">
        <v>2.0880000000000001</v>
      </c>
      <c r="O66">
        <v>1.1659999999999999</v>
      </c>
      <c r="P66">
        <v>0.66700000000000004</v>
      </c>
      <c r="Q66">
        <v>8.5999999999999993E-2</v>
      </c>
      <c r="R66">
        <v>0.53720000000000001</v>
      </c>
      <c r="S66">
        <v>0.90749999999999997</v>
      </c>
      <c r="T66" t="s">
        <v>1054</v>
      </c>
      <c r="U66">
        <v>0.19</v>
      </c>
    </row>
    <row r="67" spans="1:21" x14ac:dyDescent="0.25">
      <c r="A67" t="s">
        <v>571</v>
      </c>
      <c r="B67" t="s">
        <v>104</v>
      </c>
      <c r="C67">
        <v>26</v>
      </c>
      <c r="D67" t="s">
        <v>19</v>
      </c>
      <c r="E67">
        <v>15.5180699019902</v>
      </c>
      <c r="G67">
        <v>2.4873500000000002</v>
      </c>
      <c r="H67">
        <v>6.8680000000000003</v>
      </c>
      <c r="K67">
        <v>1.0774999999999999</v>
      </c>
      <c r="L67">
        <v>1.40985</v>
      </c>
      <c r="M67">
        <v>2.2330000000000001</v>
      </c>
      <c r="N67">
        <v>1.9670000000000001</v>
      </c>
      <c r="O67">
        <v>0.95</v>
      </c>
      <c r="P67">
        <v>3.6999999999999998E-2</v>
      </c>
      <c r="Q67">
        <v>5.0999999999999997E-2</v>
      </c>
      <c r="R67">
        <v>1.1451</v>
      </c>
      <c r="S67">
        <v>1.8448</v>
      </c>
      <c r="T67">
        <v>0</v>
      </c>
      <c r="U67">
        <v>0.61499999999999999</v>
      </c>
    </row>
    <row r="68" spans="1:21" x14ac:dyDescent="0.25">
      <c r="A68" t="s">
        <v>575</v>
      </c>
      <c r="B68" t="s">
        <v>102</v>
      </c>
      <c r="C68">
        <v>32</v>
      </c>
      <c r="D68" t="s">
        <v>14</v>
      </c>
      <c r="E68">
        <v>13.396289869803301</v>
      </c>
      <c r="G68">
        <v>1.81165</v>
      </c>
      <c r="H68">
        <v>6.24</v>
      </c>
      <c r="K68">
        <v>0.93200000000000005</v>
      </c>
      <c r="L68">
        <v>0.87965000000000004</v>
      </c>
      <c r="M68">
        <v>0.752</v>
      </c>
      <c r="N68">
        <v>1.3140000000000001</v>
      </c>
      <c r="O68">
        <v>0.38300000000000001</v>
      </c>
      <c r="P68">
        <v>6.0000000000000001E-3</v>
      </c>
      <c r="Q68">
        <v>0</v>
      </c>
      <c r="R68">
        <v>0.67130000000000001</v>
      </c>
      <c r="S68">
        <v>0.73260000000000003</v>
      </c>
      <c r="T68">
        <v>0.44</v>
      </c>
      <c r="U68">
        <v>0.82699999999999996</v>
      </c>
    </row>
    <row r="69" spans="1:21" x14ac:dyDescent="0.25">
      <c r="A69" t="s">
        <v>426</v>
      </c>
      <c r="B69" t="s">
        <v>104</v>
      </c>
      <c r="C69">
        <v>33</v>
      </c>
      <c r="D69" t="s">
        <v>87</v>
      </c>
      <c r="E69">
        <v>11.959667809555199</v>
      </c>
      <c r="G69">
        <v>1.5503</v>
      </c>
      <c r="H69">
        <v>5.5389999999999997</v>
      </c>
      <c r="K69">
        <v>0.73099999999999998</v>
      </c>
      <c r="L69">
        <v>0.81930000000000003</v>
      </c>
      <c r="M69">
        <v>9.6549999999999994</v>
      </c>
      <c r="N69">
        <v>3.1589999999999998</v>
      </c>
      <c r="O69">
        <v>0.64600000000000002</v>
      </c>
      <c r="P69">
        <v>0.20499999999999999</v>
      </c>
      <c r="Q69">
        <v>2.7E-2</v>
      </c>
      <c r="R69">
        <v>0.72499999999999998</v>
      </c>
      <c r="S69">
        <v>1.2518</v>
      </c>
      <c r="T69">
        <v>0</v>
      </c>
      <c r="U69">
        <v>0.44900000000000001</v>
      </c>
    </row>
    <row r="70" spans="1:21" x14ac:dyDescent="0.25">
      <c r="A70" t="s">
        <v>354</v>
      </c>
      <c r="B70" t="s">
        <v>74</v>
      </c>
      <c r="C70">
        <v>28</v>
      </c>
      <c r="D70" t="s">
        <v>19</v>
      </c>
      <c r="E70">
        <v>16.097698688513098</v>
      </c>
      <c r="G70">
        <v>2.4736500000000001</v>
      </c>
      <c r="H70">
        <v>7.2990000000000004</v>
      </c>
      <c r="K70">
        <v>1.2375499999999999</v>
      </c>
      <c r="L70">
        <v>1.2361</v>
      </c>
      <c r="M70">
        <v>1.1379999999999999</v>
      </c>
      <c r="N70">
        <v>1.881</v>
      </c>
      <c r="O70">
        <v>0.254</v>
      </c>
      <c r="P70">
        <v>6.8000000000000005E-2</v>
      </c>
      <c r="Q70">
        <v>0</v>
      </c>
      <c r="R70">
        <v>13.204800000000001</v>
      </c>
      <c r="S70">
        <v>14.9788</v>
      </c>
      <c r="T70">
        <v>0.44</v>
      </c>
      <c r="U70">
        <v>0.69699999999999995</v>
      </c>
    </row>
    <row r="71" spans="1:21" x14ac:dyDescent="0.25">
      <c r="A71" t="s">
        <v>340</v>
      </c>
      <c r="B71" t="s">
        <v>101</v>
      </c>
      <c r="C71">
        <v>33</v>
      </c>
      <c r="D71" t="s">
        <v>14</v>
      </c>
      <c r="E71">
        <v>14.417478870919499</v>
      </c>
      <c r="G71">
        <v>1.9650000000000001</v>
      </c>
      <c r="H71">
        <v>5.4909999999999997</v>
      </c>
      <c r="K71">
        <v>0.78295000000000003</v>
      </c>
      <c r="L71">
        <v>1.18205</v>
      </c>
      <c r="M71">
        <v>7.0519999999999996</v>
      </c>
      <c r="N71">
        <v>2.0219999999999998</v>
      </c>
      <c r="O71">
        <v>0.68400000000000005</v>
      </c>
      <c r="P71">
        <v>0.15</v>
      </c>
      <c r="Q71">
        <v>0</v>
      </c>
      <c r="R71">
        <v>17.920200000000001</v>
      </c>
      <c r="S71">
        <v>19.968499999999999</v>
      </c>
      <c r="T71">
        <v>0</v>
      </c>
      <c r="U71">
        <v>0.32300000000000001</v>
      </c>
    </row>
    <row r="72" spans="1:21" x14ac:dyDescent="0.25">
      <c r="A72" t="s">
        <v>1118</v>
      </c>
      <c r="B72" t="s">
        <v>74</v>
      </c>
      <c r="C72">
        <v>23</v>
      </c>
      <c r="D72" t="s">
        <v>28</v>
      </c>
      <c r="E72">
        <v>11.895235739299601</v>
      </c>
      <c r="G72">
        <v>1.7764500000000001</v>
      </c>
      <c r="H72">
        <v>5.9290000000000003</v>
      </c>
      <c r="K72">
        <v>0.57525000000000004</v>
      </c>
      <c r="L72">
        <v>1.2012</v>
      </c>
      <c r="M72">
        <v>4.8819999999999997</v>
      </c>
      <c r="N72">
        <v>1.982</v>
      </c>
      <c r="O72">
        <v>0.52300000000000002</v>
      </c>
      <c r="P72">
        <v>5.6000000000000001E-2</v>
      </c>
      <c r="Q72">
        <v>1.7000000000000001E-2</v>
      </c>
      <c r="R72">
        <v>4.5171000000000001</v>
      </c>
      <c r="S72">
        <v>4.5148999999999999</v>
      </c>
      <c r="T72">
        <v>0</v>
      </c>
      <c r="U72">
        <v>0.312</v>
      </c>
    </row>
    <row r="73" spans="1:21" x14ac:dyDescent="0.25">
      <c r="A73" t="s">
        <v>440</v>
      </c>
      <c r="B73" t="s">
        <v>103</v>
      </c>
      <c r="C73">
        <v>32</v>
      </c>
      <c r="D73" t="s">
        <v>6</v>
      </c>
      <c r="E73">
        <v>12.2394947408071</v>
      </c>
      <c r="G73">
        <v>1.5422499999999999</v>
      </c>
      <c r="H73">
        <v>9.3550000000000004</v>
      </c>
      <c r="K73">
        <v>0.84089999999999998</v>
      </c>
      <c r="L73">
        <v>0.70135000000000003</v>
      </c>
      <c r="M73">
        <v>3.48</v>
      </c>
      <c r="N73">
        <v>2.278</v>
      </c>
      <c r="O73">
        <v>1.4670000000000001</v>
      </c>
      <c r="P73">
        <v>0.128</v>
      </c>
      <c r="Q73">
        <v>0.13900000000000001</v>
      </c>
      <c r="R73">
        <v>0.85229999999999995</v>
      </c>
      <c r="S73">
        <v>1.2444999999999999</v>
      </c>
      <c r="T73">
        <v>0.39</v>
      </c>
      <c r="U73">
        <v>1.6659999999999999</v>
      </c>
    </row>
    <row r="74" spans="1:21" x14ac:dyDescent="0.25">
      <c r="A74" t="s">
        <v>826</v>
      </c>
      <c r="B74" t="s">
        <v>101</v>
      </c>
      <c r="C74">
        <v>30</v>
      </c>
      <c r="D74" t="s">
        <v>23</v>
      </c>
      <c r="E74">
        <v>11.014360781417199</v>
      </c>
      <c r="G74">
        <v>1.39585</v>
      </c>
      <c r="H74">
        <v>6.9569999999999999</v>
      </c>
      <c r="K74">
        <v>0.7238</v>
      </c>
      <c r="L74">
        <v>0.67205000000000004</v>
      </c>
      <c r="M74">
        <v>9.4079999999999995</v>
      </c>
      <c r="N74">
        <v>2.0510000000000002</v>
      </c>
      <c r="O74">
        <v>1.0129999999999999</v>
      </c>
      <c r="P74">
        <v>3.2000000000000001E-2</v>
      </c>
      <c r="Q74">
        <v>8.0000000000000002E-3</v>
      </c>
      <c r="R74">
        <v>18.094999999999999</v>
      </c>
      <c r="S74">
        <v>15.6753</v>
      </c>
      <c r="T74">
        <v>0.51</v>
      </c>
      <c r="U74">
        <v>0.60599999999999998</v>
      </c>
    </row>
    <row r="75" spans="1:21" x14ac:dyDescent="0.25">
      <c r="A75" t="s">
        <v>561</v>
      </c>
      <c r="B75" t="s">
        <v>104</v>
      </c>
      <c r="C75">
        <v>28</v>
      </c>
      <c r="D75" t="s">
        <v>34</v>
      </c>
      <c r="E75">
        <v>8.5152167367782905</v>
      </c>
      <c r="G75">
        <v>1.3039000000000001</v>
      </c>
      <c r="H75">
        <v>6.4560000000000004</v>
      </c>
      <c r="K75">
        <v>0.60629999999999995</v>
      </c>
      <c r="L75">
        <v>0.6976</v>
      </c>
      <c r="M75">
        <v>13.557</v>
      </c>
      <c r="N75">
        <v>1.86</v>
      </c>
      <c r="O75">
        <v>1.8460000000000001</v>
      </c>
      <c r="P75">
        <v>0.83199999999999996</v>
      </c>
      <c r="Q75">
        <v>0.35</v>
      </c>
      <c r="R75">
        <v>1.4056999999999999</v>
      </c>
      <c r="S75">
        <v>2.6427</v>
      </c>
      <c r="T75">
        <v>0.5</v>
      </c>
      <c r="U75">
        <v>0.94099999999999995</v>
      </c>
    </row>
    <row r="76" spans="1:21" x14ac:dyDescent="0.25">
      <c r="A76" t="s">
        <v>806</v>
      </c>
      <c r="B76" t="s">
        <v>101</v>
      </c>
      <c r="C76">
        <v>26</v>
      </c>
      <c r="D76" t="s">
        <v>28</v>
      </c>
      <c r="E76">
        <v>11.7503121217268</v>
      </c>
      <c r="G76">
        <v>1.37635</v>
      </c>
      <c r="H76">
        <v>4.6689999999999996</v>
      </c>
      <c r="K76">
        <v>0.59165000000000001</v>
      </c>
      <c r="L76">
        <v>0.78469999999999995</v>
      </c>
      <c r="M76">
        <v>5.9420000000000002</v>
      </c>
      <c r="N76">
        <v>3.43</v>
      </c>
      <c r="O76">
        <v>1.0549999999999999</v>
      </c>
      <c r="P76">
        <v>7.0000000000000007E-2</v>
      </c>
      <c r="Q76">
        <v>3.7999999999999999E-2</v>
      </c>
      <c r="R76">
        <v>11.3889</v>
      </c>
      <c r="S76">
        <v>12.599299999999999</v>
      </c>
      <c r="T76">
        <v>0</v>
      </c>
      <c r="U76">
        <v>0.57699999999999996</v>
      </c>
    </row>
    <row r="77" spans="1:21" x14ac:dyDescent="0.25">
      <c r="A77" t="s">
        <v>821</v>
      </c>
      <c r="B77" t="s">
        <v>103</v>
      </c>
      <c r="C77">
        <v>25</v>
      </c>
      <c r="D77" t="s">
        <v>5</v>
      </c>
      <c r="E77">
        <v>10.5039209673341</v>
      </c>
      <c r="G77">
        <v>1.3104</v>
      </c>
      <c r="H77">
        <v>6.7569999999999997</v>
      </c>
      <c r="K77">
        <v>0.65339999999999998</v>
      </c>
      <c r="L77">
        <v>0.65700000000000003</v>
      </c>
      <c r="M77">
        <v>5.23</v>
      </c>
      <c r="N77">
        <v>3.1219999999999999</v>
      </c>
      <c r="O77">
        <v>0.54500000000000004</v>
      </c>
      <c r="P77">
        <v>0.01</v>
      </c>
      <c r="Q77">
        <v>1E-3</v>
      </c>
      <c r="R77">
        <v>1.2504999999999999</v>
      </c>
      <c r="S77">
        <v>1.7692000000000001</v>
      </c>
      <c r="T77" t="s">
        <v>1054</v>
      </c>
      <c r="U77">
        <v>0.504</v>
      </c>
    </row>
    <row r="78" spans="1:21" x14ac:dyDescent="0.25">
      <c r="A78" t="s">
        <v>760</v>
      </c>
      <c r="B78" t="s">
        <v>103</v>
      </c>
      <c r="C78">
        <v>31</v>
      </c>
      <c r="D78" t="s">
        <v>901</v>
      </c>
      <c r="E78">
        <v>10.082018962570601</v>
      </c>
      <c r="G78">
        <v>1.3464</v>
      </c>
      <c r="H78">
        <v>7.8239999999999998</v>
      </c>
      <c r="K78">
        <v>0.72435000000000005</v>
      </c>
      <c r="L78">
        <v>0.62204999999999999</v>
      </c>
      <c r="M78">
        <v>9.141</v>
      </c>
      <c r="N78">
        <v>1.44</v>
      </c>
      <c r="O78">
        <v>1.3220000000000001</v>
      </c>
      <c r="P78">
        <v>0.13900000000000001</v>
      </c>
      <c r="Q78">
        <v>4.0000000000000001E-3</v>
      </c>
      <c r="R78">
        <v>1.2782</v>
      </c>
      <c r="S78">
        <v>1.3532</v>
      </c>
      <c r="T78" t="s">
        <v>1054</v>
      </c>
      <c r="U78">
        <v>0.70199999999999996</v>
      </c>
    </row>
    <row r="79" spans="1:21" x14ac:dyDescent="0.25">
      <c r="A79" t="s">
        <v>407</v>
      </c>
      <c r="B79" t="s">
        <v>103</v>
      </c>
      <c r="C79">
        <v>27</v>
      </c>
      <c r="D79" t="s">
        <v>8</v>
      </c>
      <c r="E79">
        <v>14.7380740082593</v>
      </c>
      <c r="G79">
        <v>1.9658500000000001</v>
      </c>
      <c r="H79">
        <v>6.6360000000000001</v>
      </c>
      <c r="K79">
        <v>0.8548</v>
      </c>
      <c r="L79">
        <v>1.1110500000000001</v>
      </c>
      <c r="M79">
        <v>2.2490000000000001</v>
      </c>
      <c r="N79">
        <v>1.6439999999999999</v>
      </c>
      <c r="O79">
        <v>0.47099999999999997</v>
      </c>
      <c r="P79">
        <v>6.0000000000000001E-3</v>
      </c>
      <c r="Q79">
        <v>0</v>
      </c>
      <c r="R79">
        <v>0.92800000000000005</v>
      </c>
      <c r="S79">
        <v>0.97909999999999997</v>
      </c>
      <c r="T79">
        <v>0.45</v>
      </c>
      <c r="U79">
        <v>0.997</v>
      </c>
    </row>
    <row r="80" spans="1:21" x14ac:dyDescent="0.25">
      <c r="A80" t="s">
        <v>872</v>
      </c>
      <c r="B80" t="s">
        <v>104</v>
      </c>
      <c r="C80">
        <v>30</v>
      </c>
      <c r="D80" t="s">
        <v>5</v>
      </c>
      <c r="E80">
        <v>10.042373204639899</v>
      </c>
      <c r="G80">
        <v>1.20255</v>
      </c>
      <c r="H80">
        <v>5.657</v>
      </c>
      <c r="K80">
        <v>0.55405000000000004</v>
      </c>
      <c r="L80">
        <v>0.64849999999999997</v>
      </c>
      <c r="M80">
        <v>6.7510000000000003</v>
      </c>
      <c r="N80">
        <v>2.4660000000000002</v>
      </c>
      <c r="O80">
        <v>0.505</v>
      </c>
      <c r="P80">
        <v>3.9E-2</v>
      </c>
      <c r="Q80">
        <v>1E-3</v>
      </c>
      <c r="R80">
        <v>1.0377000000000001</v>
      </c>
      <c r="S80">
        <v>1.3374999999999999</v>
      </c>
      <c r="T80">
        <v>0</v>
      </c>
      <c r="U80">
        <v>0.375</v>
      </c>
    </row>
    <row r="81" spans="1:21" x14ac:dyDescent="0.25">
      <c r="A81" t="s">
        <v>492</v>
      </c>
      <c r="B81" t="s">
        <v>74</v>
      </c>
      <c r="C81">
        <v>33</v>
      </c>
      <c r="D81" t="s">
        <v>20</v>
      </c>
      <c r="E81">
        <v>14.789743130261501</v>
      </c>
      <c r="G81">
        <v>2.4721500000000001</v>
      </c>
      <c r="H81">
        <v>8.1760000000000002</v>
      </c>
      <c r="K81">
        <v>1.2503</v>
      </c>
      <c r="L81">
        <v>1.2218500000000001</v>
      </c>
      <c r="M81">
        <v>1.571</v>
      </c>
      <c r="N81">
        <v>2.2679999999999998</v>
      </c>
      <c r="O81">
        <v>0.54</v>
      </c>
      <c r="P81">
        <v>6.0000000000000001E-3</v>
      </c>
      <c r="Q81">
        <v>0</v>
      </c>
      <c r="R81">
        <v>17.787600000000001</v>
      </c>
      <c r="S81">
        <v>20.6341</v>
      </c>
      <c r="T81">
        <v>0.38</v>
      </c>
      <c r="U81">
        <v>0.99299999999999999</v>
      </c>
    </row>
    <row r="82" spans="1:21" x14ac:dyDescent="0.25">
      <c r="A82" t="s">
        <v>292</v>
      </c>
      <c r="B82" t="s">
        <v>103</v>
      </c>
      <c r="C82">
        <v>32</v>
      </c>
      <c r="D82" t="s">
        <v>25</v>
      </c>
      <c r="E82">
        <v>15.1647736628461</v>
      </c>
      <c r="G82">
        <v>2.3885000000000001</v>
      </c>
      <c r="H82">
        <v>9.1660000000000004</v>
      </c>
      <c r="K82">
        <v>1.171</v>
      </c>
      <c r="L82">
        <v>1.2175</v>
      </c>
      <c r="M82">
        <v>2.544</v>
      </c>
      <c r="N82">
        <v>2.2480000000000002</v>
      </c>
      <c r="O82">
        <v>0.53100000000000003</v>
      </c>
      <c r="P82">
        <v>2.8000000000000001E-2</v>
      </c>
      <c r="Q82">
        <v>0</v>
      </c>
      <c r="R82">
        <v>0.24759999999999999</v>
      </c>
      <c r="S82">
        <v>0.40100000000000002</v>
      </c>
      <c r="T82">
        <v>0.51</v>
      </c>
      <c r="U82">
        <v>1.518</v>
      </c>
    </row>
    <row r="83" spans="1:21" x14ac:dyDescent="0.25">
      <c r="A83" t="s">
        <v>1119</v>
      </c>
      <c r="B83" t="s">
        <v>105</v>
      </c>
      <c r="C83">
        <v>33</v>
      </c>
      <c r="D83" t="s">
        <v>28</v>
      </c>
      <c r="E83">
        <v>11.1129798730245</v>
      </c>
      <c r="G83">
        <v>1.26695</v>
      </c>
      <c r="H83">
        <v>6.3140000000000001</v>
      </c>
      <c r="K83">
        <v>0.48704999999999998</v>
      </c>
      <c r="L83">
        <v>0.77990000000000004</v>
      </c>
      <c r="M83">
        <v>6.9029999999999996</v>
      </c>
      <c r="N83">
        <v>2.5150000000000001</v>
      </c>
      <c r="O83">
        <v>0.75</v>
      </c>
      <c r="P83">
        <v>5.7000000000000002E-2</v>
      </c>
      <c r="Q83">
        <v>1.7000000000000001E-2</v>
      </c>
      <c r="R83">
        <v>16.214700000000001</v>
      </c>
      <c r="S83">
        <v>12.643000000000001</v>
      </c>
      <c r="T83">
        <v>0.52</v>
      </c>
      <c r="U83">
        <v>0.84</v>
      </c>
    </row>
    <row r="84" spans="1:21" x14ac:dyDescent="0.25">
      <c r="A84" t="s">
        <v>609</v>
      </c>
      <c r="B84" t="s">
        <v>103</v>
      </c>
      <c r="C84">
        <v>37</v>
      </c>
      <c r="D84" t="s">
        <v>20</v>
      </c>
      <c r="E84">
        <v>10.214403452791601</v>
      </c>
      <c r="G84">
        <v>1.3182499999999999</v>
      </c>
      <c r="H84">
        <v>4.4400000000000004</v>
      </c>
      <c r="K84">
        <v>0.52910000000000001</v>
      </c>
      <c r="L84">
        <v>0.78915000000000002</v>
      </c>
      <c r="M84">
        <v>17.199000000000002</v>
      </c>
      <c r="N84">
        <v>2.9889999999999999</v>
      </c>
      <c r="O84">
        <v>0.65700000000000003</v>
      </c>
      <c r="P84">
        <v>8.0000000000000002E-3</v>
      </c>
      <c r="Q84">
        <v>4.9000000000000002E-2</v>
      </c>
      <c r="R84">
        <v>0.99560000000000004</v>
      </c>
      <c r="S84">
        <v>1.4957</v>
      </c>
      <c r="T84">
        <v>0.53</v>
      </c>
      <c r="U84">
        <v>1.0649999999999999</v>
      </c>
    </row>
    <row r="85" spans="1:21" x14ac:dyDescent="0.25">
      <c r="A85" t="s">
        <v>707</v>
      </c>
      <c r="B85" t="s">
        <v>1108</v>
      </c>
      <c r="C85">
        <v>33</v>
      </c>
      <c r="D85" t="s">
        <v>30</v>
      </c>
      <c r="E85">
        <v>12.392056097654001</v>
      </c>
      <c r="G85">
        <v>1.8486</v>
      </c>
      <c r="H85">
        <v>6.4359999999999999</v>
      </c>
      <c r="K85">
        <v>0.85360000000000003</v>
      </c>
      <c r="L85">
        <v>0.995</v>
      </c>
      <c r="M85">
        <v>3.6629999999999998</v>
      </c>
      <c r="N85">
        <v>1.177</v>
      </c>
      <c r="O85">
        <v>0.48699999999999999</v>
      </c>
      <c r="P85">
        <v>8.0000000000000002E-3</v>
      </c>
      <c r="Q85">
        <v>0</v>
      </c>
      <c r="R85">
        <v>4.8520000000000003</v>
      </c>
      <c r="S85">
        <v>4.5997000000000003</v>
      </c>
      <c r="T85">
        <v>0.44</v>
      </c>
      <c r="U85">
        <v>0.61899999999999999</v>
      </c>
    </row>
    <row r="86" spans="1:21" x14ac:dyDescent="0.25">
      <c r="A86" t="s">
        <v>472</v>
      </c>
      <c r="B86" t="s">
        <v>103</v>
      </c>
      <c r="C86">
        <v>35</v>
      </c>
      <c r="D86" t="s">
        <v>32</v>
      </c>
      <c r="E86">
        <v>12.6455949961665</v>
      </c>
      <c r="G86">
        <v>1.7707999999999999</v>
      </c>
      <c r="H86">
        <v>9.0519999999999996</v>
      </c>
      <c r="K86">
        <v>0.85535000000000005</v>
      </c>
      <c r="L86">
        <v>0.91544999999999999</v>
      </c>
      <c r="M86">
        <v>1.825</v>
      </c>
      <c r="N86">
        <v>2.7080000000000002</v>
      </c>
      <c r="O86">
        <v>0.46899999999999997</v>
      </c>
      <c r="P86">
        <v>4.5999999999999999E-2</v>
      </c>
      <c r="Q86">
        <v>2E-3</v>
      </c>
      <c r="R86">
        <v>0.8579</v>
      </c>
      <c r="S86">
        <v>0.99299999999999999</v>
      </c>
      <c r="T86">
        <v>0.46</v>
      </c>
      <c r="U86">
        <v>1.1100000000000001</v>
      </c>
    </row>
    <row r="87" spans="1:21" x14ac:dyDescent="0.25">
      <c r="A87" t="s">
        <v>798</v>
      </c>
      <c r="B87" t="s">
        <v>104</v>
      </c>
      <c r="C87">
        <v>27</v>
      </c>
      <c r="D87" t="s">
        <v>26</v>
      </c>
      <c r="E87">
        <v>10.4761539343754</v>
      </c>
      <c r="G87">
        <v>1.59745</v>
      </c>
      <c r="H87">
        <v>9.5540000000000003</v>
      </c>
      <c r="K87">
        <v>0.90310000000000001</v>
      </c>
      <c r="L87">
        <v>0.69435000000000002</v>
      </c>
      <c r="M87">
        <v>11.824</v>
      </c>
      <c r="N87">
        <v>1.9159999999999999</v>
      </c>
      <c r="O87">
        <v>0.84399999999999997</v>
      </c>
      <c r="P87">
        <v>0.01</v>
      </c>
      <c r="Q87">
        <v>1E-3</v>
      </c>
      <c r="R87">
        <v>0.56469999999999998</v>
      </c>
      <c r="S87">
        <v>1.0952999999999999</v>
      </c>
      <c r="T87">
        <v>0.4</v>
      </c>
      <c r="U87">
        <v>1.24</v>
      </c>
    </row>
    <row r="88" spans="1:21" x14ac:dyDescent="0.25">
      <c r="A88" t="s">
        <v>464</v>
      </c>
      <c r="B88" t="s">
        <v>102</v>
      </c>
      <c r="C88">
        <v>29</v>
      </c>
      <c r="D88" t="s">
        <v>31</v>
      </c>
      <c r="E88">
        <v>14.6664293997879</v>
      </c>
      <c r="G88">
        <v>2.7444999999999999</v>
      </c>
      <c r="H88">
        <v>9.8239999999999998</v>
      </c>
      <c r="K88">
        <v>1.3889499999999999</v>
      </c>
      <c r="L88">
        <v>1.35555</v>
      </c>
      <c r="M88">
        <v>2.665</v>
      </c>
      <c r="N88">
        <v>1.214</v>
      </c>
      <c r="O88">
        <v>0.94799999999999995</v>
      </c>
      <c r="P88">
        <v>6.0000000000000001E-3</v>
      </c>
      <c r="Q88">
        <v>0</v>
      </c>
      <c r="R88">
        <v>1.6176999999999999</v>
      </c>
      <c r="S88">
        <v>2.0049999999999999</v>
      </c>
      <c r="T88">
        <v>0</v>
      </c>
      <c r="U88">
        <v>0.72699999999999998</v>
      </c>
    </row>
    <row r="89" spans="1:21" x14ac:dyDescent="0.25">
      <c r="A89" t="s">
        <v>708</v>
      </c>
      <c r="B89" t="s">
        <v>74</v>
      </c>
      <c r="C89">
        <v>33</v>
      </c>
      <c r="D89" t="s">
        <v>20</v>
      </c>
      <c r="E89">
        <v>11.9014525658616</v>
      </c>
      <c r="G89">
        <v>1.2499499999999999</v>
      </c>
      <c r="H89">
        <v>5.3840000000000003</v>
      </c>
      <c r="K89">
        <v>0.54090000000000005</v>
      </c>
      <c r="L89">
        <v>0.70904999999999996</v>
      </c>
      <c r="M89">
        <v>8.5619999999999994</v>
      </c>
      <c r="N89">
        <v>3.15</v>
      </c>
      <c r="O89">
        <v>1.071</v>
      </c>
      <c r="P89">
        <v>5.6000000000000001E-2</v>
      </c>
      <c r="Q89">
        <v>2.5000000000000001E-2</v>
      </c>
      <c r="R89">
        <v>21.723400000000002</v>
      </c>
      <c r="S89">
        <v>18.371700000000001</v>
      </c>
      <c r="T89">
        <v>0.4</v>
      </c>
      <c r="U89">
        <v>0.39600000000000002</v>
      </c>
    </row>
    <row r="90" spans="1:21" x14ac:dyDescent="0.25">
      <c r="A90" t="s">
        <v>681</v>
      </c>
      <c r="B90" t="s">
        <v>74</v>
      </c>
      <c r="C90">
        <v>26</v>
      </c>
      <c r="D90" t="s">
        <v>1120</v>
      </c>
      <c r="E90">
        <v>14.7723203588928</v>
      </c>
      <c r="G90">
        <v>1.9899</v>
      </c>
      <c r="H90">
        <v>5.5789999999999997</v>
      </c>
      <c r="K90">
        <v>0.60099999999999998</v>
      </c>
      <c r="L90">
        <v>1.3889</v>
      </c>
      <c r="M90">
        <v>1.1180000000000001</v>
      </c>
      <c r="N90">
        <v>1.405</v>
      </c>
      <c r="O90">
        <v>0.35499999999999998</v>
      </c>
      <c r="P90">
        <v>7.0000000000000001E-3</v>
      </c>
      <c r="Q90">
        <v>2.3E-2</v>
      </c>
      <c r="R90">
        <v>20.185400000000001</v>
      </c>
      <c r="S90">
        <v>23.825500000000002</v>
      </c>
      <c r="T90">
        <v>0.4</v>
      </c>
      <c r="U90">
        <v>0.57499999999999996</v>
      </c>
    </row>
    <row r="91" spans="1:21" x14ac:dyDescent="0.25">
      <c r="A91" t="s">
        <v>435</v>
      </c>
      <c r="B91" t="s">
        <v>1108</v>
      </c>
      <c r="C91">
        <v>30</v>
      </c>
      <c r="D91" t="s">
        <v>28</v>
      </c>
      <c r="E91">
        <v>14.1890927391579</v>
      </c>
      <c r="G91">
        <v>1.9490499999999999</v>
      </c>
      <c r="H91">
        <v>3.851</v>
      </c>
      <c r="K91">
        <v>0.50275000000000003</v>
      </c>
      <c r="L91">
        <v>1.4462999999999999</v>
      </c>
      <c r="M91">
        <v>2.2229999999999999</v>
      </c>
      <c r="N91">
        <v>2.2549999999999999</v>
      </c>
      <c r="O91">
        <v>0.39700000000000002</v>
      </c>
      <c r="P91">
        <v>2.7E-2</v>
      </c>
      <c r="Q91">
        <v>3.9E-2</v>
      </c>
      <c r="R91">
        <v>24.1769</v>
      </c>
      <c r="S91">
        <v>22.807099999999998</v>
      </c>
      <c r="T91">
        <v>0.41</v>
      </c>
      <c r="U91">
        <v>0.65900000000000003</v>
      </c>
    </row>
    <row r="92" spans="1:21" x14ac:dyDescent="0.25">
      <c r="A92" t="s">
        <v>596</v>
      </c>
      <c r="B92" t="s">
        <v>74</v>
      </c>
      <c r="C92">
        <v>32</v>
      </c>
      <c r="D92" t="s">
        <v>12</v>
      </c>
      <c r="E92">
        <v>13.706112515668201</v>
      </c>
      <c r="G92">
        <v>1.9717499999999999</v>
      </c>
      <c r="H92">
        <v>5.5259999999999998</v>
      </c>
      <c r="K92">
        <v>0.75990000000000002</v>
      </c>
      <c r="L92">
        <v>1.2118500000000001</v>
      </c>
      <c r="M92">
        <v>4.8840000000000003</v>
      </c>
      <c r="N92">
        <v>2.5779999999999998</v>
      </c>
      <c r="O92">
        <v>0.68799999999999994</v>
      </c>
      <c r="P92">
        <v>6.0000000000000001E-3</v>
      </c>
      <c r="Q92">
        <v>0.02</v>
      </c>
      <c r="R92">
        <v>28.389800000000001</v>
      </c>
      <c r="S92">
        <v>26.013300000000001</v>
      </c>
      <c r="T92">
        <v>0</v>
      </c>
      <c r="U92">
        <v>0.36499999999999999</v>
      </c>
    </row>
    <row r="93" spans="1:21" x14ac:dyDescent="0.25">
      <c r="A93" t="s">
        <v>272</v>
      </c>
      <c r="B93" t="s">
        <v>104</v>
      </c>
      <c r="C93">
        <v>33</v>
      </c>
      <c r="D93" t="s">
        <v>10</v>
      </c>
      <c r="E93">
        <v>13.621724781785399</v>
      </c>
      <c r="G93">
        <v>1.9639500000000001</v>
      </c>
      <c r="H93">
        <v>8.234</v>
      </c>
      <c r="K93">
        <v>1.1132500000000001</v>
      </c>
      <c r="L93">
        <v>0.85070000000000001</v>
      </c>
      <c r="M93">
        <v>4.6280000000000001</v>
      </c>
      <c r="N93">
        <v>1.258</v>
      </c>
      <c r="O93">
        <v>0.53200000000000003</v>
      </c>
      <c r="P93">
        <v>6.0000000000000001E-3</v>
      </c>
      <c r="Q93">
        <v>0</v>
      </c>
      <c r="R93">
        <v>2.0465</v>
      </c>
      <c r="S93">
        <v>2.8734999999999999</v>
      </c>
      <c r="T93">
        <v>0</v>
      </c>
      <c r="U93">
        <v>0.36799999999999999</v>
      </c>
    </row>
    <row r="94" spans="1:21" x14ac:dyDescent="0.25">
      <c r="A94" t="s">
        <v>781</v>
      </c>
      <c r="B94" t="s">
        <v>101</v>
      </c>
      <c r="C94">
        <v>30</v>
      </c>
      <c r="D94" t="s">
        <v>27</v>
      </c>
      <c r="E94">
        <v>8.7478015021474302</v>
      </c>
      <c r="G94">
        <v>1.3633</v>
      </c>
      <c r="H94">
        <v>3.254</v>
      </c>
      <c r="K94">
        <v>0.4249</v>
      </c>
      <c r="L94">
        <v>0.93840000000000001</v>
      </c>
      <c r="M94">
        <v>2.3820000000000001</v>
      </c>
      <c r="N94">
        <v>2.125</v>
      </c>
      <c r="O94">
        <v>0.48499999999999999</v>
      </c>
      <c r="P94">
        <v>5.8000000000000003E-2</v>
      </c>
      <c r="Q94">
        <v>4.3999999999999997E-2</v>
      </c>
      <c r="R94">
        <v>14.392300000000001</v>
      </c>
      <c r="S94">
        <v>12.364699999999999</v>
      </c>
      <c r="T94">
        <v>0</v>
      </c>
      <c r="U94">
        <v>0.49199999999999999</v>
      </c>
    </row>
    <row r="95" spans="1:21" x14ac:dyDescent="0.25">
      <c r="A95" t="s">
        <v>594</v>
      </c>
      <c r="B95" t="s">
        <v>74</v>
      </c>
      <c r="C95">
        <v>28</v>
      </c>
      <c r="D95" t="s">
        <v>6</v>
      </c>
      <c r="E95">
        <v>12.9269866216222</v>
      </c>
      <c r="G95">
        <v>1.5918000000000001</v>
      </c>
      <c r="H95">
        <v>4.6950000000000003</v>
      </c>
      <c r="K95">
        <v>0.62570000000000003</v>
      </c>
      <c r="L95">
        <v>0.96609999999999996</v>
      </c>
      <c r="M95">
        <v>1.619</v>
      </c>
      <c r="N95">
        <v>2.9239999999999999</v>
      </c>
      <c r="O95">
        <v>0.35299999999999998</v>
      </c>
      <c r="P95">
        <v>8.9999999999999993E-3</v>
      </c>
      <c r="Q95">
        <v>3.1E-2</v>
      </c>
      <c r="R95">
        <v>25.767299999999999</v>
      </c>
      <c r="S95">
        <v>20.850899999999999</v>
      </c>
      <c r="T95">
        <v>0.39</v>
      </c>
      <c r="U95">
        <v>1.1559999999999999</v>
      </c>
    </row>
    <row r="96" spans="1:21" x14ac:dyDescent="0.25">
      <c r="A96" t="s">
        <v>711</v>
      </c>
      <c r="B96" t="s">
        <v>105</v>
      </c>
      <c r="C96">
        <v>27</v>
      </c>
      <c r="D96" t="s">
        <v>2</v>
      </c>
      <c r="E96">
        <v>10.808082710547099</v>
      </c>
      <c r="G96">
        <v>1.28505</v>
      </c>
      <c r="H96">
        <v>6.218</v>
      </c>
      <c r="K96">
        <v>0.46850000000000003</v>
      </c>
      <c r="L96">
        <v>0.81655</v>
      </c>
      <c r="M96">
        <v>8.0649999999999995</v>
      </c>
      <c r="N96">
        <v>2.1419999999999999</v>
      </c>
      <c r="O96">
        <v>0.73</v>
      </c>
      <c r="P96">
        <v>5.8999999999999997E-2</v>
      </c>
      <c r="Q96">
        <v>0</v>
      </c>
      <c r="R96">
        <v>5.2656999999999998</v>
      </c>
      <c r="S96">
        <v>8.4757999999999996</v>
      </c>
      <c r="T96">
        <v>0.54</v>
      </c>
      <c r="U96">
        <v>0.86699999999999999</v>
      </c>
    </row>
    <row r="97" spans="1:21" x14ac:dyDescent="0.25">
      <c r="A97" t="s">
        <v>370</v>
      </c>
      <c r="B97" t="s">
        <v>105</v>
      </c>
      <c r="C97">
        <v>37</v>
      </c>
      <c r="D97" t="s">
        <v>15</v>
      </c>
      <c r="E97">
        <v>15.0856453324279</v>
      </c>
      <c r="G97">
        <v>2.2691499999999998</v>
      </c>
      <c r="H97">
        <v>7.0549999999999997</v>
      </c>
      <c r="K97">
        <v>0.88629999999999998</v>
      </c>
      <c r="L97">
        <v>1.3828499999999999</v>
      </c>
      <c r="M97">
        <v>1.9390000000000001</v>
      </c>
      <c r="N97">
        <v>1.2589999999999999</v>
      </c>
      <c r="O97">
        <v>0.61699999999999999</v>
      </c>
      <c r="P97">
        <v>6.0000000000000001E-3</v>
      </c>
      <c r="Q97">
        <v>0</v>
      </c>
      <c r="R97">
        <v>19.5349</v>
      </c>
      <c r="S97">
        <v>15.191599999999999</v>
      </c>
      <c r="T97">
        <v>0</v>
      </c>
      <c r="U97">
        <v>0.54400000000000004</v>
      </c>
    </row>
    <row r="98" spans="1:21" x14ac:dyDescent="0.25">
      <c r="A98" t="s">
        <v>324</v>
      </c>
      <c r="B98" t="s">
        <v>104</v>
      </c>
      <c r="C98">
        <v>26</v>
      </c>
      <c r="D98" t="s">
        <v>13</v>
      </c>
      <c r="E98">
        <v>15.951866828552999</v>
      </c>
      <c r="G98">
        <v>2.3738999999999999</v>
      </c>
      <c r="H98">
        <v>7.6630000000000003</v>
      </c>
      <c r="K98">
        <v>1.1221000000000001</v>
      </c>
      <c r="L98">
        <v>1.2518</v>
      </c>
      <c r="M98">
        <v>0.74399999999999999</v>
      </c>
      <c r="N98">
        <v>1.5529999999999999</v>
      </c>
      <c r="O98">
        <v>0.67200000000000004</v>
      </c>
      <c r="P98">
        <v>2.4E-2</v>
      </c>
      <c r="Q98">
        <v>1.7999999999999999E-2</v>
      </c>
      <c r="R98">
        <v>1.2042999999999999</v>
      </c>
      <c r="S98">
        <v>1.6879</v>
      </c>
      <c r="T98">
        <v>0</v>
      </c>
      <c r="U98">
        <v>0.628</v>
      </c>
    </row>
    <row r="99" spans="1:21" x14ac:dyDescent="0.25">
      <c r="A99" t="s">
        <v>734</v>
      </c>
      <c r="B99" t="s">
        <v>105</v>
      </c>
      <c r="C99">
        <v>25</v>
      </c>
      <c r="D99" t="s">
        <v>7</v>
      </c>
      <c r="E99">
        <v>11.2751632934404</v>
      </c>
      <c r="G99">
        <v>1.5905</v>
      </c>
      <c r="H99">
        <v>7.5039999999999996</v>
      </c>
      <c r="K99">
        <v>0.69769999999999999</v>
      </c>
      <c r="L99">
        <v>0.89280000000000004</v>
      </c>
      <c r="M99">
        <v>3.42</v>
      </c>
      <c r="N99">
        <v>2.4700000000000002</v>
      </c>
      <c r="O99">
        <v>0.81100000000000005</v>
      </c>
      <c r="P99">
        <v>1.2999999999999999E-2</v>
      </c>
      <c r="Q99">
        <v>3.0000000000000001E-3</v>
      </c>
      <c r="R99">
        <v>13.9892</v>
      </c>
      <c r="S99">
        <v>15.182</v>
      </c>
      <c r="T99">
        <v>0.46</v>
      </c>
      <c r="U99">
        <v>0.91800000000000004</v>
      </c>
    </row>
    <row r="100" spans="1:21" x14ac:dyDescent="0.25">
      <c r="A100" t="s">
        <v>475</v>
      </c>
      <c r="B100" t="s">
        <v>104</v>
      </c>
      <c r="C100">
        <v>24</v>
      </c>
      <c r="D100" t="s">
        <v>6</v>
      </c>
      <c r="E100">
        <v>15.4341558072542</v>
      </c>
      <c r="G100">
        <v>1.99105</v>
      </c>
      <c r="H100">
        <v>10.314</v>
      </c>
      <c r="K100">
        <v>1.15825</v>
      </c>
      <c r="L100">
        <v>0.83279999999999998</v>
      </c>
      <c r="M100">
        <v>1.962</v>
      </c>
      <c r="N100">
        <v>1.0389999999999999</v>
      </c>
      <c r="O100">
        <v>0.26400000000000001</v>
      </c>
      <c r="P100">
        <v>7.0000000000000001E-3</v>
      </c>
      <c r="Q100">
        <v>0</v>
      </c>
      <c r="R100">
        <v>0.49309999999999998</v>
      </c>
      <c r="S100">
        <v>0.57399999999999995</v>
      </c>
      <c r="T100">
        <v>0.42</v>
      </c>
      <c r="U100">
        <v>0.878</v>
      </c>
    </row>
    <row r="101" spans="1:21" x14ac:dyDescent="0.25">
      <c r="A101" t="s">
        <v>1032</v>
      </c>
      <c r="B101" t="s">
        <v>74</v>
      </c>
      <c r="C101">
        <v>25</v>
      </c>
      <c r="D101" t="s">
        <v>21</v>
      </c>
      <c r="E101">
        <v>11.1673733569991</v>
      </c>
      <c r="G101">
        <v>1.5323</v>
      </c>
      <c r="H101">
        <v>8.4309999999999992</v>
      </c>
      <c r="K101">
        <v>0.78139999999999998</v>
      </c>
      <c r="L101">
        <v>0.75090000000000001</v>
      </c>
      <c r="M101">
        <v>2.33</v>
      </c>
      <c r="N101">
        <v>2.5760000000000001</v>
      </c>
      <c r="O101">
        <v>0.34200000000000003</v>
      </c>
      <c r="P101">
        <v>0.10299999999999999</v>
      </c>
      <c r="Q101">
        <v>8.0000000000000002E-3</v>
      </c>
      <c r="R101">
        <v>14.6333</v>
      </c>
      <c r="S101">
        <v>13.4689</v>
      </c>
      <c r="T101" t="s">
        <v>1054</v>
      </c>
      <c r="U101">
        <v>0.58199999999999996</v>
      </c>
    </row>
    <row r="102" spans="1:21" x14ac:dyDescent="0.25">
      <c r="A102" t="s">
        <v>1033</v>
      </c>
      <c r="B102" t="s">
        <v>102</v>
      </c>
      <c r="C102">
        <v>26</v>
      </c>
      <c r="D102" t="s">
        <v>19</v>
      </c>
      <c r="E102">
        <v>10.8222367990984</v>
      </c>
      <c r="G102">
        <v>1.3828</v>
      </c>
      <c r="H102">
        <v>5.3529999999999998</v>
      </c>
      <c r="K102">
        <v>0.59619999999999995</v>
      </c>
      <c r="L102">
        <v>0.78659999999999997</v>
      </c>
      <c r="M102">
        <v>8.6430000000000007</v>
      </c>
      <c r="N102">
        <v>2.2410000000000001</v>
      </c>
      <c r="O102">
        <v>0.57999999999999996</v>
      </c>
      <c r="P102">
        <v>6.0999999999999999E-2</v>
      </c>
      <c r="Q102">
        <v>1.9E-2</v>
      </c>
      <c r="R102">
        <v>3.9477000000000002</v>
      </c>
      <c r="S102">
        <v>3.9453999999999998</v>
      </c>
      <c r="T102">
        <v>0</v>
      </c>
      <c r="U102">
        <v>0.59199999999999997</v>
      </c>
    </row>
    <row r="103" spans="1:21" x14ac:dyDescent="0.25">
      <c r="A103" t="s">
        <v>536</v>
      </c>
      <c r="B103" t="s">
        <v>105</v>
      </c>
      <c r="C103">
        <v>23</v>
      </c>
      <c r="D103" t="s">
        <v>9</v>
      </c>
      <c r="E103">
        <v>11.705699367676001</v>
      </c>
      <c r="G103">
        <v>1.88815</v>
      </c>
      <c r="H103">
        <v>7.0449999999999999</v>
      </c>
      <c r="K103">
        <v>0.77669999999999995</v>
      </c>
      <c r="L103">
        <v>1.11145</v>
      </c>
      <c r="M103">
        <v>2.1739999999999999</v>
      </c>
      <c r="N103">
        <v>1.698</v>
      </c>
      <c r="O103">
        <v>0.38500000000000001</v>
      </c>
      <c r="P103">
        <v>8.9999999999999993E-3</v>
      </c>
      <c r="Q103">
        <v>1E-3</v>
      </c>
      <c r="R103">
        <v>1.7891999999999999</v>
      </c>
      <c r="S103">
        <v>3.4197000000000002</v>
      </c>
      <c r="T103">
        <v>0</v>
      </c>
      <c r="U103">
        <v>0.82799999999999996</v>
      </c>
    </row>
    <row r="104" spans="1:21" x14ac:dyDescent="0.25">
      <c r="A104" t="s">
        <v>533</v>
      </c>
      <c r="B104" t="s">
        <v>74</v>
      </c>
      <c r="C104">
        <v>21</v>
      </c>
      <c r="D104" t="s">
        <v>23</v>
      </c>
      <c r="E104">
        <v>12.9848931455893</v>
      </c>
      <c r="G104">
        <v>1.4169499999999999</v>
      </c>
      <c r="H104">
        <v>7.5129999999999999</v>
      </c>
      <c r="K104">
        <v>0.60955000000000004</v>
      </c>
      <c r="L104">
        <v>0.80740000000000001</v>
      </c>
      <c r="M104">
        <v>6.4080000000000004</v>
      </c>
      <c r="N104">
        <v>3.121</v>
      </c>
      <c r="O104">
        <v>0.92800000000000005</v>
      </c>
      <c r="P104">
        <v>6.4000000000000001E-2</v>
      </c>
      <c r="Q104">
        <v>0</v>
      </c>
      <c r="R104">
        <v>22.419499999999999</v>
      </c>
      <c r="S104">
        <v>25.483899999999998</v>
      </c>
      <c r="T104">
        <v>0.41</v>
      </c>
      <c r="U104">
        <v>0.56699999999999995</v>
      </c>
    </row>
    <row r="105" spans="1:21" x14ac:dyDescent="0.25">
      <c r="A105" t="s">
        <v>930</v>
      </c>
      <c r="B105" t="s">
        <v>102</v>
      </c>
      <c r="C105">
        <v>29</v>
      </c>
      <c r="D105" t="s">
        <v>7</v>
      </c>
      <c r="E105">
        <v>11.4218726646644</v>
      </c>
      <c r="G105">
        <v>1.3631500000000001</v>
      </c>
      <c r="H105">
        <v>5.4370000000000003</v>
      </c>
      <c r="K105">
        <v>0.51114999999999999</v>
      </c>
      <c r="L105">
        <v>0.85199999999999998</v>
      </c>
      <c r="M105">
        <v>13.05</v>
      </c>
      <c r="N105">
        <v>1.542</v>
      </c>
      <c r="O105">
        <v>1.004</v>
      </c>
      <c r="P105">
        <v>0.40899999999999997</v>
      </c>
      <c r="Q105">
        <v>3.2000000000000001E-2</v>
      </c>
      <c r="R105">
        <v>0.69010000000000005</v>
      </c>
      <c r="S105">
        <v>0.94350000000000001</v>
      </c>
      <c r="T105">
        <v>0.36</v>
      </c>
      <c r="U105">
        <v>0.504</v>
      </c>
    </row>
    <row r="106" spans="1:21" x14ac:dyDescent="0.25">
      <c r="A106" t="s">
        <v>664</v>
      </c>
      <c r="B106" t="s">
        <v>1108</v>
      </c>
      <c r="C106">
        <v>31</v>
      </c>
      <c r="D106" t="s">
        <v>21</v>
      </c>
      <c r="E106">
        <v>12.0608857760168</v>
      </c>
      <c r="G106">
        <v>1.2807500000000001</v>
      </c>
      <c r="H106">
        <v>6.968</v>
      </c>
      <c r="K106">
        <v>0.60009999999999997</v>
      </c>
      <c r="L106">
        <v>0.68064999999999998</v>
      </c>
      <c r="M106">
        <v>5.3230000000000004</v>
      </c>
      <c r="N106">
        <v>2.161</v>
      </c>
      <c r="O106">
        <v>0.34899999999999998</v>
      </c>
      <c r="P106">
        <v>8.9999999999999993E-3</v>
      </c>
      <c r="Q106">
        <v>1E-3</v>
      </c>
      <c r="R106">
        <v>3.2797999999999998</v>
      </c>
      <c r="S106">
        <v>3.3967000000000001</v>
      </c>
      <c r="T106">
        <v>0</v>
      </c>
      <c r="U106">
        <v>0.39500000000000002</v>
      </c>
    </row>
    <row r="107" spans="1:21" x14ac:dyDescent="0.25">
      <c r="A107" t="s">
        <v>990</v>
      </c>
      <c r="B107" t="s">
        <v>105</v>
      </c>
      <c r="C107">
        <v>28</v>
      </c>
      <c r="D107" t="s">
        <v>1121</v>
      </c>
      <c r="E107">
        <v>9.2965288786615492</v>
      </c>
      <c r="G107">
        <v>0.75109999999999999</v>
      </c>
      <c r="H107">
        <v>4.5880000000000001</v>
      </c>
      <c r="K107">
        <v>0.32195000000000001</v>
      </c>
      <c r="L107">
        <v>0.42914999999999998</v>
      </c>
      <c r="M107">
        <v>5.2430000000000003</v>
      </c>
      <c r="N107">
        <v>2.1819999999999999</v>
      </c>
      <c r="O107">
        <v>0.50700000000000001</v>
      </c>
      <c r="P107">
        <v>1.2E-2</v>
      </c>
      <c r="Q107">
        <v>2E-3</v>
      </c>
      <c r="R107">
        <v>10.5153</v>
      </c>
      <c r="S107">
        <v>16.119399999999999</v>
      </c>
      <c r="T107" t="s">
        <v>1054</v>
      </c>
      <c r="U107">
        <v>0.625</v>
      </c>
    </row>
    <row r="108" spans="1:21" x14ac:dyDescent="0.25">
      <c r="A108" t="s">
        <v>685</v>
      </c>
      <c r="B108" t="s">
        <v>74</v>
      </c>
      <c r="C108">
        <v>31</v>
      </c>
      <c r="D108" t="s">
        <v>7</v>
      </c>
      <c r="E108">
        <v>12.4261849930963</v>
      </c>
      <c r="G108">
        <v>1.49475</v>
      </c>
      <c r="H108">
        <v>4.5880000000000001</v>
      </c>
      <c r="K108">
        <v>0.54335</v>
      </c>
      <c r="L108">
        <v>0.95140000000000002</v>
      </c>
      <c r="M108">
        <v>7.5519999999999996</v>
      </c>
      <c r="N108">
        <v>2.9340000000000002</v>
      </c>
      <c r="O108">
        <v>0.79800000000000004</v>
      </c>
      <c r="P108">
        <v>6.0000000000000001E-3</v>
      </c>
      <c r="Q108">
        <v>0</v>
      </c>
      <c r="R108">
        <v>27.251899999999999</v>
      </c>
      <c r="S108">
        <v>22.6465</v>
      </c>
      <c r="T108">
        <v>0.41</v>
      </c>
      <c r="U108">
        <v>0.97799999999999998</v>
      </c>
    </row>
    <row r="109" spans="1:21" x14ac:dyDescent="0.25">
      <c r="A109" t="s">
        <v>1076</v>
      </c>
      <c r="B109" t="s">
        <v>74</v>
      </c>
      <c r="C109">
        <v>19</v>
      </c>
      <c r="D109" t="s">
        <v>21</v>
      </c>
      <c r="E109">
        <v>16.0694334012721</v>
      </c>
      <c r="G109">
        <v>1.9242999999999999</v>
      </c>
      <c r="H109">
        <v>8.4269999999999996</v>
      </c>
      <c r="K109">
        <v>1.1135999999999999</v>
      </c>
      <c r="L109">
        <v>1.2150000000000001</v>
      </c>
      <c r="M109">
        <v>2.9089999999999998</v>
      </c>
      <c r="N109">
        <v>1.643</v>
      </c>
      <c r="O109">
        <v>0.76400000000000001</v>
      </c>
      <c r="P109">
        <v>2.1000000000000001E-2</v>
      </c>
      <c r="Q109">
        <v>5.0000000000000001E-3</v>
      </c>
      <c r="R109">
        <v>11.5</v>
      </c>
      <c r="S109">
        <v>16.1068</v>
      </c>
      <c r="T109">
        <v>0.42</v>
      </c>
      <c r="U109">
        <v>1.591</v>
      </c>
    </row>
    <row r="110" spans="1:21" x14ac:dyDescent="0.25">
      <c r="A110" t="s">
        <v>543</v>
      </c>
      <c r="B110" t="s">
        <v>103</v>
      </c>
      <c r="C110">
        <v>31</v>
      </c>
      <c r="D110" t="s">
        <v>16</v>
      </c>
      <c r="E110">
        <v>11.3098172361313</v>
      </c>
      <c r="G110">
        <v>1.3341000000000001</v>
      </c>
      <c r="H110">
        <v>6.6890000000000001</v>
      </c>
      <c r="K110">
        <v>0.4899</v>
      </c>
      <c r="L110">
        <v>0.84419999999999995</v>
      </c>
      <c r="M110">
        <v>1.9359999999999999</v>
      </c>
      <c r="N110">
        <v>1.8260000000000001</v>
      </c>
      <c r="O110">
        <v>0.32300000000000001</v>
      </c>
      <c r="P110">
        <v>1.4999999999999999E-2</v>
      </c>
      <c r="Q110">
        <v>2E-3</v>
      </c>
      <c r="R110">
        <v>1.1466000000000001</v>
      </c>
      <c r="S110">
        <v>1.7209000000000001</v>
      </c>
      <c r="T110">
        <v>0.46</v>
      </c>
      <c r="U110">
        <v>0.89700000000000002</v>
      </c>
    </row>
    <row r="111" spans="1:21" x14ac:dyDescent="0.25">
      <c r="A111" t="s">
        <v>905</v>
      </c>
      <c r="B111" t="s">
        <v>101</v>
      </c>
      <c r="C111">
        <v>25</v>
      </c>
      <c r="D111" t="s">
        <v>1122</v>
      </c>
      <c r="E111">
        <v>9.4069749236905604</v>
      </c>
      <c r="G111">
        <v>1.2656499999999999</v>
      </c>
      <c r="H111">
        <v>6.306</v>
      </c>
      <c r="K111">
        <v>0.5575</v>
      </c>
      <c r="L111">
        <v>0.70814999999999995</v>
      </c>
      <c r="M111">
        <v>8.0730000000000004</v>
      </c>
      <c r="N111">
        <v>3.121</v>
      </c>
      <c r="O111">
        <v>0.81</v>
      </c>
      <c r="P111">
        <v>0.18</v>
      </c>
      <c r="Q111">
        <v>0.104</v>
      </c>
      <c r="R111">
        <v>12.9177</v>
      </c>
      <c r="S111">
        <v>15.0777</v>
      </c>
      <c r="T111">
        <v>0.41</v>
      </c>
      <c r="U111">
        <v>2.077</v>
      </c>
    </row>
    <row r="112" spans="1:21" x14ac:dyDescent="0.25">
      <c r="A112" t="s">
        <v>906</v>
      </c>
      <c r="B112" t="s">
        <v>74</v>
      </c>
      <c r="C112">
        <v>28</v>
      </c>
      <c r="D112" t="s">
        <v>16</v>
      </c>
      <c r="E112">
        <v>17.430340303407199</v>
      </c>
      <c r="G112">
        <v>3.4298000000000002</v>
      </c>
      <c r="H112">
        <v>9.0739999999999998</v>
      </c>
      <c r="K112">
        <v>1.3240670000000001</v>
      </c>
      <c r="L112">
        <v>2.1993499999999999</v>
      </c>
      <c r="M112">
        <v>4.0720000000000001</v>
      </c>
      <c r="N112">
        <v>1.6819999999999999</v>
      </c>
      <c r="O112">
        <v>0.57499999999999996</v>
      </c>
      <c r="P112">
        <v>1.4999999999999999E-2</v>
      </c>
      <c r="Q112">
        <v>1.4999999999999999E-2</v>
      </c>
      <c r="R112">
        <v>18.927499999999998</v>
      </c>
      <c r="S112">
        <v>17.807099999999998</v>
      </c>
      <c r="T112">
        <v>0.59</v>
      </c>
      <c r="U112">
        <v>1.4</v>
      </c>
    </row>
    <row r="113" spans="1:21" x14ac:dyDescent="0.25">
      <c r="A113" t="s">
        <v>1048</v>
      </c>
      <c r="B113" t="s">
        <v>74</v>
      </c>
      <c r="C113">
        <v>24</v>
      </c>
      <c r="D113" t="s">
        <v>29</v>
      </c>
      <c r="E113">
        <v>13.076506016167199</v>
      </c>
      <c r="G113">
        <v>1.5545</v>
      </c>
      <c r="H113">
        <v>7.2380000000000004</v>
      </c>
      <c r="K113">
        <v>0.84814999999999996</v>
      </c>
      <c r="L113">
        <v>0.70635000000000003</v>
      </c>
      <c r="M113">
        <v>2.411</v>
      </c>
      <c r="N113">
        <v>2.0089999999999999</v>
      </c>
      <c r="O113">
        <v>0.66</v>
      </c>
      <c r="P113">
        <v>1.4999999999999999E-2</v>
      </c>
      <c r="Q113">
        <v>2E-3</v>
      </c>
      <c r="R113">
        <v>16.938300000000002</v>
      </c>
      <c r="S113">
        <v>22.0687</v>
      </c>
      <c r="T113">
        <v>0.44</v>
      </c>
      <c r="U113">
        <v>0.84799999999999998</v>
      </c>
    </row>
    <row r="114" spans="1:21" x14ac:dyDescent="0.25">
      <c r="A114" t="s">
        <v>1123</v>
      </c>
      <c r="B114" t="s">
        <v>74</v>
      </c>
      <c r="C114">
        <v>23</v>
      </c>
      <c r="D114" t="s">
        <v>22</v>
      </c>
      <c r="E114">
        <v>13.0726754861413</v>
      </c>
      <c r="G114">
        <v>1.95455</v>
      </c>
      <c r="H114">
        <v>5.4889999999999999</v>
      </c>
      <c r="K114">
        <v>0.80784999999999996</v>
      </c>
      <c r="L114">
        <v>1.1467000000000001</v>
      </c>
      <c r="M114">
        <v>2.15</v>
      </c>
      <c r="N114">
        <v>2.157</v>
      </c>
      <c r="O114">
        <v>0.73899999999999999</v>
      </c>
      <c r="P114">
        <v>2.5000000000000001E-2</v>
      </c>
      <c r="Q114">
        <v>6.0000000000000001E-3</v>
      </c>
      <c r="R114">
        <v>4.1806999999999999</v>
      </c>
      <c r="S114">
        <v>4.8113000000000001</v>
      </c>
      <c r="T114">
        <v>0.42</v>
      </c>
      <c r="U114">
        <v>0.96099999999999997</v>
      </c>
    </row>
    <row r="115" spans="1:21" x14ac:dyDescent="0.25">
      <c r="A115" t="s">
        <v>404</v>
      </c>
      <c r="B115" t="s">
        <v>104</v>
      </c>
      <c r="C115">
        <v>28</v>
      </c>
      <c r="D115" t="s">
        <v>8</v>
      </c>
      <c r="E115">
        <v>13.0063360459681</v>
      </c>
      <c r="G115">
        <v>2.2050000000000001</v>
      </c>
      <c r="H115">
        <v>9.6739999999999995</v>
      </c>
      <c r="K115">
        <v>0.95230000000000004</v>
      </c>
      <c r="L115">
        <v>1.2526999999999999</v>
      </c>
      <c r="M115">
        <v>2.4729999999999999</v>
      </c>
      <c r="N115">
        <v>1.6419999999999999</v>
      </c>
      <c r="O115">
        <v>0.55000000000000004</v>
      </c>
      <c r="P115">
        <v>0.05</v>
      </c>
      <c r="Q115">
        <v>4.1000000000000002E-2</v>
      </c>
      <c r="R115">
        <v>0.317</v>
      </c>
      <c r="S115">
        <v>0.53459999999999996</v>
      </c>
      <c r="T115">
        <v>0.47</v>
      </c>
      <c r="U115">
        <v>1.839</v>
      </c>
    </row>
    <row r="116" spans="1:21" x14ac:dyDescent="0.25">
      <c r="A116" t="s">
        <v>657</v>
      </c>
      <c r="B116" t="s">
        <v>104</v>
      </c>
      <c r="C116">
        <v>32</v>
      </c>
      <c r="D116" t="s">
        <v>19</v>
      </c>
      <c r="E116">
        <v>10.9540518323152</v>
      </c>
      <c r="G116">
        <v>1.6677999999999999</v>
      </c>
      <c r="H116">
        <v>5.7149999999999999</v>
      </c>
      <c r="K116">
        <v>0.58825000000000005</v>
      </c>
      <c r="L116">
        <v>1.07955</v>
      </c>
      <c r="M116">
        <v>2.0249999999999999</v>
      </c>
      <c r="N116">
        <v>2.9140000000000001</v>
      </c>
      <c r="O116">
        <v>0.56999999999999995</v>
      </c>
      <c r="P116">
        <v>7.0000000000000001E-3</v>
      </c>
      <c r="Q116">
        <v>0</v>
      </c>
      <c r="R116">
        <v>0.66549999999999998</v>
      </c>
      <c r="S116">
        <v>0.91259999999999997</v>
      </c>
      <c r="T116">
        <v>0.47</v>
      </c>
      <c r="U116">
        <v>1.101</v>
      </c>
    </row>
    <row r="117" spans="1:21" x14ac:dyDescent="0.25">
      <c r="A117" t="s">
        <v>474</v>
      </c>
      <c r="B117" t="s">
        <v>103</v>
      </c>
      <c r="C117">
        <v>39</v>
      </c>
      <c r="D117" t="s">
        <v>1124</v>
      </c>
      <c r="E117">
        <v>11.328154334023999</v>
      </c>
      <c r="G117">
        <v>1.581</v>
      </c>
      <c r="H117">
        <v>6.5659999999999998</v>
      </c>
      <c r="K117">
        <v>0.71660000000000001</v>
      </c>
      <c r="L117">
        <v>0.86439999999999995</v>
      </c>
      <c r="M117">
        <v>3.702</v>
      </c>
      <c r="N117">
        <v>1.8839999999999999</v>
      </c>
      <c r="O117">
        <v>1.1419999999999999</v>
      </c>
      <c r="P117">
        <v>0.45800000000000002</v>
      </c>
      <c r="Q117">
        <v>8.6999999999999994E-2</v>
      </c>
      <c r="R117">
        <v>0.28079999999999999</v>
      </c>
      <c r="S117">
        <v>0.34710000000000002</v>
      </c>
      <c r="T117">
        <v>0</v>
      </c>
      <c r="U117">
        <v>0.55700000000000005</v>
      </c>
    </row>
    <row r="118" spans="1:21" x14ac:dyDescent="0.25">
      <c r="A118" t="s">
        <v>574</v>
      </c>
      <c r="B118" t="s">
        <v>103</v>
      </c>
      <c r="C118">
        <v>35</v>
      </c>
      <c r="D118" t="s">
        <v>17</v>
      </c>
      <c r="E118">
        <v>10.3491858365218</v>
      </c>
      <c r="G118">
        <v>1.6229499999999999</v>
      </c>
      <c r="H118">
        <v>8.9160000000000004</v>
      </c>
      <c r="K118">
        <v>0.85350000000000004</v>
      </c>
      <c r="L118">
        <v>0.76944999999999997</v>
      </c>
      <c r="M118">
        <v>3.9740000000000002</v>
      </c>
      <c r="N118">
        <v>2.2050000000000001</v>
      </c>
      <c r="O118">
        <v>0.85099999999999998</v>
      </c>
      <c r="P118">
        <v>3.5999999999999997E-2</v>
      </c>
      <c r="Q118">
        <v>0</v>
      </c>
      <c r="R118">
        <v>0.37430000000000002</v>
      </c>
      <c r="S118">
        <v>0.51180000000000003</v>
      </c>
      <c r="T118">
        <v>0.37</v>
      </c>
      <c r="U118">
        <v>1.036</v>
      </c>
    </row>
    <row r="119" spans="1:21" x14ac:dyDescent="0.25">
      <c r="A119" t="s">
        <v>726</v>
      </c>
      <c r="B119" t="s">
        <v>105</v>
      </c>
      <c r="C119">
        <v>29</v>
      </c>
      <c r="D119" t="s">
        <v>27</v>
      </c>
      <c r="E119">
        <v>11.1017897291495</v>
      </c>
      <c r="G119">
        <v>1.3814500000000001</v>
      </c>
      <c r="H119">
        <v>5.6289999999999996</v>
      </c>
      <c r="K119">
        <v>0.48899999999999999</v>
      </c>
      <c r="L119">
        <v>0.89244999999999997</v>
      </c>
      <c r="M119">
        <v>11.712999999999999</v>
      </c>
      <c r="N119">
        <v>4.117</v>
      </c>
      <c r="O119">
        <v>0.82899999999999996</v>
      </c>
      <c r="P119">
        <v>0.108</v>
      </c>
      <c r="Q119">
        <v>2.4E-2</v>
      </c>
      <c r="R119">
        <v>11.3064</v>
      </c>
      <c r="S119">
        <v>11.555099999999999</v>
      </c>
      <c r="T119">
        <v>0.5</v>
      </c>
      <c r="U119">
        <v>1.6639999999999999</v>
      </c>
    </row>
    <row r="120" spans="1:21" x14ac:dyDescent="0.25">
      <c r="A120" t="s">
        <v>933</v>
      </c>
      <c r="B120" t="s">
        <v>101</v>
      </c>
      <c r="C120">
        <v>28</v>
      </c>
      <c r="D120" t="s">
        <v>8</v>
      </c>
      <c r="E120">
        <v>11.682602341202699</v>
      </c>
      <c r="G120">
        <v>1.9423999999999999</v>
      </c>
      <c r="H120">
        <v>5.5679999999999996</v>
      </c>
      <c r="K120">
        <v>0.92320000000000002</v>
      </c>
      <c r="L120">
        <v>1.0192000000000001</v>
      </c>
      <c r="M120">
        <v>15.553000000000001</v>
      </c>
      <c r="N120">
        <v>2.246</v>
      </c>
      <c r="O120">
        <v>0.997</v>
      </c>
      <c r="P120">
        <v>0.35099999999999998</v>
      </c>
      <c r="Q120">
        <v>3.1E-2</v>
      </c>
      <c r="R120">
        <v>3.3191000000000002</v>
      </c>
      <c r="S120">
        <v>3.1970999999999998</v>
      </c>
      <c r="T120">
        <v>0.5</v>
      </c>
      <c r="U120">
        <v>0.92800000000000005</v>
      </c>
    </row>
    <row r="121" spans="1:21" x14ac:dyDescent="0.25">
      <c r="A121" t="s">
        <v>727</v>
      </c>
      <c r="B121" t="s">
        <v>104</v>
      </c>
      <c r="C121">
        <v>27</v>
      </c>
      <c r="D121" t="s">
        <v>2</v>
      </c>
      <c r="E121">
        <v>10.2520054945075</v>
      </c>
      <c r="G121">
        <v>2.12005</v>
      </c>
      <c r="H121">
        <v>10.196999999999999</v>
      </c>
      <c r="K121">
        <v>1.0749</v>
      </c>
      <c r="L121">
        <v>1.04515</v>
      </c>
      <c r="M121">
        <v>2.282</v>
      </c>
      <c r="N121">
        <v>1.4370000000000001</v>
      </c>
      <c r="O121">
        <v>0.61</v>
      </c>
      <c r="P121">
        <v>8.0000000000000002E-3</v>
      </c>
      <c r="Q121">
        <v>0</v>
      </c>
      <c r="R121">
        <v>0.65780000000000005</v>
      </c>
      <c r="S121">
        <v>0.57520000000000004</v>
      </c>
      <c r="T121">
        <v>0.45</v>
      </c>
      <c r="U121">
        <v>0.7</v>
      </c>
    </row>
    <row r="122" spans="1:21" x14ac:dyDescent="0.25">
      <c r="A122" t="s">
        <v>718</v>
      </c>
      <c r="B122" t="s">
        <v>104</v>
      </c>
      <c r="C122">
        <v>29</v>
      </c>
      <c r="D122" t="s">
        <v>12</v>
      </c>
      <c r="E122">
        <v>12.4689453859817</v>
      </c>
      <c r="G122">
        <v>1.9013500000000001</v>
      </c>
      <c r="H122">
        <v>7.359</v>
      </c>
      <c r="K122">
        <v>0.83540000000000003</v>
      </c>
      <c r="L122">
        <v>1.06595</v>
      </c>
      <c r="M122">
        <v>4.8559999999999999</v>
      </c>
      <c r="N122">
        <v>2.5390000000000001</v>
      </c>
      <c r="O122">
        <v>0.67600000000000005</v>
      </c>
      <c r="P122">
        <v>7.0000000000000001E-3</v>
      </c>
      <c r="Q122">
        <v>0</v>
      </c>
      <c r="R122">
        <v>0.73650000000000004</v>
      </c>
      <c r="S122">
        <v>1.1124000000000001</v>
      </c>
      <c r="T122">
        <v>0</v>
      </c>
      <c r="U122">
        <v>0.60599999999999998</v>
      </c>
    </row>
    <row r="123" spans="1:21" x14ac:dyDescent="0.25">
      <c r="A123" t="s">
        <v>934</v>
      </c>
      <c r="B123" t="s">
        <v>74</v>
      </c>
      <c r="C123">
        <v>24</v>
      </c>
      <c r="D123" t="s">
        <v>9</v>
      </c>
      <c r="E123">
        <v>8.8292579124003492</v>
      </c>
      <c r="G123">
        <v>1.21275</v>
      </c>
      <c r="H123">
        <v>5.2560000000000002</v>
      </c>
      <c r="K123">
        <v>0.42249999999999999</v>
      </c>
      <c r="L123">
        <v>0.79025000000000001</v>
      </c>
      <c r="M123">
        <v>4.5010000000000003</v>
      </c>
      <c r="N123">
        <v>2.8220000000000001</v>
      </c>
      <c r="O123">
        <v>0.21099999999999999</v>
      </c>
      <c r="P123">
        <v>2.1000000000000001E-2</v>
      </c>
      <c r="Q123">
        <v>6.0000000000000001E-3</v>
      </c>
      <c r="R123">
        <v>16.1526</v>
      </c>
      <c r="S123">
        <v>13.3344</v>
      </c>
      <c r="T123">
        <v>0.46</v>
      </c>
      <c r="U123">
        <v>1.1719999999999999</v>
      </c>
    </row>
    <row r="124" spans="1:21" x14ac:dyDescent="0.25">
      <c r="A124" t="s">
        <v>762</v>
      </c>
      <c r="B124" t="s">
        <v>74</v>
      </c>
      <c r="C124">
        <v>30</v>
      </c>
      <c r="D124" t="s">
        <v>30</v>
      </c>
      <c r="E124">
        <v>11.269681905792901</v>
      </c>
      <c r="G124">
        <v>1.2806500000000001</v>
      </c>
      <c r="H124">
        <v>5.1710000000000003</v>
      </c>
      <c r="K124">
        <v>0.48585</v>
      </c>
      <c r="L124">
        <v>0.79479999999999995</v>
      </c>
      <c r="M124">
        <v>4.556</v>
      </c>
      <c r="N124">
        <v>1.4379999999999999</v>
      </c>
      <c r="O124">
        <v>0.45200000000000001</v>
      </c>
      <c r="P124">
        <v>7.0000000000000001E-3</v>
      </c>
      <c r="Q124">
        <v>0</v>
      </c>
      <c r="R124">
        <v>23.3735</v>
      </c>
      <c r="S124">
        <v>20.434100000000001</v>
      </c>
      <c r="T124">
        <v>0.4</v>
      </c>
      <c r="U124">
        <v>0.81200000000000006</v>
      </c>
    </row>
    <row r="125" spans="1:21" x14ac:dyDescent="0.25">
      <c r="A125" t="s">
        <v>479</v>
      </c>
      <c r="B125" t="s">
        <v>74</v>
      </c>
      <c r="C125">
        <v>38</v>
      </c>
      <c r="D125" t="s">
        <v>12</v>
      </c>
      <c r="E125">
        <v>14.0757086546176</v>
      </c>
      <c r="G125">
        <v>2.0976499999999998</v>
      </c>
      <c r="H125">
        <v>4.5190000000000001</v>
      </c>
      <c r="K125">
        <v>0.63019999999999998</v>
      </c>
      <c r="L125">
        <v>1.4674499999999999</v>
      </c>
      <c r="M125">
        <v>2.5390000000000001</v>
      </c>
      <c r="N125">
        <v>2.2149999999999999</v>
      </c>
      <c r="O125">
        <v>0.55000000000000004</v>
      </c>
      <c r="P125">
        <v>1.9E-2</v>
      </c>
      <c r="Q125">
        <v>5.0000000000000001E-3</v>
      </c>
      <c r="R125">
        <v>18.167899999999999</v>
      </c>
      <c r="S125">
        <v>20.4892</v>
      </c>
      <c r="T125">
        <v>0</v>
      </c>
      <c r="U125">
        <v>0.36099999999999999</v>
      </c>
    </row>
    <row r="126" spans="1:21" x14ac:dyDescent="0.25">
      <c r="A126" t="s">
        <v>249</v>
      </c>
      <c r="B126" t="s">
        <v>103</v>
      </c>
      <c r="C126">
        <v>28</v>
      </c>
      <c r="D126" t="s">
        <v>12</v>
      </c>
      <c r="E126">
        <v>15.834471207741901</v>
      </c>
      <c r="G126">
        <v>3.0134500000000002</v>
      </c>
      <c r="H126">
        <v>12.685</v>
      </c>
      <c r="K126">
        <v>1.5422</v>
      </c>
      <c r="L126">
        <v>1.4712499999999999</v>
      </c>
      <c r="M126">
        <v>2.87</v>
      </c>
      <c r="N126">
        <v>1.093</v>
      </c>
      <c r="O126">
        <v>0.623</v>
      </c>
      <c r="P126">
        <v>2.1999999999999999E-2</v>
      </c>
      <c r="Q126">
        <v>1.4E-2</v>
      </c>
      <c r="R126">
        <v>0.52059999999999995</v>
      </c>
      <c r="S126">
        <v>0.76559999999999995</v>
      </c>
      <c r="T126">
        <v>0.33</v>
      </c>
      <c r="U126">
        <v>0.59</v>
      </c>
    </row>
    <row r="127" spans="1:21" x14ac:dyDescent="0.25">
      <c r="A127" t="s">
        <v>327</v>
      </c>
      <c r="B127" t="s">
        <v>103</v>
      </c>
      <c r="C127">
        <v>36</v>
      </c>
      <c r="D127" t="s">
        <v>2</v>
      </c>
      <c r="E127">
        <v>12.8638906615613</v>
      </c>
      <c r="G127">
        <v>1.8109999999999999</v>
      </c>
      <c r="H127">
        <v>6.6139999999999999</v>
      </c>
      <c r="K127">
        <v>0.76995000000000002</v>
      </c>
      <c r="L127">
        <v>1.04105</v>
      </c>
      <c r="M127">
        <v>5.6289999999999996</v>
      </c>
      <c r="N127">
        <v>1.4750000000000001</v>
      </c>
      <c r="O127">
        <v>1.216</v>
      </c>
      <c r="P127">
        <v>6.0000000000000001E-3</v>
      </c>
      <c r="Q127">
        <v>2.4E-2</v>
      </c>
      <c r="R127">
        <v>0.9163</v>
      </c>
      <c r="S127">
        <v>0.78080000000000005</v>
      </c>
      <c r="T127">
        <v>0.5</v>
      </c>
      <c r="U127">
        <v>0.503</v>
      </c>
    </row>
    <row r="128" spans="1:21" x14ac:dyDescent="0.25">
      <c r="A128" t="s">
        <v>500</v>
      </c>
      <c r="B128" t="s">
        <v>105</v>
      </c>
      <c r="C128">
        <v>23</v>
      </c>
      <c r="D128" t="s">
        <v>27</v>
      </c>
      <c r="E128">
        <v>13.9692032710318</v>
      </c>
      <c r="G128">
        <v>1.7525500000000001</v>
      </c>
      <c r="H128">
        <v>6.282</v>
      </c>
      <c r="K128">
        <v>0.9083</v>
      </c>
      <c r="L128">
        <v>0.84424999999999994</v>
      </c>
      <c r="M128">
        <v>1.2450000000000001</v>
      </c>
      <c r="N128">
        <v>2.173</v>
      </c>
      <c r="O128">
        <v>0.41599999999999998</v>
      </c>
      <c r="P128">
        <v>2.5000000000000001E-2</v>
      </c>
      <c r="Q128">
        <v>1.7000000000000001E-2</v>
      </c>
      <c r="R128">
        <v>5.7450000000000001</v>
      </c>
      <c r="S128">
        <v>8.3199000000000005</v>
      </c>
      <c r="T128">
        <v>0.52</v>
      </c>
      <c r="U128">
        <v>0.80800000000000005</v>
      </c>
    </row>
    <row r="129" spans="1:21" x14ac:dyDescent="0.25">
      <c r="A129" t="s">
        <v>586</v>
      </c>
      <c r="B129" t="s">
        <v>104</v>
      </c>
      <c r="C129">
        <v>27</v>
      </c>
      <c r="D129" t="s">
        <v>1125</v>
      </c>
      <c r="E129">
        <v>11.4454492512009</v>
      </c>
      <c r="G129">
        <v>1.0414000000000001</v>
      </c>
      <c r="H129">
        <v>7.4050000000000002</v>
      </c>
      <c r="K129">
        <v>0.42080000000000001</v>
      </c>
      <c r="L129">
        <v>0.62060000000000004</v>
      </c>
      <c r="M129">
        <v>3.899</v>
      </c>
      <c r="N129">
        <v>2.0790000000000002</v>
      </c>
      <c r="O129">
        <v>0.29099999999999998</v>
      </c>
      <c r="P129">
        <v>8.9999999999999993E-3</v>
      </c>
      <c r="Q129">
        <v>1E-3</v>
      </c>
      <c r="R129">
        <v>0.33529999999999999</v>
      </c>
      <c r="S129">
        <v>0.34260000000000002</v>
      </c>
      <c r="T129">
        <v>0.48</v>
      </c>
      <c r="U129">
        <v>0.79600000000000004</v>
      </c>
    </row>
    <row r="130" spans="1:21" x14ac:dyDescent="0.25">
      <c r="A130" t="s">
        <v>998</v>
      </c>
      <c r="B130" t="s">
        <v>105</v>
      </c>
      <c r="C130">
        <v>28</v>
      </c>
      <c r="D130" t="s">
        <v>999</v>
      </c>
      <c r="E130">
        <v>10.644337225380101</v>
      </c>
      <c r="G130">
        <v>1.7092499999999999</v>
      </c>
      <c r="H130">
        <v>8.8819999999999997</v>
      </c>
      <c r="K130">
        <v>0.98024999999999995</v>
      </c>
      <c r="L130">
        <v>0.72899999999999998</v>
      </c>
      <c r="M130">
        <v>5.7039999999999997</v>
      </c>
      <c r="N130">
        <v>1.9470000000000001</v>
      </c>
      <c r="O130">
        <v>0.42799999999999999</v>
      </c>
      <c r="P130">
        <v>2.7E-2</v>
      </c>
      <c r="Q130">
        <v>8.0000000000000002E-3</v>
      </c>
      <c r="R130">
        <v>1.6902999999999999</v>
      </c>
      <c r="S130">
        <v>1.8468</v>
      </c>
      <c r="T130">
        <v>0</v>
      </c>
      <c r="U130">
        <v>0.50800000000000001</v>
      </c>
    </row>
    <row r="131" spans="1:21" x14ac:dyDescent="0.25">
      <c r="A131" t="s">
        <v>687</v>
      </c>
      <c r="B131" t="s">
        <v>1108</v>
      </c>
      <c r="C131">
        <v>34</v>
      </c>
      <c r="D131" t="s">
        <v>5</v>
      </c>
      <c r="E131">
        <v>11.3882417005431</v>
      </c>
      <c r="G131">
        <v>1.6940500000000001</v>
      </c>
      <c r="H131">
        <v>6.8079999999999998</v>
      </c>
      <c r="K131">
        <v>0.69540000000000002</v>
      </c>
      <c r="L131">
        <v>0.99865000000000004</v>
      </c>
      <c r="M131">
        <v>3.976</v>
      </c>
      <c r="N131">
        <v>2.8559999999999999</v>
      </c>
      <c r="O131">
        <v>0.754</v>
      </c>
      <c r="P131">
        <v>4.7E-2</v>
      </c>
      <c r="Q131">
        <v>3.9E-2</v>
      </c>
      <c r="R131">
        <v>16.852799999999998</v>
      </c>
      <c r="S131">
        <v>13.387600000000001</v>
      </c>
      <c r="T131">
        <v>0</v>
      </c>
      <c r="U131">
        <v>0.309</v>
      </c>
    </row>
    <row r="132" spans="1:21" x14ac:dyDescent="0.25">
      <c r="A132" t="s">
        <v>792</v>
      </c>
      <c r="B132" t="s">
        <v>105</v>
      </c>
      <c r="C132">
        <v>38</v>
      </c>
      <c r="D132" t="s">
        <v>16</v>
      </c>
      <c r="E132">
        <v>8.8592397890593304</v>
      </c>
      <c r="G132">
        <v>1.3023499999999999</v>
      </c>
      <c r="H132">
        <v>5.0720000000000001</v>
      </c>
      <c r="K132">
        <v>0.56100000000000005</v>
      </c>
      <c r="L132">
        <v>0.74134999999999995</v>
      </c>
      <c r="M132">
        <v>4.4029999999999996</v>
      </c>
      <c r="N132">
        <v>2.681</v>
      </c>
      <c r="O132">
        <v>0.47199999999999998</v>
      </c>
      <c r="P132">
        <v>8.0000000000000002E-3</v>
      </c>
      <c r="Q132">
        <v>0</v>
      </c>
      <c r="R132">
        <v>15.7202</v>
      </c>
      <c r="S132">
        <v>11.1226</v>
      </c>
      <c r="T132">
        <v>0.43</v>
      </c>
      <c r="U132">
        <v>1.089</v>
      </c>
    </row>
    <row r="133" spans="1:21" x14ac:dyDescent="0.25">
      <c r="A133" t="s">
        <v>730</v>
      </c>
      <c r="B133" t="s">
        <v>105</v>
      </c>
      <c r="C133">
        <v>34</v>
      </c>
      <c r="D133" t="s">
        <v>34</v>
      </c>
      <c r="E133">
        <v>8.9385255469567202</v>
      </c>
      <c r="G133">
        <v>1.55935</v>
      </c>
      <c r="H133">
        <v>8.7799999999999994</v>
      </c>
      <c r="K133">
        <v>0.74529999999999996</v>
      </c>
      <c r="L133">
        <v>0.81405000000000005</v>
      </c>
      <c r="M133">
        <v>2.6869999999999998</v>
      </c>
      <c r="N133">
        <v>2.3929999999999998</v>
      </c>
      <c r="O133">
        <v>0.57199999999999995</v>
      </c>
      <c r="P133">
        <v>1.7000000000000001E-2</v>
      </c>
      <c r="Q133">
        <v>3.0000000000000001E-3</v>
      </c>
      <c r="R133">
        <v>19.271000000000001</v>
      </c>
      <c r="S133">
        <v>16.133299999999998</v>
      </c>
      <c r="T133" t="s">
        <v>1054</v>
      </c>
      <c r="U133">
        <v>0.51800000000000002</v>
      </c>
    </row>
    <row r="134" spans="1:21" x14ac:dyDescent="0.25">
      <c r="A134" t="s">
        <v>750</v>
      </c>
      <c r="B134" t="s">
        <v>101</v>
      </c>
      <c r="C134">
        <v>37</v>
      </c>
      <c r="D134" t="s">
        <v>15</v>
      </c>
      <c r="E134">
        <v>10.434513144925001</v>
      </c>
      <c r="G134">
        <v>1.5088999999999999</v>
      </c>
      <c r="H134">
        <v>5.6470000000000002</v>
      </c>
      <c r="K134">
        <v>0.70599999999999996</v>
      </c>
      <c r="L134">
        <v>0.80289999999999995</v>
      </c>
      <c r="M134">
        <v>8.0670000000000002</v>
      </c>
      <c r="N134">
        <v>1.246</v>
      </c>
      <c r="O134">
        <v>1.008</v>
      </c>
      <c r="P134">
        <v>1.7000000000000001E-2</v>
      </c>
      <c r="Q134">
        <v>3.0000000000000001E-3</v>
      </c>
      <c r="R134">
        <v>12.3751</v>
      </c>
      <c r="S134">
        <v>12.687799999999999</v>
      </c>
      <c r="T134">
        <v>0</v>
      </c>
      <c r="U134">
        <v>0.40300000000000002</v>
      </c>
    </row>
    <row r="135" spans="1:21" x14ac:dyDescent="0.25">
      <c r="A135" t="s">
        <v>818</v>
      </c>
      <c r="B135" t="s">
        <v>101</v>
      </c>
      <c r="C135">
        <v>30</v>
      </c>
      <c r="D135" t="s">
        <v>87</v>
      </c>
      <c r="E135">
        <v>8.2963820499295693</v>
      </c>
      <c r="G135">
        <v>1.4133500000000001</v>
      </c>
      <c r="H135">
        <v>4.7869999999999999</v>
      </c>
      <c r="K135">
        <v>0.38740000000000002</v>
      </c>
      <c r="L135">
        <v>1.0259499999999999</v>
      </c>
      <c r="M135">
        <v>6.351</v>
      </c>
      <c r="N135">
        <v>3.1040000000000001</v>
      </c>
      <c r="O135">
        <v>0.47599999999999998</v>
      </c>
      <c r="P135">
        <v>1.4E-2</v>
      </c>
      <c r="Q135">
        <v>2E-3</v>
      </c>
      <c r="R135">
        <v>8.4250000000000007</v>
      </c>
      <c r="S135">
        <v>8.6281999999999996</v>
      </c>
      <c r="T135">
        <v>0.4</v>
      </c>
      <c r="U135">
        <v>0.65300000000000002</v>
      </c>
    </row>
    <row r="136" spans="1:21" x14ac:dyDescent="0.25">
      <c r="A136" t="s">
        <v>640</v>
      </c>
      <c r="B136" t="s">
        <v>104</v>
      </c>
      <c r="C136">
        <v>26</v>
      </c>
      <c r="D136" t="s">
        <v>22</v>
      </c>
      <c r="E136">
        <v>10.299494593984599</v>
      </c>
      <c r="G136">
        <v>1.4708000000000001</v>
      </c>
      <c r="H136">
        <v>6.173</v>
      </c>
      <c r="K136">
        <v>0.60909999999999997</v>
      </c>
      <c r="L136">
        <v>0.86170000000000002</v>
      </c>
      <c r="M136">
        <v>4.6609999999999996</v>
      </c>
      <c r="N136">
        <v>1.8160000000000001</v>
      </c>
      <c r="O136">
        <v>0.68500000000000005</v>
      </c>
      <c r="P136">
        <v>3.2000000000000001E-2</v>
      </c>
      <c r="Q136">
        <v>2.5000000000000001E-2</v>
      </c>
      <c r="R136">
        <v>2.6067999999999998</v>
      </c>
      <c r="S136">
        <v>2.9285999999999999</v>
      </c>
      <c r="T136">
        <v>0.53</v>
      </c>
      <c r="U136">
        <v>0.94499999999999995</v>
      </c>
    </row>
    <row r="137" spans="1:21" x14ac:dyDescent="0.25">
      <c r="A137" t="s">
        <v>1126</v>
      </c>
      <c r="B137" t="s">
        <v>101</v>
      </c>
      <c r="C137">
        <v>24</v>
      </c>
      <c r="D137" t="s">
        <v>23</v>
      </c>
      <c r="E137">
        <v>12.5</v>
      </c>
      <c r="G137">
        <v>1.8039499999999999</v>
      </c>
      <c r="H137">
        <v>7.7610000000000001</v>
      </c>
      <c r="K137">
        <v>0.90974999999999995</v>
      </c>
      <c r="L137">
        <v>0.89419999999999999</v>
      </c>
      <c r="M137">
        <v>5.0730000000000004</v>
      </c>
      <c r="N137">
        <v>3.0579999999999998</v>
      </c>
      <c r="O137">
        <v>1.3240000000000001</v>
      </c>
      <c r="P137">
        <v>0.13500000000000001</v>
      </c>
      <c r="Q137">
        <v>6.0000000000000001E-3</v>
      </c>
      <c r="R137">
        <v>15.6782</v>
      </c>
      <c r="S137">
        <v>21.224</v>
      </c>
      <c r="T137">
        <v>0</v>
      </c>
      <c r="U137">
        <v>0.80500000000000005</v>
      </c>
    </row>
    <row r="138" spans="1:21" x14ac:dyDescent="0.25">
      <c r="A138" t="s">
        <v>812</v>
      </c>
      <c r="B138" t="s">
        <v>101</v>
      </c>
      <c r="C138">
        <v>30</v>
      </c>
      <c r="D138" t="s">
        <v>9</v>
      </c>
      <c r="E138">
        <v>10.010240761835901</v>
      </c>
      <c r="G138">
        <v>1.4915</v>
      </c>
      <c r="H138">
        <v>4.609</v>
      </c>
      <c r="K138">
        <v>0.5423</v>
      </c>
      <c r="L138">
        <v>0.94920000000000004</v>
      </c>
      <c r="M138">
        <v>8.7070000000000007</v>
      </c>
      <c r="N138">
        <v>3.0449999999999999</v>
      </c>
      <c r="O138">
        <v>1.1180000000000001</v>
      </c>
      <c r="P138">
        <v>2.7E-2</v>
      </c>
      <c r="Q138">
        <v>6.0000000000000001E-3</v>
      </c>
      <c r="R138">
        <v>16.807200000000002</v>
      </c>
      <c r="S138">
        <v>18.564399999999999</v>
      </c>
      <c r="T138">
        <v>0.43</v>
      </c>
      <c r="U138">
        <v>0.92400000000000004</v>
      </c>
    </row>
    <row r="139" spans="1:21" x14ac:dyDescent="0.25">
      <c r="A139" t="s">
        <v>487</v>
      </c>
      <c r="B139" t="s">
        <v>104</v>
      </c>
      <c r="C139">
        <v>29</v>
      </c>
      <c r="D139" t="s">
        <v>15</v>
      </c>
      <c r="E139">
        <v>10.6616367901995</v>
      </c>
      <c r="G139">
        <v>1.2587999999999999</v>
      </c>
      <c r="H139">
        <v>6.1829999999999998</v>
      </c>
      <c r="K139">
        <v>0.6361</v>
      </c>
      <c r="L139">
        <v>0.62270000000000003</v>
      </c>
      <c r="M139">
        <v>3.8620000000000001</v>
      </c>
      <c r="N139">
        <v>1.74</v>
      </c>
      <c r="O139">
        <v>0.53600000000000003</v>
      </c>
      <c r="P139">
        <v>3.5000000000000003E-2</v>
      </c>
      <c r="Q139">
        <v>0</v>
      </c>
      <c r="R139">
        <v>1.1863999999999999</v>
      </c>
      <c r="S139">
        <v>1.5832999999999999</v>
      </c>
      <c r="T139">
        <v>0.41</v>
      </c>
      <c r="U139">
        <v>0.56699999999999995</v>
      </c>
    </row>
    <row r="140" spans="1:21" x14ac:dyDescent="0.25">
      <c r="A140" t="s">
        <v>301</v>
      </c>
      <c r="B140" t="s">
        <v>103</v>
      </c>
      <c r="C140">
        <v>26</v>
      </c>
      <c r="D140" t="s">
        <v>15</v>
      </c>
      <c r="E140">
        <v>14.9968367182042</v>
      </c>
      <c r="G140">
        <v>1.9977</v>
      </c>
      <c r="H140">
        <v>7.6920000000000002</v>
      </c>
      <c r="K140">
        <v>0.83514999999999995</v>
      </c>
      <c r="L140">
        <v>1.16255</v>
      </c>
      <c r="M140">
        <v>4.5460000000000003</v>
      </c>
      <c r="N140">
        <v>1.667</v>
      </c>
      <c r="O140">
        <v>0.69599999999999995</v>
      </c>
      <c r="P140">
        <v>2.7E-2</v>
      </c>
      <c r="Q140">
        <v>4.7E-2</v>
      </c>
      <c r="R140">
        <v>1.6388</v>
      </c>
      <c r="S140">
        <v>2.3837000000000002</v>
      </c>
      <c r="T140">
        <v>0.45</v>
      </c>
      <c r="U140">
        <v>1.4890000000000001</v>
      </c>
    </row>
    <row r="141" spans="1:21" x14ac:dyDescent="0.25">
      <c r="A141" t="s">
        <v>830</v>
      </c>
      <c r="B141" t="s">
        <v>102</v>
      </c>
      <c r="C141">
        <v>26</v>
      </c>
      <c r="D141" t="s">
        <v>25</v>
      </c>
      <c r="E141">
        <v>12.8814950932519</v>
      </c>
      <c r="G141">
        <v>1.66395</v>
      </c>
      <c r="H141">
        <v>8.7789999999999999</v>
      </c>
      <c r="K141">
        <v>0.83960000000000001</v>
      </c>
      <c r="L141">
        <v>0.82435000000000003</v>
      </c>
      <c r="M141">
        <v>3.5550000000000002</v>
      </c>
      <c r="N141">
        <v>2.2309999999999999</v>
      </c>
      <c r="O141">
        <v>0.66500000000000004</v>
      </c>
      <c r="P141">
        <v>8.9999999999999993E-3</v>
      </c>
      <c r="Q141">
        <v>1E-3</v>
      </c>
      <c r="R141">
        <v>1.7759</v>
      </c>
      <c r="S141">
        <v>2.6272000000000002</v>
      </c>
      <c r="T141">
        <v>0.44</v>
      </c>
      <c r="U141">
        <v>0.49099999999999999</v>
      </c>
    </row>
    <row r="142" spans="1:21" x14ac:dyDescent="0.25">
      <c r="A142" t="s">
        <v>684</v>
      </c>
      <c r="B142" t="s">
        <v>104</v>
      </c>
      <c r="C142">
        <v>29</v>
      </c>
      <c r="D142" t="s">
        <v>22</v>
      </c>
      <c r="E142">
        <v>10.715304018142801</v>
      </c>
      <c r="G142">
        <v>1.2378499999999999</v>
      </c>
      <c r="H142">
        <v>5.6719999999999997</v>
      </c>
      <c r="K142">
        <v>0.55479999999999996</v>
      </c>
      <c r="L142">
        <v>0.68305000000000005</v>
      </c>
      <c r="M142">
        <v>13.779</v>
      </c>
      <c r="N142">
        <v>1.3240000000000001</v>
      </c>
      <c r="O142">
        <v>0.73</v>
      </c>
      <c r="P142">
        <v>0.27100000000000002</v>
      </c>
      <c r="Q142">
        <v>2.5000000000000001E-2</v>
      </c>
      <c r="R142">
        <v>0.75170000000000003</v>
      </c>
      <c r="S142">
        <v>1.0045999999999999</v>
      </c>
      <c r="T142">
        <v>0.47</v>
      </c>
      <c r="U142">
        <v>0.61699999999999999</v>
      </c>
    </row>
    <row r="143" spans="1:21" x14ac:dyDescent="0.25">
      <c r="A143" t="s">
        <v>634</v>
      </c>
      <c r="B143" t="s">
        <v>74</v>
      </c>
      <c r="C143">
        <v>23</v>
      </c>
      <c r="D143" t="s">
        <v>4</v>
      </c>
      <c r="E143">
        <v>13.325281650537899</v>
      </c>
      <c r="G143">
        <v>2.0804</v>
      </c>
      <c r="H143">
        <v>8.5619999999999994</v>
      </c>
      <c r="K143">
        <v>0.91690000000000005</v>
      </c>
      <c r="L143">
        <v>1.1635</v>
      </c>
      <c r="M143">
        <v>4.1109999999999998</v>
      </c>
      <c r="N143">
        <v>1.5469999999999999</v>
      </c>
      <c r="O143">
        <v>0.67300000000000004</v>
      </c>
      <c r="P143">
        <v>8.5999999999999993E-2</v>
      </c>
      <c r="Q143">
        <v>0.04</v>
      </c>
      <c r="R143">
        <v>21.1662</v>
      </c>
      <c r="S143">
        <v>24.5992</v>
      </c>
      <c r="T143">
        <v>0.48</v>
      </c>
      <c r="U143">
        <v>0.75700000000000001</v>
      </c>
    </row>
    <row r="144" spans="1:21" x14ac:dyDescent="0.25">
      <c r="A144" t="s">
        <v>797</v>
      </c>
      <c r="B144" t="s">
        <v>105</v>
      </c>
      <c r="C144">
        <v>28</v>
      </c>
      <c r="D144" t="s">
        <v>15</v>
      </c>
      <c r="E144">
        <v>9.6988617855326407</v>
      </c>
      <c r="G144">
        <v>0.86895</v>
      </c>
      <c r="H144">
        <v>4.3630000000000004</v>
      </c>
      <c r="K144">
        <v>0.36830000000000002</v>
      </c>
      <c r="L144">
        <v>0.50065000000000004</v>
      </c>
      <c r="M144">
        <v>6.5810000000000004</v>
      </c>
      <c r="N144">
        <v>3.6819999999999999</v>
      </c>
      <c r="O144">
        <v>0.76600000000000001</v>
      </c>
      <c r="P144">
        <v>7.0000000000000007E-2</v>
      </c>
      <c r="Q144">
        <v>3.0000000000000001E-3</v>
      </c>
      <c r="R144">
        <v>15.363300000000001</v>
      </c>
      <c r="S144">
        <v>17.089200000000002</v>
      </c>
      <c r="T144" t="s">
        <v>1054</v>
      </c>
      <c r="U144">
        <v>0.36099999999999999</v>
      </c>
    </row>
    <row r="145" spans="1:21" x14ac:dyDescent="0.25">
      <c r="A145" t="s">
        <v>1000</v>
      </c>
      <c r="B145" t="s">
        <v>103</v>
      </c>
      <c r="C145">
        <v>21</v>
      </c>
      <c r="D145" t="s">
        <v>13</v>
      </c>
      <c r="E145">
        <v>14.15</v>
      </c>
      <c r="G145">
        <v>1.76925</v>
      </c>
      <c r="H145">
        <v>8.2889999999999997</v>
      </c>
      <c r="K145">
        <v>0.66720000000000002</v>
      </c>
      <c r="L145">
        <v>1.10205</v>
      </c>
      <c r="M145">
        <v>3.21</v>
      </c>
      <c r="N145">
        <v>2.2799999999999998</v>
      </c>
      <c r="O145">
        <v>0.72399999999999998</v>
      </c>
      <c r="P145">
        <v>1.7999999999999999E-2</v>
      </c>
      <c r="Q145">
        <v>5.0000000000000001E-3</v>
      </c>
      <c r="R145">
        <v>1.3745000000000001</v>
      </c>
      <c r="S145">
        <v>2.3473999999999999</v>
      </c>
      <c r="T145">
        <v>0.47</v>
      </c>
      <c r="U145">
        <v>1.1990000000000001</v>
      </c>
    </row>
    <row r="146" spans="1:21" x14ac:dyDescent="0.25">
      <c r="A146" t="s">
        <v>1001</v>
      </c>
      <c r="B146" t="s">
        <v>101</v>
      </c>
      <c r="C146">
        <v>23</v>
      </c>
      <c r="D146" t="s">
        <v>16</v>
      </c>
      <c r="E146">
        <v>13.75</v>
      </c>
      <c r="G146">
        <v>1.3693500000000001</v>
      </c>
      <c r="H146">
        <v>6.5940000000000003</v>
      </c>
      <c r="K146">
        <v>0.62350000000000005</v>
      </c>
      <c r="L146">
        <v>0.74585000000000001</v>
      </c>
      <c r="M146">
        <v>11.250999999999999</v>
      </c>
      <c r="N146">
        <v>1.9510000000000001</v>
      </c>
      <c r="O146">
        <v>1.05</v>
      </c>
      <c r="P146">
        <v>0.13900000000000001</v>
      </c>
      <c r="Q146">
        <v>6.4000000000000001E-2</v>
      </c>
      <c r="R146">
        <v>3.8380000000000001</v>
      </c>
      <c r="S146">
        <v>3.4798</v>
      </c>
      <c r="T146">
        <v>0</v>
      </c>
      <c r="U146">
        <v>0.40799999999999997</v>
      </c>
    </row>
    <row r="147" spans="1:21" x14ac:dyDescent="0.25">
      <c r="A147" t="s">
        <v>356</v>
      </c>
      <c r="B147" t="s">
        <v>74</v>
      </c>
      <c r="C147">
        <v>28</v>
      </c>
      <c r="D147" t="s">
        <v>2</v>
      </c>
      <c r="E147">
        <v>15.286806189200099</v>
      </c>
      <c r="G147">
        <v>2.3119999999999998</v>
      </c>
      <c r="H147">
        <v>8.4130000000000003</v>
      </c>
      <c r="K147">
        <v>0.94589999999999996</v>
      </c>
      <c r="L147">
        <v>1.3661000000000001</v>
      </c>
      <c r="M147">
        <v>2.1080000000000001</v>
      </c>
      <c r="N147">
        <v>1.6559999999999999</v>
      </c>
      <c r="O147">
        <v>0.626</v>
      </c>
      <c r="P147">
        <v>6.2E-2</v>
      </c>
      <c r="Q147">
        <v>4.2000000000000003E-2</v>
      </c>
      <c r="R147">
        <v>29.301400000000001</v>
      </c>
      <c r="S147">
        <v>24.1966</v>
      </c>
      <c r="T147" t="s">
        <v>1054</v>
      </c>
      <c r="U147">
        <v>0.58599999999999997</v>
      </c>
    </row>
    <row r="148" spans="1:21" x14ac:dyDescent="0.25">
      <c r="A148" t="s">
        <v>519</v>
      </c>
      <c r="B148" t="s">
        <v>105</v>
      </c>
      <c r="C148">
        <v>27</v>
      </c>
      <c r="D148" t="s">
        <v>29</v>
      </c>
      <c r="E148">
        <v>14.718991475811499</v>
      </c>
      <c r="G148">
        <v>2.1084999999999998</v>
      </c>
      <c r="H148">
        <v>6.15</v>
      </c>
      <c r="K148">
        <v>0.97089999999999999</v>
      </c>
      <c r="L148">
        <v>1.1375999999999999</v>
      </c>
      <c r="M148">
        <v>0.59899999999999998</v>
      </c>
      <c r="N148">
        <v>2.6509999999999998</v>
      </c>
      <c r="O148">
        <v>0.56299999999999994</v>
      </c>
      <c r="P148">
        <v>6.0000000000000001E-3</v>
      </c>
      <c r="Q148">
        <v>0</v>
      </c>
      <c r="R148">
        <v>24.415099999999999</v>
      </c>
      <c r="S148">
        <v>23.9697</v>
      </c>
      <c r="T148">
        <v>0.49</v>
      </c>
      <c r="U148">
        <v>0.92400000000000004</v>
      </c>
    </row>
    <row r="149" spans="1:21" x14ac:dyDescent="0.25">
      <c r="A149" t="s">
        <v>522</v>
      </c>
      <c r="B149" t="s">
        <v>104</v>
      </c>
      <c r="C149">
        <v>25</v>
      </c>
      <c r="D149" t="s">
        <v>87</v>
      </c>
      <c r="E149">
        <v>12.8575790840903</v>
      </c>
      <c r="G149">
        <v>1.6232</v>
      </c>
      <c r="H149">
        <v>6.8310000000000004</v>
      </c>
      <c r="K149">
        <v>0.83765000000000001</v>
      </c>
      <c r="L149">
        <v>0.78554999999999997</v>
      </c>
      <c r="M149">
        <v>9.4920000000000009</v>
      </c>
      <c r="N149">
        <v>3.8660000000000001</v>
      </c>
      <c r="O149">
        <v>0.59</v>
      </c>
      <c r="P149">
        <v>7.0000000000000001E-3</v>
      </c>
      <c r="Q149">
        <v>0</v>
      </c>
      <c r="R149">
        <v>0.754</v>
      </c>
      <c r="S149">
        <v>1.2471000000000001</v>
      </c>
      <c r="T149">
        <v>0.4</v>
      </c>
      <c r="U149">
        <v>0.57999999999999996</v>
      </c>
    </row>
    <row r="150" spans="1:21" x14ac:dyDescent="0.25">
      <c r="A150" t="s">
        <v>767</v>
      </c>
      <c r="B150" t="s">
        <v>101</v>
      </c>
      <c r="C150">
        <v>26</v>
      </c>
      <c r="D150" t="s">
        <v>31</v>
      </c>
      <c r="E150">
        <v>12.485698821549899</v>
      </c>
      <c r="G150">
        <v>1.6346499999999999</v>
      </c>
      <c r="H150">
        <v>5.681</v>
      </c>
      <c r="K150">
        <v>0.64319999999999999</v>
      </c>
      <c r="L150">
        <v>0.99145000000000005</v>
      </c>
      <c r="M150">
        <v>5.1959999999999997</v>
      </c>
      <c r="N150">
        <v>2.3170000000000002</v>
      </c>
      <c r="O150">
        <v>0.51100000000000001</v>
      </c>
      <c r="P150">
        <v>6.0000000000000001E-3</v>
      </c>
      <c r="Q150">
        <v>0</v>
      </c>
      <c r="R150">
        <v>6.9981999999999998</v>
      </c>
      <c r="S150">
        <v>8.2329000000000008</v>
      </c>
      <c r="T150">
        <v>0.36</v>
      </c>
      <c r="U150">
        <v>0.23200000000000001</v>
      </c>
    </row>
    <row r="151" spans="1:21" x14ac:dyDescent="0.25">
      <c r="A151" t="s">
        <v>1034</v>
      </c>
      <c r="B151" t="s">
        <v>102</v>
      </c>
      <c r="C151">
        <v>24</v>
      </c>
      <c r="D151" t="s">
        <v>7</v>
      </c>
      <c r="E151">
        <v>11.5786130613808</v>
      </c>
      <c r="G151">
        <v>1.2518499999999999</v>
      </c>
      <c r="H151">
        <v>6.3129999999999997</v>
      </c>
      <c r="K151">
        <v>0.56510000000000005</v>
      </c>
      <c r="L151">
        <v>0.68674999999999997</v>
      </c>
      <c r="M151">
        <v>6.4450000000000003</v>
      </c>
      <c r="N151">
        <v>3.0510000000000002</v>
      </c>
      <c r="O151">
        <v>0.53300000000000003</v>
      </c>
      <c r="P151">
        <v>5.7000000000000002E-2</v>
      </c>
      <c r="Q151">
        <v>1.7999999999999999E-2</v>
      </c>
      <c r="R151">
        <v>3.5709</v>
      </c>
      <c r="S151">
        <v>3.5688</v>
      </c>
      <c r="T151">
        <v>0.41</v>
      </c>
      <c r="U151">
        <v>0.82499999999999996</v>
      </c>
    </row>
    <row r="152" spans="1:21" x14ac:dyDescent="0.25">
      <c r="A152" t="s">
        <v>293</v>
      </c>
      <c r="B152" t="s">
        <v>74</v>
      </c>
      <c r="C152">
        <v>30</v>
      </c>
      <c r="D152" t="s">
        <v>137</v>
      </c>
      <c r="E152">
        <v>14.352833674433301</v>
      </c>
      <c r="G152">
        <v>1.9482999999999999</v>
      </c>
      <c r="H152">
        <v>7.0730000000000004</v>
      </c>
      <c r="K152">
        <v>0.71140000000000003</v>
      </c>
      <c r="L152">
        <v>1.2369000000000001</v>
      </c>
      <c r="M152">
        <v>3.6549999999999998</v>
      </c>
      <c r="N152">
        <v>2.6930000000000001</v>
      </c>
      <c r="O152">
        <v>0.432</v>
      </c>
      <c r="P152">
        <v>2.5999999999999999E-2</v>
      </c>
      <c r="Q152">
        <v>0</v>
      </c>
      <c r="R152">
        <v>30.996200000000002</v>
      </c>
      <c r="S152">
        <v>24.0594</v>
      </c>
      <c r="T152">
        <v>0.36</v>
      </c>
      <c r="U152">
        <v>0.86299999999999999</v>
      </c>
    </row>
    <row r="153" spans="1:21" x14ac:dyDescent="0.25">
      <c r="A153" t="s">
        <v>312</v>
      </c>
      <c r="B153" t="s">
        <v>101</v>
      </c>
      <c r="C153">
        <v>26</v>
      </c>
      <c r="D153" t="s">
        <v>8</v>
      </c>
      <c r="E153">
        <v>14.4903459596504</v>
      </c>
      <c r="G153">
        <v>2.5282499999999999</v>
      </c>
      <c r="H153">
        <v>6.8410000000000002</v>
      </c>
      <c r="K153">
        <v>1.0703</v>
      </c>
      <c r="L153">
        <v>1.4579500000000001</v>
      </c>
      <c r="M153">
        <v>4.2949999999999999</v>
      </c>
      <c r="N153">
        <v>3.14</v>
      </c>
      <c r="O153">
        <v>0.23300000000000001</v>
      </c>
      <c r="P153">
        <v>6.0000000000000001E-3</v>
      </c>
      <c r="Q153">
        <v>0</v>
      </c>
      <c r="R153">
        <v>17.196899999999999</v>
      </c>
      <c r="S153">
        <v>18.023099999999999</v>
      </c>
      <c r="T153">
        <v>0</v>
      </c>
      <c r="U153">
        <v>0.23899999999999999</v>
      </c>
    </row>
    <row r="154" spans="1:21" x14ac:dyDescent="0.25">
      <c r="A154" t="s">
        <v>1035</v>
      </c>
      <c r="B154" t="s">
        <v>104</v>
      </c>
      <c r="C154">
        <v>23</v>
      </c>
      <c r="D154" t="s">
        <v>2</v>
      </c>
      <c r="E154">
        <v>11.6149710133153</v>
      </c>
      <c r="G154">
        <v>1.8025500000000001</v>
      </c>
      <c r="H154">
        <v>6.6550000000000002</v>
      </c>
      <c r="K154">
        <v>0.90800000000000003</v>
      </c>
      <c r="L154">
        <v>0.89454999999999996</v>
      </c>
      <c r="M154">
        <v>5.2839999999999998</v>
      </c>
      <c r="N154">
        <v>2.5939999999999999</v>
      </c>
      <c r="O154">
        <v>0.752</v>
      </c>
      <c r="P154">
        <v>5.0999999999999997E-2</v>
      </c>
      <c r="Q154">
        <v>1.6E-2</v>
      </c>
      <c r="R154">
        <v>3.2551999999999999</v>
      </c>
      <c r="S154">
        <v>3.4281999999999999</v>
      </c>
      <c r="T154">
        <v>0.49</v>
      </c>
      <c r="U154">
        <v>0.65200000000000002</v>
      </c>
    </row>
    <row r="155" spans="1:21" x14ac:dyDescent="0.25">
      <c r="A155" t="s">
        <v>765</v>
      </c>
      <c r="B155" t="s">
        <v>104</v>
      </c>
      <c r="C155">
        <v>25</v>
      </c>
      <c r="D155" t="s">
        <v>1111</v>
      </c>
      <c r="E155">
        <v>9.9932865460138505</v>
      </c>
      <c r="G155">
        <v>1.41195</v>
      </c>
      <c r="H155">
        <v>7.22</v>
      </c>
      <c r="K155">
        <v>0.56764999999999999</v>
      </c>
      <c r="L155">
        <v>0.84430000000000005</v>
      </c>
      <c r="M155">
        <v>3.2410000000000001</v>
      </c>
      <c r="N155">
        <v>2.665</v>
      </c>
      <c r="O155">
        <v>0.38200000000000001</v>
      </c>
      <c r="P155">
        <v>0.01</v>
      </c>
      <c r="Q155">
        <v>1E-3</v>
      </c>
      <c r="R155">
        <v>0.91639999999999999</v>
      </c>
      <c r="S155">
        <v>1.3312999999999999</v>
      </c>
      <c r="T155">
        <v>0.42</v>
      </c>
      <c r="U155">
        <v>0.85599999999999998</v>
      </c>
    </row>
    <row r="156" spans="1:21" x14ac:dyDescent="0.25">
      <c r="A156" t="s">
        <v>809</v>
      </c>
      <c r="B156" t="s">
        <v>102</v>
      </c>
      <c r="C156">
        <v>29</v>
      </c>
      <c r="D156" t="s">
        <v>1127</v>
      </c>
      <c r="E156">
        <v>10.9989901693513</v>
      </c>
      <c r="G156">
        <v>1.49305</v>
      </c>
      <c r="H156">
        <v>6.6130000000000004</v>
      </c>
      <c r="K156">
        <v>0.62465000000000004</v>
      </c>
      <c r="L156">
        <v>0.86839999999999995</v>
      </c>
      <c r="M156">
        <v>8.9260000000000002</v>
      </c>
      <c r="N156">
        <v>1.377</v>
      </c>
      <c r="O156">
        <v>0.36499999999999999</v>
      </c>
      <c r="P156">
        <v>0.05</v>
      </c>
      <c r="Q156">
        <v>3.7999999999999999E-2</v>
      </c>
      <c r="R156">
        <v>0.48699999999999999</v>
      </c>
      <c r="S156">
        <v>0.60970000000000002</v>
      </c>
      <c r="T156">
        <v>0.53</v>
      </c>
      <c r="U156">
        <v>0.67200000000000004</v>
      </c>
    </row>
    <row r="157" spans="1:21" x14ac:dyDescent="0.25">
      <c r="A157" t="s">
        <v>935</v>
      </c>
      <c r="B157" t="s">
        <v>74</v>
      </c>
      <c r="C157">
        <v>40</v>
      </c>
      <c r="D157" t="s">
        <v>31</v>
      </c>
      <c r="E157">
        <v>11.592468165145499</v>
      </c>
      <c r="G157">
        <v>1.9026000000000001</v>
      </c>
      <c r="H157">
        <v>6.0709999999999997</v>
      </c>
      <c r="K157">
        <v>0.77149999999999996</v>
      </c>
      <c r="L157">
        <v>1.1311</v>
      </c>
      <c r="M157">
        <v>2.214</v>
      </c>
      <c r="N157">
        <v>2.762</v>
      </c>
      <c r="O157">
        <v>0.82899999999999996</v>
      </c>
      <c r="P157">
        <v>2.1999999999999999E-2</v>
      </c>
      <c r="Q157">
        <v>7.0000000000000001E-3</v>
      </c>
      <c r="R157">
        <v>19.507899999999999</v>
      </c>
      <c r="S157">
        <v>19.6053</v>
      </c>
      <c r="T157">
        <v>0</v>
      </c>
      <c r="U157">
        <v>0.54800000000000004</v>
      </c>
    </row>
    <row r="158" spans="1:21" x14ac:dyDescent="0.25">
      <c r="A158" t="s">
        <v>581</v>
      </c>
      <c r="B158" t="s">
        <v>101</v>
      </c>
      <c r="C158">
        <v>33</v>
      </c>
      <c r="D158" t="s">
        <v>27</v>
      </c>
      <c r="E158">
        <v>13.6320702940831</v>
      </c>
      <c r="G158">
        <v>1.8507499999999999</v>
      </c>
      <c r="H158">
        <v>7.2320000000000002</v>
      </c>
      <c r="K158">
        <v>0.76919999999999999</v>
      </c>
      <c r="L158">
        <v>1.08155</v>
      </c>
      <c r="M158">
        <v>4.84</v>
      </c>
      <c r="N158">
        <v>2.1890000000000001</v>
      </c>
      <c r="O158">
        <v>1.083</v>
      </c>
      <c r="P158">
        <v>4.3999999999999997E-2</v>
      </c>
      <c r="Q158">
        <v>0</v>
      </c>
      <c r="R158">
        <v>23.188800000000001</v>
      </c>
      <c r="S158">
        <v>18.1036</v>
      </c>
      <c r="T158">
        <v>0</v>
      </c>
      <c r="U158">
        <v>0.79300000000000004</v>
      </c>
    </row>
    <row r="159" spans="1:21" x14ac:dyDescent="0.25">
      <c r="A159" t="s">
        <v>497</v>
      </c>
      <c r="B159" t="s">
        <v>1108</v>
      </c>
      <c r="C159">
        <v>31</v>
      </c>
      <c r="D159" t="s">
        <v>31</v>
      </c>
      <c r="E159">
        <v>13.4297585197007</v>
      </c>
      <c r="G159">
        <v>1.69055</v>
      </c>
      <c r="H159">
        <v>8.8840000000000003</v>
      </c>
      <c r="K159">
        <v>0.57840000000000003</v>
      </c>
      <c r="L159">
        <v>1.11215</v>
      </c>
      <c r="M159">
        <v>4.5780000000000003</v>
      </c>
      <c r="N159">
        <v>1.6919999999999999</v>
      </c>
      <c r="O159">
        <v>0.67200000000000004</v>
      </c>
      <c r="P159">
        <v>6.0000000000000001E-3</v>
      </c>
      <c r="Q159">
        <v>0</v>
      </c>
      <c r="R159">
        <v>2.6573000000000002</v>
      </c>
      <c r="S159">
        <v>2.6964000000000001</v>
      </c>
      <c r="T159">
        <v>0.44</v>
      </c>
      <c r="U159">
        <v>0.59599999999999997</v>
      </c>
    </row>
    <row r="160" spans="1:21" x14ac:dyDescent="0.25">
      <c r="A160" t="s">
        <v>253</v>
      </c>
      <c r="B160" t="s">
        <v>102</v>
      </c>
      <c r="C160">
        <v>33</v>
      </c>
      <c r="D160" t="s">
        <v>16</v>
      </c>
      <c r="E160">
        <v>15.266943759542601</v>
      </c>
      <c r="G160">
        <v>2.0966</v>
      </c>
      <c r="H160">
        <v>10.324999999999999</v>
      </c>
      <c r="K160">
        <v>1.2027000000000001</v>
      </c>
      <c r="L160">
        <v>0.89390000000000003</v>
      </c>
      <c r="M160">
        <v>11.391999999999999</v>
      </c>
      <c r="N160">
        <v>1.48</v>
      </c>
      <c r="O160">
        <v>1.5760000000000001</v>
      </c>
      <c r="P160">
        <v>0.1</v>
      </c>
      <c r="Q160">
        <v>4.8000000000000001E-2</v>
      </c>
      <c r="R160">
        <v>1.67</v>
      </c>
      <c r="S160">
        <v>1.786</v>
      </c>
      <c r="T160">
        <v>0.47</v>
      </c>
      <c r="U160">
        <v>0.95399999999999996</v>
      </c>
    </row>
    <row r="161" spans="1:21" x14ac:dyDescent="0.25">
      <c r="A161" t="s">
        <v>309</v>
      </c>
      <c r="B161" t="s">
        <v>74</v>
      </c>
      <c r="C161">
        <v>38</v>
      </c>
      <c r="D161" t="s">
        <v>25</v>
      </c>
      <c r="E161">
        <v>14.8570915769234</v>
      </c>
      <c r="G161">
        <v>2.3288500000000001</v>
      </c>
      <c r="H161">
        <v>7.0940000000000003</v>
      </c>
      <c r="K161">
        <v>0.90525</v>
      </c>
      <c r="L161">
        <v>1.4236</v>
      </c>
      <c r="M161">
        <v>1.423</v>
      </c>
      <c r="N161">
        <v>1.923</v>
      </c>
      <c r="O161">
        <v>1.244</v>
      </c>
      <c r="P161">
        <v>6.0000000000000001E-3</v>
      </c>
      <c r="Q161">
        <v>4.2999999999999997E-2</v>
      </c>
      <c r="R161">
        <v>17.766200000000001</v>
      </c>
      <c r="S161">
        <v>19.570399999999999</v>
      </c>
      <c r="T161">
        <v>0.44</v>
      </c>
      <c r="U161">
        <v>0.58699999999999997</v>
      </c>
    </row>
    <row r="162" spans="1:21" x14ac:dyDescent="0.25">
      <c r="A162" t="s">
        <v>938</v>
      </c>
      <c r="B162" t="s">
        <v>104</v>
      </c>
      <c r="C162">
        <v>35</v>
      </c>
      <c r="D162" t="s">
        <v>17</v>
      </c>
      <c r="E162">
        <v>12.4249391609886</v>
      </c>
      <c r="G162">
        <v>1.7052499999999999</v>
      </c>
      <c r="H162">
        <v>6.43</v>
      </c>
      <c r="K162">
        <v>0.74150000000000005</v>
      </c>
      <c r="L162">
        <v>0.96375</v>
      </c>
      <c r="M162">
        <v>2.323</v>
      </c>
      <c r="N162">
        <v>2.0680000000000001</v>
      </c>
      <c r="O162">
        <v>0.497</v>
      </c>
      <c r="P162">
        <v>7.0000000000000001E-3</v>
      </c>
      <c r="Q162">
        <v>0</v>
      </c>
      <c r="R162">
        <v>0.2586</v>
      </c>
      <c r="S162">
        <v>0.59089999999999998</v>
      </c>
      <c r="T162">
        <v>0.48</v>
      </c>
      <c r="U162">
        <v>0.54100000000000004</v>
      </c>
    </row>
    <row r="163" spans="1:21" x14ac:dyDescent="0.25">
      <c r="A163" t="s">
        <v>345</v>
      </c>
      <c r="B163" t="s">
        <v>74</v>
      </c>
      <c r="C163">
        <v>32</v>
      </c>
      <c r="D163" t="s">
        <v>1128</v>
      </c>
      <c r="E163">
        <v>13.9390418294558</v>
      </c>
      <c r="G163">
        <v>1.5831500000000001</v>
      </c>
      <c r="H163">
        <v>5.4329999999999998</v>
      </c>
      <c r="K163">
        <v>0.47549999999999998</v>
      </c>
      <c r="L163">
        <v>1.10765</v>
      </c>
      <c r="M163">
        <v>1.55</v>
      </c>
      <c r="N163">
        <v>1.3</v>
      </c>
      <c r="O163">
        <v>0.9</v>
      </c>
      <c r="P163">
        <v>6.0000000000000001E-3</v>
      </c>
      <c r="Q163">
        <v>1.9E-2</v>
      </c>
      <c r="R163">
        <v>19.361799999999999</v>
      </c>
      <c r="S163">
        <v>24.3917</v>
      </c>
      <c r="T163">
        <v>0.45</v>
      </c>
      <c r="U163">
        <v>1.5820000000000001</v>
      </c>
    </row>
    <row r="164" spans="1:21" x14ac:dyDescent="0.25">
      <c r="A164" t="s">
        <v>703</v>
      </c>
      <c r="B164" t="s">
        <v>104</v>
      </c>
      <c r="C164">
        <v>28</v>
      </c>
      <c r="D164" t="s">
        <v>33</v>
      </c>
      <c r="E164">
        <v>10.5165294244587</v>
      </c>
      <c r="G164">
        <v>1.4922</v>
      </c>
      <c r="H164">
        <v>5.7460000000000004</v>
      </c>
      <c r="K164">
        <v>0.64790000000000003</v>
      </c>
      <c r="L164">
        <v>0.84430000000000005</v>
      </c>
      <c r="M164">
        <v>8.4239999999999995</v>
      </c>
      <c r="N164">
        <v>2.1360000000000001</v>
      </c>
      <c r="O164">
        <v>1.141</v>
      </c>
      <c r="P164">
        <v>1.4E-2</v>
      </c>
      <c r="Q164">
        <v>4.2000000000000003E-2</v>
      </c>
      <c r="R164">
        <v>1.1271</v>
      </c>
      <c r="S164">
        <v>1.0698000000000001</v>
      </c>
      <c r="T164">
        <v>0.35</v>
      </c>
      <c r="U164">
        <v>0.97699999999999998</v>
      </c>
    </row>
    <row r="165" spans="1:21" x14ac:dyDescent="0.25">
      <c r="A165" t="s">
        <v>1002</v>
      </c>
      <c r="B165" t="s">
        <v>103</v>
      </c>
      <c r="C165">
        <v>25</v>
      </c>
      <c r="D165" t="s">
        <v>33</v>
      </c>
      <c r="E165">
        <v>14.905672706545801</v>
      </c>
      <c r="G165">
        <v>1.6389</v>
      </c>
      <c r="H165">
        <v>8.2040000000000006</v>
      </c>
      <c r="K165">
        <v>0.72170000000000001</v>
      </c>
      <c r="L165">
        <v>0.91720000000000002</v>
      </c>
      <c r="M165">
        <v>4.4089999999999998</v>
      </c>
      <c r="N165">
        <v>2.7080000000000002</v>
      </c>
      <c r="O165">
        <v>0.40100000000000002</v>
      </c>
      <c r="P165">
        <v>2.4E-2</v>
      </c>
      <c r="Q165">
        <v>0</v>
      </c>
      <c r="R165">
        <v>1.1659999999999999</v>
      </c>
      <c r="S165">
        <v>1.9859</v>
      </c>
      <c r="T165">
        <v>0.42</v>
      </c>
      <c r="U165">
        <v>1.0189999999999999</v>
      </c>
    </row>
    <row r="166" spans="1:21" x14ac:dyDescent="0.25">
      <c r="A166" t="s">
        <v>723</v>
      </c>
      <c r="B166" t="s">
        <v>105</v>
      </c>
      <c r="C166">
        <v>25</v>
      </c>
      <c r="D166" t="s">
        <v>10</v>
      </c>
      <c r="E166">
        <v>12.865571125006101</v>
      </c>
      <c r="G166">
        <v>1.8879999999999999</v>
      </c>
      <c r="H166">
        <v>9.2070000000000007</v>
      </c>
      <c r="K166">
        <v>0.90210000000000001</v>
      </c>
      <c r="L166">
        <v>0.9859</v>
      </c>
      <c r="M166">
        <v>1.887</v>
      </c>
      <c r="N166">
        <v>2.4020000000000001</v>
      </c>
      <c r="O166">
        <v>0.67</v>
      </c>
      <c r="P166">
        <v>1.2E-2</v>
      </c>
      <c r="Q166">
        <v>1E-3</v>
      </c>
      <c r="R166">
        <v>12.8825</v>
      </c>
      <c r="S166">
        <v>18.370699999999999</v>
      </c>
      <c r="T166">
        <v>0.41</v>
      </c>
      <c r="U166">
        <v>0.91500000000000004</v>
      </c>
    </row>
    <row r="167" spans="1:21" x14ac:dyDescent="0.25">
      <c r="A167" t="s">
        <v>269</v>
      </c>
      <c r="B167" t="s">
        <v>102</v>
      </c>
      <c r="C167">
        <v>30</v>
      </c>
      <c r="D167" t="s">
        <v>7</v>
      </c>
      <c r="E167">
        <v>15.1021007726223</v>
      </c>
      <c r="G167">
        <v>2.8140499999999999</v>
      </c>
      <c r="H167">
        <v>10.81</v>
      </c>
      <c r="K167">
        <v>1.4999</v>
      </c>
      <c r="L167">
        <v>1.3141499999999999</v>
      </c>
      <c r="M167">
        <v>5.8470000000000004</v>
      </c>
      <c r="N167">
        <v>2.2639999999999998</v>
      </c>
      <c r="O167">
        <v>0.65500000000000003</v>
      </c>
      <c r="P167">
        <v>2.4E-2</v>
      </c>
      <c r="Q167">
        <v>0</v>
      </c>
      <c r="R167">
        <v>0.60450000000000004</v>
      </c>
      <c r="S167">
        <v>0.54320000000000002</v>
      </c>
      <c r="T167">
        <v>0</v>
      </c>
      <c r="U167">
        <v>0.51</v>
      </c>
    </row>
    <row r="168" spans="1:21" x14ac:dyDescent="0.25">
      <c r="A168" t="s">
        <v>648</v>
      </c>
      <c r="B168" t="s">
        <v>104</v>
      </c>
      <c r="C168">
        <v>25</v>
      </c>
      <c r="D168" t="s">
        <v>33</v>
      </c>
      <c r="E168">
        <v>12.033036006199801</v>
      </c>
      <c r="G168">
        <v>1.2128000000000001</v>
      </c>
      <c r="H168">
        <v>8.3030000000000008</v>
      </c>
      <c r="K168">
        <v>0.59155000000000002</v>
      </c>
      <c r="L168">
        <v>0.62124999999999997</v>
      </c>
      <c r="M168">
        <v>3.2349999999999999</v>
      </c>
      <c r="N168">
        <v>2.2389999999999999</v>
      </c>
      <c r="O168">
        <v>0.56000000000000005</v>
      </c>
      <c r="P168">
        <v>8.0000000000000002E-3</v>
      </c>
      <c r="Q168">
        <v>0</v>
      </c>
      <c r="R168">
        <v>0.95669999999999999</v>
      </c>
      <c r="S168">
        <v>2.6002000000000001</v>
      </c>
      <c r="T168">
        <v>0.47</v>
      </c>
      <c r="U168">
        <v>0.504</v>
      </c>
    </row>
    <row r="169" spans="1:21" x14ac:dyDescent="0.25">
      <c r="A169" t="s">
        <v>601</v>
      </c>
      <c r="B169" t="s">
        <v>104</v>
      </c>
      <c r="C169">
        <v>30</v>
      </c>
      <c r="D169" t="s">
        <v>5</v>
      </c>
      <c r="E169">
        <v>13.723153881709401</v>
      </c>
      <c r="G169">
        <v>1.7962499999999999</v>
      </c>
      <c r="H169">
        <v>9.7219999999999995</v>
      </c>
      <c r="K169">
        <v>0.99185000000000001</v>
      </c>
      <c r="L169">
        <v>0.8044</v>
      </c>
      <c r="M169">
        <v>5.9420000000000002</v>
      </c>
      <c r="N169">
        <v>3.2040000000000002</v>
      </c>
      <c r="O169">
        <v>1.2050000000000001</v>
      </c>
      <c r="P169">
        <v>6.0000000000000001E-3</v>
      </c>
      <c r="Q169">
        <v>4.3999999999999997E-2</v>
      </c>
      <c r="R169">
        <v>0.53110000000000002</v>
      </c>
      <c r="S169">
        <v>0.78939999999999999</v>
      </c>
      <c r="T169">
        <v>0</v>
      </c>
      <c r="U169">
        <v>0.53600000000000003</v>
      </c>
    </row>
    <row r="170" spans="1:21" x14ac:dyDescent="0.25">
      <c r="A170" t="s">
        <v>656</v>
      </c>
      <c r="B170" t="s">
        <v>1108</v>
      </c>
      <c r="C170">
        <v>31</v>
      </c>
      <c r="D170" t="s">
        <v>18</v>
      </c>
      <c r="E170">
        <v>11.288779822935499</v>
      </c>
      <c r="G170">
        <v>1.3565</v>
      </c>
      <c r="H170">
        <v>6.399</v>
      </c>
      <c r="K170">
        <v>0.4965</v>
      </c>
      <c r="L170">
        <v>0.86</v>
      </c>
      <c r="M170">
        <v>1.921</v>
      </c>
      <c r="N170">
        <v>2.7450000000000001</v>
      </c>
      <c r="O170">
        <v>0.36199999999999999</v>
      </c>
      <c r="P170">
        <v>7.0000000000000001E-3</v>
      </c>
      <c r="Q170">
        <v>0</v>
      </c>
      <c r="R170">
        <v>17.337499999999999</v>
      </c>
      <c r="S170">
        <v>18.710699999999999</v>
      </c>
      <c r="T170">
        <v>0.52</v>
      </c>
      <c r="U170">
        <v>0.58299999999999996</v>
      </c>
    </row>
    <row r="171" spans="1:21" x14ac:dyDescent="0.25">
      <c r="A171" t="s">
        <v>1036</v>
      </c>
      <c r="B171" t="s">
        <v>102</v>
      </c>
      <c r="C171">
        <v>28</v>
      </c>
      <c r="D171" t="s">
        <v>11</v>
      </c>
      <c r="E171">
        <v>9.0245662241989901</v>
      </c>
      <c r="G171">
        <v>1.1457999999999999</v>
      </c>
      <c r="H171">
        <v>5.7670000000000003</v>
      </c>
      <c r="K171">
        <v>0.42645</v>
      </c>
      <c r="L171">
        <v>0.71935000000000004</v>
      </c>
      <c r="M171">
        <v>4.76</v>
      </c>
      <c r="N171">
        <v>2.5419999999999998</v>
      </c>
      <c r="O171">
        <v>0.40400000000000003</v>
      </c>
      <c r="P171">
        <v>2.1000000000000001E-2</v>
      </c>
      <c r="Q171">
        <v>5.0000000000000001E-3</v>
      </c>
      <c r="R171">
        <v>12.1425</v>
      </c>
      <c r="S171">
        <v>17.181000000000001</v>
      </c>
      <c r="T171">
        <v>0.43</v>
      </c>
      <c r="U171">
        <v>2.1309999999999998</v>
      </c>
    </row>
    <row r="172" spans="1:21" x14ac:dyDescent="0.25">
      <c r="A172" t="s">
        <v>807</v>
      </c>
      <c r="B172" t="s">
        <v>104</v>
      </c>
      <c r="C172">
        <v>25</v>
      </c>
      <c r="D172" t="s">
        <v>9</v>
      </c>
      <c r="E172">
        <v>13.3694958456165</v>
      </c>
      <c r="G172">
        <v>1.9221999999999999</v>
      </c>
      <c r="H172">
        <v>6.835</v>
      </c>
      <c r="K172">
        <v>1.0429999999999999</v>
      </c>
      <c r="L172">
        <v>0.87919999999999998</v>
      </c>
      <c r="M172">
        <v>1.48</v>
      </c>
      <c r="N172">
        <v>2.3210000000000002</v>
      </c>
      <c r="O172">
        <v>0.61</v>
      </c>
      <c r="P172">
        <v>8.9999999999999993E-3</v>
      </c>
      <c r="Q172">
        <v>1E-3</v>
      </c>
      <c r="R172">
        <v>3.2606999999999999</v>
      </c>
      <c r="S172">
        <v>3.3311000000000002</v>
      </c>
      <c r="T172">
        <v>0.54</v>
      </c>
      <c r="U172">
        <v>1.071</v>
      </c>
    </row>
    <row r="173" spans="1:21" x14ac:dyDescent="0.25">
      <c r="A173" t="s">
        <v>388</v>
      </c>
      <c r="B173" t="s">
        <v>103</v>
      </c>
      <c r="C173">
        <v>33</v>
      </c>
      <c r="D173" t="s">
        <v>32</v>
      </c>
      <c r="E173">
        <v>10.915726050621601</v>
      </c>
      <c r="G173">
        <v>1.31515</v>
      </c>
      <c r="H173">
        <v>6.3490000000000002</v>
      </c>
      <c r="K173">
        <v>0.68940000000000001</v>
      </c>
      <c r="L173">
        <v>0.62575000000000003</v>
      </c>
      <c r="M173">
        <v>17.734000000000002</v>
      </c>
      <c r="N173">
        <v>3.782</v>
      </c>
      <c r="O173">
        <v>1.544</v>
      </c>
      <c r="P173">
        <v>0.20599999999999999</v>
      </c>
      <c r="Q173">
        <v>0.13700000000000001</v>
      </c>
      <c r="R173">
        <v>1.3369</v>
      </c>
      <c r="S173">
        <v>0.88070000000000004</v>
      </c>
      <c r="T173">
        <v>0.39</v>
      </c>
      <c r="U173">
        <v>2.2919999999999998</v>
      </c>
    </row>
    <row r="174" spans="1:21" x14ac:dyDescent="0.25">
      <c r="A174" t="s">
        <v>813</v>
      </c>
      <c r="B174" t="s">
        <v>102</v>
      </c>
      <c r="C174">
        <v>26</v>
      </c>
      <c r="D174" t="s">
        <v>33</v>
      </c>
      <c r="E174">
        <v>7.9918955905538702</v>
      </c>
      <c r="G174">
        <v>1.0849</v>
      </c>
      <c r="H174">
        <v>6.7190000000000003</v>
      </c>
      <c r="K174">
        <v>0.40975</v>
      </c>
      <c r="L174">
        <v>0.67515000000000003</v>
      </c>
      <c r="M174">
        <v>14.435</v>
      </c>
      <c r="N174">
        <v>2.5710000000000002</v>
      </c>
      <c r="O174">
        <v>2.1869999999999998</v>
      </c>
      <c r="P174">
        <v>1.18</v>
      </c>
      <c r="Q174">
        <v>0.34699999999999998</v>
      </c>
      <c r="R174">
        <v>0.97289999999999999</v>
      </c>
      <c r="S174">
        <v>1.1335</v>
      </c>
      <c r="T174">
        <v>0</v>
      </c>
      <c r="U174">
        <v>0.67900000000000005</v>
      </c>
    </row>
    <row r="175" spans="1:21" x14ac:dyDescent="0.25">
      <c r="A175" t="s">
        <v>1037</v>
      </c>
      <c r="B175" t="s">
        <v>102</v>
      </c>
      <c r="C175">
        <v>24</v>
      </c>
      <c r="D175" t="s">
        <v>31</v>
      </c>
      <c r="E175">
        <v>10.9973020240308</v>
      </c>
      <c r="G175">
        <v>1.37635</v>
      </c>
      <c r="H175">
        <v>5.6760000000000002</v>
      </c>
      <c r="K175">
        <v>0.48144999999999999</v>
      </c>
      <c r="L175">
        <v>0.89490000000000003</v>
      </c>
      <c r="M175">
        <v>6.1120000000000001</v>
      </c>
      <c r="N175">
        <v>2.5179999999999998</v>
      </c>
      <c r="O175">
        <v>0.71299999999999997</v>
      </c>
      <c r="P175">
        <v>5.8000000000000003E-2</v>
      </c>
      <c r="Q175">
        <v>1.7999999999999999E-2</v>
      </c>
      <c r="R175">
        <v>3.6956000000000002</v>
      </c>
      <c r="S175">
        <v>3.6934</v>
      </c>
      <c r="T175">
        <v>0.43</v>
      </c>
      <c r="U175">
        <v>2.1379999999999999</v>
      </c>
    </row>
    <row r="176" spans="1:21" x14ac:dyDescent="0.25">
      <c r="A176" t="s">
        <v>507</v>
      </c>
      <c r="B176" t="s">
        <v>104</v>
      </c>
      <c r="C176">
        <v>35</v>
      </c>
      <c r="D176" t="s">
        <v>7</v>
      </c>
      <c r="E176">
        <v>14.058161991834501</v>
      </c>
      <c r="G176">
        <v>2.0988000000000002</v>
      </c>
      <c r="H176">
        <v>6.0880000000000001</v>
      </c>
      <c r="K176">
        <v>0.72894999999999999</v>
      </c>
      <c r="L176">
        <v>1.36985</v>
      </c>
      <c r="M176">
        <v>1.62</v>
      </c>
      <c r="N176">
        <v>2.1509999999999998</v>
      </c>
      <c r="O176">
        <v>0.43</v>
      </c>
      <c r="P176">
        <v>6.0000000000000001E-3</v>
      </c>
      <c r="Q176">
        <v>0</v>
      </c>
      <c r="R176">
        <v>0.84119999999999995</v>
      </c>
      <c r="S176">
        <v>1.2739</v>
      </c>
      <c r="T176">
        <v>0.26</v>
      </c>
      <c r="U176">
        <v>0.94099999999999995</v>
      </c>
    </row>
    <row r="177" spans="1:21" x14ac:dyDescent="0.25">
      <c r="A177" t="s">
        <v>1129</v>
      </c>
      <c r="B177" t="s">
        <v>101</v>
      </c>
      <c r="C177">
        <v>22</v>
      </c>
      <c r="D177" t="s">
        <v>29</v>
      </c>
      <c r="E177">
        <v>12.75</v>
      </c>
      <c r="G177">
        <v>1.8186500000000001</v>
      </c>
      <c r="H177">
        <v>5.52</v>
      </c>
      <c r="K177">
        <v>0.76939999999999997</v>
      </c>
      <c r="L177">
        <v>1.04925</v>
      </c>
      <c r="M177">
        <v>3.1030000000000002</v>
      </c>
      <c r="N177">
        <v>2.976</v>
      </c>
      <c r="O177">
        <v>0.24299999999999999</v>
      </c>
      <c r="P177">
        <v>3.2000000000000001E-2</v>
      </c>
      <c r="Q177">
        <v>8.9999999999999993E-3</v>
      </c>
      <c r="R177">
        <v>11.302899999999999</v>
      </c>
      <c r="S177">
        <v>17.263999999999999</v>
      </c>
      <c r="T177">
        <v>0</v>
      </c>
      <c r="U177">
        <v>0.375</v>
      </c>
    </row>
    <row r="178" spans="1:21" x14ac:dyDescent="0.25">
      <c r="A178" t="s">
        <v>1038</v>
      </c>
      <c r="B178" t="s">
        <v>103</v>
      </c>
      <c r="C178">
        <v>29</v>
      </c>
      <c r="D178" t="s">
        <v>20</v>
      </c>
      <c r="E178">
        <v>11.9153887214497</v>
      </c>
      <c r="G178">
        <v>1.54925</v>
      </c>
      <c r="H178">
        <v>4.9779999999999998</v>
      </c>
      <c r="K178">
        <v>0.62560000000000004</v>
      </c>
      <c r="L178">
        <v>0.92364999999999997</v>
      </c>
      <c r="M178">
        <v>3.177</v>
      </c>
      <c r="N178">
        <v>2.9140000000000001</v>
      </c>
      <c r="O178">
        <v>0.38</v>
      </c>
      <c r="P178">
        <v>1.4999999999999999E-2</v>
      </c>
      <c r="Q178">
        <v>4.0000000000000001E-3</v>
      </c>
      <c r="R178">
        <v>0.8327</v>
      </c>
      <c r="S178">
        <v>0.9627</v>
      </c>
      <c r="T178">
        <v>0</v>
      </c>
      <c r="U178">
        <v>0.60199999999999998</v>
      </c>
    </row>
    <row r="179" spans="1:21" x14ac:dyDescent="0.25">
      <c r="A179" t="s">
        <v>481</v>
      </c>
      <c r="B179" t="s">
        <v>104</v>
      </c>
      <c r="C179">
        <v>30</v>
      </c>
      <c r="D179" t="s">
        <v>8</v>
      </c>
      <c r="E179">
        <v>12.719783648010299</v>
      </c>
      <c r="G179">
        <v>1.9007499999999999</v>
      </c>
      <c r="H179">
        <v>8.0259999999999998</v>
      </c>
      <c r="K179">
        <v>0.87524999999999997</v>
      </c>
      <c r="L179">
        <v>1.0255000000000001</v>
      </c>
      <c r="M179">
        <v>2.508</v>
      </c>
      <c r="N179">
        <v>1.4650000000000001</v>
      </c>
      <c r="O179">
        <v>0.28499999999999998</v>
      </c>
      <c r="P179">
        <v>8.0000000000000002E-3</v>
      </c>
      <c r="Q179">
        <v>0</v>
      </c>
      <c r="R179">
        <v>0.6552</v>
      </c>
      <c r="S179">
        <v>1.2314000000000001</v>
      </c>
      <c r="T179">
        <v>0.42</v>
      </c>
      <c r="U179">
        <v>1.004</v>
      </c>
    </row>
    <row r="180" spans="1:21" x14ac:dyDescent="0.25">
      <c r="A180" t="s">
        <v>763</v>
      </c>
      <c r="B180" t="s">
        <v>74</v>
      </c>
      <c r="C180">
        <v>25</v>
      </c>
      <c r="D180" t="s">
        <v>5</v>
      </c>
      <c r="E180">
        <v>11.9418289569471</v>
      </c>
      <c r="G180">
        <v>1.137</v>
      </c>
      <c r="H180">
        <v>3.7490000000000001</v>
      </c>
      <c r="K180">
        <v>0.43525000000000003</v>
      </c>
      <c r="L180">
        <v>0.70174999999999998</v>
      </c>
      <c r="M180">
        <v>3.99</v>
      </c>
      <c r="N180">
        <v>2.4</v>
      </c>
      <c r="O180">
        <v>0.16</v>
      </c>
      <c r="P180">
        <v>8.0000000000000002E-3</v>
      </c>
      <c r="Q180">
        <v>0</v>
      </c>
      <c r="R180">
        <v>15.789099999999999</v>
      </c>
      <c r="S180">
        <v>17.776</v>
      </c>
      <c r="T180">
        <v>0.44</v>
      </c>
      <c r="U180">
        <v>1.2090000000000001</v>
      </c>
    </row>
    <row r="181" spans="1:21" x14ac:dyDescent="0.25">
      <c r="A181" t="s">
        <v>457</v>
      </c>
      <c r="B181" t="s">
        <v>101</v>
      </c>
      <c r="C181">
        <v>29</v>
      </c>
      <c r="D181" t="s">
        <v>28</v>
      </c>
      <c r="E181">
        <v>14.1095736004106</v>
      </c>
      <c r="G181">
        <v>2.0686499999999999</v>
      </c>
      <c r="H181">
        <v>4.9210000000000003</v>
      </c>
      <c r="K181">
        <v>0.79805000000000004</v>
      </c>
      <c r="L181">
        <v>1.2706</v>
      </c>
      <c r="M181">
        <v>8.1340000000000003</v>
      </c>
      <c r="N181">
        <v>2.1070000000000002</v>
      </c>
      <c r="O181">
        <v>0.76600000000000001</v>
      </c>
      <c r="P181">
        <v>8.6999999999999994E-2</v>
      </c>
      <c r="Q181">
        <v>0</v>
      </c>
      <c r="R181">
        <v>2.2471000000000001</v>
      </c>
      <c r="S181">
        <v>3.5032000000000001</v>
      </c>
      <c r="T181">
        <v>0.34</v>
      </c>
      <c r="U181">
        <v>1.125</v>
      </c>
    </row>
    <row r="182" spans="1:21" x14ac:dyDescent="0.25">
      <c r="A182" t="s">
        <v>1130</v>
      </c>
      <c r="B182" t="s">
        <v>103</v>
      </c>
      <c r="C182">
        <v>20</v>
      </c>
      <c r="D182" t="s">
        <v>29</v>
      </c>
      <c r="E182">
        <v>11.890792344586499</v>
      </c>
      <c r="G182">
        <v>1.5717000000000001</v>
      </c>
      <c r="H182">
        <v>7.274</v>
      </c>
      <c r="K182">
        <v>0.72870000000000001</v>
      </c>
      <c r="L182">
        <v>0.84299999999999997</v>
      </c>
      <c r="M182">
        <v>10.345000000000001</v>
      </c>
      <c r="N182">
        <v>1.8380000000000001</v>
      </c>
      <c r="O182">
        <v>0.58799999999999997</v>
      </c>
      <c r="P182">
        <v>4.8000000000000001E-2</v>
      </c>
      <c r="Q182">
        <v>1.4E-2</v>
      </c>
      <c r="R182">
        <v>2.9832000000000001</v>
      </c>
      <c r="S182">
        <v>3.3088000000000002</v>
      </c>
      <c r="T182">
        <v>0.52</v>
      </c>
      <c r="U182">
        <v>1.2470000000000001</v>
      </c>
    </row>
    <row r="183" spans="1:21" x14ac:dyDescent="0.25">
      <c r="A183" t="s">
        <v>1003</v>
      </c>
      <c r="B183" t="s">
        <v>101</v>
      </c>
      <c r="C183">
        <v>24</v>
      </c>
      <c r="D183" t="s">
        <v>34</v>
      </c>
      <c r="E183">
        <v>10.8009470639792</v>
      </c>
      <c r="G183">
        <v>1.4776499999999999</v>
      </c>
      <c r="H183">
        <v>7.6150000000000002</v>
      </c>
      <c r="K183">
        <v>0.52515000000000001</v>
      </c>
      <c r="L183">
        <v>0.95250000000000001</v>
      </c>
      <c r="M183">
        <v>1.9</v>
      </c>
      <c r="N183">
        <v>2.5680000000000001</v>
      </c>
      <c r="O183">
        <v>0.83799999999999997</v>
      </c>
      <c r="P183">
        <v>7.9000000000000001E-2</v>
      </c>
      <c r="Q183">
        <v>4.0000000000000001E-3</v>
      </c>
      <c r="R183">
        <v>20.242599999999999</v>
      </c>
      <c r="S183">
        <v>16.744900000000001</v>
      </c>
      <c r="T183">
        <v>0.49</v>
      </c>
      <c r="U183">
        <v>0.78100000000000003</v>
      </c>
    </row>
    <row r="184" spans="1:21" x14ac:dyDescent="0.25">
      <c r="A184" t="s">
        <v>291</v>
      </c>
      <c r="B184" t="s">
        <v>74</v>
      </c>
      <c r="C184">
        <v>28</v>
      </c>
      <c r="D184" t="s">
        <v>28</v>
      </c>
      <c r="E184">
        <v>14.797062490114101</v>
      </c>
      <c r="G184">
        <v>2.42395</v>
      </c>
      <c r="H184">
        <v>11.057</v>
      </c>
      <c r="K184">
        <v>1.2376</v>
      </c>
      <c r="L184">
        <v>1.18635</v>
      </c>
      <c r="M184">
        <v>2.0099999999999998</v>
      </c>
      <c r="N184">
        <v>3.2810000000000001</v>
      </c>
      <c r="O184">
        <v>0.309</v>
      </c>
      <c r="P184">
        <v>3.1E-2</v>
      </c>
      <c r="Q184">
        <v>2.1000000000000001E-2</v>
      </c>
      <c r="R184">
        <v>20.696300000000001</v>
      </c>
      <c r="S184">
        <v>24.304200000000002</v>
      </c>
      <c r="T184">
        <v>0</v>
      </c>
      <c r="U184">
        <v>0.36099999999999999</v>
      </c>
    </row>
    <row r="185" spans="1:21" x14ac:dyDescent="0.25">
      <c r="A185" t="s">
        <v>422</v>
      </c>
      <c r="B185" t="s">
        <v>101</v>
      </c>
      <c r="C185">
        <v>23</v>
      </c>
      <c r="D185" t="s">
        <v>27</v>
      </c>
      <c r="E185">
        <v>16.891062681768101</v>
      </c>
      <c r="G185">
        <v>2.6656499999999999</v>
      </c>
      <c r="H185">
        <v>11.409000000000001</v>
      </c>
      <c r="K185">
        <v>1.2647999999999999</v>
      </c>
      <c r="L185">
        <v>1.4008499999999999</v>
      </c>
      <c r="M185">
        <v>0.40300000000000002</v>
      </c>
      <c r="N185">
        <v>1.4379999999999999</v>
      </c>
      <c r="O185">
        <v>0.16600000000000001</v>
      </c>
      <c r="P185">
        <v>6.0000000000000001E-3</v>
      </c>
      <c r="Q185">
        <v>0</v>
      </c>
      <c r="R185">
        <v>6.1886000000000001</v>
      </c>
      <c r="S185">
        <v>11.368</v>
      </c>
      <c r="T185">
        <v>0.4</v>
      </c>
      <c r="U185">
        <v>0.79700000000000004</v>
      </c>
    </row>
    <row r="186" spans="1:21" x14ac:dyDescent="0.25">
      <c r="A186" t="s">
        <v>856</v>
      </c>
      <c r="B186" t="s">
        <v>74</v>
      </c>
      <c r="C186">
        <v>25</v>
      </c>
      <c r="D186" t="s">
        <v>13</v>
      </c>
      <c r="E186">
        <v>11.008873249721001</v>
      </c>
      <c r="G186">
        <v>1.7914000000000001</v>
      </c>
      <c r="H186">
        <v>4.4550000000000001</v>
      </c>
      <c r="K186">
        <v>0.67469999999999997</v>
      </c>
      <c r="L186">
        <v>1.1167</v>
      </c>
      <c r="M186">
        <v>15.04</v>
      </c>
      <c r="N186">
        <v>2.7879999999999998</v>
      </c>
      <c r="O186">
        <v>1.22</v>
      </c>
      <c r="P186">
        <v>0.252</v>
      </c>
      <c r="Q186">
        <v>2E-3</v>
      </c>
      <c r="R186">
        <v>20.646999999999998</v>
      </c>
      <c r="S186">
        <v>24.270700000000001</v>
      </c>
      <c r="T186">
        <v>0.6</v>
      </c>
      <c r="U186">
        <v>1.0660000000000001</v>
      </c>
    </row>
    <row r="187" spans="1:21" x14ac:dyDescent="0.25">
      <c r="A187" t="s">
        <v>853</v>
      </c>
      <c r="B187" t="s">
        <v>104</v>
      </c>
      <c r="C187">
        <v>23</v>
      </c>
      <c r="D187" t="s">
        <v>4</v>
      </c>
      <c r="E187">
        <v>12.5145649310848</v>
      </c>
      <c r="G187">
        <v>2.3149000000000002</v>
      </c>
      <c r="H187">
        <v>7.468</v>
      </c>
      <c r="K187">
        <v>1.1009500000000001</v>
      </c>
      <c r="L187">
        <v>1.2139500000000001</v>
      </c>
      <c r="M187">
        <v>4.0129999999999999</v>
      </c>
      <c r="N187">
        <v>1.827</v>
      </c>
      <c r="O187">
        <v>0.43</v>
      </c>
      <c r="P187">
        <v>4.9000000000000002E-2</v>
      </c>
      <c r="Q187">
        <v>3.0000000000000001E-3</v>
      </c>
      <c r="R187">
        <v>1.0640000000000001</v>
      </c>
      <c r="S187">
        <v>1.5462</v>
      </c>
      <c r="T187">
        <v>0.43</v>
      </c>
      <c r="U187">
        <v>1.905</v>
      </c>
    </row>
    <row r="188" spans="1:21" x14ac:dyDescent="0.25">
      <c r="A188" t="s">
        <v>644</v>
      </c>
      <c r="B188" t="s">
        <v>74</v>
      </c>
      <c r="C188">
        <v>28</v>
      </c>
      <c r="D188" t="s">
        <v>1131</v>
      </c>
      <c r="E188">
        <v>13.513767287558199</v>
      </c>
      <c r="G188">
        <v>1.9447000000000001</v>
      </c>
      <c r="H188">
        <v>6.9720000000000004</v>
      </c>
      <c r="K188">
        <v>0.6552</v>
      </c>
      <c r="L188">
        <v>1.2895000000000001</v>
      </c>
      <c r="M188">
        <v>2.0150000000000001</v>
      </c>
      <c r="N188">
        <v>1.9379999999999999</v>
      </c>
      <c r="O188">
        <v>0.40300000000000002</v>
      </c>
      <c r="P188">
        <v>7.0000000000000001E-3</v>
      </c>
      <c r="Q188">
        <v>0</v>
      </c>
      <c r="R188">
        <v>7.4618000000000002</v>
      </c>
      <c r="S188">
        <v>9.2756000000000007</v>
      </c>
      <c r="T188">
        <v>0.47</v>
      </c>
      <c r="U188">
        <v>1.625</v>
      </c>
    </row>
    <row r="189" spans="1:21" x14ac:dyDescent="0.25">
      <c r="A189" t="s">
        <v>969</v>
      </c>
      <c r="B189" t="s">
        <v>105</v>
      </c>
      <c r="C189">
        <v>25</v>
      </c>
      <c r="D189" t="s">
        <v>1132</v>
      </c>
      <c r="E189">
        <v>10.6177380074833</v>
      </c>
      <c r="G189">
        <v>0.85045000000000004</v>
      </c>
      <c r="H189">
        <v>5.9969999999999999</v>
      </c>
      <c r="K189">
        <v>0.35865000000000002</v>
      </c>
      <c r="L189">
        <v>0.49180000000000001</v>
      </c>
      <c r="M189">
        <v>7.3390000000000004</v>
      </c>
      <c r="N189">
        <v>2.4060000000000001</v>
      </c>
      <c r="O189">
        <v>0.81699999999999995</v>
      </c>
      <c r="P189">
        <v>1.4999999999999999E-2</v>
      </c>
      <c r="Q189">
        <v>3.0000000000000001E-3</v>
      </c>
      <c r="R189">
        <v>13.308400000000001</v>
      </c>
      <c r="S189">
        <v>19.4588</v>
      </c>
      <c r="T189">
        <v>0.34</v>
      </c>
      <c r="U189">
        <v>0.88200000000000001</v>
      </c>
    </row>
    <row r="190" spans="1:21" x14ac:dyDescent="0.25">
      <c r="A190" t="s">
        <v>1133</v>
      </c>
      <c r="B190" t="s">
        <v>102</v>
      </c>
      <c r="C190">
        <v>29</v>
      </c>
      <c r="D190" t="s">
        <v>18</v>
      </c>
      <c r="E190">
        <v>9.73439922696077</v>
      </c>
      <c r="G190">
        <v>1.1543000000000001</v>
      </c>
      <c r="H190">
        <v>3.9950000000000001</v>
      </c>
      <c r="K190">
        <v>0.43385000000000001</v>
      </c>
      <c r="L190">
        <v>0.72045000000000003</v>
      </c>
      <c r="M190">
        <v>4.0599999999999996</v>
      </c>
      <c r="N190">
        <v>2.2389999999999999</v>
      </c>
      <c r="O190">
        <v>0.70199999999999996</v>
      </c>
      <c r="P190">
        <v>0.14399999999999999</v>
      </c>
      <c r="Q190">
        <v>0.115</v>
      </c>
      <c r="R190">
        <v>7.6612999999999998</v>
      </c>
      <c r="S190">
        <v>8.9113000000000007</v>
      </c>
      <c r="T190">
        <v>0</v>
      </c>
      <c r="U190">
        <v>0.83</v>
      </c>
    </row>
    <row r="191" spans="1:21" x14ac:dyDescent="0.25">
      <c r="A191" t="s">
        <v>802</v>
      </c>
      <c r="B191" t="s">
        <v>101</v>
      </c>
      <c r="C191">
        <v>25</v>
      </c>
      <c r="D191" t="s">
        <v>995</v>
      </c>
      <c r="E191">
        <v>13.1312675021284</v>
      </c>
      <c r="G191">
        <v>1.7157</v>
      </c>
      <c r="H191">
        <v>5.8239999999999998</v>
      </c>
      <c r="K191">
        <v>0.50385000000000002</v>
      </c>
      <c r="L191">
        <v>1.2118500000000001</v>
      </c>
      <c r="M191">
        <v>3.49</v>
      </c>
      <c r="N191">
        <v>2.1880000000000002</v>
      </c>
      <c r="O191">
        <v>0.64400000000000002</v>
      </c>
      <c r="P191">
        <v>2.1999999999999999E-2</v>
      </c>
      <c r="Q191">
        <v>5.0000000000000001E-3</v>
      </c>
      <c r="R191">
        <v>2.4811000000000001</v>
      </c>
      <c r="S191">
        <v>2.6215000000000002</v>
      </c>
      <c r="T191">
        <v>0.4</v>
      </c>
      <c r="U191">
        <v>0.94</v>
      </c>
    </row>
    <row r="192" spans="1:21" x14ac:dyDescent="0.25">
      <c r="A192" t="s">
        <v>486</v>
      </c>
      <c r="B192" t="s">
        <v>102</v>
      </c>
      <c r="C192">
        <v>32</v>
      </c>
      <c r="D192" t="s">
        <v>87</v>
      </c>
      <c r="E192">
        <v>14.1653389258204</v>
      </c>
      <c r="G192">
        <v>1.6302000000000001</v>
      </c>
      <c r="H192">
        <v>6.7439999999999998</v>
      </c>
      <c r="K192">
        <v>0.61990000000000001</v>
      </c>
      <c r="L192">
        <v>1.0103</v>
      </c>
      <c r="M192">
        <v>2.7639999999999998</v>
      </c>
      <c r="N192">
        <v>1.776</v>
      </c>
      <c r="O192">
        <v>0.63900000000000001</v>
      </c>
      <c r="P192">
        <v>7.0000000000000001E-3</v>
      </c>
      <c r="Q192">
        <v>0</v>
      </c>
      <c r="R192">
        <v>2.1913</v>
      </c>
      <c r="S192">
        <v>2.4882</v>
      </c>
      <c r="T192">
        <v>0.39</v>
      </c>
      <c r="U192">
        <v>1.4</v>
      </c>
    </row>
    <row r="193" spans="1:21" x14ac:dyDescent="0.25">
      <c r="A193" t="s">
        <v>879</v>
      </c>
      <c r="B193" t="s">
        <v>104</v>
      </c>
      <c r="C193">
        <v>28</v>
      </c>
      <c r="D193" t="s">
        <v>12</v>
      </c>
      <c r="E193">
        <v>13.310039188711499</v>
      </c>
      <c r="G193">
        <v>2.0568499999999998</v>
      </c>
      <c r="H193">
        <v>8.6280000000000001</v>
      </c>
      <c r="K193">
        <v>1.10405</v>
      </c>
      <c r="L193">
        <v>0.95279999999999998</v>
      </c>
      <c r="M193">
        <v>4.5419999999999998</v>
      </c>
      <c r="N193">
        <v>2.052</v>
      </c>
      <c r="O193">
        <v>0.371</v>
      </c>
      <c r="P193">
        <v>7.0000000000000001E-3</v>
      </c>
      <c r="Q193">
        <v>0</v>
      </c>
      <c r="R193">
        <v>0.51980000000000004</v>
      </c>
      <c r="S193">
        <v>0.90539999999999998</v>
      </c>
      <c r="T193">
        <v>0</v>
      </c>
      <c r="U193">
        <v>0.53400000000000003</v>
      </c>
    </row>
    <row r="194" spans="1:21" x14ac:dyDescent="0.25">
      <c r="A194" t="s">
        <v>590</v>
      </c>
      <c r="B194" t="s">
        <v>105</v>
      </c>
      <c r="C194">
        <v>28</v>
      </c>
      <c r="D194" t="s">
        <v>6</v>
      </c>
      <c r="E194">
        <v>12.5586856352607</v>
      </c>
      <c r="G194">
        <v>1.5043500000000001</v>
      </c>
      <c r="H194">
        <v>4.7889999999999997</v>
      </c>
      <c r="K194">
        <v>0.36935000000000001</v>
      </c>
      <c r="L194">
        <v>1.135</v>
      </c>
      <c r="M194">
        <v>3.9489999999999998</v>
      </c>
      <c r="N194">
        <v>2.5720000000000001</v>
      </c>
      <c r="O194">
        <v>0.56100000000000005</v>
      </c>
      <c r="P194">
        <v>8.6999999999999994E-2</v>
      </c>
      <c r="Q194">
        <v>0</v>
      </c>
      <c r="R194">
        <v>24.772200000000002</v>
      </c>
      <c r="S194">
        <v>21.343399999999999</v>
      </c>
      <c r="T194">
        <v>0.41</v>
      </c>
      <c r="U194">
        <v>0.81200000000000006</v>
      </c>
    </row>
    <row r="195" spans="1:21" x14ac:dyDescent="0.25">
      <c r="A195" t="s">
        <v>255</v>
      </c>
      <c r="B195" t="s">
        <v>102</v>
      </c>
      <c r="C195">
        <v>30</v>
      </c>
      <c r="D195" t="s">
        <v>1134</v>
      </c>
      <c r="E195">
        <v>16.1252090405833</v>
      </c>
      <c r="G195">
        <v>2.7801499999999999</v>
      </c>
      <c r="H195">
        <v>9.1539999999999999</v>
      </c>
      <c r="K195">
        <v>1.3445499999999999</v>
      </c>
      <c r="L195">
        <v>1.4356</v>
      </c>
      <c r="M195">
        <v>2.5089999999999999</v>
      </c>
      <c r="N195">
        <v>1.901</v>
      </c>
      <c r="O195">
        <v>0.75900000000000001</v>
      </c>
      <c r="P195">
        <v>6.0000000000000001E-3</v>
      </c>
      <c r="Q195">
        <v>0</v>
      </c>
      <c r="R195">
        <v>0.505</v>
      </c>
      <c r="S195">
        <v>0.94499999999999995</v>
      </c>
      <c r="T195">
        <v>0.41</v>
      </c>
      <c r="U195">
        <v>1.087</v>
      </c>
    </row>
    <row r="196" spans="1:21" x14ac:dyDescent="0.25">
      <c r="A196" t="s">
        <v>823</v>
      </c>
      <c r="B196" t="s">
        <v>74</v>
      </c>
      <c r="C196">
        <v>25</v>
      </c>
      <c r="D196" t="s">
        <v>1027</v>
      </c>
      <c r="E196">
        <v>9.6637717603232804</v>
      </c>
      <c r="G196">
        <v>0.80100000000000005</v>
      </c>
      <c r="H196">
        <v>5.2469999999999999</v>
      </c>
      <c r="K196">
        <v>0.31440000000000001</v>
      </c>
      <c r="L196">
        <v>0.48659999999999998</v>
      </c>
      <c r="M196">
        <v>8.2710000000000008</v>
      </c>
      <c r="N196">
        <v>2.6139999999999999</v>
      </c>
      <c r="O196">
        <v>0.67900000000000005</v>
      </c>
      <c r="P196">
        <v>2.4E-2</v>
      </c>
      <c r="Q196">
        <v>5.0000000000000001E-3</v>
      </c>
      <c r="R196">
        <v>18.9877</v>
      </c>
      <c r="S196">
        <v>19.533300000000001</v>
      </c>
      <c r="T196">
        <v>0.52</v>
      </c>
      <c r="U196">
        <v>1.3009999999999999</v>
      </c>
    </row>
    <row r="197" spans="1:21" x14ac:dyDescent="0.25">
      <c r="A197" t="s">
        <v>1004</v>
      </c>
      <c r="B197" t="s">
        <v>102</v>
      </c>
      <c r="C197">
        <v>22</v>
      </c>
      <c r="D197" t="s">
        <v>14</v>
      </c>
      <c r="E197">
        <v>14</v>
      </c>
      <c r="G197">
        <v>1.3864000000000001</v>
      </c>
      <c r="H197">
        <v>6.3079999999999998</v>
      </c>
      <c r="K197">
        <v>0.85309999999999997</v>
      </c>
      <c r="L197">
        <v>0.5333</v>
      </c>
      <c r="M197">
        <v>7.1050000000000004</v>
      </c>
      <c r="N197">
        <v>2.5819999999999999</v>
      </c>
      <c r="O197">
        <v>0.56899999999999995</v>
      </c>
      <c r="P197">
        <v>0.16400000000000001</v>
      </c>
      <c r="Q197">
        <v>3.0000000000000001E-3</v>
      </c>
      <c r="R197">
        <v>1.0402</v>
      </c>
      <c r="S197">
        <v>1.4605999999999999</v>
      </c>
      <c r="T197">
        <v>0.47</v>
      </c>
      <c r="U197">
        <v>1.0620000000000001</v>
      </c>
    </row>
    <row r="198" spans="1:21" x14ac:dyDescent="0.25">
      <c r="A198" t="s">
        <v>1005</v>
      </c>
      <c r="B198" t="s">
        <v>102</v>
      </c>
      <c r="C198">
        <v>23</v>
      </c>
      <c r="D198" t="s">
        <v>22</v>
      </c>
      <c r="E198">
        <v>12.161217537429099</v>
      </c>
      <c r="G198">
        <v>1.5246500000000001</v>
      </c>
      <c r="H198">
        <v>7.2</v>
      </c>
      <c r="K198">
        <v>0.57599999999999996</v>
      </c>
      <c r="L198">
        <v>0.94864999999999999</v>
      </c>
      <c r="M198">
        <v>3.7610000000000001</v>
      </c>
      <c r="N198">
        <v>2.6659999999999999</v>
      </c>
      <c r="O198">
        <v>0.41199999999999998</v>
      </c>
      <c r="P198">
        <v>4.5999999999999999E-2</v>
      </c>
      <c r="Q198">
        <v>1.4E-2</v>
      </c>
      <c r="R198">
        <v>2.9548999999999999</v>
      </c>
      <c r="S198">
        <v>3.5543999999999998</v>
      </c>
      <c r="T198">
        <v>0</v>
      </c>
      <c r="U198">
        <v>0.49299999999999999</v>
      </c>
    </row>
    <row r="199" spans="1:21" x14ac:dyDescent="0.25">
      <c r="A199" t="s">
        <v>605</v>
      </c>
      <c r="B199" t="s">
        <v>103</v>
      </c>
      <c r="C199">
        <v>34</v>
      </c>
      <c r="D199" t="s">
        <v>5</v>
      </c>
      <c r="E199">
        <v>10.2409001040871</v>
      </c>
      <c r="G199">
        <v>1.23325</v>
      </c>
      <c r="H199">
        <v>6.9029999999999996</v>
      </c>
      <c r="K199">
        <v>0.39315</v>
      </c>
      <c r="L199">
        <v>0.84009999999999996</v>
      </c>
      <c r="M199">
        <v>0.94799999999999995</v>
      </c>
      <c r="N199">
        <v>2.6869999999999998</v>
      </c>
      <c r="O199">
        <v>0.95099999999999996</v>
      </c>
      <c r="P199">
        <v>7.0000000000000001E-3</v>
      </c>
      <c r="Q199">
        <v>0</v>
      </c>
      <c r="R199">
        <v>1.1755</v>
      </c>
      <c r="S199">
        <v>1.9336</v>
      </c>
      <c r="T199">
        <v>0.41</v>
      </c>
      <c r="U199">
        <v>0.78400000000000003</v>
      </c>
    </row>
    <row r="200" spans="1:21" x14ac:dyDescent="0.25">
      <c r="A200" t="s">
        <v>1039</v>
      </c>
      <c r="B200" t="s">
        <v>105</v>
      </c>
      <c r="C200">
        <v>24</v>
      </c>
      <c r="D200" t="s">
        <v>12</v>
      </c>
      <c r="E200">
        <v>9.7481135441925506</v>
      </c>
      <c r="G200">
        <v>1.3792500000000001</v>
      </c>
      <c r="H200">
        <v>4.5389999999999997</v>
      </c>
      <c r="K200">
        <v>0.58699999999999997</v>
      </c>
      <c r="L200">
        <v>0.79225000000000001</v>
      </c>
      <c r="M200">
        <v>14.081</v>
      </c>
      <c r="N200">
        <v>2.2999999999999998</v>
      </c>
      <c r="O200">
        <v>0.95399999999999996</v>
      </c>
      <c r="P200">
        <v>0.24299999999999999</v>
      </c>
      <c r="Q200">
        <v>5.0000000000000001E-3</v>
      </c>
      <c r="R200">
        <v>1.5022</v>
      </c>
      <c r="S200">
        <v>1.8246</v>
      </c>
      <c r="T200">
        <v>0</v>
      </c>
      <c r="U200">
        <v>0.377</v>
      </c>
    </row>
    <row r="201" spans="1:21" x14ac:dyDescent="0.25">
      <c r="A201" t="s">
        <v>485</v>
      </c>
      <c r="B201" t="s">
        <v>102</v>
      </c>
      <c r="C201">
        <v>28</v>
      </c>
      <c r="D201" t="s">
        <v>14</v>
      </c>
      <c r="E201">
        <v>10.902084736214301</v>
      </c>
      <c r="G201">
        <v>1.93635</v>
      </c>
      <c r="H201">
        <v>8.0139999999999993</v>
      </c>
      <c r="K201">
        <v>0.91659999999999997</v>
      </c>
      <c r="L201">
        <v>1.0197499999999999</v>
      </c>
      <c r="M201">
        <v>2.1930000000000001</v>
      </c>
      <c r="N201">
        <v>1.5660000000000001</v>
      </c>
      <c r="O201">
        <v>0.78400000000000003</v>
      </c>
      <c r="P201">
        <v>1.6E-2</v>
      </c>
      <c r="Q201">
        <v>3.0000000000000001E-3</v>
      </c>
      <c r="R201">
        <v>0.76980000000000004</v>
      </c>
      <c r="S201">
        <v>3.2934999999999999</v>
      </c>
      <c r="T201">
        <v>0.47</v>
      </c>
      <c r="U201">
        <v>1.0469999999999999</v>
      </c>
    </row>
    <row r="202" spans="1:21" x14ac:dyDescent="0.25">
      <c r="A202" t="s">
        <v>1135</v>
      </c>
      <c r="B202" t="s">
        <v>102</v>
      </c>
      <c r="C202">
        <v>25</v>
      </c>
      <c r="D202" t="s">
        <v>16</v>
      </c>
      <c r="E202">
        <v>9.2496258731974095</v>
      </c>
      <c r="G202">
        <v>1.2815000000000001</v>
      </c>
      <c r="H202">
        <v>4.8529999999999998</v>
      </c>
      <c r="K202">
        <v>0.60060000000000002</v>
      </c>
      <c r="L202">
        <v>0.68089999999999995</v>
      </c>
      <c r="M202">
        <v>3.504</v>
      </c>
      <c r="N202">
        <v>3.4319999999999999</v>
      </c>
      <c r="O202">
        <v>0.26100000000000001</v>
      </c>
      <c r="P202">
        <v>4.8000000000000001E-2</v>
      </c>
      <c r="Q202">
        <v>1.4E-2</v>
      </c>
      <c r="R202">
        <v>16.2807</v>
      </c>
      <c r="S202">
        <v>15.950799999999999</v>
      </c>
      <c r="T202">
        <v>0.44</v>
      </c>
      <c r="U202">
        <v>1.415</v>
      </c>
    </row>
    <row r="203" spans="1:21" x14ac:dyDescent="0.25">
      <c r="A203" t="s">
        <v>991</v>
      </c>
      <c r="B203" t="s">
        <v>104</v>
      </c>
      <c r="C203">
        <v>35</v>
      </c>
      <c r="D203" t="s">
        <v>12</v>
      </c>
      <c r="E203">
        <v>11.368234774851601</v>
      </c>
      <c r="G203">
        <v>1.82595</v>
      </c>
      <c r="H203">
        <v>7.5650000000000004</v>
      </c>
      <c r="K203">
        <v>0.64849999999999997</v>
      </c>
      <c r="L203">
        <v>1.1774500000000001</v>
      </c>
      <c r="M203">
        <v>2.06</v>
      </c>
      <c r="N203">
        <v>1.6990000000000001</v>
      </c>
      <c r="O203">
        <v>0.60899999999999999</v>
      </c>
      <c r="P203">
        <v>0.02</v>
      </c>
      <c r="Q203">
        <v>0</v>
      </c>
      <c r="R203">
        <v>0.7006</v>
      </c>
      <c r="S203">
        <v>0.72009999999999996</v>
      </c>
      <c r="T203">
        <v>0.49</v>
      </c>
      <c r="U203">
        <v>1.1990000000000001</v>
      </c>
    </row>
    <row r="204" spans="1:21" x14ac:dyDescent="0.25">
      <c r="A204" t="s">
        <v>313</v>
      </c>
      <c r="B204" t="s">
        <v>101</v>
      </c>
      <c r="C204">
        <v>35</v>
      </c>
      <c r="D204" t="s">
        <v>17</v>
      </c>
      <c r="E204">
        <v>11.9430137350323</v>
      </c>
      <c r="G204">
        <v>2.1884999999999999</v>
      </c>
      <c r="H204">
        <v>7.44</v>
      </c>
      <c r="K204">
        <v>0.85850000000000004</v>
      </c>
      <c r="L204">
        <v>1.33</v>
      </c>
      <c r="M204">
        <v>5.7370000000000001</v>
      </c>
      <c r="N204">
        <v>2.57</v>
      </c>
      <c r="O204">
        <v>0.85399999999999998</v>
      </c>
      <c r="P204">
        <v>0.13200000000000001</v>
      </c>
      <c r="Q204">
        <v>0.02</v>
      </c>
      <c r="R204">
        <v>19.8264</v>
      </c>
      <c r="S204">
        <v>12.4505</v>
      </c>
      <c r="T204">
        <v>0</v>
      </c>
      <c r="U204">
        <v>0.63700000000000001</v>
      </c>
    </row>
    <row r="205" spans="1:21" x14ac:dyDescent="0.25">
      <c r="A205" t="s">
        <v>819</v>
      </c>
      <c r="B205" t="s">
        <v>104</v>
      </c>
      <c r="C205">
        <v>27</v>
      </c>
      <c r="D205" t="s">
        <v>25</v>
      </c>
      <c r="E205">
        <v>8.4895974141892196</v>
      </c>
      <c r="G205">
        <v>1.1588000000000001</v>
      </c>
      <c r="H205">
        <v>5.5369999999999999</v>
      </c>
      <c r="K205">
        <v>0.43690000000000001</v>
      </c>
      <c r="L205">
        <v>0.72189999999999999</v>
      </c>
      <c r="M205">
        <v>7.9359999999999999</v>
      </c>
      <c r="N205">
        <v>2.3149999999999999</v>
      </c>
      <c r="O205">
        <v>0.996</v>
      </c>
      <c r="P205">
        <v>8.7999999999999995E-2</v>
      </c>
      <c r="Q205">
        <v>2E-3</v>
      </c>
      <c r="R205">
        <v>1.0181</v>
      </c>
      <c r="S205">
        <v>0.81259999999999999</v>
      </c>
      <c r="T205">
        <v>0</v>
      </c>
      <c r="U205">
        <v>0.55700000000000005</v>
      </c>
    </row>
    <row r="206" spans="1:21" x14ac:dyDescent="0.25">
      <c r="A206" t="s">
        <v>909</v>
      </c>
      <c r="B206" t="s">
        <v>101</v>
      </c>
      <c r="C206">
        <v>28</v>
      </c>
      <c r="D206" t="s">
        <v>87</v>
      </c>
      <c r="E206">
        <v>12.71013554222</v>
      </c>
      <c r="G206">
        <v>2.2302499999999998</v>
      </c>
      <c r="H206">
        <v>8.173</v>
      </c>
      <c r="K206">
        <v>1.1752</v>
      </c>
      <c r="L206">
        <v>1.05505</v>
      </c>
      <c r="M206">
        <v>2.5680000000000001</v>
      </c>
      <c r="N206">
        <v>1.482</v>
      </c>
      <c r="O206">
        <v>0.45200000000000001</v>
      </c>
      <c r="P206">
        <v>4.2999999999999997E-2</v>
      </c>
      <c r="Q206">
        <v>2.3E-2</v>
      </c>
      <c r="R206">
        <v>7.1357999999999997</v>
      </c>
      <c r="S206">
        <v>8.2607999999999997</v>
      </c>
      <c r="T206">
        <v>0.38</v>
      </c>
      <c r="U206">
        <v>1.02</v>
      </c>
    </row>
    <row r="207" spans="1:21" x14ac:dyDescent="0.25">
      <c r="A207" t="s">
        <v>724</v>
      </c>
      <c r="B207" t="s">
        <v>101</v>
      </c>
      <c r="C207">
        <v>25</v>
      </c>
      <c r="D207" t="s">
        <v>1136</v>
      </c>
      <c r="E207">
        <v>10.598425131435199</v>
      </c>
      <c r="G207">
        <v>1.15225</v>
      </c>
      <c r="H207">
        <v>5.8689999999999998</v>
      </c>
      <c r="K207">
        <v>0.42085</v>
      </c>
      <c r="L207">
        <v>0.73140000000000005</v>
      </c>
      <c r="M207">
        <v>8.4339999999999993</v>
      </c>
      <c r="N207">
        <v>3.0680000000000001</v>
      </c>
      <c r="O207">
        <v>0.39500000000000002</v>
      </c>
      <c r="P207">
        <v>0.02</v>
      </c>
      <c r="Q207">
        <v>5.0000000000000001E-3</v>
      </c>
      <c r="R207">
        <v>3.8576000000000001</v>
      </c>
      <c r="S207">
        <v>4.6554000000000002</v>
      </c>
      <c r="T207">
        <v>0</v>
      </c>
      <c r="U207">
        <v>0.54400000000000004</v>
      </c>
    </row>
    <row r="208" spans="1:21" x14ac:dyDescent="0.25">
      <c r="A208" t="s">
        <v>771</v>
      </c>
      <c r="B208" t="s">
        <v>101</v>
      </c>
      <c r="C208">
        <v>29</v>
      </c>
      <c r="D208" t="s">
        <v>21</v>
      </c>
      <c r="E208">
        <v>13.4569653214892</v>
      </c>
      <c r="G208">
        <v>1.3585</v>
      </c>
      <c r="H208">
        <v>5.4850000000000003</v>
      </c>
      <c r="K208">
        <v>0.66400000000000003</v>
      </c>
      <c r="L208">
        <v>0.69450000000000001</v>
      </c>
      <c r="M208">
        <v>6.665</v>
      </c>
      <c r="N208">
        <v>3.5110000000000001</v>
      </c>
      <c r="O208">
        <v>0.68500000000000005</v>
      </c>
      <c r="P208">
        <v>4.5999999999999999E-2</v>
      </c>
      <c r="Q208">
        <v>1.7000000000000001E-2</v>
      </c>
      <c r="R208">
        <v>22.627600000000001</v>
      </c>
      <c r="S208">
        <v>21.9175</v>
      </c>
      <c r="T208">
        <v>0.41</v>
      </c>
      <c r="U208">
        <v>1.2030000000000001</v>
      </c>
    </row>
    <row r="209" spans="1:21" x14ac:dyDescent="0.25">
      <c r="A209" t="s">
        <v>336</v>
      </c>
      <c r="B209" t="s">
        <v>102</v>
      </c>
      <c r="C209">
        <v>25</v>
      </c>
      <c r="D209" t="s">
        <v>17</v>
      </c>
      <c r="E209">
        <v>15.4060335888572</v>
      </c>
      <c r="G209">
        <v>2.6914500000000001</v>
      </c>
      <c r="H209">
        <v>8.8160000000000007</v>
      </c>
      <c r="K209">
        <v>1.15635</v>
      </c>
      <c r="L209">
        <v>1.5350999999999999</v>
      </c>
      <c r="M209">
        <v>2.9489999999999998</v>
      </c>
      <c r="N209">
        <v>1.3979999999999999</v>
      </c>
      <c r="O209">
        <v>0.42099999999999999</v>
      </c>
      <c r="P209">
        <v>6.0000000000000001E-3</v>
      </c>
      <c r="Q209">
        <v>0</v>
      </c>
      <c r="R209">
        <v>0.17460000000000001</v>
      </c>
      <c r="S209">
        <v>0.17929999999999999</v>
      </c>
      <c r="T209">
        <v>0.43</v>
      </c>
      <c r="U209">
        <v>0.65500000000000003</v>
      </c>
    </row>
    <row r="210" spans="1:21" x14ac:dyDescent="0.25">
      <c r="A210" t="s">
        <v>558</v>
      </c>
      <c r="B210" t="s">
        <v>102</v>
      </c>
      <c r="C210">
        <v>33</v>
      </c>
      <c r="D210" t="s">
        <v>1137</v>
      </c>
      <c r="E210">
        <v>12.4451145874941</v>
      </c>
      <c r="G210">
        <v>1.772</v>
      </c>
      <c r="H210">
        <v>8.968</v>
      </c>
      <c r="K210">
        <v>0.879</v>
      </c>
      <c r="L210">
        <v>0.89300000000000002</v>
      </c>
      <c r="M210">
        <v>6.5650000000000004</v>
      </c>
      <c r="N210">
        <v>1.7090000000000001</v>
      </c>
      <c r="O210">
        <v>0.79500000000000004</v>
      </c>
      <c r="P210">
        <v>0.13400000000000001</v>
      </c>
      <c r="Q210">
        <v>9.0999999999999998E-2</v>
      </c>
      <c r="R210">
        <v>0.98299999999999998</v>
      </c>
      <c r="S210">
        <v>1.4488000000000001</v>
      </c>
      <c r="T210" t="s">
        <v>1054</v>
      </c>
      <c r="U210">
        <v>0.439</v>
      </c>
    </row>
    <row r="211" spans="1:21" x14ac:dyDescent="0.25">
      <c r="A211" t="s">
        <v>911</v>
      </c>
      <c r="B211" t="s">
        <v>105</v>
      </c>
      <c r="C211">
        <v>34</v>
      </c>
      <c r="D211" t="s">
        <v>138</v>
      </c>
      <c r="E211">
        <v>9.6355050490750607</v>
      </c>
      <c r="G211">
        <v>1.12235</v>
      </c>
      <c r="H211">
        <v>4.5759999999999996</v>
      </c>
      <c r="K211">
        <v>0.31230000000000002</v>
      </c>
      <c r="L211">
        <v>0.81005000000000005</v>
      </c>
      <c r="M211">
        <v>5.907</v>
      </c>
      <c r="N211">
        <v>2.6859999999999999</v>
      </c>
      <c r="O211">
        <v>0.52500000000000002</v>
      </c>
      <c r="P211">
        <v>2.5000000000000001E-2</v>
      </c>
      <c r="Q211">
        <v>6.0000000000000001E-3</v>
      </c>
      <c r="R211">
        <v>15.0235</v>
      </c>
      <c r="S211">
        <v>14.108000000000001</v>
      </c>
      <c r="T211">
        <v>0.42</v>
      </c>
      <c r="U211">
        <v>1.03</v>
      </c>
    </row>
    <row r="212" spans="1:21" x14ac:dyDescent="0.25">
      <c r="A212" t="s">
        <v>496</v>
      </c>
      <c r="B212" t="s">
        <v>74</v>
      </c>
      <c r="C212">
        <v>32</v>
      </c>
      <c r="D212" t="s">
        <v>20</v>
      </c>
      <c r="E212">
        <v>12.6156653105947</v>
      </c>
      <c r="G212">
        <v>1.55545</v>
      </c>
      <c r="H212">
        <v>4.8899999999999997</v>
      </c>
      <c r="K212">
        <v>0.51295000000000002</v>
      </c>
      <c r="L212">
        <v>1.0425</v>
      </c>
      <c r="M212">
        <v>9.7040000000000006</v>
      </c>
      <c r="N212">
        <v>3.42</v>
      </c>
      <c r="O212">
        <v>0.38300000000000001</v>
      </c>
      <c r="P212">
        <v>5.6000000000000001E-2</v>
      </c>
      <c r="Q212">
        <v>0</v>
      </c>
      <c r="R212">
        <v>30.977</v>
      </c>
      <c r="S212">
        <v>23.8062</v>
      </c>
      <c r="T212">
        <v>0.47</v>
      </c>
      <c r="U212">
        <v>0.752</v>
      </c>
    </row>
    <row r="213" spans="1:21" x14ac:dyDescent="0.25">
      <c r="A213" t="s">
        <v>491</v>
      </c>
      <c r="B213" t="s">
        <v>74</v>
      </c>
      <c r="C213">
        <v>40</v>
      </c>
      <c r="D213" t="s">
        <v>25</v>
      </c>
      <c r="E213">
        <v>9.9819303413156906</v>
      </c>
      <c r="G213">
        <v>1.3245</v>
      </c>
      <c r="H213">
        <v>6.5789999999999997</v>
      </c>
      <c r="K213">
        <v>0.57979999999999998</v>
      </c>
      <c r="L213">
        <v>0.74470000000000003</v>
      </c>
      <c r="M213">
        <v>5.4660000000000002</v>
      </c>
      <c r="N213">
        <v>2.5579999999999998</v>
      </c>
      <c r="O213">
        <v>0.69299999999999995</v>
      </c>
      <c r="P213">
        <v>7.0000000000000001E-3</v>
      </c>
      <c r="Q213">
        <v>0</v>
      </c>
      <c r="R213">
        <v>18.311399999999999</v>
      </c>
      <c r="S213">
        <v>10.897399999999999</v>
      </c>
      <c r="T213">
        <v>0.43</v>
      </c>
      <c r="U213">
        <v>1.1399999999999999</v>
      </c>
    </row>
    <row r="214" spans="1:21" x14ac:dyDescent="0.25">
      <c r="A214" t="s">
        <v>518</v>
      </c>
      <c r="B214" t="s">
        <v>102</v>
      </c>
      <c r="C214">
        <v>32</v>
      </c>
      <c r="D214" t="s">
        <v>4</v>
      </c>
      <c r="E214">
        <v>13.457906080879299</v>
      </c>
      <c r="G214">
        <v>2.4152</v>
      </c>
      <c r="H214">
        <v>9.7729999999999997</v>
      </c>
      <c r="K214">
        <v>1.1775500000000001</v>
      </c>
      <c r="L214">
        <v>1.2376499999999999</v>
      </c>
      <c r="M214">
        <v>1.1519999999999999</v>
      </c>
      <c r="N214">
        <v>1</v>
      </c>
      <c r="O214">
        <v>0.65500000000000003</v>
      </c>
      <c r="P214">
        <v>2.9000000000000001E-2</v>
      </c>
      <c r="Q214">
        <v>0.04</v>
      </c>
      <c r="R214">
        <v>3.1772999999999998</v>
      </c>
      <c r="S214">
        <v>4.3708</v>
      </c>
      <c r="T214">
        <v>0.51</v>
      </c>
      <c r="U214">
        <v>1.014</v>
      </c>
    </row>
    <row r="215" spans="1:21" x14ac:dyDescent="0.25">
      <c r="A215" t="s">
        <v>783</v>
      </c>
      <c r="B215" t="s">
        <v>105</v>
      </c>
      <c r="C215">
        <v>26</v>
      </c>
      <c r="D215" t="s">
        <v>12</v>
      </c>
      <c r="E215">
        <v>11.0328015586199</v>
      </c>
      <c r="G215">
        <v>1.7211000000000001</v>
      </c>
      <c r="H215">
        <v>5.6790000000000003</v>
      </c>
      <c r="K215">
        <v>0.70669999999999999</v>
      </c>
      <c r="L215">
        <v>1.0144</v>
      </c>
      <c r="M215">
        <v>6.6470000000000002</v>
      </c>
      <c r="N215">
        <v>1.7749999999999999</v>
      </c>
      <c r="O215">
        <v>0.34899999999999998</v>
      </c>
      <c r="P215">
        <v>8.0000000000000002E-3</v>
      </c>
      <c r="Q215">
        <v>1E-3</v>
      </c>
      <c r="R215">
        <v>6.5766</v>
      </c>
      <c r="S215">
        <v>12.215</v>
      </c>
      <c r="T215">
        <v>0.38</v>
      </c>
      <c r="U215">
        <v>1.141</v>
      </c>
    </row>
    <row r="216" spans="1:21" x14ac:dyDescent="0.25">
      <c r="A216" t="s">
        <v>419</v>
      </c>
      <c r="B216" t="s">
        <v>103</v>
      </c>
      <c r="C216">
        <v>26</v>
      </c>
      <c r="D216" t="s">
        <v>27</v>
      </c>
      <c r="E216">
        <v>14.8011645471347</v>
      </c>
      <c r="G216">
        <v>2.6789499999999999</v>
      </c>
      <c r="H216">
        <v>9.2249999999999996</v>
      </c>
      <c r="K216">
        <v>1.0710500000000001</v>
      </c>
      <c r="L216">
        <v>1.6079000000000001</v>
      </c>
      <c r="M216">
        <v>1.8109999999999999</v>
      </c>
      <c r="N216">
        <v>1.5449999999999999</v>
      </c>
      <c r="O216">
        <v>0.218</v>
      </c>
      <c r="P216">
        <v>6.0000000000000001E-3</v>
      </c>
      <c r="Q216">
        <v>0</v>
      </c>
      <c r="R216">
        <v>0.4703</v>
      </c>
      <c r="S216">
        <v>0.60750000000000004</v>
      </c>
      <c r="T216">
        <v>0</v>
      </c>
      <c r="U216">
        <v>0.47099999999999997</v>
      </c>
    </row>
    <row r="217" spans="1:21" x14ac:dyDescent="0.25">
      <c r="A217" t="s">
        <v>631</v>
      </c>
      <c r="B217" t="s">
        <v>103</v>
      </c>
      <c r="C217">
        <v>33</v>
      </c>
      <c r="D217" t="s">
        <v>34</v>
      </c>
      <c r="E217">
        <v>11.6890777884991</v>
      </c>
      <c r="G217">
        <v>1.5278</v>
      </c>
      <c r="H217">
        <v>4.6840000000000002</v>
      </c>
      <c r="K217">
        <v>0.57689999999999997</v>
      </c>
      <c r="L217">
        <v>0.95089999999999997</v>
      </c>
      <c r="M217">
        <v>5.0949999999999998</v>
      </c>
      <c r="N217">
        <v>1.65</v>
      </c>
      <c r="O217">
        <v>0.39</v>
      </c>
      <c r="P217">
        <v>6.0000000000000001E-3</v>
      </c>
      <c r="Q217">
        <v>0</v>
      </c>
      <c r="R217">
        <v>0.71319999999999995</v>
      </c>
      <c r="S217">
        <v>0.8145</v>
      </c>
      <c r="T217">
        <v>0.52</v>
      </c>
      <c r="U217">
        <v>0.77300000000000002</v>
      </c>
    </row>
    <row r="218" spans="1:21" x14ac:dyDescent="0.25">
      <c r="A218" t="s">
        <v>647</v>
      </c>
      <c r="B218" t="s">
        <v>101</v>
      </c>
      <c r="C218">
        <v>24</v>
      </c>
      <c r="D218" t="s">
        <v>34</v>
      </c>
      <c r="E218">
        <v>11.7257701006776</v>
      </c>
      <c r="G218">
        <v>1.8089999999999999</v>
      </c>
      <c r="H218">
        <v>6.673</v>
      </c>
      <c r="K218">
        <v>0.8226</v>
      </c>
      <c r="L218">
        <v>0.98640000000000005</v>
      </c>
      <c r="M218">
        <v>3.8340000000000001</v>
      </c>
      <c r="N218">
        <v>1.823</v>
      </c>
      <c r="O218">
        <v>1.06</v>
      </c>
      <c r="P218">
        <v>2.7E-2</v>
      </c>
      <c r="Q218">
        <v>3.2000000000000001E-2</v>
      </c>
      <c r="R218">
        <v>18.590800000000002</v>
      </c>
      <c r="S218">
        <v>17.544599999999999</v>
      </c>
      <c r="T218">
        <v>0</v>
      </c>
      <c r="U218">
        <v>0.28999999999999998</v>
      </c>
    </row>
    <row r="219" spans="1:21" x14ac:dyDescent="0.25">
      <c r="A219" t="s">
        <v>465</v>
      </c>
      <c r="B219" t="s">
        <v>103</v>
      </c>
      <c r="C219">
        <v>26</v>
      </c>
      <c r="D219" t="s">
        <v>25</v>
      </c>
      <c r="E219">
        <v>9.8856258847627796</v>
      </c>
      <c r="G219">
        <v>1.3001</v>
      </c>
      <c r="H219">
        <v>8.2739999999999991</v>
      </c>
      <c r="K219">
        <v>0.67764999999999997</v>
      </c>
      <c r="L219">
        <v>0.62244999999999995</v>
      </c>
      <c r="M219">
        <v>10.058999999999999</v>
      </c>
      <c r="N219">
        <v>1.776</v>
      </c>
      <c r="O219">
        <v>0.73299999999999998</v>
      </c>
      <c r="P219">
        <v>6.5000000000000002E-2</v>
      </c>
      <c r="Q219">
        <v>0</v>
      </c>
      <c r="R219">
        <v>0.52910000000000001</v>
      </c>
      <c r="S219">
        <v>1.4314</v>
      </c>
      <c r="T219">
        <v>0</v>
      </c>
      <c r="U219">
        <v>0.46200000000000002</v>
      </c>
    </row>
    <row r="220" spans="1:21" x14ac:dyDescent="0.25">
      <c r="A220" t="s">
        <v>1006</v>
      </c>
      <c r="B220" t="s">
        <v>103</v>
      </c>
      <c r="C220">
        <v>25</v>
      </c>
      <c r="D220" t="s">
        <v>6</v>
      </c>
      <c r="E220">
        <v>12.2211144216222</v>
      </c>
      <c r="G220">
        <v>1.5943000000000001</v>
      </c>
      <c r="H220">
        <v>5.1609999999999996</v>
      </c>
      <c r="K220">
        <v>0.60340000000000005</v>
      </c>
      <c r="L220">
        <v>0.9909</v>
      </c>
      <c r="M220">
        <v>2.4820000000000002</v>
      </c>
      <c r="N220">
        <v>3.2370000000000001</v>
      </c>
      <c r="O220">
        <v>0.20799999999999999</v>
      </c>
      <c r="P220">
        <v>3.5000000000000003E-2</v>
      </c>
      <c r="Q220">
        <v>1.0999999999999999E-2</v>
      </c>
      <c r="R220">
        <v>2.2237</v>
      </c>
      <c r="S220">
        <v>2.2242999999999999</v>
      </c>
      <c r="T220">
        <v>0.38</v>
      </c>
      <c r="U220">
        <v>0.625</v>
      </c>
    </row>
    <row r="221" spans="1:21" x14ac:dyDescent="0.25">
      <c r="A221" t="s">
        <v>749</v>
      </c>
      <c r="B221" t="s">
        <v>104</v>
      </c>
      <c r="C221">
        <v>31</v>
      </c>
      <c r="D221" t="s">
        <v>10</v>
      </c>
      <c r="E221">
        <v>11.2405496082265</v>
      </c>
      <c r="G221">
        <v>1.4539500000000001</v>
      </c>
      <c r="H221">
        <v>6.7809999999999997</v>
      </c>
      <c r="K221">
        <v>0.72014999999999996</v>
      </c>
      <c r="L221">
        <v>0.73380000000000001</v>
      </c>
      <c r="M221">
        <v>5.0030000000000001</v>
      </c>
      <c r="N221">
        <v>1.968</v>
      </c>
      <c r="O221">
        <v>0.33200000000000002</v>
      </c>
      <c r="P221">
        <v>0.107</v>
      </c>
      <c r="Q221">
        <v>0</v>
      </c>
      <c r="R221">
        <v>0.75149999999999995</v>
      </c>
      <c r="S221">
        <v>1.2435</v>
      </c>
      <c r="T221">
        <v>0.41</v>
      </c>
      <c r="U221">
        <v>0.84399999999999997</v>
      </c>
    </row>
    <row r="222" spans="1:21" x14ac:dyDescent="0.25">
      <c r="A222" t="s">
        <v>1138</v>
      </c>
      <c r="B222" t="s">
        <v>102</v>
      </c>
      <c r="C222">
        <v>28</v>
      </c>
      <c r="D222" t="s">
        <v>15</v>
      </c>
      <c r="E222">
        <v>9.9761329724710208</v>
      </c>
      <c r="G222">
        <v>1.2599499999999999</v>
      </c>
      <c r="H222">
        <v>3.7189999999999999</v>
      </c>
      <c r="K222">
        <v>0.52739999999999998</v>
      </c>
      <c r="L222">
        <v>0.73255000000000003</v>
      </c>
      <c r="M222">
        <v>8.6029999999999998</v>
      </c>
      <c r="N222">
        <v>3.1059999999999999</v>
      </c>
      <c r="O222">
        <v>0.53300000000000003</v>
      </c>
      <c r="P222">
        <v>5.6000000000000001E-2</v>
      </c>
      <c r="Q222">
        <v>1.7000000000000001E-2</v>
      </c>
      <c r="R222">
        <v>5.6334</v>
      </c>
      <c r="S222">
        <v>6.8726000000000003</v>
      </c>
      <c r="T222" t="s">
        <v>1054</v>
      </c>
      <c r="U222">
        <v>0.39200000000000002</v>
      </c>
    </row>
    <row r="223" spans="1:21" x14ac:dyDescent="0.25">
      <c r="A223" t="s">
        <v>1007</v>
      </c>
      <c r="B223" t="s">
        <v>104</v>
      </c>
      <c r="C223">
        <v>23</v>
      </c>
      <c r="D223" t="s">
        <v>4</v>
      </c>
      <c r="E223">
        <v>14.042381713089201</v>
      </c>
      <c r="G223">
        <v>1.96085</v>
      </c>
      <c r="H223">
        <v>8.8309999999999995</v>
      </c>
      <c r="K223">
        <v>0.97209999999999996</v>
      </c>
      <c r="L223">
        <v>0.98875000000000002</v>
      </c>
      <c r="M223">
        <v>1.363</v>
      </c>
      <c r="N223">
        <v>0.99299999999999999</v>
      </c>
      <c r="O223">
        <v>0.57699999999999996</v>
      </c>
      <c r="P223">
        <v>8.9999999999999993E-3</v>
      </c>
      <c r="Q223">
        <v>2.5000000000000001E-2</v>
      </c>
      <c r="R223">
        <v>0.57740000000000002</v>
      </c>
      <c r="S223">
        <v>0.89970000000000006</v>
      </c>
      <c r="T223">
        <v>0</v>
      </c>
      <c r="U223">
        <v>0.20599999999999999</v>
      </c>
    </row>
    <row r="224" spans="1:21" x14ac:dyDescent="0.25">
      <c r="A224" t="s">
        <v>288</v>
      </c>
      <c r="B224" t="s">
        <v>105</v>
      </c>
      <c r="C224">
        <v>40</v>
      </c>
      <c r="D224" t="s">
        <v>17</v>
      </c>
      <c r="E224">
        <v>14.128731366175</v>
      </c>
      <c r="G224">
        <v>2.3091499999999998</v>
      </c>
      <c r="H224">
        <v>6.867</v>
      </c>
      <c r="K224">
        <v>0.77934999999999999</v>
      </c>
      <c r="L224">
        <v>1.5298</v>
      </c>
      <c r="M224">
        <v>3.6659999999999999</v>
      </c>
      <c r="N224">
        <v>3.4510000000000001</v>
      </c>
      <c r="O224">
        <v>0.30199999999999999</v>
      </c>
      <c r="P224">
        <v>6.0000000000000001E-3</v>
      </c>
      <c r="Q224">
        <v>0</v>
      </c>
      <c r="R224">
        <v>15.650399999999999</v>
      </c>
      <c r="S224">
        <v>14.969799999999999</v>
      </c>
      <c r="T224">
        <v>0</v>
      </c>
      <c r="U224">
        <v>0.442</v>
      </c>
    </row>
    <row r="225" spans="1:21" x14ac:dyDescent="0.25">
      <c r="A225" t="s">
        <v>751</v>
      </c>
      <c r="B225" t="s">
        <v>101</v>
      </c>
      <c r="C225">
        <v>25</v>
      </c>
      <c r="D225" t="s">
        <v>2</v>
      </c>
      <c r="E225">
        <v>12.177624740192799</v>
      </c>
      <c r="G225">
        <v>1.1826000000000001</v>
      </c>
      <c r="H225">
        <v>4.5209999999999999</v>
      </c>
      <c r="K225">
        <v>0.50795000000000001</v>
      </c>
      <c r="L225">
        <v>0.67464999999999997</v>
      </c>
      <c r="M225">
        <v>6.3010000000000002</v>
      </c>
      <c r="N225">
        <v>2.1680000000000001</v>
      </c>
      <c r="O225">
        <v>0.71199999999999997</v>
      </c>
      <c r="P225">
        <v>2.9000000000000001E-2</v>
      </c>
      <c r="Q225">
        <v>0</v>
      </c>
      <c r="R225">
        <v>15.7315</v>
      </c>
      <c r="S225">
        <v>17.2257</v>
      </c>
      <c r="T225" t="s">
        <v>1054</v>
      </c>
      <c r="U225">
        <v>0.59599999999999997</v>
      </c>
    </row>
    <row r="226" spans="1:21" x14ac:dyDescent="0.25">
      <c r="A226" t="s">
        <v>715</v>
      </c>
      <c r="B226" t="s">
        <v>104</v>
      </c>
      <c r="C226">
        <v>31</v>
      </c>
      <c r="D226" t="s">
        <v>6</v>
      </c>
      <c r="E226">
        <v>12.1960345105075</v>
      </c>
      <c r="G226">
        <v>1.3920999999999999</v>
      </c>
      <c r="H226">
        <v>8.11</v>
      </c>
      <c r="K226">
        <v>0.78354999999999997</v>
      </c>
      <c r="L226">
        <v>0.60855000000000004</v>
      </c>
      <c r="M226">
        <v>3.8439999999999999</v>
      </c>
      <c r="N226">
        <v>2.4129999999999998</v>
      </c>
      <c r="O226">
        <v>0.96799999999999997</v>
      </c>
      <c r="P226">
        <v>8.0000000000000002E-3</v>
      </c>
      <c r="Q226">
        <v>0</v>
      </c>
      <c r="R226">
        <v>0.63790000000000002</v>
      </c>
      <c r="S226">
        <v>0.76590000000000003</v>
      </c>
      <c r="T226">
        <v>0.48</v>
      </c>
      <c r="U226">
        <v>1.887</v>
      </c>
    </row>
    <row r="227" spans="1:21" x14ac:dyDescent="0.25">
      <c r="A227" t="s">
        <v>389</v>
      </c>
      <c r="B227" t="s">
        <v>74</v>
      </c>
      <c r="C227">
        <v>28</v>
      </c>
      <c r="D227" t="s">
        <v>18</v>
      </c>
      <c r="E227">
        <v>14.0084893205042</v>
      </c>
      <c r="G227">
        <v>1.9273499999999999</v>
      </c>
      <c r="H227">
        <v>9.2390000000000008</v>
      </c>
      <c r="K227">
        <v>0.79010000000000002</v>
      </c>
      <c r="L227">
        <v>1.1372500000000001</v>
      </c>
      <c r="M227">
        <v>6.95</v>
      </c>
      <c r="N227">
        <v>2.0640000000000001</v>
      </c>
      <c r="O227">
        <v>0.82599999999999996</v>
      </c>
      <c r="P227">
        <v>6.0000000000000001E-3</v>
      </c>
      <c r="Q227">
        <v>0</v>
      </c>
      <c r="R227">
        <v>27.0352</v>
      </c>
      <c r="S227">
        <v>29.537099999999999</v>
      </c>
      <c r="T227">
        <v>0.43</v>
      </c>
      <c r="U227">
        <v>1.1200000000000001</v>
      </c>
    </row>
    <row r="228" spans="1:21" x14ac:dyDescent="0.25">
      <c r="A228" t="s">
        <v>429</v>
      </c>
      <c r="B228" t="s">
        <v>101</v>
      </c>
      <c r="C228">
        <v>24</v>
      </c>
      <c r="D228" t="s">
        <v>32</v>
      </c>
      <c r="E228">
        <v>13.7969257081827</v>
      </c>
      <c r="G228">
        <v>2.0539999999999998</v>
      </c>
      <c r="H228">
        <v>7.1710000000000003</v>
      </c>
      <c r="K228">
        <v>0.91225000000000001</v>
      </c>
      <c r="L228">
        <v>1.14175</v>
      </c>
      <c r="M228">
        <v>3.335</v>
      </c>
      <c r="N228">
        <v>2.468</v>
      </c>
      <c r="O228">
        <v>0.62</v>
      </c>
      <c r="P228">
        <v>0.125</v>
      </c>
      <c r="Q228">
        <v>4.2999999999999997E-2</v>
      </c>
      <c r="R228">
        <v>1.3374999999999999</v>
      </c>
      <c r="S228">
        <v>2.7631000000000001</v>
      </c>
      <c r="T228">
        <v>0</v>
      </c>
      <c r="U228">
        <v>0.30499999999999999</v>
      </c>
    </row>
    <row r="229" spans="1:21" x14ac:dyDescent="0.25">
      <c r="A229" t="s">
        <v>780</v>
      </c>
      <c r="B229" t="s">
        <v>104</v>
      </c>
      <c r="C229">
        <v>28</v>
      </c>
      <c r="D229" t="s">
        <v>11</v>
      </c>
      <c r="E229">
        <v>8.9763555233253491</v>
      </c>
      <c r="G229">
        <v>0.98855000000000004</v>
      </c>
      <c r="H229">
        <v>5.4560000000000004</v>
      </c>
      <c r="K229">
        <v>0.41620000000000001</v>
      </c>
      <c r="L229">
        <v>0.57235000000000003</v>
      </c>
      <c r="M229">
        <v>8.4760000000000009</v>
      </c>
      <c r="N229">
        <v>2.8159999999999998</v>
      </c>
      <c r="O229">
        <v>0.85</v>
      </c>
      <c r="P229">
        <v>8.9999999999999993E-3</v>
      </c>
      <c r="Q229">
        <v>1E-3</v>
      </c>
      <c r="R229">
        <v>0.5595</v>
      </c>
      <c r="S229">
        <v>0.78520000000000001</v>
      </c>
      <c r="T229">
        <v>0.42</v>
      </c>
      <c r="U229">
        <v>1.3740000000000001</v>
      </c>
    </row>
    <row r="230" spans="1:21" x14ac:dyDescent="0.25">
      <c r="A230" t="s">
        <v>942</v>
      </c>
      <c r="B230" t="s">
        <v>103</v>
      </c>
      <c r="C230">
        <v>26</v>
      </c>
      <c r="D230" t="s">
        <v>21</v>
      </c>
      <c r="E230">
        <v>12.2001135022436</v>
      </c>
      <c r="G230">
        <v>1.4019999999999999</v>
      </c>
      <c r="H230">
        <v>5.1680000000000001</v>
      </c>
      <c r="K230">
        <v>0.57720000000000005</v>
      </c>
      <c r="L230">
        <v>0.82479999999999998</v>
      </c>
      <c r="M230">
        <v>3.9620000000000002</v>
      </c>
      <c r="N230">
        <v>1.8440000000000001</v>
      </c>
      <c r="O230">
        <v>0.22800000000000001</v>
      </c>
      <c r="P230">
        <v>1.6E-2</v>
      </c>
      <c r="Q230">
        <v>4.0000000000000001E-3</v>
      </c>
      <c r="R230">
        <v>0.73680000000000001</v>
      </c>
      <c r="S230">
        <v>0.89229999999999998</v>
      </c>
      <c r="T230">
        <v>0</v>
      </c>
      <c r="U230">
        <v>0.68899999999999995</v>
      </c>
    </row>
    <row r="231" spans="1:21" x14ac:dyDescent="0.25">
      <c r="A231" t="s">
        <v>1139</v>
      </c>
      <c r="B231" t="s">
        <v>74</v>
      </c>
      <c r="C231">
        <v>23</v>
      </c>
      <c r="D231" t="s">
        <v>12</v>
      </c>
      <c r="E231">
        <v>9.6006100119897599</v>
      </c>
      <c r="G231">
        <v>1.3252999999999999</v>
      </c>
      <c r="H231">
        <v>4.6680000000000001</v>
      </c>
      <c r="K231">
        <v>0.747</v>
      </c>
      <c r="L231">
        <v>0.57830000000000004</v>
      </c>
      <c r="M231">
        <v>9.7629999999999999</v>
      </c>
      <c r="N231">
        <v>2.7690000000000001</v>
      </c>
      <c r="O231">
        <v>0.77900000000000003</v>
      </c>
      <c r="P231">
        <v>0.20899999999999999</v>
      </c>
      <c r="Q231">
        <v>0.01</v>
      </c>
      <c r="R231">
        <v>24.920400000000001</v>
      </c>
      <c r="S231">
        <v>19.9194</v>
      </c>
      <c r="T231">
        <v>0</v>
      </c>
      <c r="U231">
        <v>0.58199999999999996</v>
      </c>
    </row>
    <row r="232" spans="1:21" x14ac:dyDescent="0.25">
      <c r="A232" t="s">
        <v>306</v>
      </c>
      <c r="B232" t="s">
        <v>101</v>
      </c>
      <c r="C232">
        <v>34</v>
      </c>
      <c r="D232" t="s">
        <v>30</v>
      </c>
      <c r="E232">
        <v>14.652910871798801</v>
      </c>
      <c r="G232">
        <v>2.2139000000000002</v>
      </c>
      <c r="H232">
        <v>9.08</v>
      </c>
      <c r="K232">
        <v>0.98794999999999999</v>
      </c>
      <c r="L232">
        <v>1.2259500000000001</v>
      </c>
      <c r="M232">
        <v>5.6840000000000002</v>
      </c>
      <c r="N232">
        <v>2.0960000000000001</v>
      </c>
      <c r="O232">
        <v>0.70499999999999996</v>
      </c>
      <c r="P232">
        <v>6.0000000000000001E-3</v>
      </c>
      <c r="Q232">
        <v>0</v>
      </c>
      <c r="R232">
        <v>31.319099999999999</v>
      </c>
      <c r="S232">
        <v>21.9893</v>
      </c>
      <c r="T232">
        <v>0</v>
      </c>
      <c r="U232">
        <v>0.59</v>
      </c>
    </row>
    <row r="233" spans="1:21" x14ac:dyDescent="0.25">
      <c r="A233" t="s">
        <v>286</v>
      </c>
      <c r="B233" t="s">
        <v>102</v>
      </c>
      <c r="C233">
        <v>31</v>
      </c>
      <c r="D233" t="s">
        <v>23</v>
      </c>
      <c r="E233">
        <v>15.7888381461898</v>
      </c>
      <c r="G233">
        <v>2.4416000000000002</v>
      </c>
      <c r="H233">
        <v>6.6760000000000002</v>
      </c>
      <c r="K233">
        <v>0.79090000000000005</v>
      </c>
      <c r="L233">
        <v>1.6507000000000001</v>
      </c>
      <c r="M233">
        <v>5.1999999999999998E-2</v>
      </c>
      <c r="N233">
        <v>0.98499999999999999</v>
      </c>
      <c r="O233">
        <v>0.32100000000000001</v>
      </c>
      <c r="P233">
        <v>5.0000000000000001E-3</v>
      </c>
      <c r="Q233">
        <v>3.3000000000000002E-2</v>
      </c>
      <c r="R233">
        <v>0.1719</v>
      </c>
      <c r="S233">
        <v>0.2019</v>
      </c>
      <c r="T233">
        <v>0</v>
      </c>
      <c r="U233">
        <v>0.39800000000000002</v>
      </c>
    </row>
    <row r="234" spans="1:21" x14ac:dyDescent="0.25">
      <c r="A234" t="s">
        <v>764</v>
      </c>
      <c r="B234" t="s">
        <v>104</v>
      </c>
      <c r="C234">
        <v>26</v>
      </c>
      <c r="D234" t="s">
        <v>31</v>
      </c>
      <c r="E234">
        <v>7.8020009601539799</v>
      </c>
      <c r="G234">
        <v>0.99660000000000004</v>
      </c>
      <c r="H234">
        <v>5.8970000000000002</v>
      </c>
      <c r="K234">
        <v>0.48304999999999998</v>
      </c>
      <c r="L234">
        <v>0.51354999999999995</v>
      </c>
      <c r="M234">
        <v>14.738</v>
      </c>
      <c r="N234">
        <v>2.3879999999999999</v>
      </c>
      <c r="O234">
        <v>1.514</v>
      </c>
      <c r="P234">
        <v>1.728</v>
      </c>
      <c r="Q234">
        <v>0.24399999999999999</v>
      </c>
      <c r="R234">
        <v>0.66690000000000005</v>
      </c>
      <c r="S234">
        <v>0.72150000000000003</v>
      </c>
      <c r="T234">
        <v>0.37</v>
      </c>
      <c r="U234">
        <v>0.64600000000000002</v>
      </c>
    </row>
    <row r="235" spans="1:21" x14ac:dyDescent="0.25">
      <c r="A235" t="s">
        <v>828</v>
      </c>
      <c r="B235" t="s">
        <v>104</v>
      </c>
      <c r="C235">
        <v>25</v>
      </c>
      <c r="D235" t="s">
        <v>28</v>
      </c>
      <c r="E235">
        <v>10.461767442673599</v>
      </c>
      <c r="G235">
        <v>1.2059500000000001</v>
      </c>
      <c r="H235">
        <v>6.649</v>
      </c>
      <c r="K235">
        <v>0.53959999999999997</v>
      </c>
      <c r="L235">
        <v>0.66635</v>
      </c>
      <c r="M235">
        <v>2.589</v>
      </c>
      <c r="N235">
        <v>2.6589999999999998</v>
      </c>
      <c r="O235">
        <v>0.308</v>
      </c>
      <c r="P235">
        <v>3.3000000000000002E-2</v>
      </c>
      <c r="Q235">
        <v>8.0000000000000002E-3</v>
      </c>
      <c r="R235">
        <v>1.4913000000000001</v>
      </c>
      <c r="S235">
        <v>1.7221</v>
      </c>
      <c r="T235">
        <v>0</v>
      </c>
      <c r="U235">
        <v>0.61799999999999999</v>
      </c>
    </row>
    <row r="236" spans="1:21" x14ac:dyDescent="0.25">
      <c r="A236" t="s">
        <v>1008</v>
      </c>
      <c r="B236" t="s">
        <v>104</v>
      </c>
      <c r="C236">
        <v>24</v>
      </c>
      <c r="D236" t="s">
        <v>2</v>
      </c>
      <c r="E236">
        <v>13</v>
      </c>
      <c r="G236">
        <v>1.44445</v>
      </c>
      <c r="H236">
        <v>6.2060000000000004</v>
      </c>
      <c r="K236">
        <v>0.67125000000000001</v>
      </c>
      <c r="L236">
        <v>0.7732</v>
      </c>
      <c r="M236">
        <v>1.9339999999999999</v>
      </c>
      <c r="N236">
        <v>2.1829999999999998</v>
      </c>
      <c r="O236">
        <v>0.55500000000000005</v>
      </c>
      <c r="P236">
        <v>2.3E-2</v>
      </c>
      <c r="Q236">
        <v>7.0000000000000001E-3</v>
      </c>
      <c r="R236">
        <v>1.3272999999999999</v>
      </c>
      <c r="S236">
        <v>1.3946000000000001</v>
      </c>
      <c r="T236" t="s">
        <v>1054</v>
      </c>
      <c r="U236">
        <v>0.36399999999999999</v>
      </c>
    </row>
    <row r="237" spans="1:21" x14ac:dyDescent="0.25">
      <c r="A237" t="s">
        <v>580</v>
      </c>
      <c r="B237" t="s">
        <v>102</v>
      </c>
      <c r="C237">
        <v>29</v>
      </c>
      <c r="D237" t="s">
        <v>11</v>
      </c>
      <c r="E237">
        <v>14.197471369653</v>
      </c>
      <c r="G237">
        <v>1.80765</v>
      </c>
      <c r="H237">
        <v>5.2949999999999999</v>
      </c>
      <c r="K237">
        <v>0.52625</v>
      </c>
      <c r="L237">
        <v>1.2814000000000001</v>
      </c>
      <c r="M237">
        <v>2.1560000000000001</v>
      </c>
      <c r="N237">
        <v>1.786</v>
      </c>
      <c r="O237">
        <v>0.48899999999999999</v>
      </c>
      <c r="P237">
        <v>3.6999999999999998E-2</v>
      </c>
      <c r="Q237">
        <v>4.7E-2</v>
      </c>
      <c r="R237">
        <v>3.4379</v>
      </c>
      <c r="S237">
        <v>3.4910999999999999</v>
      </c>
      <c r="T237">
        <v>0</v>
      </c>
      <c r="U237">
        <v>0.251</v>
      </c>
    </row>
    <row r="238" spans="1:21" x14ac:dyDescent="0.25">
      <c r="A238" t="s">
        <v>248</v>
      </c>
      <c r="B238" t="s">
        <v>104</v>
      </c>
      <c r="C238">
        <v>31</v>
      </c>
      <c r="D238" t="s">
        <v>22</v>
      </c>
      <c r="E238">
        <v>14.433137415986501</v>
      </c>
      <c r="G238">
        <v>2.2326000000000001</v>
      </c>
      <c r="H238">
        <v>5.93</v>
      </c>
      <c r="K238">
        <v>0.62909999999999999</v>
      </c>
      <c r="L238">
        <v>1.6034999999999999</v>
      </c>
      <c r="M238">
        <v>3.0030000000000001</v>
      </c>
      <c r="N238">
        <v>1.6890000000000001</v>
      </c>
      <c r="O238">
        <v>0.83</v>
      </c>
      <c r="P238">
        <v>2.4E-2</v>
      </c>
      <c r="Q238">
        <v>5.8000000000000003E-2</v>
      </c>
      <c r="R238">
        <v>0.78039999999999998</v>
      </c>
      <c r="S238">
        <v>1.0739000000000001</v>
      </c>
      <c r="T238">
        <v>0</v>
      </c>
      <c r="U238">
        <v>0.40500000000000003</v>
      </c>
    </row>
    <row r="239" spans="1:21" x14ac:dyDescent="0.25">
      <c r="A239" t="s">
        <v>308</v>
      </c>
      <c r="B239" t="s">
        <v>104</v>
      </c>
      <c r="C239">
        <v>34</v>
      </c>
      <c r="D239" t="s">
        <v>28</v>
      </c>
      <c r="E239">
        <v>14.404879753495599</v>
      </c>
      <c r="G239">
        <v>2.3285999999999998</v>
      </c>
      <c r="H239">
        <v>9.5760000000000005</v>
      </c>
      <c r="K239">
        <v>1.2926500000000001</v>
      </c>
      <c r="L239">
        <v>1.0359499999999999</v>
      </c>
      <c r="M239">
        <v>4.0330000000000004</v>
      </c>
      <c r="N239">
        <v>1.1850000000000001</v>
      </c>
      <c r="O239">
        <v>0.65100000000000002</v>
      </c>
      <c r="P239">
        <v>2.8000000000000001E-2</v>
      </c>
      <c r="Q239">
        <v>1.9E-2</v>
      </c>
      <c r="R239">
        <v>0.70099999999999996</v>
      </c>
      <c r="S239">
        <v>1.3174999999999999</v>
      </c>
      <c r="T239">
        <v>0.49</v>
      </c>
      <c r="U239">
        <v>0.628</v>
      </c>
    </row>
    <row r="240" spans="1:21" x14ac:dyDescent="0.25">
      <c r="A240" t="s">
        <v>527</v>
      </c>
      <c r="B240" t="s">
        <v>74</v>
      </c>
      <c r="C240">
        <v>36</v>
      </c>
      <c r="D240" t="s">
        <v>21</v>
      </c>
      <c r="E240">
        <v>13.4477903979865</v>
      </c>
      <c r="G240">
        <v>1.6134500000000001</v>
      </c>
      <c r="H240">
        <v>5.0739999999999998</v>
      </c>
      <c r="K240">
        <v>0.47184999999999999</v>
      </c>
      <c r="L240">
        <v>1.1415999999999999</v>
      </c>
      <c r="M240">
        <v>0.85699999999999998</v>
      </c>
      <c r="N240">
        <v>1.647</v>
      </c>
      <c r="O240">
        <v>1.002</v>
      </c>
      <c r="P240">
        <v>8.4000000000000005E-2</v>
      </c>
      <c r="Q240">
        <v>5.0999999999999997E-2</v>
      </c>
      <c r="R240">
        <v>33.102800000000002</v>
      </c>
      <c r="S240">
        <v>22.163499999999999</v>
      </c>
      <c r="T240">
        <v>0.33</v>
      </c>
      <c r="U240">
        <v>1.2330000000000001</v>
      </c>
    </row>
    <row r="241" spans="1:21" x14ac:dyDescent="0.25">
      <c r="A241" t="s">
        <v>985</v>
      </c>
      <c r="B241" t="s">
        <v>105</v>
      </c>
      <c r="C241">
        <v>31</v>
      </c>
      <c r="D241" t="s">
        <v>10</v>
      </c>
      <c r="E241">
        <v>10.2189309011031</v>
      </c>
      <c r="G241">
        <v>1.2017</v>
      </c>
      <c r="H241">
        <v>8.7899999999999991</v>
      </c>
      <c r="K241">
        <v>0.49214999999999998</v>
      </c>
      <c r="L241">
        <v>0.70955000000000001</v>
      </c>
      <c r="M241">
        <v>3.1160000000000001</v>
      </c>
      <c r="N241">
        <v>2.1970000000000001</v>
      </c>
      <c r="O241">
        <v>0.90600000000000003</v>
      </c>
      <c r="P241">
        <v>1.4E-2</v>
      </c>
      <c r="Q241">
        <v>3.0000000000000001E-3</v>
      </c>
      <c r="R241">
        <v>14.5707</v>
      </c>
      <c r="S241">
        <v>14.654999999999999</v>
      </c>
      <c r="T241" t="s">
        <v>1054</v>
      </c>
      <c r="U241">
        <v>0.50900000000000001</v>
      </c>
    </row>
    <row r="242" spans="1:21" x14ac:dyDescent="0.25">
      <c r="A242" t="s">
        <v>510</v>
      </c>
      <c r="B242" t="s">
        <v>103</v>
      </c>
      <c r="C242">
        <v>34</v>
      </c>
      <c r="D242" t="s">
        <v>87</v>
      </c>
      <c r="E242">
        <v>14.6609429721412</v>
      </c>
      <c r="G242">
        <v>1.8608</v>
      </c>
      <c r="H242">
        <v>7.2089999999999996</v>
      </c>
      <c r="K242">
        <v>0.71789999999999998</v>
      </c>
      <c r="L242">
        <v>1.1429</v>
      </c>
      <c r="M242">
        <v>1.4770000000000001</v>
      </c>
      <c r="N242">
        <v>1.542</v>
      </c>
      <c r="O242">
        <v>0.48499999999999999</v>
      </c>
      <c r="P242">
        <v>2.5000000000000001E-2</v>
      </c>
      <c r="Q242">
        <v>0</v>
      </c>
      <c r="R242">
        <v>1.4182999999999999</v>
      </c>
      <c r="S242">
        <v>1.9648000000000001</v>
      </c>
      <c r="T242">
        <v>0</v>
      </c>
      <c r="U242">
        <v>0.85899999999999999</v>
      </c>
    </row>
    <row r="243" spans="1:21" x14ac:dyDescent="0.25">
      <c r="A243" t="s">
        <v>476</v>
      </c>
      <c r="B243" t="s">
        <v>102</v>
      </c>
      <c r="C243">
        <v>27</v>
      </c>
      <c r="D243" t="s">
        <v>4</v>
      </c>
      <c r="E243">
        <v>13.3816980687195</v>
      </c>
      <c r="G243">
        <v>1.4297500000000001</v>
      </c>
      <c r="H243">
        <v>6.5979999999999999</v>
      </c>
      <c r="K243">
        <v>0.57579999999999998</v>
      </c>
      <c r="L243">
        <v>0.85394999999999999</v>
      </c>
      <c r="M243">
        <v>8.0559999999999992</v>
      </c>
      <c r="N243">
        <v>2.8959999999999999</v>
      </c>
      <c r="O243">
        <v>1.3480000000000001</v>
      </c>
      <c r="P243">
        <v>0.11</v>
      </c>
      <c r="Q243">
        <v>2.1000000000000001E-2</v>
      </c>
      <c r="R243">
        <v>0.96489999999999998</v>
      </c>
      <c r="S243">
        <v>1.9357</v>
      </c>
      <c r="T243">
        <v>0</v>
      </c>
      <c r="U243">
        <v>0.26900000000000002</v>
      </c>
    </row>
    <row r="244" spans="1:21" x14ac:dyDescent="0.25">
      <c r="A244" t="s">
        <v>484</v>
      </c>
      <c r="B244" t="s">
        <v>104</v>
      </c>
      <c r="C244">
        <v>26</v>
      </c>
      <c r="D244" t="s">
        <v>14</v>
      </c>
      <c r="E244">
        <v>15.202370745232001</v>
      </c>
      <c r="G244">
        <v>2.3350499999999998</v>
      </c>
      <c r="H244">
        <v>9.6910000000000007</v>
      </c>
      <c r="K244">
        <v>1.1056999999999999</v>
      </c>
      <c r="L244">
        <v>1.2293499999999999</v>
      </c>
      <c r="M244">
        <v>0.92900000000000005</v>
      </c>
      <c r="N244">
        <v>1.6759999999999999</v>
      </c>
      <c r="O244">
        <v>0.48499999999999999</v>
      </c>
      <c r="P244">
        <v>6.0000000000000001E-3</v>
      </c>
      <c r="Q244">
        <v>0</v>
      </c>
      <c r="R244">
        <v>0.35470000000000002</v>
      </c>
      <c r="S244">
        <v>0.4995</v>
      </c>
      <c r="T244">
        <v>0.44</v>
      </c>
      <c r="U244">
        <v>0.95899999999999996</v>
      </c>
    </row>
    <row r="245" spans="1:21" x14ac:dyDescent="0.25">
      <c r="A245" t="s">
        <v>739</v>
      </c>
      <c r="B245" t="s">
        <v>104</v>
      </c>
      <c r="C245">
        <v>32</v>
      </c>
      <c r="D245" t="s">
        <v>34</v>
      </c>
      <c r="E245">
        <v>12.9025422750935</v>
      </c>
      <c r="G245">
        <v>1.669</v>
      </c>
      <c r="H245">
        <v>7.51</v>
      </c>
      <c r="K245">
        <v>0.70140000000000002</v>
      </c>
      <c r="L245">
        <v>0.96760000000000002</v>
      </c>
      <c r="M245">
        <v>3.6440000000000001</v>
      </c>
      <c r="N245">
        <v>1.67</v>
      </c>
      <c r="O245">
        <v>1.0980000000000001</v>
      </c>
      <c r="P245">
        <v>2.9000000000000001E-2</v>
      </c>
      <c r="Q245">
        <v>0</v>
      </c>
      <c r="R245">
        <v>2.2623000000000002</v>
      </c>
      <c r="S245">
        <v>2.2671999999999999</v>
      </c>
      <c r="T245">
        <v>0</v>
      </c>
      <c r="U245">
        <v>0.39800000000000002</v>
      </c>
    </row>
    <row r="246" spans="1:21" x14ac:dyDescent="0.25">
      <c r="A246" t="s">
        <v>548</v>
      </c>
      <c r="B246" t="s">
        <v>74</v>
      </c>
      <c r="C246">
        <v>36</v>
      </c>
      <c r="D246" t="s">
        <v>34</v>
      </c>
      <c r="E246">
        <v>13.1543529053494</v>
      </c>
      <c r="G246">
        <v>1.7012499999999999</v>
      </c>
      <c r="H246">
        <v>6.2050000000000001</v>
      </c>
      <c r="K246">
        <v>0.70650000000000002</v>
      </c>
      <c r="L246">
        <v>0.99475000000000002</v>
      </c>
      <c r="M246">
        <v>7.1509999999999998</v>
      </c>
      <c r="N246">
        <v>1.708</v>
      </c>
      <c r="O246">
        <v>0.80900000000000005</v>
      </c>
      <c r="P246">
        <v>6.0000000000000001E-3</v>
      </c>
      <c r="Q246">
        <v>0</v>
      </c>
      <c r="R246">
        <v>37.051400000000001</v>
      </c>
      <c r="S246">
        <v>26.068300000000001</v>
      </c>
      <c r="T246">
        <v>0.44</v>
      </c>
      <c r="U246">
        <v>1.837</v>
      </c>
    </row>
    <row r="247" spans="1:21" x14ac:dyDescent="0.25">
      <c r="A247" t="s">
        <v>461</v>
      </c>
      <c r="B247" t="s">
        <v>103</v>
      </c>
      <c r="C247">
        <v>30</v>
      </c>
      <c r="D247" t="s">
        <v>6</v>
      </c>
      <c r="E247">
        <v>13.688178574993801</v>
      </c>
      <c r="G247">
        <v>1.3945000000000001</v>
      </c>
      <c r="H247">
        <v>6.9509999999999996</v>
      </c>
      <c r="K247">
        <v>0.76324999999999998</v>
      </c>
      <c r="L247">
        <v>0.63124999999999998</v>
      </c>
      <c r="M247">
        <v>8.0510000000000002</v>
      </c>
      <c r="N247">
        <v>2.4249999999999998</v>
      </c>
      <c r="O247">
        <v>1.0549999999999999</v>
      </c>
      <c r="P247">
        <v>0.16900000000000001</v>
      </c>
      <c r="Q247">
        <v>7.4999999999999997E-2</v>
      </c>
      <c r="R247">
        <v>0.93010000000000004</v>
      </c>
      <c r="S247">
        <v>1.0079</v>
      </c>
      <c r="T247">
        <v>0</v>
      </c>
      <c r="U247">
        <v>0.59799999999999998</v>
      </c>
    </row>
    <row r="248" spans="1:21" x14ac:dyDescent="0.25">
      <c r="A248" t="s">
        <v>535</v>
      </c>
      <c r="B248" t="s">
        <v>104</v>
      </c>
      <c r="C248">
        <v>32</v>
      </c>
      <c r="D248" t="s">
        <v>25</v>
      </c>
      <c r="E248">
        <v>9.1914126624213903</v>
      </c>
      <c r="G248">
        <v>1.56125</v>
      </c>
      <c r="H248">
        <v>6.8949999999999996</v>
      </c>
      <c r="K248">
        <v>0.71209999999999996</v>
      </c>
      <c r="L248">
        <v>0.84914999999999996</v>
      </c>
      <c r="M248">
        <v>17.355</v>
      </c>
      <c r="N248">
        <v>2.4369999999999998</v>
      </c>
      <c r="O248">
        <v>1.3</v>
      </c>
      <c r="P248">
        <v>0.11799999999999999</v>
      </c>
      <c r="Q248">
        <v>0.112</v>
      </c>
      <c r="R248">
        <v>1.7250000000000001</v>
      </c>
      <c r="S248">
        <v>1.8212999999999999</v>
      </c>
      <c r="T248">
        <v>0</v>
      </c>
      <c r="U248">
        <v>0.52100000000000002</v>
      </c>
    </row>
    <row r="249" spans="1:21" x14ac:dyDescent="0.25">
      <c r="A249" t="s">
        <v>677</v>
      </c>
      <c r="B249" t="s">
        <v>104</v>
      </c>
      <c r="C249">
        <v>35</v>
      </c>
      <c r="D249" t="s">
        <v>20</v>
      </c>
      <c r="E249">
        <v>12.6635184685995</v>
      </c>
      <c r="G249">
        <v>1.6637500000000001</v>
      </c>
      <c r="H249">
        <v>4.2489999999999997</v>
      </c>
      <c r="K249">
        <v>0.56379999999999997</v>
      </c>
      <c r="L249">
        <v>1.09995</v>
      </c>
      <c r="M249">
        <v>0.88400000000000001</v>
      </c>
      <c r="N249">
        <v>1.946</v>
      </c>
      <c r="O249">
        <v>0.16500000000000001</v>
      </c>
      <c r="P249">
        <v>1.0999999999999999E-2</v>
      </c>
      <c r="Q249">
        <v>1E-3</v>
      </c>
      <c r="R249">
        <v>2.9615999999999998</v>
      </c>
      <c r="S249">
        <v>3.8506</v>
      </c>
      <c r="T249" t="s">
        <v>1054</v>
      </c>
      <c r="U249">
        <v>0.42599999999999999</v>
      </c>
    </row>
    <row r="250" spans="1:21" x14ac:dyDescent="0.25">
      <c r="A250" t="s">
        <v>784</v>
      </c>
      <c r="B250" t="s">
        <v>104</v>
      </c>
      <c r="C250">
        <v>31</v>
      </c>
      <c r="D250" t="s">
        <v>14</v>
      </c>
      <c r="E250">
        <v>11.444688200340099</v>
      </c>
      <c r="G250">
        <v>1.6174500000000001</v>
      </c>
      <c r="H250">
        <v>8.3729999999999993</v>
      </c>
      <c r="K250">
        <v>0.62719999999999998</v>
      </c>
      <c r="L250">
        <v>0.99024999999999996</v>
      </c>
      <c r="M250">
        <v>5.4359999999999999</v>
      </c>
      <c r="N250">
        <v>1.8009999999999999</v>
      </c>
      <c r="O250">
        <v>0.56399999999999995</v>
      </c>
      <c r="P250">
        <v>0.109</v>
      </c>
      <c r="Q250">
        <v>0.104</v>
      </c>
      <c r="R250">
        <v>1.8348</v>
      </c>
      <c r="S250">
        <v>1.9238999999999999</v>
      </c>
      <c r="T250" t="s">
        <v>1054</v>
      </c>
      <c r="U250">
        <v>0.33600000000000002</v>
      </c>
    </row>
    <row r="251" spans="1:21" x14ac:dyDescent="0.25">
      <c r="A251" t="s">
        <v>328</v>
      </c>
      <c r="B251" t="s">
        <v>74</v>
      </c>
      <c r="C251">
        <v>25</v>
      </c>
      <c r="D251" t="s">
        <v>15</v>
      </c>
      <c r="E251">
        <v>13.819016222570699</v>
      </c>
      <c r="G251">
        <v>1.71915</v>
      </c>
      <c r="H251">
        <v>6.7240000000000002</v>
      </c>
      <c r="K251">
        <v>0.92149999999999999</v>
      </c>
      <c r="L251">
        <v>0.79764999999999997</v>
      </c>
      <c r="M251">
        <v>5.899</v>
      </c>
      <c r="N251">
        <v>2.6190000000000002</v>
      </c>
      <c r="O251">
        <v>0.68100000000000005</v>
      </c>
      <c r="P251">
        <v>1.6E-2</v>
      </c>
      <c r="Q251">
        <v>2E-3</v>
      </c>
      <c r="R251">
        <v>25.0642</v>
      </c>
      <c r="S251">
        <v>22.962800000000001</v>
      </c>
      <c r="T251" t="s">
        <v>1054</v>
      </c>
      <c r="U251">
        <v>0.35399999999999998</v>
      </c>
    </row>
    <row r="252" spans="1:21" x14ac:dyDescent="0.25">
      <c r="A252" t="s">
        <v>1140</v>
      </c>
      <c r="B252" t="s">
        <v>105</v>
      </c>
      <c r="C252">
        <v>21</v>
      </c>
      <c r="D252" t="s">
        <v>6</v>
      </c>
      <c r="E252">
        <v>11.637981657548201</v>
      </c>
      <c r="G252">
        <v>1.9034</v>
      </c>
      <c r="H252">
        <v>7.46</v>
      </c>
      <c r="K252">
        <v>0.90439999999999998</v>
      </c>
      <c r="L252">
        <v>0.999</v>
      </c>
      <c r="M252">
        <v>3.508</v>
      </c>
      <c r="N252">
        <v>3.4390000000000001</v>
      </c>
      <c r="O252">
        <v>0.25</v>
      </c>
      <c r="P252">
        <v>4.7E-2</v>
      </c>
      <c r="Q252">
        <v>1.4E-2</v>
      </c>
      <c r="R252">
        <v>3.1764999999999999</v>
      </c>
      <c r="S252">
        <v>3.4889000000000001</v>
      </c>
      <c r="T252" t="s">
        <v>1054</v>
      </c>
      <c r="U252">
        <v>0.374</v>
      </c>
    </row>
    <row r="253" spans="1:21" x14ac:dyDescent="0.25">
      <c r="A253" t="s">
        <v>883</v>
      </c>
      <c r="B253" t="s">
        <v>105</v>
      </c>
      <c r="C253">
        <v>29</v>
      </c>
      <c r="D253" t="s">
        <v>2</v>
      </c>
      <c r="E253">
        <v>14.353526999154001</v>
      </c>
      <c r="G253">
        <v>1.6981999999999999</v>
      </c>
      <c r="H253">
        <v>4.343</v>
      </c>
      <c r="K253">
        <v>0.61570000000000003</v>
      </c>
      <c r="L253">
        <v>1.0825</v>
      </c>
      <c r="M253">
        <v>1.9079999999999999</v>
      </c>
      <c r="N253">
        <v>2.7149999999999999</v>
      </c>
      <c r="O253">
        <v>0.60199999999999998</v>
      </c>
      <c r="P253">
        <v>4.2000000000000003E-2</v>
      </c>
      <c r="Q253">
        <v>0</v>
      </c>
      <c r="R253">
        <v>19.7454</v>
      </c>
      <c r="S253">
        <v>22.648900000000001</v>
      </c>
      <c r="T253">
        <v>0.26</v>
      </c>
      <c r="U253">
        <v>0.84599999999999997</v>
      </c>
    </row>
    <row r="254" spans="1:21" x14ac:dyDescent="0.25">
      <c r="A254" t="s">
        <v>884</v>
      </c>
      <c r="B254" t="s">
        <v>1108</v>
      </c>
      <c r="C254">
        <v>31</v>
      </c>
      <c r="D254" t="s">
        <v>8</v>
      </c>
      <c r="E254">
        <v>14.6382805777125</v>
      </c>
      <c r="G254">
        <v>2.5141499999999999</v>
      </c>
      <c r="H254">
        <v>6.2240000000000002</v>
      </c>
      <c r="K254">
        <v>0.98380000000000001</v>
      </c>
      <c r="L254">
        <v>1.5303500000000001</v>
      </c>
      <c r="M254">
        <v>9.0039999999999996</v>
      </c>
      <c r="N254">
        <v>2.589</v>
      </c>
      <c r="O254">
        <v>0.86799999999999999</v>
      </c>
      <c r="P254">
        <v>0.12</v>
      </c>
      <c r="Q254">
        <v>0</v>
      </c>
      <c r="R254">
        <v>27.5839</v>
      </c>
      <c r="S254">
        <v>22.320499999999999</v>
      </c>
      <c r="T254">
        <v>0</v>
      </c>
      <c r="U254">
        <v>0.35</v>
      </c>
    </row>
    <row r="255" spans="1:21" x14ac:dyDescent="0.25">
      <c r="A255" t="s">
        <v>629</v>
      </c>
      <c r="B255" t="s">
        <v>1108</v>
      </c>
      <c r="C255">
        <v>30</v>
      </c>
      <c r="D255" t="s">
        <v>21</v>
      </c>
      <c r="E255">
        <v>11.5906078922717</v>
      </c>
      <c r="G255">
        <v>1.1152500000000001</v>
      </c>
      <c r="H255">
        <v>5.23</v>
      </c>
      <c r="K255">
        <v>0.50244999999999995</v>
      </c>
      <c r="L255">
        <v>0.61280000000000001</v>
      </c>
      <c r="M255">
        <v>11.021000000000001</v>
      </c>
      <c r="N255">
        <v>2.9239999999999999</v>
      </c>
      <c r="O255">
        <v>0.73299999999999998</v>
      </c>
      <c r="P255">
        <v>0.24199999999999999</v>
      </c>
      <c r="Q255">
        <v>4.0000000000000001E-3</v>
      </c>
      <c r="R255">
        <v>11.69</v>
      </c>
      <c r="S255">
        <v>11.232699999999999</v>
      </c>
      <c r="T255">
        <v>0.37</v>
      </c>
      <c r="U255">
        <v>0.65100000000000002</v>
      </c>
    </row>
    <row r="256" spans="1:21" x14ac:dyDescent="0.25">
      <c r="A256" t="s">
        <v>799</v>
      </c>
      <c r="B256" t="s">
        <v>103</v>
      </c>
      <c r="C256">
        <v>27</v>
      </c>
      <c r="D256" t="s">
        <v>20</v>
      </c>
      <c r="E256">
        <v>9.9058420323152898</v>
      </c>
      <c r="G256">
        <v>1.50115</v>
      </c>
      <c r="H256">
        <v>6.9020000000000001</v>
      </c>
      <c r="K256">
        <v>0.86429999999999996</v>
      </c>
      <c r="L256">
        <v>0.63685000000000003</v>
      </c>
      <c r="M256">
        <v>12.199</v>
      </c>
      <c r="N256">
        <v>2.798</v>
      </c>
      <c r="O256">
        <v>0.57399999999999995</v>
      </c>
      <c r="P256">
        <v>1.2E-2</v>
      </c>
      <c r="Q256">
        <v>2E-3</v>
      </c>
      <c r="R256">
        <v>1.0288999999999999</v>
      </c>
      <c r="S256">
        <v>1.3936999999999999</v>
      </c>
      <c r="T256">
        <v>0.52</v>
      </c>
      <c r="U256">
        <v>0.98399999999999999</v>
      </c>
    </row>
    <row r="257" spans="1:21" x14ac:dyDescent="0.25">
      <c r="A257" t="s">
        <v>862</v>
      </c>
      <c r="B257" t="s">
        <v>104</v>
      </c>
      <c r="C257">
        <v>20</v>
      </c>
      <c r="D257" t="s">
        <v>6</v>
      </c>
      <c r="E257">
        <v>15.75</v>
      </c>
      <c r="G257">
        <v>1.5459499999999999</v>
      </c>
      <c r="H257">
        <v>6.21</v>
      </c>
      <c r="K257">
        <v>0.86197000000000001</v>
      </c>
      <c r="L257">
        <v>1.0946199999999999</v>
      </c>
      <c r="M257">
        <v>6.7039999999999997</v>
      </c>
      <c r="N257">
        <v>3.3460000000000001</v>
      </c>
      <c r="O257">
        <v>0.96599999999999997</v>
      </c>
      <c r="P257">
        <v>6.0999999999999999E-2</v>
      </c>
      <c r="Q257">
        <v>0.02</v>
      </c>
      <c r="R257">
        <v>1.0088999999999999</v>
      </c>
      <c r="S257">
        <v>1.0107999999999999</v>
      </c>
      <c r="T257">
        <v>0.45</v>
      </c>
      <c r="U257">
        <v>0.625</v>
      </c>
    </row>
    <row r="258" spans="1:21" x14ac:dyDescent="0.25">
      <c r="A258" t="s">
        <v>986</v>
      </c>
      <c r="B258" t="s">
        <v>104</v>
      </c>
      <c r="C258">
        <v>29</v>
      </c>
      <c r="D258" t="s">
        <v>33</v>
      </c>
      <c r="E258">
        <v>10.933975744591301</v>
      </c>
      <c r="G258">
        <v>1.391</v>
      </c>
      <c r="H258">
        <v>6.5060000000000002</v>
      </c>
      <c r="K258">
        <v>0.53754999999999997</v>
      </c>
      <c r="L258">
        <v>0.85345000000000004</v>
      </c>
      <c r="M258">
        <v>6.7160000000000002</v>
      </c>
      <c r="N258">
        <v>2.5430000000000001</v>
      </c>
      <c r="O258">
        <v>0.372</v>
      </c>
      <c r="P258">
        <v>2.9000000000000001E-2</v>
      </c>
      <c r="Q258">
        <v>8.0000000000000002E-3</v>
      </c>
      <c r="R258">
        <v>1.9320999999999999</v>
      </c>
      <c r="S258">
        <v>2.2503000000000002</v>
      </c>
      <c r="T258">
        <v>0.37</v>
      </c>
      <c r="U258">
        <v>0.64600000000000002</v>
      </c>
    </row>
    <row r="259" spans="1:21" x14ac:dyDescent="0.25">
      <c r="A259" t="s">
        <v>1141</v>
      </c>
      <c r="B259" t="s">
        <v>103</v>
      </c>
      <c r="C259">
        <v>26</v>
      </c>
      <c r="D259" t="s">
        <v>12</v>
      </c>
      <c r="E259">
        <v>11.270987503865401</v>
      </c>
      <c r="G259">
        <v>1.6177999999999999</v>
      </c>
      <c r="H259">
        <v>6.8419999999999996</v>
      </c>
      <c r="K259">
        <v>0.81869999999999998</v>
      </c>
      <c r="L259">
        <v>0.79910000000000003</v>
      </c>
      <c r="M259">
        <v>10.413</v>
      </c>
      <c r="N259">
        <v>2.7879999999999998</v>
      </c>
      <c r="O259">
        <v>0.47799999999999998</v>
      </c>
      <c r="P259">
        <v>5.1999999999999998E-2</v>
      </c>
      <c r="Q259">
        <v>1.6E-2</v>
      </c>
      <c r="R259">
        <v>3.9268000000000001</v>
      </c>
      <c r="S259">
        <v>4.4798</v>
      </c>
      <c r="T259">
        <v>0.45</v>
      </c>
      <c r="U259">
        <v>0.745</v>
      </c>
    </row>
    <row r="260" spans="1:21" x14ac:dyDescent="0.25">
      <c r="A260" t="s">
        <v>738</v>
      </c>
      <c r="B260" t="s">
        <v>105</v>
      </c>
      <c r="C260">
        <v>31</v>
      </c>
      <c r="D260" t="s">
        <v>23</v>
      </c>
      <c r="E260">
        <v>12.461861751989</v>
      </c>
      <c r="G260">
        <v>1.61785</v>
      </c>
      <c r="H260">
        <v>5.8689999999999998</v>
      </c>
      <c r="K260">
        <v>0.80305000000000004</v>
      </c>
      <c r="L260">
        <v>0.81479999999999997</v>
      </c>
      <c r="M260">
        <v>6.62</v>
      </c>
      <c r="N260">
        <v>2.5880000000000001</v>
      </c>
      <c r="O260">
        <v>0.54500000000000004</v>
      </c>
      <c r="P260">
        <v>1.7000000000000001E-2</v>
      </c>
      <c r="Q260">
        <v>3.2000000000000001E-2</v>
      </c>
      <c r="R260">
        <v>9.9690999999999992</v>
      </c>
      <c r="S260">
        <v>9.3012999999999995</v>
      </c>
      <c r="T260">
        <v>0</v>
      </c>
      <c r="U260">
        <v>0.46500000000000002</v>
      </c>
    </row>
    <row r="261" spans="1:21" x14ac:dyDescent="0.25">
      <c r="A261" t="s">
        <v>1009</v>
      </c>
      <c r="B261" t="s">
        <v>74</v>
      </c>
      <c r="C261">
        <v>23</v>
      </c>
      <c r="D261" t="s">
        <v>7</v>
      </c>
      <c r="E261">
        <v>13.013495501213299</v>
      </c>
      <c r="G261">
        <v>1.46835</v>
      </c>
      <c r="H261">
        <v>4.7489999999999997</v>
      </c>
      <c r="K261">
        <v>0.60189999999999999</v>
      </c>
      <c r="L261">
        <v>0.86645000000000005</v>
      </c>
      <c r="M261">
        <v>5.9790000000000001</v>
      </c>
      <c r="N261">
        <v>1.865</v>
      </c>
      <c r="O261">
        <v>0.59099999999999997</v>
      </c>
      <c r="P261">
        <v>6.8000000000000005E-2</v>
      </c>
      <c r="Q261">
        <v>4.0000000000000001E-3</v>
      </c>
      <c r="R261">
        <v>9.3394999999999992</v>
      </c>
      <c r="S261">
        <v>12.399900000000001</v>
      </c>
      <c r="T261">
        <v>0.41</v>
      </c>
      <c r="U261">
        <v>1.2350000000000001</v>
      </c>
    </row>
    <row r="262" spans="1:21" x14ac:dyDescent="0.25">
      <c r="A262" t="s">
        <v>725</v>
      </c>
      <c r="B262" t="s">
        <v>103</v>
      </c>
      <c r="C262">
        <v>23</v>
      </c>
      <c r="D262" t="s">
        <v>10</v>
      </c>
      <c r="E262">
        <v>12.4345775243647</v>
      </c>
      <c r="G262">
        <v>1.5930500000000001</v>
      </c>
      <c r="H262">
        <v>6.4320000000000004</v>
      </c>
      <c r="K262">
        <v>0.82064999999999999</v>
      </c>
      <c r="L262">
        <v>0.77239999999999998</v>
      </c>
      <c r="M262">
        <v>1.651</v>
      </c>
      <c r="N262">
        <v>1.605</v>
      </c>
      <c r="O262">
        <v>0.47099999999999997</v>
      </c>
      <c r="P262">
        <v>7.0000000000000001E-3</v>
      </c>
      <c r="Q262">
        <v>0</v>
      </c>
      <c r="R262">
        <v>1.0436000000000001</v>
      </c>
      <c r="S262">
        <v>0.88109999999999999</v>
      </c>
      <c r="T262">
        <v>0.44</v>
      </c>
      <c r="U262">
        <v>1.0169999999999999</v>
      </c>
    </row>
    <row r="263" spans="1:21" x14ac:dyDescent="0.25">
      <c r="A263" t="s">
        <v>455</v>
      </c>
      <c r="B263" t="s">
        <v>103</v>
      </c>
      <c r="C263">
        <v>26</v>
      </c>
      <c r="D263" t="s">
        <v>87</v>
      </c>
      <c r="E263">
        <v>10.7022812236404</v>
      </c>
      <c r="G263">
        <v>1.3370500000000001</v>
      </c>
      <c r="H263">
        <v>5.08</v>
      </c>
      <c r="K263">
        <v>0.64970000000000006</v>
      </c>
      <c r="L263">
        <v>0.68735000000000002</v>
      </c>
      <c r="M263">
        <v>3.641</v>
      </c>
      <c r="N263">
        <v>1.847</v>
      </c>
      <c r="O263">
        <v>0.70299999999999996</v>
      </c>
      <c r="P263">
        <v>7.0000000000000001E-3</v>
      </c>
      <c r="Q263">
        <v>0</v>
      </c>
      <c r="R263">
        <v>2.6413000000000002</v>
      </c>
      <c r="S263">
        <v>5.2046000000000001</v>
      </c>
      <c r="T263">
        <v>0.41</v>
      </c>
      <c r="U263">
        <v>1.2729999999999999</v>
      </c>
    </row>
    <row r="264" spans="1:21" x14ac:dyDescent="0.25">
      <c r="A264" t="s">
        <v>796</v>
      </c>
      <c r="B264" t="s">
        <v>104</v>
      </c>
      <c r="C264">
        <v>29</v>
      </c>
      <c r="D264" t="s">
        <v>139</v>
      </c>
      <c r="E264">
        <v>10.8450687159801</v>
      </c>
      <c r="G264">
        <v>1.28535</v>
      </c>
      <c r="H264">
        <v>6.3109999999999999</v>
      </c>
      <c r="K264">
        <v>0.49440000000000001</v>
      </c>
      <c r="L264">
        <v>0.79095000000000004</v>
      </c>
      <c r="M264">
        <v>5.6749999999999998</v>
      </c>
      <c r="N264">
        <v>2.4119999999999999</v>
      </c>
      <c r="O264">
        <v>0.46899999999999997</v>
      </c>
      <c r="P264">
        <v>1.9E-2</v>
      </c>
      <c r="Q264">
        <v>4.0000000000000001E-3</v>
      </c>
      <c r="R264">
        <v>0.98799999999999999</v>
      </c>
      <c r="S264">
        <v>1.4012</v>
      </c>
      <c r="T264">
        <v>0.43</v>
      </c>
      <c r="U264">
        <v>1.32</v>
      </c>
    </row>
    <row r="265" spans="1:21" x14ac:dyDescent="0.25">
      <c r="A265" t="s">
        <v>604</v>
      </c>
      <c r="B265" t="s">
        <v>103</v>
      </c>
      <c r="C265">
        <v>28</v>
      </c>
      <c r="D265" t="s">
        <v>14</v>
      </c>
      <c r="E265">
        <v>12.472184183598699</v>
      </c>
      <c r="G265">
        <v>1.5518000000000001</v>
      </c>
      <c r="H265">
        <v>6.3460000000000001</v>
      </c>
      <c r="K265">
        <v>0.53744999999999998</v>
      </c>
      <c r="L265">
        <v>1.0143500000000001</v>
      </c>
      <c r="M265">
        <v>4.3710000000000004</v>
      </c>
      <c r="N265">
        <v>1.6439999999999999</v>
      </c>
      <c r="O265">
        <v>0.48599999999999999</v>
      </c>
      <c r="P265">
        <v>7.0000000000000001E-3</v>
      </c>
      <c r="Q265">
        <v>0</v>
      </c>
      <c r="R265">
        <v>1.0609999999999999</v>
      </c>
      <c r="S265">
        <v>1.6433</v>
      </c>
      <c r="T265">
        <v>0.31</v>
      </c>
      <c r="U265">
        <v>1.903</v>
      </c>
    </row>
    <row r="266" spans="1:21" x14ac:dyDescent="0.25">
      <c r="A266" t="s">
        <v>526</v>
      </c>
      <c r="B266" t="s">
        <v>105</v>
      </c>
      <c r="C266">
        <v>27</v>
      </c>
      <c r="D266" t="s">
        <v>28</v>
      </c>
      <c r="E266">
        <v>10.645929987103701</v>
      </c>
      <c r="G266">
        <v>1.2983499999999999</v>
      </c>
      <c r="H266">
        <v>4.9909999999999997</v>
      </c>
      <c r="K266">
        <v>0.48399999999999999</v>
      </c>
      <c r="L266">
        <v>0.81435000000000002</v>
      </c>
      <c r="M266">
        <v>17.696000000000002</v>
      </c>
      <c r="N266">
        <v>2.714</v>
      </c>
      <c r="O266">
        <v>0.90400000000000003</v>
      </c>
      <c r="P266">
        <v>0.44600000000000001</v>
      </c>
      <c r="Q266">
        <v>0.03</v>
      </c>
      <c r="R266">
        <v>1.0712999999999999</v>
      </c>
      <c r="S266">
        <v>1.6236999999999999</v>
      </c>
      <c r="T266">
        <v>0.43</v>
      </c>
      <c r="U266">
        <v>0.73899999999999999</v>
      </c>
    </row>
    <row r="267" spans="1:21" x14ac:dyDescent="0.25">
      <c r="A267" t="s">
        <v>859</v>
      </c>
      <c r="B267" t="s">
        <v>104</v>
      </c>
      <c r="C267">
        <v>22</v>
      </c>
      <c r="D267" t="s">
        <v>23</v>
      </c>
      <c r="E267">
        <v>11.606983817239801</v>
      </c>
      <c r="G267">
        <v>1.7231000000000001</v>
      </c>
      <c r="H267">
        <v>5.7210000000000001</v>
      </c>
      <c r="K267">
        <v>0.65080000000000005</v>
      </c>
      <c r="L267">
        <v>1.0723</v>
      </c>
      <c r="M267">
        <v>1.137</v>
      </c>
      <c r="N267">
        <v>2.0350000000000001</v>
      </c>
      <c r="O267">
        <v>0.35</v>
      </c>
      <c r="P267">
        <v>1.2E-2</v>
      </c>
      <c r="Q267">
        <v>3.0000000000000001E-3</v>
      </c>
      <c r="R267">
        <v>1.4944</v>
      </c>
      <c r="S267">
        <v>2.4891999999999999</v>
      </c>
      <c r="T267">
        <v>0.39</v>
      </c>
      <c r="U267">
        <v>1.171</v>
      </c>
    </row>
    <row r="268" spans="1:21" x14ac:dyDescent="0.25">
      <c r="A268" t="s">
        <v>276</v>
      </c>
      <c r="B268" t="s">
        <v>104</v>
      </c>
      <c r="C268">
        <v>28</v>
      </c>
      <c r="D268" t="s">
        <v>26</v>
      </c>
      <c r="E268">
        <v>14.6739276973406</v>
      </c>
      <c r="G268">
        <v>2.4995500000000002</v>
      </c>
      <c r="H268">
        <v>8.827</v>
      </c>
      <c r="K268">
        <v>0.96230000000000004</v>
      </c>
      <c r="L268">
        <v>1.53725</v>
      </c>
      <c r="M268">
        <v>2.645</v>
      </c>
      <c r="N268">
        <v>1.343</v>
      </c>
      <c r="O268">
        <v>1.071</v>
      </c>
      <c r="P268">
        <v>6.0000000000000001E-3</v>
      </c>
      <c r="Q268">
        <v>0.02</v>
      </c>
      <c r="R268">
        <v>0.63519999999999999</v>
      </c>
      <c r="S268">
        <v>1.3488</v>
      </c>
      <c r="T268">
        <v>0.33</v>
      </c>
      <c r="U268">
        <v>1.252</v>
      </c>
    </row>
    <row r="269" spans="1:21" x14ac:dyDescent="0.25">
      <c r="A269" t="s">
        <v>550</v>
      </c>
      <c r="B269" t="s">
        <v>101</v>
      </c>
      <c r="C269">
        <v>32</v>
      </c>
      <c r="D269" t="s">
        <v>14</v>
      </c>
      <c r="E269">
        <v>13.0580405930046</v>
      </c>
      <c r="G269">
        <v>1.7422</v>
      </c>
      <c r="H269">
        <v>8.11</v>
      </c>
      <c r="K269">
        <v>0.69374999999999998</v>
      </c>
      <c r="L269">
        <v>1.0484500000000001</v>
      </c>
      <c r="M269">
        <v>2.274</v>
      </c>
      <c r="N269">
        <v>1.1910000000000001</v>
      </c>
      <c r="O269">
        <v>0.42399999999999999</v>
      </c>
      <c r="P269">
        <v>2.8000000000000001E-2</v>
      </c>
      <c r="Q269">
        <v>0</v>
      </c>
      <c r="R269">
        <v>22.023800000000001</v>
      </c>
      <c r="S269">
        <v>19.057099999999998</v>
      </c>
      <c r="T269">
        <v>0</v>
      </c>
      <c r="U269">
        <v>0.79700000000000004</v>
      </c>
    </row>
    <row r="270" spans="1:21" x14ac:dyDescent="0.25">
      <c r="A270" t="s">
        <v>622</v>
      </c>
      <c r="B270" t="s">
        <v>104</v>
      </c>
      <c r="C270">
        <v>29</v>
      </c>
      <c r="D270" t="s">
        <v>33</v>
      </c>
      <c r="E270">
        <v>11.039663114912599</v>
      </c>
      <c r="G270">
        <v>1.1805000000000001</v>
      </c>
      <c r="H270">
        <v>6.234</v>
      </c>
      <c r="K270">
        <v>0.43790000000000001</v>
      </c>
      <c r="L270">
        <v>0.74260000000000004</v>
      </c>
      <c r="M270">
        <v>5.734</v>
      </c>
      <c r="N270">
        <v>2.1819999999999999</v>
      </c>
      <c r="O270">
        <v>0.78800000000000003</v>
      </c>
      <c r="P270">
        <v>0.01</v>
      </c>
      <c r="Q270">
        <v>1E-3</v>
      </c>
      <c r="R270">
        <v>0.94130000000000003</v>
      </c>
      <c r="S270">
        <v>1.4111</v>
      </c>
      <c r="T270">
        <v>0.36</v>
      </c>
      <c r="U270">
        <v>0.60599999999999998</v>
      </c>
    </row>
    <row r="271" spans="1:21" x14ac:dyDescent="0.25">
      <c r="A271" t="s">
        <v>710</v>
      </c>
      <c r="B271" t="s">
        <v>101</v>
      </c>
      <c r="C271">
        <v>31</v>
      </c>
      <c r="D271" t="s">
        <v>22</v>
      </c>
      <c r="E271">
        <v>9.14153224237206</v>
      </c>
      <c r="G271">
        <v>1.1752499999999999</v>
      </c>
      <c r="H271">
        <v>4.9349999999999996</v>
      </c>
      <c r="K271">
        <v>0.56489999999999996</v>
      </c>
      <c r="L271">
        <v>0.61034999999999995</v>
      </c>
      <c r="M271">
        <v>10.837</v>
      </c>
      <c r="N271">
        <v>3.4460000000000002</v>
      </c>
      <c r="O271">
        <v>0.373</v>
      </c>
      <c r="P271">
        <v>2.1999999999999999E-2</v>
      </c>
      <c r="Q271">
        <v>4.0000000000000001E-3</v>
      </c>
      <c r="R271">
        <v>17.007000000000001</v>
      </c>
      <c r="S271">
        <v>18.5733</v>
      </c>
      <c r="T271">
        <v>0.42</v>
      </c>
      <c r="U271">
        <v>1.6459999999999999</v>
      </c>
    </row>
    <row r="272" spans="1:21" x14ac:dyDescent="0.25">
      <c r="A272" t="s">
        <v>756</v>
      </c>
      <c r="B272" t="s">
        <v>105</v>
      </c>
      <c r="C272">
        <v>28</v>
      </c>
      <c r="D272" t="s">
        <v>31</v>
      </c>
      <c r="E272">
        <v>9.8044874833748192</v>
      </c>
      <c r="G272">
        <v>1.0611999999999999</v>
      </c>
      <c r="H272">
        <v>5.4640000000000004</v>
      </c>
      <c r="K272">
        <v>0.60929999999999995</v>
      </c>
      <c r="L272">
        <v>0.45190000000000002</v>
      </c>
      <c r="M272">
        <v>4.6349999999999998</v>
      </c>
      <c r="N272">
        <v>2.4180000000000001</v>
      </c>
      <c r="O272">
        <v>1.361</v>
      </c>
      <c r="P272">
        <v>1.4E-2</v>
      </c>
      <c r="Q272">
        <v>3.6999999999999998E-2</v>
      </c>
      <c r="R272">
        <v>23.7239</v>
      </c>
      <c r="S272">
        <v>19.6996</v>
      </c>
      <c r="T272">
        <v>0.51</v>
      </c>
      <c r="U272">
        <v>1.0589999999999999</v>
      </c>
    </row>
    <row r="273" spans="1:21" x14ac:dyDescent="0.25">
      <c r="A273" t="s">
        <v>1010</v>
      </c>
      <c r="B273" t="s">
        <v>103</v>
      </c>
      <c r="C273">
        <v>29</v>
      </c>
      <c r="D273" t="s">
        <v>7</v>
      </c>
      <c r="E273">
        <v>11.676189907236701</v>
      </c>
      <c r="G273">
        <v>1.7679</v>
      </c>
      <c r="H273">
        <v>7.6349999999999998</v>
      </c>
      <c r="K273">
        <v>0.80279999999999996</v>
      </c>
      <c r="L273">
        <v>0.96509999999999996</v>
      </c>
      <c r="M273">
        <v>15.23</v>
      </c>
      <c r="N273">
        <v>1.9610000000000001</v>
      </c>
      <c r="O273">
        <v>1.1319999999999999</v>
      </c>
      <c r="P273">
        <v>0.26200000000000001</v>
      </c>
      <c r="Q273">
        <v>4.0000000000000001E-3</v>
      </c>
      <c r="R273">
        <v>1.7</v>
      </c>
      <c r="S273">
        <v>1.6884999999999999</v>
      </c>
      <c r="T273">
        <v>0</v>
      </c>
      <c r="U273">
        <v>0.56699999999999995</v>
      </c>
    </row>
    <row r="274" spans="1:21" x14ac:dyDescent="0.25">
      <c r="A274" t="s">
        <v>696</v>
      </c>
      <c r="B274" t="s">
        <v>104</v>
      </c>
      <c r="C274">
        <v>26</v>
      </c>
      <c r="D274" t="s">
        <v>1028</v>
      </c>
      <c r="E274">
        <v>10.0115356467004</v>
      </c>
      <c r="G274">
        <v>1.2949999999999999</v>
      </c>
      <c r="H274">
        <v>7.64</v>
      </c>
      <c r="K274">
        <v>0.68384999999999996</v>
      </c>
      <c r="L274">
        <v>0.61114999999999997</v>
      </c>
      <c r="M274">
        <v>10.153</v>
      </c>
      <c r="N274">
        <v>2.2839999999999998</v>
      </c>
      <c r="O274">
        <v>0.748</v>
      </c>
      <c r="P274">
        <v>6.8000000000000005E-2</v>
      </c>
      <c r="Q274">
        <v>5.0000000000000001E-3</v>
      </c>
      <c r="R274">
        <v>1.5309999999999999</v>
      </c>
      <c r="S274">
        <v>3.3912</v>
      </c>
      <c r="T274">
        <v>0.43</v>
      </c>
      <c r="U274">
        <v>0.83199999999999996</v>
      </c>
    </row>
    <row r="275" spans="1:21" x14ac:dyDescent="0.25">
      <c r="A275" t="s">
        <v>585</v>
      </c>
      <c r="B275" t="s">
        <v>105</v>
      </c>
      <c r="C275">
        <v>24</v>
      </c>
      <c r="D275" t="s">
        <v>6</v>
      </c>
      <c r="E275">
        <v>14.4848234216434</v>
      </c>
      <c r="G275">
        <v>1.2759499999999999</v>
      </c>
      <c r="H275">
        <v>5.7089999999999996</v>
      </c>
      <c r="K275">
        <v>0.52259999999999995</v>
      </c>
      <c r="L275">
        <v>0.75334999999999996</v>
      </c>
      <c r="M275">
        <v>3.0070000000000001</v>
      </c>
      <c r="N275">
        <v>2.694</v>
      </c>
      <c r="O275">
        <v>1.0509999999999999</v>
      </c>
      <c r="P275">
        <v>7.3999999999999996E-2</v>
      </c>
      <c r="Q275">
        <v>1E-3</v>
      </c>
      <c r="R275">
        <v>6.9035000000000002</v>
      </c>
      <c r="S275">
        <v>12.356199999999999</v>
      </c>
      <c r="T275" t="s">
        <v>1054</v>
      </c>
      <c r="U275">
        <v>0.56599999999999995</v>
      </c>
    </row>
    <row r="276" spans="1:21" x14ac:dyDescent="0.25">
      <c r="A276" t="s">
        <v>268</v>
      </c>
      <c r="B276" t="s">
        <v>102</v>
      </c>
      <c r="C276">
        <v>27</v>
      </c>
      <c r="D276" t="s">
        <v>18</v>
      </c>
      <c r="E276">
        <v>17.090409950879099</v>
      </c>
      <c r="G276">
        <v>2.5688</v>
      </c>
      <c r="H276">
        <v>8.7469999999999999</v>
      </c>
      <c r="K276">
        <v>1.20635</v>
      </c>
      <c r="L276">
        <v>1.3624499999999999</v>
      </c>
      <c r="M276">
        <v>2.4390000000000001</v>
      </c>
      <c r="N276">
        <v>1.6950000000000001</v>
      </c>
      <c r="O276">
        <v>0.69799999999999995</v>
      </c>
      <c r="P276">
        <v>2.8000000000000001E-2</v>
      </c>
      <c r="Q276">
        <v>0</v>
      </c>
      <c r="R276">
        <v>0.20610000000000001</v>
      </c>
      <c r="S276">
        <v>0.2412</v>
      </c>
      <c r="T276">
        <v>0.42</v>
      </c>
      <c r="U276">
        <v>1.0069999999999999</v>
      </c>
    </row>
    <row r="277" spans="1:21" x14ac:dyDescent="0.25">
      <c r="A277" t="s">
        <v>860</v>
      </c>
      <c r="B277" t="s">
        <v>103</v>
      </c>
      <c r="C277">
        <v>24</v>
      </c>
      <c r="D277" t="s">
        <v>23</v>
      </c>
      <c r="E277">
        <v>13.7675449627096</v>
      </c>
      <c r="G277">
        <v>1.5477000000000001</v>
      </c>
      <c r="H277">
        <v>7.7629999999999999</v>
      </c>
      <c r="K277">
        <v>0.84550000000000003</v>
      </c>
      <c r="L277">
        <v>0.70220000000000005</v>
      </c>
      <c r="M277">
        <v>2.581</v>
      </c>
      <c r="N277">
        <v>2.5059999999999998</v>
      </c>
      <c r="O277">
        <v>0.40200000000000002</v>
      </c>
      <c r="P277">
        <v>0.01</v>
      </c>
      <c r="Q277">
        <v>2E-3</v>
      </c>
      <c r="R277">
        <v>1.4475</v>
      </c>
      <c r="S277">
        <v>2.3847999999999998</v>
      </c>
      <c r="T277">
        <v>0.41</v>
      </c>
      <c r="U277">
        <v>0.67900000000000005</v>
      </c>
    </row>
    <row r="278" spans="1:21" x14ac:dyDescent="0.25">
      <c r="A278" t="s">
        <v>790</v>
      </c>
      <c r="B278" t="s">
        <v>104</v>
      </c>
      <c r="C278">
        <v>25</v>
      </c>
      <c r="D278" t="s">
        <v>1142</v>
      </c>
      <c r="E278">
        <v>10.299476797883401</v>
      </c>
      <c r="G278">
        <v>1.6214</v>
      </c>
      <c r="H278">
        <v>4.7949999999999999</v>
      </c>
      <c r="K278">
        <v>0.79754999999999998</v>
      </c>
      <c r="L278">
        <v>0.82384999999999997</v>
      </c>
      <c r="M278">
        <v>11.712999999999999</v>
      </c>
      <c r="N278">
        <v>1.853</v>
      </c>
      <c r="O278">
        <v>1.573</v>
      </c>
      <c r="P278">
        <v>0.33300000000000002</v>
      </c>
      <c r="Q278">
        <v>7.8E-2</v>
      </c>
      <c r="R278">
        <v>1.0665</v>
      </c>
      <c r="S278">
        <v>1.3384</v>
      </c>
      <c r="T278">
        <v>0</v>
      </c>
      <c r="U278">
        <v>0.82099999999999995</v>
      </c>
    </row>
    <row r="279" spans="1:21" x14ac:dyDescent="0.25">
      <c r="A279" t="s">
        <v>973</v>
      </c>
      <c r="B279" t="s">
        <v>1143</v>
      </c>
      <c r="C279">
        <v>30</v>
      </c>
      <c r="D279" t="s">
        <v>1144</v>
      </c>
      <c r="E279">
        <v>7.33883914652675</v>
      </c>
      <c r="G279">
        <v>1.1233500000000001</v>
      </c>
      <c r="H279">
        <v>4.766</v>
      </c>
      <c r="K279">
        <v>0.56540000000000001</v>
      </c>
      <c r="L279">
        <v>0.55794999999999995</v>
      </c>
      <c r="M279">
        <v>16.321999999999999</v>
      </c>
      <c r="N279">
        <v>2.5910000000000002</v>
      </c>
      <c r="O279">
        <v>2.7429999999999999</v>
      </c>
      <c r="P279">
        <v>0.73099999999999998</v>
      </c>
      <c r="Q279">
        <v>0.28699999999999998</v>
      </c>
      <c r="R279">
        <v>3.5602</v>
      </c>
      <c r="S279">
        <v>3.2061999999999999</v>
      </c>
      <c r="T279">
        <v>0.34</v>
      </c>
      <c r="U279">
        <v>0.95399999999999996</v>
      </c>
    </row>
    <row r="280" spans="1:21" x14ac:dyDescent="0.25">
      <c r="A280" t="s">
        <v>258</v>
      </c>
      <c r="B280" t="s">
        <v>102</v>
      </c>
      <c r="C280">
        <v>28</v>
      </c>
      <c r="D280" t="s">
        <v>9</v>
      </c>
      <c r="E280">
        <v>16.215589060012601</v>
      </c>
      <c r="G280">
        <v>2.3708</v>
      </c>
      <c r="H280">
        <v>9.3350000000000009</v>
      </c>
      <c r="K280">
        <v>1.33955</v>
      </c>
      <c r="L280">
        <v>1.03125</v>
      </c>
      <c r="M280">
        <v>0.92600000000000005</v>
      </c>
      <c r="N280">
        <v>1.137</v>
      </c>
      <c r="O280">
        <v>0.193</v>
      </c>
      <c r="P280">
        <v>6.0000000000000001E-3</v>
      </c>
      <c r="Q280">
        <v>0</v>
      </c>
      <c r="R280">
        <v>0.26690000000000003</v>
      </c>
      <c r="S280">
        <v>0.35730000000000001</v>
      </c>
      <c r="T280">
        <v>0.35</v>
      </c>
      <c r="U280">
        <v>1.133</v>
      </c>
    </row>
    <row r="281" spans="1:21" x14ac:dyDescent="0.25">
      <c r="A281" t="s">
        <v>1145</v>
      </c>
      <c r="B281" t="s">
        <v>102</v>
      </c>
      <c r="C281">
        <v>25</v>
      </c>
      <c r="D281" t="s">
        <v>20</v>
      </c>
      <c r="E281">
        <v>10.650135896474101</v>
      </c>
      <c r="G281">
        <v>1.5624</v>
      </c>
      <c r="H281">
        <v>5.1180000000000003</v>
      </c>
      <c r="K281">
        <v>0.66800000000000004</v>
      </c>
      <c r="L281">
        <v>0.89439999999999997</v>
      </c>
      <c r="M281">
        <v>9.8520000000000003</v>
      </c>
      <c r="N281">
        <v>1.7110000000000001</v>
      </c>
      <c r="O281">
        <v>0.622</v>
      </c>
      <c r="P281">
        <v>0.153</v>
      </c>
      <c r="Q281">
        <v>1.2E-2</v>
      </c>
      <c r="R281">
        <v>16.247399999999999</v>
      </c>
      <c r="S281">
        <v>21.246099999999998</v>
      </c>
      <c r="T281">
        <v>0.41</v>
      </c>
      <c r="U281">
        <v>1.2849999999999999</v>
      </c>
    </row>
    <row r="282" spans="1:21" x14ac:dyDescent="0.25">
      <c r="A282" t="s">
        <v>650</v>
      </c>
      <c r="B282" t="s">
        <v>103</v>
      </c>
      <c r="C282">
        <v>36</v>
      </c>
      <c r="D282" t="s">
        <v>36</v>
      </c>
      <c r="E282">
        <v>11.658162650414599</v>
      </c>
      <c r="G282">
        <v>1.5449999999999999</v>
      </c>
      <c r="H282">
        <v>7.6989999999999998</v>
      </c>
      <c r="K282">
        <v>0.65825</v>
      </c>
      <c r="L282">
        <v>0.88675000000000004</v>
      </c>
      <c r="M282">
        <v>4.3929999999999998</v>
      </c>
      <c r="N282">
        <v>1.9970000000000001</v>
      </c>
      <c r="O282">
        <v>0.92800000000000005</v>
      </c>
      <c r="P282">
        <v>2.1000000000000001E-2</v>
      </c>
      <c r="Q282">
        <v>2.5000000000000001E-2</v>
      </c>
      <c r="R282">
        <v>8.0951000000000004</v>
      </c>
      <c r="S282">
        <v>8.1271000000000004</v>
      </c>
      <c r="T282">
        <v>0</v>
      </c>
      <c r="U282">
        <v>0.748</v>
      </c>
    </row>
    <row r="283" spans="1:21" x14ac:dyDescent="0.25">
      <c r="A283" t="s">
        <v>504</v>
      </c>
      <c r="B283" t="s">
        <v>103</v>
      </c>
      <c r="C283">
        <v>33</v>
      </c>
      <c r="D283" t="s">
        <v>20</v>
      </c>
      <c r="E283">
        <v>13.8653032247922</v>
      </c>
      <c r="G283">
        <v>1.89045</v>
      </c>
      <c r="H283">
        <v>7.7590000000000003</v>
      </c>
      <c r="K283">
        <v>0.96294999999999997</v>
      </c>
      <c r="L283">
        <v>0.92749999999999999</v>
      </c>
      <c r="M283">
        <v>4.0359999999999996</v>
      </c>
      <c r="N283">
        <v>1.67</v>
      </c>
      <c r="O283">
        <v>0.82799999999999996</v>
      </c>
      <c r="P283">
        <v>2.1999999999999999E-2</v>
      </c>
      <c r="Q283">
        <v>2.4E-2</v>
      </c>
      <c r="R283">
        <v>0.86070000000000002</v>
      </c>
      <c r="S283">
        <v>1.3344</v>
      </c>
      <c r="T283">
        <v>0.4</v>
      </c>
      <c r="U283">
        <v>0.82299999999999995</v>
      </c>
    </row>
    <row r="284" spans="1:21" x14ac:dyDescent="0.25">
      <c r="A284" t="s">
        <v>1146</v>
      </c>
      <c r="B284" t="s">
        <v>102</v>
      </c>
      <c r="C284">
        <v>22</v>
      </c>
      <c r="D284" t="s">
        <v>21</v>
      </c>
      <c r="E284">
        <v>11.443553586277901</v>
      </c>
      <c r="G284">
        <v>1.4337500000000001</v>
      </c>
      <c r="H284">
        <v>5.15</v>
      </c>
      <c r="K284">
        <v>0.53790000000000004</v>
      </c>
      <c r="L284">
        <v>0.89585000000000004</v>
      </c>
      <c r="M284">
        <v>5.5510000000000002</v>
      </c>
      <c r="N284">
        <v>2.2250000000000001</v>
      </c>
      <c r="O284">
        <v>0.72699999999999998</v>
      </c>
      <c r="P284">
        <v>5.6000000000000001E-2</v>
      </c>
      <c r="Q284">
        <v>1.7000000000000001E-2</v>
      </c>
      <c r="R284">
        <v>3.7058</v>
      </c>
      <c r="S284">
        <v>4.3136000000000001</v>
      </c>
      <c r="T284">
        <v>0.52</v>
      </c>
      <c r="U284">
        <v>0.69199999999999995</v>
      </c>
    </row>
    <row r="285" spans="1:21" x14ac:dyDescent="0.25">
      <c r="A285" t="s">
        <v>822</v>
      </c>
      <c r="B285" t="s">
        <v>105</v>
      </c>
      <c r="C285">
        <v>27</v>
      </c>
      <c r="D285" t="s">
        <v>1029</v>
      </c>
      <c r="E285">
        <v>11.0862714671644</v>
      </c>
      <c r="G285">
        <v>1.2256</v>
      </c>
      <c r="H285">
        <v>4.6909999999999998</v>
      </c>
      <c r="K285">
        <v>0.43909999999999999</v>
      </c>
      <c r="L285">
        <v>0.78649999999999998</v>
      </c>
      <c r="M285">
        <v>11.09</v>
      </c>
      <c r="N285">
        <v>2.38</v>
      </c>
      <c r="O285">
        <v>1.135</v>
      </c>
      <c r="P285">
        <v>0.19700000000000001</v>
      </c>
      <c r="Q285">
        <v>7.0000000000000001E-3</v>
      </c>
      <c r="R285">
        <v>12.1478</v>
      </c>
      <c r="S285">
        <v>11.8917</v>
      </c>
      <c r="T285">
        <v>0</v>
      </c>
      <c r="U285">
        <v>0.68700000000000006</v>
      </c>
    </row>
    <row r="286" spans="1:21" x14ac:dyDescent="0.25">
      <c r="A286" t="s">
        <v>633</v>
      </c>
      <c r="B286" t="s">
        <v>74</v>
      </c>
      <c r="C286">
        <v>35</v>
      </c>
      <c r="D286" t="s">
        <v>25</v>
      </c>
      <c r="E286">
        <v>12.3821584831734</v>
      </c>
      <c r="G286">
        <v>1.4575</v>
      </c>
      <c r="H286">
        <v>6.6550000000000002</v>
      </c>
      <c r="K286">
        <v>0.61009999999999998</v>
      </c>
      <c r="L286">
        <v>0.84740000000000004</v>
      </c>
      <c r="M286">
        <v>3.3490000000000002</v>
      </c>
      <c r="N286">
        <v>2.27</v>
      </c>
      <c r="O286">
        <v>0.98399999999999999</v>
      </c>
      <c r="P286">
        <v>6.0000000000000001E-3</v>
      </c>
      <c r="Q286">
        <v>0</v>
      </c>
      <c r="R286">
        <v>23.455500000000001</v>
      </c>
      <c r="S286">
        <v>21.413499999999999</v>
      </c>
      <c r="T286">
        <v>0.51</v>
      </c>
      <c r="U286">
        <v>0.64800000000000002</v>
      </c>
    </row>
    <row r="287" spans="1:21" x14ac:dyDescent="0.25">
      <c r="A287" t="s">
        <v>815</v>
      </c>
      <c r="B287" t="s">
        <v>101</v>
      </c>
      <c r="C287">
        <v>29</v>
      </c>
      <c r="D287" t="s">
        <v>13</v>
      </c>
      <c r="E287">
        <v>10.9150977951382</v>
      </c>
      <c r="G287">
        <v>1.07195</v>
      </c>
      <c r="H287">
        <v>6.165</v>
      </c>
      <c r="K287">
        <v>0.47920000000000001</v>
      </c>
      <c r="L287">
        <v>0.59275</v>
      </c>
      <c r="M287">
        <v>4.2640000000000002</v>
      </c>
      <c r="N287">
        <v>2.6930000000000001</v>
      </c>
      <c r="O287">
        <v>1.1850000000000001</v>
      </c>
      <c r="P287">
        <v>7.4999999999999997E-2</v>
      </c>
      <c r="Q287">
        <v>6.0000000000000001E-3</v>
      </c>
      <c r="R287">
        <v>18.430800000000001</v>
      </c>
      <c r="S287">
        <v>17.7135</v>
      </c>
      <c r="T287">
        <v>0.52</v>
      </c>
      <c r="U287">
        <v>1.538</v>
      </c>
    </row>
    <row r="288" spans="1:21" x14ac:dyDescent="0.25">
      <c r="A288" t="s">
        <v>330</v>
      </c>
      <c r="B288" t="s">
        <v>104</v>
      </c>
      <c r="C288">
        <v>27</v>
      </c>
      <c r="D288" t="s">
        <v>13</v>
      </c>
      <c r="E288">
        <v>13.1810704245112</v>
      </c>
      <c r="G288">
        <v>1.8165</v>
      </c>
      <c r="H288">
        <v>7.6059999999999999</v>
      </c>
      <c r="K288">
        <v>0.95430000000000004</v>
      </c>
      <c r="L288">
        <v>0.86219999999999997</v>
      </c>
      <c r="M288">
        <v>8.8689999999999998</v>
      </c>
      <c r="N288">
        <v>2.5150000000000001</v>
      </c>
      <c r="O288">
        <v>0.76100000000000001</v>
      </c>
      <c r="P288">
        <v>0.13700000000000001</v>
      </c>
      <c r="Q288">
        <v>0</v>
      </c>
      <c r="R288">
        <v>1.3119000000000001</v>
      </c>
      <c r="S288">
        <v>2.8197000000000001</v>
      </c>
      <c r="T288">
        <v>0.48</v>
      </c>
      <c r="U288">
        <v>0.84799999999999998</v>
      </c>
    </row>
    <row r="289" spans="1:21" x14ac:dyDescent="0.25">
      <c r="A289" t="s">
        <v>1097</v>
      </c>
      <c r="B289" t="s">
        <v>74</v>
      </c>
      <c r="C289">
        <v>20</v>
      </c>
      <c r="D289" t="s">
        <v>5</v>
      </c>
      <c r="E289">
        <v>15.3775650183737</v>
      </c>
      <c r="G289">
        <v>1.58765</v>
      </c>
      <c r="H289">
        <v>6.3040000000000003</v>
      </c>
      <c r="K289">
        <v>0.74829999999999997</v>
      </c>
      <c r="L289">
        <v>0.99199999999999999</v>
      </c>
      <c r="M289">
        <v>1.7529999999999999</v>
      </c>
      <c r="N289">
        <v>1.8879999999999999</v>
      </c>
      <c r="O289">
        <v>0.53</v>
      </c>
      <c r="P289">
        <v>2.4E-2</v>
      </c>
      <c r="Q289">
        <v>6.0000000000000001E-3</v>
      </c>
      <c r="R289">
        <v>15.2478</v>
      </c>
      <c r="S289">
        <v>22.5044</v>
      </c>
      <c r="T289">
        <v>0</v>
      </c>
      <c r="U289">
        <v>0.54700000000000004</v>
      </c>
    </row>
    <row r="290" spans="1:21" x14ac:dyDescent="0.25">
      <c r="A290" t="s">
        <v>239</v>
      </c>
      <c r="B290" t="s">
        <v>101</v>
      </c>
      <c r="C290">
        <v>29</v>
      </c>
      <c r="D290" t="s">
        <v>16</v>
      </c>
      <c r="E290">
        <v>16.751482799196602</v>
      </c>
      <c r="G290">
        <v>2.8041</v>
      </c>
      <c r="H290">
        <v>5.8730000000000002</v>
      </c>
      <c r="K290">
        <v>0.86819999999999997</v>
      </c>
      <c r="L290">
        <v>1.9359</v>
      </c>
      <c r="M290">
        <v>2.2650000000000001</v>
      </c>
      <c r="N290">
        <v>1.353</v>
      </c>
      <c r="O290">
        <v>0.73799999999999999</v>
      </c>
      <c r="P290">
        <v>5.0000000000000001E-3</v>
      </c>
      <c r="Q290">
        <v>2.8000000000000001E-2</v>
      </c>
      <c r="R290">
        <v>25.7195</v>
      </c>
      <c r="S290">
        <v>20.6387</v>
      </c>
      <c r="T290" t="s">
        <v>1054</v>
      </c>
      <c r="U290">
        <v>0.41699999999999998</v>
      </c>
    </row>
    <row r="291" spans="1:21" x14ac:dyDescent="0.25">
      <c r="A291" t="s">
        <v>974</v>
      </c>
      <c r="B291" t="s">
        <v>1108</v>
      </c>
      <c r="C291">
        <v>24</v>
      </c>
      <c r="D291" t="s">
        <v>23</v>
      </c>
      <c r="E291">
        <v>11.1548612741136</v>
      </c>
      <c r="G291">
        <v>1.29325</v>
      </c>
      <c r="H291">
        <v>5.5389999999999997</v>
      </c>
      <c r="K291">
        <v>0.61875000000000002</v>
      </c>
      <c r="L291">
        <v>0.67449999999999999</v>
      </c>
      <c r="M291">
        <v>4.9320000000000004</v>
      </c>
      <c r="N291">
        <v>1.931</v>
      </c>
      <c r="O291">
        <v>0.35499999999999998</v>
      </c>
      <c r="P291">
        <v>2.5999999999999999E-2</v>
      </c>
      <c r="Q291">
        <v>8.0000000000000002E-3</v>
      </c>
      <c r="R291">
        <v>1.5186999999999999</v>
      </c>
      <c r="S291">
        <v>1.6727000000000001</v>
      </c>
      <c r="T291">
        <v>0.52</v>
      </c>
      <c r="U291">
        <v>0.626</v>
      </c>
    </row>
    <row r="292" spans="1:21" x14ac:dyDescent="0.25">
      <c r="A292" t="s">
        <v>617</v>
      </c>
      <c r="B292" t="s">
        <v>104</v>
      </c>
      <c r="C292">
        <v>30</v>
      </c>
      <c r="D292" t="s">
        <v>13</v>
      </c>
      <c r="E292">
        <v>9.6470574538818301</v>
      </c>
      <c r="G292">
        <v>1.0163</v>
      </c>
      <c r="H292">
        <v>5.202</v>
      </c>
      <c r="K292">
        <v>0.40284999999999999</v>
      </c>
      <c r="L292">
        <v>0.61345000000000005</v>
      </c>
      <c r="M292">
        <v>18.378</v>
      </c>
      <c r="N292">
        <v>2.5920000000000001</v>
      </c>
      <c r="O292">
        <v>1.895</v>
      </c>
      <c r="P292">
        <v>1.0529999999999999</v>
      </c>
      <c r="Q292">
        <v>0.42399999999999999</v>
      </c>
      <c r="R292">
        <v>0.8619</v>
      </c>
      <c r="S292">
        <v>1.8216000000000001</v>
      </c>
      <c r="T292">
        <v>0.46</v>
      </c>
      <c r="U292">
        <v>1.1299999999999999</v>
      </c>
    </row>
    <row r="293" spans="1:21" x14ac:dyDescent="0.25">
      <c r="A293" t="s">
        <v>827</v>
      </c>
      <c r="B293" t="s">
        <v>105</v>
      </c>
      <c r="C293">
        <v>26</v>
      </c>
      <c r="D293" t="s">
        <v>14</v>
      </c>
      <c r="E293">
        <v>9.9895976023757207</v>
      </c>
      <c r="G293">
        <v>1.3744499999999999</v>
      </c>
      <c r="H293">
        <v>4.2910000000000004</v>
      </c>
      <c r="K293">
        <v>0.51915</v>
      </c>
      <c r="L293">
        <v>0.85529999999999995</v>
      </c>
      <c r="M293">
        <v>4.0999999999999996</v>
      </c>
      <c r="N293">
        <v>2.0699999999999998</v>
      </c>
      <c r="O293">
        <v>0.74</v>
      </c>
      <c r="P293">
        <v>2.5999999999999999E-2</v>
      </c>
      <c r="Q293">
        <v>6.0000000000000001E-3</v>
      </c>
      <c r="R293">
        <v>11.014900000000001</v>
      </c>
      <c r="S293">
        <v>18.0136</v>
      </c>
      <c r="T293" t="s">
        <v>1054</v>
      </c>
      <c r="U293">
        <v>0.35899999999999999</v>
      </c>
    </row>
    <row r="294" spans="1:21" x14ac:dyDescent="0.25">
      <c r="A294" t="s">
        <v>1106</v>
      </c>
      <c r="B294" t="s">
        <v>74</v>
      </c>
      <c r="C294">
        <v>20</v>
      </c>
      <c r="D294" t="s">
        <v>13</v>
      </c>
      <c r="E294">
        <v>14.12548</v>
      </c>
      <c r="G294">
        <v>1.6894</v>
      </c>
      <c r="H294">
        <v>6.8259999999999996</v>
      </c>
      <c r="K294">
        <v>0.92449999999999999</v>
      </c>
      <c r="L294">
        <v>0.99246999999999996</v>
      </c>
      <c r="M294">
        <v>2.7</v>
      </c>
      <c r="N294">
        <v>1.5780000000000001</v>
      </c>
      <c r="O294">
        <v>0.52900000000000003</v>
      </c>
      <c r="P294">
        <v>2.1000000000000001E-2</v>
      </c>
      <c r="Q294">
        <v>5.0000000000000001E-3</v>
      </c>
      <c r="R294">
        <v>14.125400000000001</v>
      </c>
      <c r="S294">
        <v>20.355399999999999</v>
      </c>
      <c r="T294" t="s">
        <v>1054</v>
      </c>
      <c r="U294">
        <v>0.58099999999999996</v>
      </c>
    </row>
    <row r="295" spans="1:21" x14ac:dyDescent="0.25">
      <c r="A295" t="s">
        <v>412</v>
      </c>
      <c r="B295" t="s">
        <v>74</v>
      </c>
      <c r="C295">
        <v>35</v>
      </c>
      <c r="D295" t="s">
        <v>33</v>
      </c>
      <c r="E295">
        <v>13.7081131964944</v>
      </c>
      <c r="G295">
        <v>2.1193499999999998</v>
      </c>
      <c r="H295">
        <v>7.008</v>
      </c>
      <c r="K295">
        <v>0.91405000000000003</v>
      </c>
      <c r="L295">
        <v>1.2053</v>
      </c>
      <c r="M295">
        <v>5.5810000000000004</v>
      </c>
      <c r="N295">
        <v>2.85</v>
      </c>
      <c r="O295">
        <v>0.318</v>
      </c>
      <c r="P295">
        <v>3.7999999999999999E-2</v>
      </c>
      <c r="Q295">
        <v>1E-3</v>
      </c>
      <c r="R295">
        <v>27.6205</v>
      </c>
      <c r="S295">
        <v>28.5457</v>
      </c>
      <c r="T295">
        <v>0</v>
      </c>
      <c r="U295">
        <v>0.45800000000000002</v>
      </c>
    </row>
    <row r="296" spans="1:21" x14ac:dyDescent="0.25">
      <c r="A296" t="s">
        <v>670</v>
      </c>
      <c r="B296" t="s">
        <v>104</v>
      </c>
      <c r="C296">
        <v>28</v>
      </c>
      <c r="D296" t="s">
        <v>11</v>
      </c>
      <c r="E296">
        <v>12.4225446166355</v>
      </c>
      <c r="G296">
        <v>1.4719</v>
      </c>
      <c r="H296">
        <v>6.141</v>
      </c>
      <c r="K296">
        <v>0.62209999999999999</v>
      </c>
      <c r="L296">
        <v>0.8498</v>
      </c>
      <c r="M296">
        <v>4.5350000000000001</v>
      </c>
      <c r="N296">
        <v>2.577</v>
      </c>
      <c r="O296">
        <v>0.89800000000000002</v>
      </c>
      <c r="P296">
        <v>0.123</v>
      </c>
      <c r="Q296">
        <v>0</v>
      </c>
      <c r="R296">
        <v>0.87380000000000002</v>
      </c>
      <c r="S296">
        <v>0.7994</v>
      </c>
      <c r="T296">
        <v>0.37</v>
      </c>
      <c r="U296">
        <v>0.80800000000000005</v>
      </c>
    </row>
    <row r="297" spans="1:21" x14ac:dyDescent="0.25">
      <c r="A297" t="s">
        <v>1147</v>
      </c>
      <c r="B297" t="s">
        <v>105</v>
      </c>
      <c r="C297">
        <v>21</v>
      </c>
      <c r="D297" t="s">
        <v>17</v>
      </c>
      <c r="E297">
        <v>14</v>
      </c>
      <c r="G297">
        <v>2.1370499999999999</v>
      </c>
      <c r="H297">
        <v>8.2829999999999995</v>
      </c>
      <c r="K297">
        <v>0.91949999999999998</v>
      </c>
      <c r="L297">
        <v>1.2175499999999999</v>
      </c>
      <c r="M297">
        <v>4.0990000000000002</v>
      </c>
      <c r="N297">
        <v>2.1680000000000001</v>
      </c>
      <c r="O297">
        <v>0.48499999999999999</v>
      </c>
      <c r="P297">
        <v>4.2000000000000003E-2</v>
      </c>
      <c r="Q297">
        <v>1.2E-2</v>
      </c>
      <c r="R297">
        <v>3.7932000000000001</v>
      </c>
      <c r="S297">
        <v>3.2542</v>
      </c>
      <c r="T297">
        <v>0.46</v>
      </c>
      <c r="U297">
        <v>0.78300000000000003</v>
      </c>
    </row>
    <row r="298" spans="1:21" x14ac:dyDescent="0.25">
      <c r="A298" t="s">
        <v>355</v>
      </c>
      <c r="B298" t="s">
        <v>103</v>
      </c>
      <c r="C298">
        <v>22</v>
      </c>
      <c r="D298" t="s">
        <v>2</v>
      </c>
      <c r="E298">
        <v>14.799442610009001</v>
      </c>
      <c r="G298">
        <v>1.99535</v>
      </c>
      <c r="H298">
        <v>6.2930000000000001</v>
      </c>
      <c r="K298">
        <v>0.90469999999999995</v>
      </c>
      <c r="L298">
        <v>1.0906499999999999</v>
      </c>
      <c r="M298">
        <v>2.5910000000000002</v>
      </c>
      <c r="N298">
        <v>1.3640000000000001</v>
      </c>
      <c r="O298">
        <v>0.496</v>
      </c>
      <c r="P298">
        <v>6.0000000000000001E-3</v>
      </c>
      <c r="Q298">
        <v>0</v>
      </c>
      <c r="R298">
        <v>0.39389999999999997</v>
      </c>
      <c r="S298">
        <v>0.4662</v>
      </c>
      <c r="T298">
        <v>0</v>
      </c>
      <c r="U298">
        <v>0.55300000000000005</v>
      </c>
    </row>
    <row r="299" spans="1:21" x14ac:dyDescent="0.25">
      <c r="A299" t="s">
        <v>857</v>
      </c>
      <c r="B299" t="s">
        <v>101</v>
      </c>
      <c r="C299">
        <v>22</v>
      </c>
      <c r="D299" t="s">
        <v>21</v>
      </c>
      <c r="E299">
        <v>12.6144929983935</v>
      </c>
      <c r="G299">
        <v>1.4288000000000001</v>
      </c>
      <c r="H299">
        <v>5.5540000000000003</v>
      </c>
      <c r="K299">
        <v>0.60640000000000005</v>
      </c>
      <c r="L299">
        <v>0.82240000000000002</v>
      </c>
      <c r="M299">
        <v>1.835</v>
      </c>
      <c r="N299">
        <v>2.2530000000000001</v>
      </c>
      <c r="O299">
        <v>0.51400000000000001</v>
      </c>
      <c r="P299">
        <v>1.4999999999999999E-2</v>
      </c>
      <c r="Q299">
        <v>4.0000000000000001E-3</v>
      </c>
      <c r="R299">
        <v>4.8074000000000003</v>
      </c>
      <c r="S299">
        <v>6.1296999999999997</v>
      </c>
      <c r="T299">
        <v>0</v>
      </c>
      <c r="U299">
        <v>0.65400000000000003</v>
      </c>
    </row>
    <row r="300" spans="1:21" x14ac:dyDescent="0.25">
      <c r="A300" t="s">
        <v>1148</v>
      </c>
      <c r="B300" t="s">
        <v>103</v>
      </c>
      <c r="C300">
        <v>25</v>
      </c>
      <c r="D300" t="s">
        <v>4</v>
      </c>
      <c r="E300">
        <v>11.445418459107399</v>
      </c>
      <c r="G300">
        <v>1.2392000000000001</v>
      </c>
      <c r="H300">
        <v>2.7469999999999999</v>
      </c>
      <c r="K300">
        <v>0.30804999999999999</v>
      </c>
      <c r="L300">
        <v>0.93115000000000003</v>
      </c>
      <c r="M300">
        <v>3.2480000000000002</v>
      </c>
      <c r="N300">
        <v>2.4020000000000001</v>
      </c>
      <c r="O300">
        <v>0.33300000000000002</v>
      </c>
      <c r="P300">
        <v>5.7000000000000002E-2</v>
      </c>
      <c r="Q300">
        <v>1.7000000000000001E-2</v>
      </c>
      <c r="R300">
        <v>4.4903000000000004</v>
      </c>
      <c r="S300">
        <v>3.8534000000000002</v>
      </c>
      <c r="T300">
        <v>0.52</v>
      </c>
      <c r="U300">
        <v>1.716</v>
      </c>
    </row>
    <row r="301" spans="1:21" x14ac:dyDescent="0.25">
      <c r="A301" t="s">
        <v>949</v>
      </c>
      <c r="B301" t="s">
        <v>1108</v>
      </c>
      <c r="C301">
        <v>31</v>
      </c>
      <c r="D301" t="s">
        <v>140</v>
      </c>
      <c r="E301">
        <v>11.0059708100321</v>
      </c>
      <c r="G301">
        <v>1.53715</v>
      </c>
      <c r="H301">
        <v>7.117</v>
      </c>
      <c r="K301">
        <v>0.67915000000000003</v>
      </c>
      <c r="L301">
        <v>0.85799999999999998</v>
      </c>
      <c r="M301">
        <v>8.8439999999999994</v>
      </c>
      <c r="N301">
        <v>3.4380000000000002</v>
      </c>
      <c r="O301">
        <v>0.99199999999999999</v>
      </c>
      <c r="P301">
        <v>4.3999999999999997E-2</v>
      </c>
      <c r="Q301">
        <v>1.4E-2</v>
      </c>
      <c r="R301">
        <v>13.6165</v>
      </c>
      <c r="S301">
        <v>14.388500000000001</v>
      </c>
      <c r="T301">
        <v>0</v>
      </c>
      <c r="U301">
        <v>0.59899999999999998</v>
      </c>
    </row>
    <row r="302" spans="1:21" x14ac:dyDescent="0.25">
      <c r="A302" t="s">
        <v>1011</v>
      </c>
      <c r="B302" t="s">
        <v>103</v>
      </c>
      <c r="C302">
        <v>22</v>
      </c>
      <c r="D302" t="s">
        <v>7</v>
      </c>
      <c r="E302">
        <v>12.0433274331322</v>
      </c>
      <c r="G302">
        <v>1.9916</v>
      </c>
      <c r="H302">
        <v>8.4260000000000002</v>
      </c>
      <c r="K302">
        <v>0.95225000000000004</v>
      </c>
      <c r="L302">
        <v>1.03935</v>
      </c>
      <c r="M302">
        <v>1.835</v>
      </c>
      <c r="N302">
        <v>1.5489999999999999</v>
      </c>
      <c r="O302">
        <v>0.48199999999999998</v>
      </c>
      <c r="P302">
        <v>1.4E-2</v>
      </c>
      <c r="Q302">
        <v>3.0000000000000001E-3</v>
      </c>
      <c r="R302">
        <v>0.68740000000000001</v>
      </c>
      <c r="S302">
        <v>0.77759999999999996</v>
      </c>
      <c r="T302">
        <v>0.4</v>
      </c>
      <c r="U302">
        <v>0.94699999999999995</v>
      </c>
    </row>
    <row r="303" spans="1:21" x14ac:dyDescent="0.25">
      <c r="A303" t="s">
        <v>667</v>
      </c>
      <c r="B303" t="s">
        <v>105</v>
      </c>
      <c r="C303">
        <v>35</v>
      </c>
      <c r="D303" t="s">
        <v>19</v>
      </c>
      <c r="E303">
        <v>9.5793732280819306</v>
      </c>
      <c r="G303">
        <v>0.74814999999999998</v>
      </c>
      <c r="H303">
        <v>4.3209999999999997</v>
      </c>
      <c r="K303">
        <v>0.4768</v>
      </c>
      <c r="L303">
        <v>0.27134999999999998</v>
      </c>
      <c r="M303">
        <v>8.9339999999999993</v>
      </c>
      <c r="N303">
        <v>3.3119999999999998</v>
      </c>
      <c r="O303">
        <v>0.70699999999999996</v>
      </c>
      <c r="P303">
        <v>0.124</v>
      </c>
      <c r="Q303">
        <v>9.9000000000000005E-2</v>
      </c>
      <c r="R303">
        <v>30.269300000000001</v>
      </c>
      <c r="S303">
        <v>21.818200000000001</v>
      </c>
      <c r="T303">
        <v>0</v>
      </c>
      <c r="U303">
        <v>0.36</v>
      </c>
    </row>
    <row r="304" spans="1:21" x14ac:dyDescent="0.25">
      <c r="A304" t="s">
        <v>436</v>
      </c>
      <c r="B304" t="s">
        <v>74</v>
      </c>
      <c r="C304">
        <v>27</v>
      </c>
      <c r="D304" t="s">
        <v>33</v>
      </c>
      <c r="E304">
        <v>12.7115379502472</v>
      </c>
      <c r="G304">
        <v>1.127</v>
      </c>
      <c r="H304">
        <v>5.726</v>
      </c>
      <c r="K304">
        <v>0.57789999999999997</v>
      </c>
      <c r="L304">
        <v>0.54910000000000003</v>
      </c>
      <c r="M304">
        <v>9.1660000000000004</v>
      </c>
      <c r="N304">
        <v>2.9849999999999999</v>
      </c>
      <c r="O304">
        <v>1.2470000000000001</v>
      </c>
      <c r="P304">
        <v>0.37</v>
      </c>
      <c r="Q304">
        <v>4.5999999999999999E-2</v>
      </c>
      <c r="R304">
        <v>8.5635999999999992</v>
      </c>
      <c r="S304">
        <v>9.2782999999999998</v>
      </c>
      <c r="T304">
        <v>0.43</v>
      </c>
      <c r="U304">
        <v>0.66700000000000004</v>
      </c>
    </row>
    <row r="305" spans="1:21" x14ac:dyDescent="0.25">
      <c r="A305" t="s">
        <v>987</v>
      </c>
      <c r="B305" t="s">
        <v>1108</v>
      </c>
      <c r="C305">
        <v>25</v>
      </c>
      <c r="D305" t="s">
        <v>21</v>
      </c>
      <c r="E305">
        <v>10.6036853945971</v>
      </c>
      <c r="G305">
        <v>1.0134000000000001</v>
      </c>
      <c r="H305">
        <v>4.2939999999999996</v>
      </c>
      <c r="K305">
        <v>0.4244</v>
      </c>
      <c r="L305">
        <v>0.58899999999999997</v>
      </c>
      <c r="M305">
        <v>10.728999999999999</v>
      </c>
      <c r="N305">
        <v>2.5070000000000001</v>
      </c>
      <c r="O305">
        <v>0.68300000000000005</v>
      </c>
      <c r="P305">
        <v>0.125</v>
      </c>
      <c r="Q305">
        <v>7.0000000000000007E-2</v>
      </c>
      <c r="R305">
        <v>11.1904</v>
      </c>
      <c r="S305">
        <v>14.513400000000001</v>
      </c>
      <c r="T305">
        <v>0</v>
      </c>
      <c r="U305">
        <v>0.32800000000000001</v>
      </c>
    </row>
    <row r="306" spans="1:21" x14ac:dyDescent="0.25">
      <c r="A306" t="s">
        <v>1149</v>
      </c>
      <c r="B306" t="s">
        <v>74</v>
      </c>
      <c r="C306">
        <v>22</v>
      </c>
      <c r="D306" t="s">
        <v>18</v>
      </c>
      <c r="E306">
        <v>11.864286848777899</v>
      </c>
      <c r="G306">
        <v>1.28365</v>
      </c>
      <c r="H306">
        <v>2.8279999999999998</v>
      </c>
      <c r="K306">
        <v>0.30499999999999999</v>
      </c>
      <c r="L306">
        <v>0.97865000000000002</v>
      </c>
      <c r="M306">
        <v>5.3259999999999996</v>
      </c>
      <c r="N306">
        <v>2.5310000000000001</v>
      </c>
      <c r="O306">
        <v>0.89700000000000002</v>
      </c>
      <c r="P306">
        <v>5.3999999999999999E-2</v>
      </c>
      <c r="Q306">
        <v>1.6E-2</v>
      </c>
      <c r="R306">
        <v>12.3832</v>
      </c>
      <c r="S306">
        <v>13.1645</v>
      </c>
      <c r="T306">
        <v>0.4</v>
      </c>
      <c r="U306">
        <v>0.64700000000000002</v>
      </c>
    </row>
    <row r="307" spans="1:21" x14ac:dyDescent="0.25">
      <c r="A307" t="s">
        <v>854</v>
      </c>
      <c r="B307" t="s">
        <v>74</v>
      </c>
      <c r="C307">
        <v>23</v>
      </c>
      <c r="D307" t="s">
        <v>18</v>
      </c>
      <c r="E307">
        <v>14.5</v>
      </c>
      <c r="G307">
        <v>1.1892499999999999</v>
      </c>
      <c r="H307">
        <v>5.5250000000000004</v>
      </c>
      <c r="K307">
        <v>1.05</v>
      </c>
      <c r="L307">
        <v>1</v>
      </c>
      <c r="M307">
        <v>1.821</v>
      </c>
      <c r="N307">
        <v>2.0979999999999999</v>
      </c>
      <c r="O307">
        <v>0.89400000000000002</v>
      </c>
      <c r="P307">
        <v>1.2999999999999999E-2</v>
      </c>
      <c r="Q307">
        <v>3.0000000000000001E-3</v>
      </c>
      <c r="R307">
        <v>17.0154</v>
      </c>
      <c r="S307">
        <v>19.270900000000001</v>
      </c>
      <c r="T307">
        <v>0.47</v>
      </c>
      <c r="U307">
        <v>0.52700000000000002</v>
      </c>
    </row>
    <row r="308" spans="1:21" x14ac:dyDescent="0.25">
      <c r="A308" t="s">
        <v>362</v>
      </c>
      <c r="B308" t="s">
        <v>104</v>
      </c>
      <c r="C308">
        <v>33</v>
      </c>
      <c r="D308" t="s">
        <v>18</v>
      </c>
      <c r="E308">
        <v>12.0005439425607</v>
      </c>
      <c r="G308">
        <v>1.65055</v>
      </c>
      <c r="H308">
        <v>4.4000000000000004</v>
      </c>
      <c r="K308">
        <v>0.71640000000000004</v>
      </c>
      <c r="L308">
        <v>0.93415000000000004</v>
      </c>
      <c r="M308">
        <v>13.888999999999999</v>
      </c>
      <c r="N308">
        <v>2.7229999999999999</v>
      </c>
      <c r="O308">
        <v>1.0660000000000001</v>
      </c>
      <c r="P308">
        <v>0.57099999999999995</v>
      </c>
      <c r="Q308">
        <v>7.8E-2</v>
      </c>
      <c r="R308">
        <v>0.76629999999999998</v>
      </c>
      <c r="S308">
        <v>0.84109999999999996</v>
      </c>
      <c r="T308">
        <v>0.53</v>
      </c>
      <c r="U308">
        <v>1.05</v>
      </c>
    </row>
    <row r="309" spans="1:21" x14ac:dyDescent="0.25">
      <c r="A309" t="s">
        <v>682</v>
      </c>
      <c r="B309" t="s">
        <v>104</v>
      </c>
      <c r="C309">
        <v>34</v>
      </c>
      <c r="D309" t="s">
        <v>18</v>
      </c>
      <c r="E309">
        <v>13.501431725638399</v>
      </c>
      <c r="G309">
        <v>1.3641000000000001</v>
      </c>
      <c r="H309">
        <v>5.173</v>
      </c>
      <c r="K309">
        <v>0.51649999999999996</v>
      </c>
      <c r="L309">
        <v>0.84760000000000002</v>
      </c>
      <c r="M309">
        <v>1.821</v>
      </c>
      <c r="N309">
        <v>1.589</v>
      </c>
      <c r="O309">
        <v>0.315</v>
      </c>
      <c r="P309">
        <v>6.0000000000000001E-3</v>
      </c>
      <c r="Q309">
        <v>0</v>
      </c>
      <c r="R309">
        <v>0.7137</v>
      </c>
      <c r="S309">
        <v>1.4213</v>
      </c>
      <c r="T309">
        <v>0</v>
      </c>
      <c r="U309">
        <v>0.311</v>
      </c>
    </row>
    <row r="310" spans="1:21" x14ac:dyDescent="0.25">
      <c r="A310" t="s">
        <v>886</v>
      </c>
      <c r="B310" t="s">
        <v>74</v>
      </c>
      <c r="C310">
        <v>30</v>
      </c>
      <c r="D310" t="s">
        <v>7</v>
      </c>
      <c r="E310">
        <v>11.1815250816905</v>
      </c>
      <c r="G310">
        <v>1.6880500000000001</v>
      </c>
      <c r="H310">
        <v>6.077</v>
      </c>
      <c r="K310">
        <v>0.71965000000000001</v>
      </c>
      <c r="L310">
        <v>0.96840000000000004</v>
      </c>
      <c r="M310">
        <v>1.974</v>
      </c>
      <c r="N310">
        <v>2.1760000000000002</v>
      </c>
      <c r="O310">
        <v>0.71399999999999997</v>
      </c>
      <c r="P310">
        <v>1.2999999999999999E-2</v>
      </c>
      <c r="Q310">
        <v>2E-3</v>
      </c>
      <c r="R310">
        <v>12.526</v>
      </c>
      <c r="S310">
        <v>12.044700000000001</v>
      </c>
      <c r="T310">
        <v>0.45</v>
      </c>
      <c r="U310">
        <v>1.611</v>
      </c>
    </row>
    <row r="311" spans="1:21" x14ac:dyDescent="0.25">
      <c r="A311" t="s">
        <v>951</v>
      </c>
      <c r="B311" t="s">
        <v>74</v>
      </c>
      <c r="C311">
        <v>25</v>
      </c>
      <c r="D311" t="s">
        <v>15</v>
      </c>
      <c r="E311">
        <v>7.9829096097833396</v>
      </c>
      <c r="G311">
        <v>1.3280000000000001</v>
      </c>
      <c r="H311">
        <v>7.4859999999999998</v>
      </c>
      <c r="K311">
        <v>0.72114999999999996</v>
      </c>
      <c r="L311">
        <v>0.60685</v>
      </c>
      <c r="M311">
        <v>13.951000000000001</v>
      </c>
      <c r="N311">
        <v>3.548</v>
      </c>
      <c r="O311">
        <v>1.454</v>
      </c>
      <c r="P311">
        <v>0.82199999999999995</v>
      </c>
      <c r="Q311">
        <v>0.26</v>
      </c>
      <c r="R311">
        <v>23.380299999999998</v>
      </c>
      <c r="S311">
        <v>19.538799999999998</v>
      </c>
      <c r="T311">
        <v>0.43</v>
      </c>
      <c r="U311">
        <v>0.75800000000000001</v>
      </c>
    </row>
    <row r="312" spans="1:21" x14ac:dyDescent="0.25">
      <c r="A312" t="s">
        <v>333</v>
      </c>
      <c r="B312" t="s">
        <v>74</v>
      </c>
      <c r="C312">
        <v>31</v>
      </c>
      <c r="D312" t="s">
        <v>9</v>
      </c>
      <c r="E312">
        <v>16.891964749024101</v>
      </c>
      <c r="G312">
        <v>2.3308499999999999</v>
      </c>
      <c r="H312">
        <v>5.7619999999999996</v>
      </c>
      <c r="K312">
        <v>1.0015000000000001</v>
      </c>
      <c r="L312">
        <v>1.32935</v>
      </c>
      <c r="M312">
        <v>2.2599999999999998</v>
      </c>
      <c r="N312">
        <v>2.0830000000000002</v>
      </c>
      <c r="O312">
        <v>0.47899999999999998</v>
      </c>
      <c r="P312">
        <v>7.6999999999999999E-2</v>
      </c>
      <c r="Q312">
        <v>5.2999999999999999E-2</v>
      </c>
      <c r="R312">
        <v>22.783899999999999</v>
      </c>
      <c r="S312">
        <v>24.693899999999999</v>
      </c>
      <c r="T312">
        <v>0.44</v>
      </c>
      <c r="U312">
        <v>0.59799999999999998</v>
      </c>
    </row>
    <row r="313" spans="1:21" x14ac:dyDescent="0.25">
      <c r="A313" t="s">
        <v>402</v>
      </c>
      <c r="B313" t="s">
        <v>103</v>
      </c>
      <c r="C313">
        <v>32</v>
      </c>
      <c r="D313" t="s">
        <v>28</v>
      </c>
      <c r="E313">
        <v>14.2301953757623</v>
      </c>
      <c r="G313">
        <v>2.3229000000000002</v>
      </c>
      <c r="H313">
        <v>6.0490000000000004</v>
      </c>
      <c r="K313">
        <v>0.77749999999999997</v>
      </c>
      <c r="L313">
        <v>1.5454000000000001</v>
      </c>
      <c r="M313">
        <v>1.98</v>
      </c>
      <c r="N313">
        <v>2.4249999999999998</v>
      </c>
      <c r="O313">
        <v>0.374</v>
      </c>
      <c r="P313">
        <v>8.0000000000000002E-3</v>
      </c>
      <c r="Q313">
        <v>0</v>
      </c>
      <c r="R313">
        <v>0.44159999999999999</v>
      </c>
      <c r="S313">
        <v>0.65259999999999996</v>
      </c>
      <c r="T313">
        <v>0.41</v>
      </c>
      <c r="U313">
        <v>1.6679999999999999</v>
      </c>
    </row>
    <row r="314" spans="1:21" x14ac:dyDescent="0.25">
      <c r="A314" t="s">
        <v>1012</v>
      </c>
      <c r="B314" t="s">
        <v>103</v>
      </c>
      <c r="C314">
        <v>25</v>
      </c>
      <c r="D314" t="s">
        <v>136</v>
      </c>
      <c r="E314">
        <v>10.2965986027813</v>
      </c>
      <c r="G314">
        <v>1.4936</v>
      </c>
      <c r="H314">
        <v>6.758</v>
      </c>
      <c r="K314">
        <v>0.61890000000000001</v>
      </c>
      <c r="L314">
        <v>0.87470000000000003</v>
      </c>
      <c r="M314">
        <v>4.3460000000000001</v>
      </c>
      <c r="N314">
        <v>1.581</v>
      </c>
      <c r="O314">
        <v>0.48699999999999999</v>
      </c>
      <c r="P314">
        <v>4.2000000000000003E-2</v>
      </c>
      <c r="Q314">
        <v>1.2999999999999999E-2</v>
      </c>
      <c r="R314">
        <v>2.6539999999999999</v>
      </c>
      <c r="S314">
        <v>2.7886000000000002</v>
      </c>
      <c r="T314">
        <v>0.51</v>
      </c>
      <c r="U314">
        <v>1.4379999999999999</v>
      </c>
    </row>
    <row r="315" spans="1:21" x14ac:dyDescent="0.25">
      <c r="A315" t="s">
        <v>467</v>
      </c>
      <c r="B315" t="s">
        <v>103</v>
      </c>
      <c r="C315">
        <v>26</v>
      </c>
      <c r="D315" t="s">
        <v>34</v>
      </c>
      <c r="E315">
        <v>14.849039285463601</v>
      </c>
      <c r="G315">
        <v>2.0627499999999999</v>
      </c>
      <c r="H315">
        <v>9.0169999999999995</v>
      </c>
      <c r="K315">
        <v>0.81410000000000005</v>
      </c>
      <c r="L315">
        <v>1.24865</v>
      </c>
      <c r="M315">
        <v>3.1379999999999999</v>
      </c>
      <c r="N315">
        <v>1.4570000000000001</v>
      </c>
      <c r="O315">
        <v>0.88800000000000001</v>
      </c>
      <c r="P315">
        <v>6.0000000000000001E-3</v>
      </c>
      <c r="Q315">
        <v>0</v>
      </c>
      <c r="R315">
        <v>2.9883999999999999</v>
      </c>
      <c r="S315">
        <v>4.8232999999999997</v>
      </c>
      <c r="T315">
        <v>0</v>
      </c>
      <c r="U315">
        <v>0.42099999999999999</v>
      </c>
    </row>
    <row r="316" spans="1:21" x14ac:dyDescent="0.25">
      <c r="A316" t="s">
        <v>1150</v>
      </c>
      <c r="B316" t="s">
        <v>105</v>
      </c>
      <c r="C316">
        <v>25</v>
      </c>
      <c r="D316" t="s">
        <v>22</v>
      </c>
      <c r="E316">
        <v>13</v>
      </c>
      <c r="G316">
        <v>1.8228500000000001</v>
      </c>
      <c r="H316">
        <v>8.7279999999999998</v>
      </c>
      <c r="K316">
        <v>0.73440000000000005</v>
      </c>
      <c r="L316">
        <v>1.0884499999999999</v>
      </c>
      <c r="M316">
        <v>15.757999999999999</v>
      </c>
      <c r="N316">
        <v>1.8720000000000001</v>
      </c>
      <c r="O316">
        <v>2.1760000000000002</v>
      </c>
      <c r="P316">
        <v>0.20599999999999999</v>
      </c>
      <c r="Q316">
        <v>0.186</v>
      </c>
      <c r="R316">
        <v>2.7435999999999998</v>
      </c>
      <c r="S316">
        <v>3.0756000000000001</v>
      </c>
      <c r="T316">
        <v>0.44</v>
      </c>
      <c r="U316">
        <v>0.95099999999999996</v>
      </c>
    </row>
    <row r="317" spans="1:21" x14ac:dyDescent="0.25">
      <c r="A317" t="s">
        <v>680</v>
      </c>
      <c r="B317" t="s">
        <v>105</v>
      </c>
      <c r="C317">
        <v>29</v>
      </c>
      <c r="D317" t="s">
        <v>9</v>
      </c>
      <c r="E317">
        <v>14.1709962973095</v>
      </c>
      <c r="G317">
        <v>1.5941000000000001</v>
      </c>
      <c r="H317">
        <v>5.8520000000000003</v>
      </c>
      <c r="K317">
        <v>0.51</v>
      </c>
      <c r="L317">
        <v>1.0841000000000001</v>
      </c>
      <c r="M317">
        <v>4.3390000000000004</v>
      </c>
      <c r="N317">
        <v>1.5329999999999999</v>
      </c>
      <c r="O317">
        <v>0.53300000000000003</v>
      </c>
      <c r="P317">
        <v>7.0000000000000001E-3</v>
      </c>
      <c r="Q317">
        <v>0</v>
      </c>
      <c r="R317">
        <v>0.59970000000000001</v>
      </c>
      <c r="S317">
        <v>0.69499999999999995</v>
      </c>
      <c r="T317">
        <v>0.4</v>
      </c>
      <c r="U317">
        <v>0.56299999999999994</v>
      </c>
    </row>
    <row r="318" spans="1:21" x14ac:dyDescent="0.25">
      <c r="A318" t="s">
        <v>430</v>
      </c>
      <c r="B318" t="s">
        <v>104</v>
      </c>
      <c r="C318">
        <v>29</v>
      </c>
      <c r="D318" t="s">
        <v>17</v>
      </c>
      <c r="E318">
        <v>13.5532707113064</v>
      </c>
      <c r="G318">
        <v>2.2042000000000002</v>
      </c>
      <c r="H318">
        <v>7.58</v>
      </c>
      <c r="K318">
        <v>0.84670000000000001</v>
      </c>
      <c r="L318">
        <v>1.3574999999999999</v>
      </c>
      <c r="M318">
        <v>5.2919999999999998</v>
      </c>
      <c r="N318">
        <v>1.865</v>
      </c>
      <c r="O318">
        <v>1.306</v>
      </c>
      <c r="P318">
        <v>0.11899999999999999</v>
      </c>
      <c r="Q318">
        <v>8.5000000000000006E-2</v>
      </c>
      <c r="R318">
        <v>0.52710000000000001</v>
      </c>
      <c r="S318">
        <v>0.78280000000000005</v>
      </c>
      <c r="T318">
        <v>0.49</v>
      </c>
      <c r="U318">
        <v>1.242</v>
      </c>
    </row>
    <row r="319" spans="1:21" x14ac:dyDescent="0.25">
      <c r="A319" t="s">
        <v>855</v>
      </c>
      <c r="B319" t="s">
        <v>101</v>
      </c>
      <c r="C319">
        <v>22</v>
      </c>
      <c r="D319" t="s">
        <v>5</v>
      </c>
      <c r="E319">
        <v>15</v>
      </c>
      <c r="G319">
        <v>1.8293999999999999</v>
      </c>
      <c r="H319">
        <v>6.468</v>
      </c>
      <c r="K319">
        <v>0.77200000000000002</v>
      </c>
      <c r="L319">
        <v>1.0573999999999999</v>
      </c>
      <c r="M319">
        <v>3.5720000000000001</v>
      </c>
      <c r="N319">
        <v>2.25</v>
      </c>
      <c r="O319">
        <v>1.6319999999999999</v>
      </c>
      <c r="P319">
        <v>0.01</v>
      </c>
      <c r="Q319">
        <v>3.3000000000000002E-2</v>
      </c>
      <c r="R319">
        <v>22.910799999999998</v>
      </c>
      <c r="S319">
        <v>23.422999999999998</v>
      </c>
      <c r="T319">
        <v>0</v>
      </c>
      <c r="U319">
        <v>0.40200000000000002</v>
      </c>
    </row>
    <row r="320" spans="1:21" x14ac:dyDescent="0.25">
      <c r="A320" t="s">
        <v>952</v>
      </c>
      <c r="B320" t="s">
        <v>1108</v>
      </c>
      <c r="C320">
        <v>26</v>
      </c>
      <c r="D320" t="s">
        <v>18</v>
      </c>
      <c r="E320">
        <v>8.7398924486788392</v>
      </c>
      <c r="G320">
        <v>1.3418000000000001</v>
      </c>
      <c r="H320">
        <v>7.9160000000000004</v>
      </c>
      <c r="K320">
        <v>0.56610000000000005</v>
      </c>
      <c r="L320">
        <v>0.77569999999999995</v>
      </c>
      <c r="M320">
        <v>9.58</v>
      </c>
      <c r="N320">
        <v>2.282</v>
      </c>
      <c r="O320">
        <v>0.90800000000000003</v>
      </c>
      <c r="P320">
        <v>0.64500000000000002</v>
      </c>
      <c r="Q320">
        <v>0.41399999999999998</v>
      </c>
      <c r="R320">
        <v>3.0729000000000002</v>
      </c>
      <c r="S320">
        <v>1.538</v>
      </c>
      <c r="T320">
        <v>0</v>
      </c>
      <c r="U320">
        <v>0.52600000000000002</v>
      </c>
    </row>
    <row r="321" spans="1:21" x14ac:dyDescent="0.25">
      <c r="A321" t="s">
        <v>397</v>
      </c>
      <c r="B321" t="s">
        <v>105</v>
      </c>
      <c r="C321">
        <v>27</v>
      </c>
      <c r="D321" t="s">
        <v>20</v>
      </c>
      <c r="E321">
        <v>16.540106203081201</v>
      </c>
      <c r="G321">
        <v>2.2263500000000001</v>
      </c>
      <c r="H321">
        <v>7.718</v>
      </c>
      <c r="K321">
        <v>0.7409</v>
      </c>
      <c r="L321">
        <v>1.4854499999999999</v>
      </c>
      <c r="M321">
        <v>1.8959999999999999</v>
      </c>
      <c r="N321">
        <v>2.069</v>
      </c>
      <c r="O321">
        <v>0.502</v>
      </c>
      <c r="P321">
        <v>6.0000000000000001E-3</v>
      </c>
      <c r="Q321">
        <v>0</v>
      </c>
      <c r="R321">
        <v>3.9356</v>
      </c>
      <c r="S321">
        <v>5.3981000000000003</v>
      </c>
      <c r="T321">
        <v>0.38</v>
      </c>
      <c r="U321">
        <v>0.49299999999999999</v>
      </c>
    </row>
    <row r="322" spans="1:21" x14ac:dyDescent="0.25">
      <c r="A322" t="s">
        <v>728</v>
      </c>
      <c r="B322" t="s">
        <v>104</v>
      </c>
      <c r="C322">
        <v>27</v>
      </c>
      <c r="D322" t="s">
        <v>15</v>
      </c>
      <c r="E322">
        <v>13.4044125985395</v>
      </c>
      <c r="G322">
        <v>1.56585</v>
      </c>
      <c r="H322">
        <v>5.6109999999999998</v>
      </c>
      <c r="K322">
        <v>0.45595000000000002</v>
      </c>
      <c r="L322">
        <v>1.1099000000000001</v>
      </c>
      <c r="M322">
        <v>5.7030000000000003</v>
      </c>
      <c r="N322">
        <v>2.1779999999999999</v>
      </c>
      <c r="O322">
        <v>0.88700000000000001</v>
      </c>
      <c r="P322">
        <v>4.5999999999999999E-2</v>
      </c>
      <c r="Q322">
        <v>0</v>
      </c>
      <c r="R322">
        <v>1.1693</v>
      </c>
      <c r="S322">
        <v>2.3637999999999999</v>
      </c>
      <c r="T322">
        <v>0.43</v>
      </c>
      <c r="U322">
        <v>0.81200000000000006</v>
      </c>
    </row>
    <row r="323" spans="1:21" x14ac:dyDescent="0.25">
      <c r="A323" t="s">
        <v>569</v>
      </c>
      <c r="B323" t="s">
        <v>103</v>
      </c>
      <c r="C323">
        <v>27</v>
      </c>
      <c r="D323" t="s">
        <v>23</v>
      </c>
      <c r="E323">
        <v>10.8389691371632</v>
      </c>
      <c r="G323">
        <v>1.2355499999999999</v>
      </c>
      <c r="H323">
        <v>5.5439999999999996</v>
      </c>
      <c r="K323">
        <v>0.47260000000000002</v>
      </c>
      <c r="L323">
        <v>0.76295000000000002</v>
      </c>
      <c r="M323">
        <v>14.795</v>
      </c>
      <c r="N323">
        <v>3.762</v>
      </c>
      <c r="O323">
        <v>1.468</v>
      </c>
      <c r="P323">
        <v>0.745</v>
      </c>
      <c r="Q323">
        <v>3.0000000000000001E-3</v>
      </c>
      <c r="R323">
        <v>0.9395</v>
      </c>
      <c r="S323">
        <v>1.6949000000000001</v>
      </c>
      <c r="T323">
        <v>0</v>
      </c>
      <c r="U323">
        <v>0.495</v>
      </c>
    </row>
    <row r="324" spans="1:21" x14ac:dyDescent="0.25">
      <c r="A324" t="s">
        <v>817</v>
      </c>
      <c r="B324" t="s">
        <v>102</v>
      </c>
      <c r="C324">
        <v>24</v>
      </c>
      <c r="D324" t="s">
        <v>13</v>
      </c>
      <c r="E324">
        <v>14.0175728396318</v>
      </c>
      <c r="G324">
        <v>1.9598</v>
      </c>
      <c r="H324">
        <v>5.1740000000000004</v>
      </c>
      <c r="K324">
        <v>0.62749999999999995</v>
      </c>
      <c r="L324">
        <v>1.3323</v>
      </c>
      <c r="M324">
        <v>1.371</v>
      </c>
      <c r="N324">
        <v>1.423</v>
      </c>
      <c r="O324">
        <v>0.39900000000000002</v>
      </c>
      <c r="P324">
        <v>8.0000000000000002E-3</v>
      </c>
      <c r="Q324">
        <v>0</v>
      </c>
      <c r="R324">
        <v>0.53979999999999995</v>
      </c>
      <c r="S324">
        <v>0.62619999999999998</v>
      </c>
      <c r="T324">
        <v>0.42</v>
      </c>
      <c r="U324">
        <v>0.80800000000000005</v>
      </c>
    </row>
    <row r="325" spans="1:21" x14ac:dyDescent="0.25">
      <c r="A325" t="s">
        <v>437</v>
      </c>
      <c r="B325" t="s">
        <v>103</v>
      </c>
      <c r="C325">
        <v>37</v>
      </c>
      <c r="D325" t="s">
        <v>18</v>
      </c>
      <c r="E325">
        <v>14.927924944428201</v>
      </c>
      <c r="G325">
        <v>1.9371499999999999</v>
      </c>
      <c r="H325">
        <v>5.9930000000000003</v>
      </c>
      <c r="K325">
        <v>0.57130000000000003</v>
      </c>
      <c r="L325">
        <v>1.36585</v>
      </c>
      <c r="M325">
        <v>1.452</v>
      </c>
      <c r="N325">
        <v>2.5659999999999998</v>
      </c>
      <c r="O325">
        <v>0.64300000000000002</v>
      </c>
      <c r="P325">
        <v>6.0000000000000001E-3</v>
      </c>
      <c r="Q325">
        <v>0</v>
      </c>
      <c r="R325">
        <v>1.6076999999999999</v>
      </c>
      <c r="S325">
        <v>2.5249999999999999</v>
      </c>
      <c r="T325" t="s">
        <v>1054</v>
      </c>
      <c r="U325">
        <v>0.45</v>
      </c>
    </row>
    <row r="326" spans="1:21" x14ac:dyDescent="0.25">
      <c r="A326" t="s">
        <v>398</v>
      </c>
      <c r="B326" t="s">
        <v>104</v>
      </c>
      <c r="C326">
        <v>23</v>
      </c>
      <c r="D326" t="s">
        <v>18</v>
      </c>
      <c r="E326">
        <v>14.5729720630573</v>
      </c>
      <c r="G326">
        <v>2.1798000000000002</v>
      </c>
      <c r="H326">
        <v>8.1430000000000007</v>
      </c>
      <c r="K326">
        <v>1.0311999999999999</v>
      </c>
      <c r="L326">
        <v>1.1486000000000001</v>
      </c>
      <c r="M326">
        <v>1.7210000000000001</v>
      </c>
      <c r="N326">
        <v>1.8440000000000001</v>
      </c>
      <c r="O326">
        <v>0.82799999999999996</v>
      </c>
      <c r="P326">
        <v>2.8000000000000001E-2</v>
      </c>
      <c r="Q326">
        <v>0</v>
      </c>
      <c r="R326">
        <v>1.6492</v>
      </c>
      <c r="S326">
        <v>2.2443</v>
      </c>
      <c r="T326">
        <v>0.39</v>
      </c>
      <c r="U326">
        <v>0.60899999999999999</v>
      </c>
    </row>
    <row r="327" spans="1:21" x14ac:dyDescent="0.25">
      <c r="A327" t="s">
        <v>1095</v>
      </c>
      <c r="B327" t="s">
        <v>103</v>
      </c>
      <c r="C327">
        <v>22</v>
      </c>
      <c r="D327" t="s">
        <v>22</v>
      </c>
      <c r="E327">
        <v>11.3694118115748</v>
      </c>
      <c r="G327">
        <v>1.4531000000000001</v>
      </c>
      <c r="H327">
        <v>7.9539999999999997</v>
      </c>
      <c r="K327">
        <v>0.5665</v>
      </c>
      <c r="L327">
        <v>0.88660000000000005</v>
      </c>
      <c r="M327">
        <v>1.994</v>
      </c>
      <c r="N327">
        <v>1.6639999999999999</v>
      </c>
      <c r="O327">
        <v>0.315</v>
      </c>
      <c r="P327">
        <v>3.9E-2</v>
      </c>
      <c r="Q327">
        <v>1.0999999999999999E-2</v>
      </c>
      <c r="R327">
        <v>2.6762999999999999</v>
      </c>
      <c r="S327">
        <v>3.8791000000000002</v>
      </c>
      <c r="T327">
        <v>0.38</v>
      </c>
      <c r="U327">
        <v>0.99399999999999999</v>
      </c>
    </row>
    <row r="328" spans="1:21" x14ac:dyDescent="0.25">
      <c r="A328" t="s">
        <v>364</v>
      </c>
      <c r="B328" t="s">
        <v>103</v>
      </c>
      <c r="C328">
        <v>34</v>
      </c>
      <c r="D328" t="s">
        <v>17</v>
      </c>
      <c r="E328">
        <v>14.608653266076701</v>
      </c>
      <c r="G328">
        <v>2.3140000000000001</v>
      </c>
      <c r="H328">
        <v>7.0090000000000003</v>
      </c>
      <c r="K328">
        <v>0.97940000000000005</v>
      </c>
      <c r="L328">
        <v>1.3346</v>
      </c>
      <c r="M328">
        <v>1.2889999999999999</v>
      </c>
      <c r="N328">
        <v>2.1429999999999998</v>
      </c>
      <c r="O328">
        <v>0.496</v>
      </c>
      <c r="P328">
        <v>6.0000000000000001E-3</v>
      </c>
      <c r="Q328">
        <v>2.3E-2</v>
      </c>
      <c r="R328">
        <v>13.7026</v>
      </c>
      <c r="S328">
        <v>10.919600000000001</v>
      </c>
      <c r="T328">
        <v>0</v>
      </c>
      <c r="U328">
        <v>0.25700000000000001</v>
      </c>
    </row>
    <row r="329" spans="1:21" x14ac:dyDescent="0.25">
      <c r="A329" t="s">
        <v>1030</v>
      </c>
      <c r="B329" t="s">
        <v>104</v>
      </c>
      <c r="C329">
        <v>27</v>
      </c>
      <c r="D329" t="s">
        <v>2</v>
      </c>
      <c r="E329">
        <v>10.4044704043362</v>
      </c>
      <c r="G329">
        <v>1.4701</v>
      </c>
      <c r="H329">
        <v>6.5030000000000001</v>
      </c>
      <c r="K329">
        <v>0.70489999999999997</v>
      </c>
      <c r="L329">
        <v>0.76519999999999999</v>
      </c>
      <c r="M329">
        <v>6.5910000000000002</v>
      </c>
      <c r="N329">
        <v>2.3370000000000002</v>
      </c>
      <c r="O329">
        <v>0.38700000000000001</v>
      </c>
      <c r="P329">
        <v>3.5999999999999997E-2</v>
      </c>
      <c r="Q329">
        <v>0.01</v>
      </c>
      <c r="R329">
        <v>2.1760000000000002</v>
      </c>
      <c r="S329">
        <v>2.4222000000000001</v>
      </c>
      <c r="T329">
        <v>0.45</v>
      </c>
      <c r="U329">
        <v>0.84799999999999998</v>
      </c>
    </row>
    <row r="330" spans="1:21" x14ac:dyDescent="0.25">
      <c r="A330" t="s">
        <v>768</v>
      </c>
      <c r="B330" t="s">
        <v>102</v>
      </c>
      <c r="C330">
        <v>35</v>
      </c>
      <c r="D330" t="s">
        <v>20</v>
      </c>
      <c r="E330">
        <v>9.6531018642157296</v>
      </c>
      <c r="G330">
        <v>0.91095000000000004</v>
      </c>
      <c r="H330">
        <v>5.1100000000000003</v>
      </c>
      <c r="K330">
        <v>0.41539999999999999</v>
      </c>
      <c r="L330">
        <v>0.49554999999999999</v>
      </c>
      <c r="M330">
        <v>15.877000000000001</v>
      </c>
      <c r="N330">
        <v>2.9529999999999998</v>
      </c>
      <c r="O330">
        <v>0.875</v>
      </c>
      <c r="P330">
        <v>0.51300000000000001</v>
      </c>
      <c r="Q330">
        <v>5.7000000000000002E-2</v>
      </c>
      <c r="R330">
        <v>0.99529999999999996</v>
      </c>
      <c r="S330">
        <v>1.349</v>
      </c>
      <c r="T330">
        <v>0.48</v>
      </c>
      <c r="U330">
        <v>0.504</v>
      </c>
    </row>
    <row r="331" spans="1:21" x14ac:dyDescent="0.25">
      <c r="A331" t="s">
        <v>755</v>
      </c>
      <c r="B331" t="s">
        <v>104</v>
      </c>
      <c r="C331">
        <v>32</v>
      </c>
      <c r="D331" t="s">
        <v>25</v>
      </c>
      <c r="E331">
        <v>9.68806310532349</v>
      </c>
      <c r="G331">
        <v>1.2722500000000001</v>
      </c>
      <c r="H331">
        <v>4.3849999999999998</v>
      </c>
      <c r="K331">
        <v>0.45545000000000002</v>
      </c>
      <c r="L331">
        <v>0.81679999999999997</v>
      </c>
      <c r="M331">
        <v>3.6960000000000002</v>
      </c>
      <c r="N331">
        <v>2.2799999999999998</v>
      </c>
      <c r="O331">
        <v>0.54600000000000004</v>
      </c>
      <c r="P331">
        <v>2.5000000000000001E-2</v>
      </c>
      <c r="Q331">
        <v>0</v>
      </c>
      <c r="R331">
        <v>0.38669999999999999</v>
      </c>
      <c r="S331">
        <v>0.44550000000000001</v>
      </c>
      <c r="T331">
        <v>0.49</v>
      </c>
      <c r="U331">
        <v>1.4970000000000001</v>
      </c>
    </row>
    <row r="332" spans="1:21" x14ac:dyDescent="0.25">
      <c r="A332" t="s">
        <v>1072</v>
      </c>
      <c r="B332" t="s">
        <v>102</v>
      </c>
      <c r="C332">
        <v>22</v>
      </c>
      <c r="D332" t="s">
        <v>30</v>
      </c>
      <c r="E332">
        <v>12.763359085088</v>
      </c>
      <c r="G332">
        <v>1.8567499999999999</v>
      </c>
      <c r="H332">
        <v>6.266</v>
      </c>
      <c r="K332">
        <v>0.81640000000000001</v>
      </c>
      <c r="L332">
        <v>1.0403500000000001</v>
      </c>
      <c r="M332">
        <v>8.4550000000000001</v>
      </c>
      <c r="N332">
        <v>1.8440000000000001</v>
      </c>
      <c r="O332">
        <v>1.139</v>
      </c>
      <c r="P332">
        <v>7.0000000000000007E-2</v>
      </c>
      <c r="Q332">
        <v>5.0000000000000001E-3</v>
      </c>
      <c r="R332">
        <v>0.9546</v>
      </c>
      <c r="S332">
        <v>1.0064</v>
      </c>
      <c r="T332">
        <v>0.42</v>
      </c>
      <c r="U332">
        <v>1.498</v>
      </c>
    </row>
    <row r="333" spans="1:21" x14ac:dyDescent="0.25">
      <c r="A333" t="s">
        <v>1093</v>
      </c>
      <c r="B333" t="s">
        <v>74</v>
      </c>
      <c r="C333">
        <v>26</v>
      </c>
      <c r="D333" t="s">
        <v>1151</v>
      </c>
      <c r="E333">
        <v>10.071043491148901</v>
      </c>
      <c r="G333">
        <v>1.3797999999999999</v>
      </c>
      <c r="H333">
        <v>4.4029999999999996</v>
      </c>
      <c r="K333">
        <v>0.45045000000000002</v>
      </c>
      <c r="L333">
        <v>0.92935000000000001</v>
      </c>
      <c r="M333">
        <v>2.1749999999999998</v>
      </c>
      <c r="N333">
        <v>2.7050000000000001</v>
      </c>
      <c r="O333">
        <v>0.23599999999999999</v>
      </c>
      <c r="P333">
        <v>4.4999999999999998E-2</v>
      </c>
      <c r="Q333">
        <v>1.2999999999999999E-2</v>
      </c>
      <c r="R333">
        <v>2.8349000000000002</v>
      </c>
      <c r="S333">
        <v>2.9807999999999999</v>
      </c>
      <c r="T333">
        <v>0.45</v>
      </c>
      <c r="U333">
        <v>2.1829999999999998</v>
      </c>
    </row>
    <row r="334" spans="1:21" x14ac:dyDescent="0.25">
      <c r="A334" t="s">
        <v>1152</v>
      </c>
      <c r="B334" t="s">
        <v>105</v>
      </c>
      <c r="C334">
        <v>20</v>
      </c>
      <c r="D334" t="s">
        <v>12</v>
      </c>
      <c r="E334">
        <v>13.35</v>
      </c>
      <c r="G334">
        <v>1.9273499999999999</v>
      </c>
      <c r="H334">
        <v>5.7110000000000003</v>
      </c>
      <c r="K334">
        <v>0.68664999999999998</v>
      </c>
      <c r="L334">
        <v>1.2406999999999999</v>
      </c>
      <c r="M334">
        <v>2.7879999999999998</v>
      </c>
      <c r="N334">
        <v>2.153</v>
      </c>
      <c r="O334">
        <v>0.51900000000000002</v>
      </c>
      <c r="P334">
        <v>3.6999999999999998E-2</v>
      </c>
      <c r="Q334">
        <v>0.01</v>
      </c>
      <c r="R334">
        <v>14.165900000000001</v>
      </c>
      <c r="S334">
        <v>17.868200000000002</v>
      </c>
      <c r="T334">
        <v>0.5</v>
      </c>
      <c r="U334">
        <v>1.389</v>
      </c>
    </row>
    <row r="335" spans="1:21" x14ac:dyDescent="0.25">
      <c r="A335" t="s">
        <v>242</v>
      </c>
      <c r="B335" t="s">
        <v>103</v>
      </c>
      <c r="C335">
        <v>27</v>
      </c>
      <c r="D335" t="s">
        <v>31</v>
      </c>
      <c r="E335">
        <v>14.400054030996101</v>
      </c>
      <c r="G335">
        <v>3.0739999999999998</v>
      </c>
      <c r="H335">
        <v>9.1839999999999993</v>
      </c>
      <c r="K335">
        <v>1.14635</v>
      </c>
      <c r="L335">
        <v>1.9276500000000001</v>
      </c>
      <c r="M335">
        <v>5.9109999999999996</v>
      </c>
      <c r="N335">
        <v>1.5069999999999999</v>
      </c>
      <c r="O335">
        <v>1.4179999999999999</v>
      </c>
      <c r="P335">
        <v>0.106</v>
      </c>
      <c r="Q335">
        <v>0.13800000000000001</v>
      </c>
      <c r="R335">
        <v>0.41839999999999999</v>
      </c>
      <c r="S335">
        <v>0.50080000000000002</v>
      </c>
      <c r="T335">
        <v>0.49</v>
      </c>
      <c r="U335">
        <v>1.6439999999999999</v>
      </c>
    </row>
    <row r="336" spans="1:21" x14ac:dyDescent="0.25">
      <c r="A336" t="s">
        <v>737</v>
      </c>
      <c r="B336" t="s">
        <v>104</v>
      </c>
      <c r="C336">
        <v>32</v>
      </c>
      <c r="D336" t="s">
        <v>16</v>
      </c>
      <c r="E336">
        <v>10.566177686372599</v>
      </c>
      <c r="G336">
        <v>1.28965</v>
      </c>
      <c r="H336">
        <v>4.9119999999999999</v>
      </c>
      <c r="K336">
        <v>0.4395</v>
      </c>
      <c r="L336">
        <v>0.85014999999999996</v>
      </c>
      <c r="M336">
        <v>3.246</v>
      </c>
      <c r="N336">
        <v>1.5029999999999999</v>
      </c>
      <c r="O336">
        <v>0.9</v>
      </c>
      <c r="P336">
        <v>8.5000000000000006E-2</v>
      </c>
      <c r="Q336">
        <v>2.7E-2</v>
      </c>
      <c r="R336">
        <v>2.4624000000000001</v>
      </c>
      <c r="S336">
        <v>2.7669999999999999</v>
      </c>
      <c r="T336">
        <v>0.41</v>
      </c>
      <c r="U336">
        <v>3.1779999999999999</v>
      </c>
    </row>
    <row r="337" spans="1:21" x14ac:dyDescent="0.25">
      <c r="A337" t="s">
        <v>953</v>
      </c>
      <c r="B337" t="s">
        <v>74</v>
      </c>
      <c r="C337">
        <v>22</v>
      </c>
      <c r="D337" t="s">
        <v>87</v>
      </c>
      <c r="E337">
        <v>15.0092726354418</v>
      </c>
      <c r="G337">
        <v>1.6496500000000001</v>
      </c>
      <c r="H337">
        <v>5.7489999999999997</v>
      </c>
      <c r="K337">
        <v>0.66979999999999995</v>
      </c>
      <c r="L337">
        <v>0.97985</v>
      </c>
      <c r="M337">
        <v>2.67</v>
      </c>
      <c r="N337">
        <v>2.347</v>
      </c>
      <c r="O337">
        <v>0.25800000000000001</v>
      </c>
      <c r="P337">
        <v>8.9999999999999993E-3</v>
      </c>
      <c r="Q337">
        <v>2E-3</v>
      </c>
      <c r="R337">
        <v>22.2758</v>
      </c>
      <c r="S337">
        <v>25.869499999999999</v>
      </c>
      <c r="T337">
        <v>0.45</v>
      </c>
      <c r="U337">
        <v>1.151</v>
      </c>
    </row>
    <row r="338" spans="1:21" x14ac:dyDescent="0.25">
      <c r="A338" t="s">
        <v>538</v>
      </c>
      <c r="B338" t="s">
        <v>102</v>
      </c>
      <c r="C338">
        <v>26</v>
      </c>
      <c r="D338" t="s">
        <v>5</v>
      </c>
      <c r="E338">
        <v>12.4454225345383</v>
      </c>
      <c r="G338">
        <v>1.367</v>
      </c>
      <c r="H338">
        <v>5.6050000000000004</v>
      </c>
      <c r="K338">
        <v>0.59470000000000001</v>
      </c>
      <c r="L338">
        <v>0.77229999999999999</v>
      </c>
      <c r="M338">
        <v>6.6509999999999998</v>
      </c>
      <c r="N338">
        <v>2.0720000000000001</v>
      </c>
      <c r="O338">
        <v>1.161</v>
      </c>
      <c r="P338">
        <v>0.249</v>
      </c>
      <c r="Q338">
        <v>0.13400000000000001</v>
      </c>
      <c r="R338">
        <v>2.1244999999999998</v>
      </c>
      <c r="S338">
        <v>1.9722</v>
      </c>
      <c r="T338">
        <v>0.53</v>
      </c>
      <c r="U338">
        <v>1.448</v>
      </c>
    </row>
    <row r="339" spans="1:21" x14ac:dyDescent="0.25">
      <c r="A339" t="s">
        <v>649</v>
      </c>
      <c r="B339" t="s">
        <v>1108</v>
      </c>
      <c r="C339">
        <v>29</v>
      </c>
      <c r="D339" t="s">
        <v>30</v>
      </c>
      <c r="E339">
        <v>12.6566413497934</v>
      </c>
      <c r="G339">
        <v>2.1932999999999998</v>
      </c>
      <c r="H339">
        <v>6.5350000000000001</v>
      </c>
      <c r="K339">
        <v>0.58814999999999995</v>
      </c>
      <c r="L339">
        <v>1.6051500000000001</v>
      </c>
      <c r="M339">
        <v>2.3370000000000002</v>
      </c>
      <c r="N339">
        <v>1.266</v>
      </c>
      <c r="O339">
        <v>1.2909999999999999</v>
      </c>
      <c r="P339">
        <v>0.19700000000000001</v>
      </c>
      <c r="Q339">
        <v>0.14199999999999999</v>
      </c>
      <c r="R339">
        <v>12.0228</v>
      </c>
      <c r="S339">
        <v>11.540100000000001</v>
      </c>
      <c r="T339">
        <v>0</v>
      </c>
      <c r="U339">
        <v>0.93400000000000005</v>
      </c>
    </row>
    <row r="340" spans="1:21" x14ac:dyDescent="0.25">
      <c r="A340" t="s">
        <v>769</v>
      </c>
      <c r="B340" t="s">
        <v>102</v>
      </c>
      <c r="C340">
        <v>26</v>
      </c>
      <c r="D340" t="s">
        <v>5</v>
      </c>
      <c r="E340">
        <v>11.4637104086696</v>
      </c>
      <c r="G340">
        <v>1.3121499999999999</v>
      </c>
      <c r="H340">
        <v>6.984</v>
      </c>
      <c r="K340">
        <v>0.61319999999999997</v>
      </c>
      <c r="L340">
        <v>0.69894999999999996</v>
      </c>
      <c r="M340">
        <v>9.5760000000000005</v>
      </c>
      <c r="N340">
        <v>1.5669999999999999</v>
      </c>
      <c r="O340">
        <v>1.506</v>
      </c>
      <c r="P340">
        <v>0.16500000000000001</v>
      </c>
      <c r="Q340">
        <v>4.4999999999999998E-2</v>
      </c>
      <c r="R340">
        <v>1.0193000000000001</v>
      </c>
      <c r="S340">
        <v>1.4218999999999999</v>
      </c>
      <c r="T340">
        <v>0.39</v>
      </c>
      <c r="U340">
        <v>0.72099999999999997</v>
      </c>
    </row>
    <row r="341" spans="1:21" x14ac:dyDescent="0.25">
      <c r="A341" t="s">
        <v>628</v>
      </c>
      <c r="B341" t="s">
        <v>102</v>
      </c>
      <c r="C341">
        <v>36</v>
      </c>
      <c r="D341" t="s">
        <v>29</v>
      </c>
      <c r="E341">
        <v>12.639965140128901</v>
      </c>
      <c r="G341">
        <v>1.7170000000000001</v>
      </c>
      <c r="H341">
        <v>8.6969999999999992</v>
      </c>
      <c r="K341">
        <v>0.68079999999999996</v>
      </c>
      <c r="L341">
        <v>1.0362</v>
      </c>
      <c r="M341">
        <v>6.3460000000000001</v>
      </c>
      <c r="N341">
        <v>2.3610000000000002</v>
      </c>
      <c r="O341">
        <v>0.88500000000000001</v>
      </c>
      <c r="P341">
        <v>0.11</v>
      </c>
      <c r="Q341">
        <v>5.3999999999999999E-2</v>
      </c>
      <c r="R341">
        <v>1.1241000000000001</v>
      </c>
      <c r="S341">
        <v>1.5805</v>
      </c>
      <c r="T341">
        <v>0.44</v>
      </c>
      <c r="U341">
        <v>1.5229999999999999</v>
      </c>
    </row>
    <row r="342" spans="1:21" x14ac:dyDescent="0.25">
      <c r="A342" t="s">
        <v>804</v>
      </c>
      <c r="B342" t="s">
        <v>105</v>
      </c>
      <c r="C342">
        <v>28</v>
      </c>
      <c r="D342" t="s">
        <v>28</v>
      </c>
      <c r="E342">
        <v>12.2187466468541</v>
      </c>
      <c r="G342">
        <v>1.5726500000000001</v>
      </c>
      <c r="H342">
        <v>6.3109999999999999</v>
      </c>
      <c r="K342">
        <v>0.8518</v>
      </c>
      <c r="L342">
        <v>0.72084999999999999</v>
      </c>
      <c r="M342">
        <v>2.7320000000000002</v>
      </c>
      <c r="N342">
        <v>2.1339999999999999</v>
      </c>
      <c r="O342">
        <v>0.44400000000000001</v>
      </c>
      <c r="P342">
        <v>2.9000000000000001E-2</v>
      </c>
      <c r="Q342">
        <v>0</v>
      </c>
      <c r="R342">
        <v>4.0900999999999996</v>
      </c>
      <c r="S342">
        <v>4.0643000000000002</v>
      </c>
      <c r="T342">
        <v>0</v>
      </c>
      <c r="U342">
        <v>1.1200000000000001</v>
      </c>
    </row>
    <row r="343" spans="1:21" x14ac:dyDescent="0.25">
      <c r="A343" t="s">
        <v>423</v>
      </c>
      <c r="B343" t="s">
        <v>102</v>
      </c>
      <c r="C343">
        <v>29</v>
      </c>
      <c r="D343" t="s">
        <v>1134</v>
      </c>
      <c r="E343">
        <v>13.0101491860507</v>
      </c>
      <c r="G343">
        <v>2.1140500000000002</v>
      </c>
      <c r="H343">
        <v>7.2210000000000001</v>
      </c>
      <c r="K343">
        <v>0.82730000000000004</v>
      </c>
      <c r="L343">
        <v>1.2867500000000001</v>
      </c>
      <c r="M343">
        <v>2.8860000000000001</v>
      </c>
      <c r="N343">
        <v>1.286</v>
      </c>
      <c r="O343">
        <v>1.454</v>
      </c>
      <c r="P343">
        <v>4.9000000000000002E-2</v>
      </c>
      <c r="Q343">
        <v>8.4000000000000005E-2</v>
      </c>
      <c r="R343">
        <v>0.52710000000000001</v>
      </c>
      <c r="S343">
        <v>0.81159999999999999</v>
      </c>
      <c r="T343">
        <v>0.39</v>
      </c>
      <c r="U343">
        <v>1.74</v>
      </c>
    </row>
    <row r="344" spans="1:21" x14ac:dyDescent="0.25">
      <c r="A344" t="s">
        <v>1049</v>
      </c>
      <c r="B344" t="s">
        <v>104</v>
      </c>
      <c r="C344">
        <v>28</v>
      </c>
      <c r="D344" t="s">
        <v>13</v>
      </c>
      <c r="E344">
        <v>11.093670407239699</v>
      </c>
      <c r="G344">
        <v>1.7676000000000001</v>
      </c>
      <c r="H344">
        <v>7.657</v>
      </c>
      <c r="K344">
        <v>1.06955</v>
      </c>
      <c r="L344">
        <v>0.69804999999999995</v>
      </c>
      <c r="M344">
        <v>4.609</v>
      </c>
      <c r="N344">
        <v>1.871</v>
      </c>
      <c r="O344">
        <v>0.82099999999999995</v>
      </c>
      <c r="P344">
        <v>0.25700000000000001</v>
      </c>
      <c r="Q344">
        <v>4.0000000000000001E-3</v>
      </c>
      <c r="R344">
        <v>0.9839</v>
      </c>
      <c r="S344">
        <v>1.4728000000000001</v>
      </c>
      <c r="T344">
        <v>0.48</v>
      </c>
      <c r="U344">
        <v>1.3180000000000001</v>
      </c>
    </row>
    <row r="345" spans="1:21" x14ac:dyDescent="0.25">
      <c r="A345" t="s">
        <v>1013</v>
      </c>
      <c r="B345" t="s">
        <v>105</v>
      </c>
      <c r="C345">
        <v>28</v>
      </c>
      <c r="D345" t="s">
        <v>19</v>
      </c>
      <c r="E345">
        <v>11.461985854039201</v>
      </c>
      <c r="G345">
        <v>1.4670000000000001</v>
      </c>
      <c r="H345">
        <v>9.7050000000000001</v>
      </c>
      <c r="K345">
        <v>0.65049999999999997</v>
      </c>
      <c r="L345">
        <v>0.8165</v>
      </c>
      <c r="M345">
        <v>8.1989999999999998</v>
      </c>
      <c r="N345">
        <v>2.0169999999999999</v>
      </c>
      <c r="O345">
        <v>1.5640000000000001</v>
      </c>
      <c r="P345">
        <v>0.30399999999999999</v>
      </c>
      <c r="Q345">
        <v>0.14899999999999999</v>
      </c>
      <c r="R345">
        <v>1.0429999999999999</v>
      </c>
      <c r="S345">
        <v>1.3078000000000001</v>
      </c>
      <c r="T345">
        <v>0.41</v>
      </c>
      <c r="U345">
        <v>0.76800000000000002</v>
      </c>
    </row>
    <row r="346" spans="1:21" x14ac:dyDescent="0.25">
      <c r="A346" t="s">
        <v>914</v>
      </c>
      <c r="B346" t="s">
        <v>105</v>
      </c>
      <c r="C346">
        <v>29</v>
      </c>
      <c r="D346" t="s">
        <v>7</v>
      </c>
      <c r="E346">
        <v>10.963363807470399</v>
      </c>
      <c r="G346">
        <v>1.3523499999999999</v>
      </c>
      <c r="H346">
        <v>6.6820000000000004</v>
      </c>
      <c r="K346">
        <v>0.72209999999999996</v>
      </c>
      <c r="L346">
        <v>0.63024999999999998</v>
      </c>
      <c r="M346">
        <v>10.807</v>
      </c>
      <c r="N346">
        <v>3.58</v>
      </c>
      <c r="O346">
        <v>1.1879999999999999</v>
      </c>
      <c r="P346">
        <v>0.624</v>
      </c>
      <c r="Q346">
        <v>9.5000000000000001E-2</v>
      </c>
      <c r="R346">
        <v>22.595800000000001</v>
      </c>
      <c r="S346">
        <v>18.853200000000001</v>
      </c>
      <c r="T346">
        <v>0</v>
      </c>
      <c r="U346">
        <v>0.84299999999999997</v>
      </c>
    </row>
    <row r="347" spans="1:21" x14ac:dyDescent="0.25">
      <c r="A347" t="s">
        <v>888</v>
      </c>
      <c r="B347" t="s">
        <v>74</v>
      </c>
      <c r="C347">
        <v>26</v>
      </c>
      <c r="D347" t="s">
        <v>27</v>
      </c>
      <c r="E347">
        <v>13.2182990800915</v>
      </c>
      <c r="G347">
        <v>1.6486499999999999</v>
      </c>
      <c r="H347">
        <v>5.8579999999999997</v>
      </c>
      <c r="K347">
        <v>0.61809999999999998</v>
      </c>
      <c r="L347">
        <v>1.0305500000000001</v>
      </c>
      <c r="M347">
        <v>8.0459999999999994</v>
      </c>
      <c r="N347">
        <v>2.387</v>
      </c>
      <c r="O347">
        <v>0.70499999999999996</v>
      </c>
      <c r="P347">
        <v>0.16</v>
      </c>
      <c r="Q347">
        <v>2.9000000000000001E-2</v>
      </c>
      <c r="R347">
        <v>32.334600000000002</v>
      </c>
      <c r="S347">
        <v>19.0472</v>
      </c>
      <c r="T347" t="s">
        <v>1054</v>
      </c>
      <c r="U347">
        <v>0.95099999999999996</v>
      </c>
    </row>
    <row r="348" spans="1:21" x14ac:dyDescent="0.25">
      <c r="A348" t="s">
        <v>816</v>
      </c>
      <c r="B348" t="s">
        <v>102</v>
      </c>
      <c r="C348">
        <v>26</v>
      </c>
      <c r="D348" t="s">
        <v>6</v>
      </c>
      <c r="E348">
        <v>7.9117948043050301</v>
      </c>
      <c r="G348">
        <v>1.4074500000000001</v>
      </c>
      <c r="H348">
        <v>6.1289999999999996</v>
      </c>
      <c r="K348">
        <v>0.56010000000000004</v>
      </c>
      <c r="L348">
        <v>0.84735000000000005</v>
      </c>
      <c r="M348">
        <v>25.934000000000001</v>
      </c>
      <c r="N348">
        <v>2.9409999999999998</v>
      </c>
      <c r="O348">
        <v>1.831</v>
      </c>
      <c r="P348">
        <v>0.88800000000000001</v>
      </c>
      <c r="Q348">
        <v>0.114</v>
      </c>
      <c r="R348">
        <v>1.1829000000000001</v>
      </c>
      <c r="S348">
        <v>1.3955</v>
      </c>
      <c r="T348">
        <v>0.48</v>
      </c>
      <c r="U348">
        <v>0.70199999999999996</v>
      </c>
    </row>
    <row r="349" spans="1:21" x14ac:dyDescent="0.25">
      <c r="A349" t="s">
        <v>554</v>
      </c>
      <c r="B349" t="s">
        <v>101</v>
      </c>
      <c r="C349">
        <v>25</v>
      </c>
      <c r="D349" t="s">
        <v>2</v>
      </c>
      <c r="E349">
        <v>13.081848095375101</v>
      </c>
      <c r="G349">
        <v>1.6967000000000001</v>
      </c>
      <c r="H349">
        <v>5.97</v>
      </c>
      <c r="K349">
        <v>0.77900000000000003</v>
      </c>
      <c r="L349">
        <v>0.91769999999999996</v>
      </c>
      <c r="M349">
        <v>6.8920000000000003</v>
      </c>
      <c r="N349">
        <v>3.8079999999999998</v>
      </c>
      <c r="O349">
        <v>1.403</v>
      </c>
      <c r="P349">
        <v>6.3E-2</v>
      </c>
      <c r="Q349">
        <v>2.3E-2</v>
      </c>
      <c r="R349">
        <v>6.6319999999999997</v>
      </c>
      <c r="S349">
        <v>6.8624999999999998</v>
      </c>
      <c r="T349">
        <v>0.48</v>
      </c>
      <c r="U349">
        <v>0.55400000000000005</v>
      </c>
    </row>
    <row r="350" spans="1:21" x14ac:dyDescent="0.25">
      <c r="A350" t="s">
        <v>1153</v>
      </c>
      <c r="B350" t="s">
        <v>74</v>
      </c>
      <c r="C350">
        <v>32</v>
      </c>
      <c r="D350" t="s">
        <v>29</v>
      </c>
      <c r="E350">
        <v>11.097125536439201</v>
      </c>
      <c r="G350">
        <v>1.52105</v>
      </c>
      <c r="H350">
        <v>5.3970000000000002</v>
      </c>
      <c r="K350">
        <v>0.7742</v>
      </c>
      <c r="L350">
        <v>0.74685000000000001</v>
      </c>
      <c r="M350">
        <v>4.1349999999999998</v>
      </c>
      <c r="N350">
        <v>1.573</v>
      </c>
      <c r="O350">
        <v>0.40300000000000002</v>
      </c>
      <c r="P350">
        <v>4.7E-2</v>
      </c>
      <c r="Q350">
        <v>1.4E-2</v>
      </c>
      <c r="R350">
        <v>11.2308</v>
      </c>
      <c r="S350">
        <v>13.2506</v>
      </c>
      <c r="T350">
        <v>0.42</v>
      </c>
      <c r="U350">
        <v>0.58099999999999996</v>
      </c>
    </row>
    <row r="351" spans="1:21" x14ac:dyDescent="0.25">
      <c r="A351" t="s">
        <v>277</v>
      </c>
      <c r="B351" t="s">
        <v>74</v>
      </c>
      <c r="C351">
        <v>31</v>
      </c>
      <c r="D351" t="s">
        <v>10</v>
      </c>
      <c r="E351">
        <v>14.356848649369301</v>
      </c>
      <c r="G351">
        <v>2.1051500000000001</v>
      </c>
      <c r="H351">
        <v>6.6879999999999997</v>
      </c>
      <c r="K351">
        <v>0.68910000000000005</v>
      </c>
      <c r="L351">
        <v>1.41605</v>
      </c>
      <c r="M351">
        <v>2.3340000000000001</v>
      </c>
      <c r="N351">
        <v>2.2240000000000002</v>
      </c>
      <c r="O351">
        <v>0.42199999999999999</v>
      </c>
      <c r="P351">
        <v>6.0000000000000001E-3</v>
      </c>
      <c r="Q351">
        <v>1.6E-2</v>
      </c>
      <c r="R351">
        <v>24.212</v>
      </c>
      <c r="S351">
        <v>23.4941</v>
      </c>
      <c r="T351">
        <v>0.41</v>
      </c>
      <c r="U351">
        <v>0.749</v>
      </c>
    </row>
    <row r="352" spans="1:21" x14ac:dyDescent="0.25">
      <c r="A352" t="s">
        <v>529</v>
      </c>
      <c r="B352" t="s">
        <v>74</v>
      </c>
      <c r="C352">
        <v>35</v>
      </c>
      <c r="D352" t="s">
        <v>22</v>
      </c>
      <c r="E352">
        <v>14.7146282077649</v>
      </c>
      <c r="G352">
        <v>1.81525</v>
      </c>
      <c r="H352">
        <v>8.3930000000000007</v>
      </c>
      <c r="K352">
        <v>0.64159999999999995</v>
      </c>
      <c r="L352">
        <v>1.1736500000000001</v>
      </c>
      <c r="M352">
        <v>3.032</v>
      </c>
      <c r="N352">
        <v>1.4450000000000001</v>
      </c>
      <c r="O352">
        <v>0.65100000000000002</v>
      </c>
      <c r="P352">
        <v>6.0000000000000001E-3</v>
      </c>
      <c r="Q352">
        <v>0</v>
      </c>
      <c r="R352">
        <v>29.525500000000001</v>
      </c>
      <c r="S352">
        <v>28.496300000000002</v>
      </c>
      <c r="T352">
        <v>0</v>
      </c>
      <c r="U352">
        <v>0.60299999999999998</v>
      </c>
    </row>
    <row r="353" spans="1:21" x14ac:dyDescent="0.25">
      <c r="A353" t="s">
        <v>447</v>
      </c>
      <c r="B353" t="s">
        <v>105</v>
      </c>
      <c r="C353">
        <v>32</v>
      </c>
      <c r="D353" t="s">
        <v>33</v>
      </c>
      <c r="E353">
        <v>15.478097627839301</v>
      </c>
      <c r="G353">
        <v>1.6923999999999999</v>
      </c>
      <c r="H353">
        <v>4.9800000000000004</v>
      </c>
      <c r="K353">
        <v>0.51665000000000005</v>
      </c>
      <c r="L353">
        <v>1.1757500000000001</v>
      </c>
      <c r="M353">
        <v>2.9319999999999999</v>
      </c>
      <c r="N353">
        <v>2.4590000000000001</v>
      </c>
      <c r="O353">
        <v>0.55400000000000005</v>
      </c>
      <c r="P353">
        <v>1.7999999999999999E-2</v>
      </c>
      <c r="Q353">
        <v>0</v>
      </c>
      <c r="R353">
        <v>20.592700000000001</v>
      </c>
      <c r="S353">
        <v>24.376100000000001</v>
      </c>
      <c r="T353" t="s">
        <v>1054</v>
      </c>
      <c r="U353">
        <v>0.42399999999999999</v>
      </c>
    </row>
    <row r="354" spans="1:21" x14ac:dyDescent="0.25">
      <c r="A354" t="s">
        <v>1154</v>
      </c>
      <c r="B354" t="s">
        <v>102</v>
      </c>
      <c r="C354">
        <v>23</v>
      </c>
      <c r="D354" t="s">
        <v>23</v>
      </c>
      <c r="E354">
        <v>12.123308011712799</v>
      </c>
      <c r="G354">
        <v>1.2638</v>
      </c>
      <c r="H354">
        <v>6.6630000000000003</v>
      </c>
      <c r="K354">
        <v>0.44900000000000001</v>
      </c>
      <c r="L354">
        <v>0.81479999999999997</v>
      </c>
      <c r="M354">
        <v>3.3879999999999999</v>
      </c>
      <c r="N354">
        <v>3.355</v>
      </c>
      <c r="O354">
        <v>0.29199999999999998</v>
      </c>
      <c r="P354">
        <v>5.1999999999999998E-2</v>
      </c>
      <c r="Q354">
        <v>1.6E-2</v>
      </c>
      <c r="R354">
        <v>3.5480999999999998</v>
      </c>
      <c r="S354">
        <v>3.9152</v>
      </c>
      <c r="T354">
        <v>0.39</v>
      </c>
      <c r="U354">
        <v>1.333</v>
      </c>
    </row>
    <row r="355" spans="1:21" x14ac:dyDescent="0.25">
      <c r="A355" t="s">
        <v>511</v>
      </c>
      <c r="B355" t="s">
        <v>104</v>
      </c>
      <c r="C355">
        <v>35</v>
      </c>
      <c r="D355" t="s">
        <v>33</v>
      </c>
      <c r="E355">
        <v>12.3893639444415</v>
      </c>
      <c r="G355">
        <v>1.3698999999999999</v>
      </c>
      <c r="H355">
        <v>5.3390000000000004</v>
      </c>
      <c r="K355">
        <v>0.60489999999999999</v>
      </c>
      <c r="L355">
        <v>0.76500000000000001</v>
      </c>
      <c r="M355">
        <v>1.4710000000000001</v>
      </c>
      <c r="N355">
        <v>1.9419999999999999</v>
      </c>
      <c r="O355">
        <v>0.89400000000000002</v>
      </c>
      <c r="P355">
        <v>7.0000000000000001E-3</v>
      </c>
      <c r="Q355">
        <v>0</v>
      </c>
      <c r="R355">
        <v>0.9708</v>
      </c>
      <c r="S355">
        <v>1.4267000000000001</v>
      </c>
      <c r="T355">
        <v>0.5</v>
      </c>
      <c r="U355">
        <v>1.087</v>
      </c>
    </row>
    <row r="356" spans="1:21" x14ac:dyDescent="0.25">
      <c r="A356" t="s">
        <v>245</v>
      </c>
      <c r="B356" t="s">
        <v>105</v>
      </c>
      <c r="C356">
        <v>28</v>
      </c>
      <c r="D356" t="s">
        <v>11</v>
      </c>
      <c r="E356">
        <v>18.006250511485501</v>
      </c>
      <c r="G356">
        <v>2.4962</v>
      </c>
      <c r="H356">
        <v>7.9870000000000001</v>
      </c>
      <c r="K356">
        <v>1.1637</v>
      </c>
      <c r="L356">
        <v>1.3325</v>
      </c>
      <c r="M356">
        <v>1.875</v>
      </c>
      <c r="N356">
        <v>2.0059999999999998</v>
      </c>
      <c r="O356">
        <v>1.085</v>
      </c>
      <c r="P356">
        <v>5.0000000000000001E-3</v>
      </c>
      <c r="Q356">
        <v>3.4000000000000002E-2</v>
      </c>
      <c r="R356">
        <v>7.2278000000000002</v>
      </c>
      <c r="S356">
        <v>7.0811000000000002</v>
      </c>
      <c r="T356">
        <v>0.41</v>
      </c>
      <c r="U356">
        <v>0.61699999999999999</v>
      </c>
    </row>
    <row r="357" spans="1:21" x14ac:dyDescent="0.25">
      <c r="A357" t="s">
        <v>542</v>
      </c>
      <c r="B357" t="s">
        <v>102</v>
      </c>
      <c r="C357">
        <v>36</v>
      </c>
      <c r="D357" t="s">
        <v>22</v>
      </c>
      <c r="E357">
        <v>11.060628819320501</v>
      </c>
      <c r="G357">
        <v>1.2804</v>
      </c>
      <c r="H357">
        <v>5.032</v>
      </c>
      <c r="K357">
        <v>0.52124999999999999</v>
      </c>
      <c r="L357">
        <v>0.75914999999999999</v>
      </c>
      <c r="M357">
        <v>11.308999999999999</v>
      </c>
      <c r="N357">
        <v>1.5249999999999999</v>
      </c>
      <c r="O357">
        <v>0.81699999999999995</v>
      </c>
      <c r="P357">
        <v>0.33100000000000002</v>
      </c>
      <c r="Q357">
        <v>7.0000000000000007E-2</v>
      </c>
      <c r="R357">
        <v>1.6861999999999999</v>
      </c>
      <c r="S357">
        <v>1.7928999999999999</v>
      </c>
      <c r="T357">
        <v>0.47</v>
      </c>
      <c r="U357">
        <v>0.49099999999999999</v>
      </c>
    </row>
    <row r="358" spans="1:21" x14ac:dyDescent="0.25">
      <c r="A358" t="s">
        <v>540</v>
      </c>
      <c r="B358" t="s">
        <v>102</v>
      </c>
      <c r="C358">
        <v>29</v>
      </c>
      <c r="D358" t="s">
        <v>11</v>
      </c>
      <c r="E358">
        <v>12.058005958265699</v>
      </c>
      <c r="G358">
        <v>1.7444999999999999</v>
      </c>
      <c r="H358">
        <v>10.125999999999999</v>
      </c>
      <c r="K358">
        <v>0.68669999999999998</v>
      </c>
      <c r="L358">
        <v>1.0578000000000001</v>
      </c>
      <c r="M358">
        <v>6.1790000000000003</v>
      </c>
      <c r="N358">
        <v>1.8720000000000001</v>
      </c>
      <c r="O358">
        <v>1.4770000000000001</v>
      </c>
      <c r="P358">
        <v>0.115</v>
      </c>
      <c r="Q358">
        <v>0.15</v>
      </c>
      <c r="R358">
        <v>1.0761000000000001</v>
      </c>
      <c r="S358">
        <v>1.8129</v>
      </c>
      <c r="T358">
        <v>0.38</v>
      </c>
      <c r="U358">
        <v>1.232</v>
      </c>
    </row>
    <row r="359" spans="1:21" x14ac:dyDescent="0.25">
      <c r="A359" t="s">
        <v>1155</v>
      </c>
      <c r="B359" t="s">
        <v>103</v>
      </c>
      <c r="C359">
        <v>27</v>
      </c>
      <c r="D359" t="s">
        <v>19</v>
      </c>
      <c r="E359">
        <v>11.457723307415501</v>
      </c>
      <c r="G359">
        <v>1.3953</v>
      </c>
      <c r="H359">
        <v>5.0620000000000003</v>
      </c>
      <c r="K359">
        <v>0.65990000000000004</v>
      </c>
      <c r="L359">
        <v>0.73540000000000005</v>
      </c>
      <c r="M359">
        <v>13.462</v>
      </c>
      <c r="N359">
        <v>2.9580000000000002</v>
      </c>
      <c r="O359">
        <v>0.47399999999999998</v>
      </c>
      <c r="P359">
        <v>4.2000000000000003E-2</v>
      </c>
      <c r="Q359">
        <v>1.2E-2</v>
      </c>
      <c r="R359">
        <v>2.3963999999999999</v>
      </c>
      <c r="S359">
        <v>2.9209000000000001</v>
      </c>
      <c r="T359">
        <v>0.35</v>
      </c>
      <c r="U359">
        <v>1.103</v>
      </c>
    </row>
    <row r="360" spans="1:21" x14ac:dyDescent="0.25">
      <c r="A360" t="s">
        <v>263</v>
      </c>
      <c r="B360" t="s">
        <v>103</v>
      </c>
      <c r="C360">
        <v>27</v>
      </c>
      <c r="D360" t="s">
        <v>30</v>
      </c>
      <c r="E360">
        <v>15.8226897604809</v>
      </c>
      <c r="G360">
        <v>2.8993000000000002</v>
      </c>
      <c r="H360">
        <v>6.3129999999999997</v>
      </c>
      <c r="K360">
        <v>0.90090000000000003</v>
      </c>
      <c r="L360">
        <v>1.9984</v>
      </c>
      <c r="M360">
        <v>2.5920000000000001</v>
      </c>
      <c r="N360">
        <v>2.0379999999999998</v>
      </c>
      <c r="O360">
        <v>0.44900000000000001</v>
      </c>
      <c r="P360">
        <v>6.0000000000000001E-3</v>
      </c>
      <c r="Q360">
        <v>0</v>
      </c>
      <c r="R360">
        <v>0.3679</v>
      </c>
      <c r="S360">
        <v>0.54679999999999995</v>
      </c>
      <c r="T360">
        <v>0.42</v>
      </c>
      <c r="U360">
        <v>0.77700000000000002</v>
      </c>
    </row>
    <row r="361" spans="1:21" x14ac:dyDescent="0.25">
      <c r="A361" t="s">
        <v>810</v>
      </c>
      <c r="B361" t="s">
        <v>74</v>
      </c>
      <c r="C361">
        <v>27</v>
      </c>
      <c r="D361" t="s">
        <v>6</v>
      </c>
      <c r="E361">
        <v>8.8675045665935208</v>
      </c>
      <c r="G361">
        <v>1.204</v>
      </c>
      <c r="H361">
        <v>4.4420000000000002</v>
      </c>
      <c r="K361">
        <v>0.44119999999999998</v>
      </c>
      <c r="L361">
        <v>0.76280000000000003</v>
      </c>
      <c r="M361">
        <v>2.9260000000000002</v>
      </c>
      <c r="N361">
        <v>2.2650000000000001</v>
      </c>
      <c r="O361">
        <v>0.78100000000000003</v>
      </c>
      <c r="P361">
        <v>3.5000000000000003E-2</v>
      </c>
      <c r="Q361">
        <v>8.9999999999999993E-3</v>
      </c>
      <c r="R361">
        <v>20.0779</v>
      </c>
      <c r="S361">
        <v>16.527200000000001</v>
      </c>
      <c r="T361">
        <v>0.48</v>
      </c>
      <c r="U361">
        <v>1.0389999999999999</v>
      </c>
    </row>
    <row r="362" spans="1:21" x14ac:dyDescent="0.25">
      <c r="A362" t="s">
        <v>805</v>
      </c>
      <c r="B362" t="s">
        <v>101</v>
      </c>
      <c r="C362">
        <v>26</v>
      </c>
      <c r="D362" t="s">
        <v>9</v>
      </c>
      <c r="E362">
        <v>9.4340726709597504</v>
      </c>
      <c r="G362">
        <v>1.3807499999999999</v>
      </c>
      <c r="H362">
        <v>6.96</v>
      </c>
      <c r="K362">
        <v>0.67710000000000004</v>
      </c>
      <c r="L362">
        <v>0.70365</v>
      </c>
      <c r="M362">
        <v>9.2490000000000006</v>
      </c>
      <c r="N362">
        <v>2.6219999999999999</v>
      </c>
      <c r="O362">
        <v>0.84399999999999997</v>
      </c>
      <c r="P362">
        <v>6.8000000000000005E-2</v>
      </c>
      <c r="Q362">
        <v>1E-3</v>
      </c>
      <c r="R362">
        <v>4.3756000000000004</v>
      </c>
      <c r="S362">
        <v>5.1113999999999997</v>
      </c>
      <c r="T362">
        <v>0.41</v>
      </c>
      <c r="U362">
        <v>0.78</v>
      </c>
    </row>
    <row r="363" spans="1:21" x14ac:dyDescent="0.25">
      <c r="A363" t="s">
        <v>774</v>
      </c>
      <c r="B363" t="s">
        <v>101</v>
      </c>
      <c r="C363">
        <v>25</v>
      </c>
      <c r="D363" t="s">
        <v>32</v>
      </c>
      <c r="E363">
        <v>13.113849467422799</v>
      </c>
      <c r="G363">
        <v>1.76545</v>
      </c>
      <c r="H363">
        <v>6.391</v>
      </c>
      <c r="K363">
        <v>0.63214999999999999</v>
      </c>
      <c r="L363">
        <v>1.1333</v>
      </c>
      <c r="M363">
        <v>3.556</v>
      </c>
      <c r="N363">
        <v>3.1320000000000001</v>
      </c>
      <c r="O363">
        <v>0.58799999999999997</v>
      </c>
      <c r="P363">
        <v>7.0000000000000001E-3</v>
      </c>
      <c r="Q363">
        <v>0</v>
      </c>
      <c r="R363">
        <v>20.9008</v>
      </c>
      <c r="S363">
        <v>22.9209</v>
      </c>
      <c r="T363">
        <v>0</v>
      </c>
      <c r="U363">
        <v>0.40100000000000002</v>
      </c>
    </row>
    <row r="364" spans="1:21" x14ac:dyDescent="0.25">
      <c r="A364" t="s">
        <v>772</v>
      </c>
      <c r="B364" t="s">
        <v>74</v>
      </c>
      <c r="C364">
        <v>26</v>
      </c>
      <c r="D364" t="s">
        <v>12</v>
      </c>
      <c r="E364">
        <v>12.8190389415729</v>
      </c>
      <c r="G364">
        <v>1.73085</v>
      </c>
      <c r="H364">
        <v>6.0750000000000002</v>
      </c>
      <c r="K364">
        <v>0.65269999999999995</v>
      </c>
      <c r="L364">
        <v>1.0781499999999999</v>
      </c>
      <c r="M364">
        <v>6.0679999999999996</v>
      </c>
      <c r="N364">
        <v>2.653</v>
      </c>
      <c r="O364">
        <v>0.65200000000000002</v>
      </c>
      <c r="P364">
        <v>8.3000000000000004E-2</v>
      </c>
      <c r="Q364">
        <v>0</v>
      </c>
      <c r="R364">
        <v>16.715399999999999</v>
      </c>
      <c r="S364">
        <v>19.826799999999999</v>
      </c>
      <c r="T364" t="s">
        <v>1054</v>
      </c>
      <c r="U364">
        <v>0.76900000000000002</v>
      </c>
    </row>
    <row r="365" spans="1:21" x14ac:dyDescent="0.25">
      <c r="A365" t="s">
        <v>525</v>
      </c>
      <c r="B365" t="s">
        <v>103</v>
      </c>
      <c r="C365">
        <v>27</v>
      </c>
      <c r="D365" t="s">
        <v>27</v>
      </c>
      <c r="E365">
        <v>9.1066503268918098</v>
      </c>
      <c r="G365">
        <v>1.49085</v>
      </c>
      <c r="H365">
        <v>6.48</v>
      </c>
      <c r="K365">
        <v>0.74355000000000004</v>
      </c>
      <c r="L365">
        <v>0.74729999999999996</v>
      </c>
      <c r="M365">
        <v>13.381</v>
      </c>
      <c r="N365">
        <v>3.24</v>
      </c>
      <c r="O365">
        <v>1.1180000000000001</v>
      </c>
      <c r="P365">
        <v>0.27700000000000002</v>
      </c>
      <c r="Q365">
        <v>6.2E-2</v>
      </c>
      <c r="R365">
        <v>1.9115</v>
      </c>
      <c r="S365">
        <v>1.8926000000000001</v>
      </c>
      <c r="T365">
        <v>0</v>
      </c>
      <c r="U365">
        <v>0.438</v>
      </c>
    </row>
    <row r="366" spans="1:21" x14ac:dyDescent="0.25">
      <c r="A366" t="s">
        <v>993</v>
      </c>
      <c r="B366" t="s">
        <v>74</v>
      </c>
      <c r="C366">
        <v>29</v>
      </c>
      <c r="D366" t="s">
        <v>11</v>
      </c>
      <c r="E366">
        <v>18.016633253439899</v>
      </c>
      <c r="G366">
        <v>3.2373500000000002</v>
      </c>
      <c r="H366">
        <v>11.401999999999999</v>
      </c>
      <c r="K366">
        <v>1.3660000000000001</v>
      </c>
      <c r="L366">
        <v>1.8713500000000001</v>
      </c>
      <c r="M366">
        <v>2.0430000000000001</v>
      </c>
      <c r="N366">
        <v>2.4950000000000001</v>
      </c>
      <c r="O366">
        <v>0.66700000000000004</v>
      </c>
      <c r="P366">
        <v>3.2000000000000001E-2</v>
      </c>
      <c r="Q366">
        <v>1.2999999999999999E-2</v>
      </c>
      <c r="R366">
        <v>21.413599999999999</v>
      </c>
      <c r="S366">
        <v>26.029199999999999</v>
      </c>
      <c r="T366">
        <v>0</v>
      </c>
      <c r="U366">
        <v>0.41399999999999998</v>
      </c>
    </row>
    <row r="367" spans="1:21" x14ac:dyDescent="0.25">
      <c r="A367" t="s">
        <v>825</v>
      </c>
      <c r="B367" t="s">
        <v>104</v>
      </c>
      <c r="C367">
        <v>30</v>
      </c>
      <c r="D367" t="s">
        <v>14</v>
      </c>
      <c r="E367">
        <v>10.5370068607641</v>
      </c>
      <c r="G367">
        <v>1.44045</v>
      </c>
      <c r="H367">
        <v>5.1660000000000004</v>
      </c>
      <c r="K367">
        <v>0.67845</v>
      </c>
      <c r="L367">
        <v>0.76200000000000001</v>
      </c>
      <c r="M367">
        <v>10.811</v>
      </c>
      <c r="N367">
        <v>3.8580000000000001</v>
      </c>
      <c r="O367">
        <v>0.40600000000000003</v>
      </c>
      <c r="P367">
        <v>0.23100000000000001</v>
      </c>
      <c r="Q367">
        <v>1E-3</v>
      </c>
      <c r="R367">
        <v>3.3534999999999999</v>
      </c>
      <c r="S367">
        <v>3.1659999999999999</v>
      </c>
      <c r="T367">
        <v>0.44</v>
      </c>
      <c r="U367">
        <v>0.65600000000000003</v>
      </c>
    </row>
    <row r="368" spans="1:21" x14ac:dyDescent="0.25">
      <c r="A368" t="s">
        <v>281</v>
      </c>
      <c r="B368" t="s">
        <v>74</v>
      </c>
      <c r="C368">
        <v>34</v>
      </c>
      <c r="D368" t="s">
        <v>22</v>
      </c>
      <c r="E368">
        <v>14.987177649503399</v>
      </c>
      <c r="G368">
        <v>2.3673000000000002</v>
      </c>
      <c r="H368">
        <v>9.8989999999999991</v>
      </c>
      <c r="K368">
        <v>0.88360000000000005</v>
      </c>
      <c r="L368">
        <v>1.4837</v>
      </c>
      <c r="M368">
        <v>2.5880000000000001</v>
      </c>
      <c r="N368">
        <v>1.359</v>
      </c>
      <c r="O368">
        <v>0.84799999999999998</v>
      </c>
      <c r="P368">
        <v>6.5000000000000002E-2</v>
      </c>
      <c r="Q368">
        <v>6.6000000000000003E-2</v>
      </c>
      <c r="R368">
        <v>22.943100000000001</v>
      </c>
      <c r="S368">
        <v>25.2469</v>
      </c>
      <c r="T368">
        <v>0.44</v>
      </c>
      <c r="U368">
        <v>0.96299999999999997</v>
      </c>
    </row>
    <row r="369" spans="1:21" x14ac:dyDescent="0.25">
      <c r="A369" t="s">
        <v>663</v>
      </c>
      <c r="B369" t="s">
        <v>74</v>
      </c>
      <c r="C369">
        <v>34</v>
      </c>
      <c r="D369" t="s">
        <v>29</v>
      </c>
      <c r="E369">
        <v>12.559147010900499</v>
      </c>
      <c r="G369">
        <v>1.6533500000000001</v>
      </c>
      <c r="H369">
        <v>4.431</v>
      </c>
      <c r="K369">
        <v>0.81274999999999997</v>
      </c>
      <c r="L369">
        <v>0.84060000000000001</v>
      </c>
      <c r="M369">
        <v>8.4510000000000005</v>
      </c>
      <c r="N369">
        <v>3.5760000000000001</v>
      </c>
      <c r="O369">
        <v>1.244</v>
      </c>
      <c r="P369">
        <v>3.4000000000000002E-2</v>
      </c>
      <c r="Q369">
        <v>0</v>
      </c>
      <c r="R369">
        <v>28.456099999999999</v>
      </c>
      <c r="S369">
        <v>28.360199999999999</v>
      </c>
      <c r="T369">
        <v>0</v>
      </c>
      <c r="U369">
        <v>0.38800000000000001</v>
      </c>
    </row>
    <row r="370" spans="1:21" x14ac:dyDescent="0.25">
      <c r="A370" t="s">
        <v>891</v>
      </c>
      <c r="B370" t="s">
        <v>101</v>
      </c>
      <c r="C370">
        <v>29</v>
      </c>
      <c r="D370" t="s">
        <v>19</v>
      </c>
      <c r="E370">
        <v>13.460341722418701</v>
      </c>
      <c r="G370">
        <v>1.58975</v>
      </c>
      <c r="H370">
        <v>6.2569999999999997</v>
      </c>
      <c r="K370">
        <v>0.72050000000000003</v>
      </c>
      <c r="L370">
        <v>0.86924999999999997</v>
      </c>
      <c r="M370">
        <v>4.75</v>
      </c>
      <c r="N370">
        <v>2.427</v>
      </c>
      <c r="O370">
        <v>0.46500000000000002</v>
      </c>
      <c r="P370">
        <v>6.9000000000000006E-2</v>
      </c>
      <c r="Q370">
        <v>0</v>
      </c>
      <c r="R370">
        <v>20.879000000000001</v>
      </c>
      <c r="S370">
        <v>18.372399999999999</v>
      </c>
      <c r="T370">
        <v>0.47</v>
      </c>
      <c r="U370">
        <v>0.52600000000000002</v>
      </c>
    </row>
    <row r="371" spans="1:21" x14ac:dyDescent="0.25">
      <c r="A371" t="s">
        <v>1069</v>
      </c>
      <c r="B371" t="s">
        <v>102</v>
      </c>
      <c r="C371">
        <v>23</v>
      </c>
      <c r="D371" t="s">
        <v>30</v>
      </c>
      <c r="E371">
        <v>10.8791241363691</v>
      </c>
      <c r="G371">
        <v>2.1013500000000001</v>
      </c>
      <c r="H371">
        <v>9.08</v>
      </c>
      <c r="K371">
        <v>1.08725</v>
      </c>
      <c r="L371">
        <v>1.0141</v>
      </c>
      <c r="M371">
        <v>3.2530000000000001</v>
      </c>
      <c r="N371">
        <v>2.3820000000000001</v>
      </c>
      <c r="O371">
        <v>0.307</v>
      </c>
      <c r="P371">
        <v>0.03</v>
      </c>
      <c r="Q371">
        <v>8.0000000000000002E-3</v>
      </c>
      <c r="R371">
        <v>1.7793000000000001</v>
      </c>
      <c r="S371">
        <v>2.1974999999999998</v>
      </c>
      <c r="T371">
        <v>0.43</v>
      </c>
      <c r="U371">
        <v>1.3879999999999999</v>
      </c>
    </row>
    <row r="372" spans="1:21" x14ac:dyDescent="0.25">
      <c r="A372" t="s">
        <v>688</v>
      </c>
      <c r="B372" t="s">
        <v>105</v>
      </c>
      <c r="C372">
        <v>32</v>
      </c>
      <c r="D372" t="s">
        <v>13</v>
      </c>
      <c r="E372">
        <v>13.309055151625801</v>
      </c>
      <c r="G372">
        <v>1.7237499999999999</v>
      </c>
      <c r="H372">
        <v>7.4509999999999996</v>
      </c>
      <c r="K372">
        <v>0.87965000000000004</v>
      </c>
      <c r="L372">
        <v>0.84409999999999996</v>
      </c>
      <c r="M372">
        <v>6.8650000000000002</v>
      </c>
      <c r="N372">
        <v>2.1360000000000001</v>
      </c>
      <c r="O372">
        <v>0.97099999999999997</v>
      </c>
      <c r="P372">
        <v>2.8000000000000001E-2</v>
      </c>
      <c r="Q372">
        <v>1.7999999999999999E-2</v>
      </c>
      <c r="R372">
        <v>24.811800000000002</v>
      </c>
      <c r="S372">
        <v>24.3477</v>
      </c>
      <c r="T372">
        <v>0</v>
      </c>
      <c r="U372">
        <v>0.71899999999999997</v>
      </c>
    </row>
    <row r="373" spans="1:21" x14ac:dyDescent="0.25">
      <c r="A373" t="s">
        <v>621</v>
      </c>
      <c r="B373" t="s">
        <v>101</v>
      </c>
      <c r="C373">
        <v>36</v>
      </c>
      <c r="D373" t="s">
        <v>10</v>
      </c>
      <c r="E373">
        <v>10.6487995437208</v>
      </c>
      <c r="G373">
        <v>1.0035000000000001</v>
      </c>
      <c r="H373">
        <v>4.5599999999999996</v>
      </c>
      <c r="K373">
        <v>0.44059999999999999</v>
      </c>
      <c r="L373">
        <v>0.56289999999999996</v>
      </c>
      <c r="M373">
        <v>1.1220000000000001</v>
      </c>
      <c r="N373">
        <v>6.415</v>
      </c>
      <c r="O373">
        <v>0.56799999999999995</v>
      </c>
      <c r="P373">
        <v>8.0000000000000002E-3</v>
      </c>
      <c r="Q373">
        <v>3.4000000000000002E-2</v>
      </c>
      <c r="R373">
        <v>19.794799999999999</v>
      </c>
      <c r="S373">
        <v>19.3963</v>
      </c>
      <c r="T373">
        <v>0.37</v>
      </c>
      <c r="U373">
        <v>0.95399999999999996</v>
      </c>
    </row>
    <row r="374" spans="1:21" x14ac:dyDescent="0.25">
      <c r="A374" t="s">
        <v>814</v>
      </c>
      <c r="B374" t="s">
        <v>101</v>
      </c>
      <c r="C374">
        <v>31</v>
      </c>
      <c r="D374" t="s">
        <v>31</v>
      </c>
      <c r="E374">
        <v>11.628555141199</v>
      </c>
      <c r="G374">
        <v>1.4652000000000001</v>
      </c>
      <c r="H374">
        <v>7.46</v>
      </c>
      <c r="K374">
        <v>0.56325000000000003</v>
      </c>
      <c r="L374">
        <v>0.90195000000000003</v>
      </c>
      <c r="M374">
        <v>7.3120000000000003</v>
      </c>
      <c r="N374">
        <v>2.536</v>
      </c>
      <c r="O374">
        <v>0.95</v>
      </c>
      <c r="P374">
        <v>0.17799999999999999</v>
      </c>
      <c r="Q374">
        <v>4.7E-2</v>
      </c>
      <c r="R374">
        <v>1.9351</v>
      </c>
      <c r="S374">
        <v>1.6830000000000001</v>
      </c>
      <c r="T374">
        <v>0.4</v>
      </c>
      <c r="U374">
        <v>0.94799999999999995</v>
      </c>
    </row>
    <row r="375" spans="1:21" x14ac:dyDescent="0.25">
      <c r="A375" t="s">
        <v>612</v>
      </c>
      <c r="B375" t="s">
        <v>104</v>
      </c>
      <c r="C375">
        <v>37</v>
      </c>
      <c r="D375" t="s">
        <v>21</v>
      </c>
      <c r="E375">
        <v>13.2382902068584</v>
      </c>
      <c r="G375">
        <v>1.3599000000000001</v>
      </c>
      <c r="H375">
        <v>6.306</v>
      </c>
      <c r="K375">
        <v>0.51870000000000005</v>
      </c>
      <c r="L375">
        <v>0.84119999999999995</v>
      </c>
      <c r="M375">
        <v>10.297000000000001</v>
      </c>
      <c r="N375">
        <v>2.3210000000000002</v>
      </c>
      <c r="O375">
        <v>1.246</v>
      </c>
      <c r="P375">
        <v>0.26800000000000002</v>
      </c>
      <c r="Q375">
        <v>0</v>
      </c>
      <c r="R375">
        <v>6.5795000000000003</v>
      </c>
      <c r="S375">
        <v>5.9419000000000004</v>
      </c>
      <c r="T375" t="s">
        <v>1054</v>
      </c>
      <c r="U375">
        <v>0.67300000000000004</v>
      </c>
    </row>
    <row r="376" spans="1:21" x14ac:dyDescent="0.25">
      <c r="A376" t="s">
        <v>463</v>
      </c>
      <c r="B376" t="s">
        <v>102</v>
      </c>
      <c r="C376">
        <v>29</v>
      </c>
      <c r="D376" t="s">
        <v>901</v>
      </c>
      <c r="E376">
        <v>11.219937376370799</v>
      </c>
      <c r="G376">
        <v>1.46285</v>
      </c>
      <c r="H376">
        <v>6.681</v>
      </c>
      <c r="K376">
        <v>0.76900000000000002</v>
      </c>
      <c r="L376">
        <v>0.69384999999999997</v>
      </c>
      <c r="M376">
        <v>13.532999999999999</v>
      </c>
      <c r="N376">
        <v>2.448</v>
      </c>
      <c r="O376">
        <v>1.4730000000000001</v>
      </c>
      <c r="P376">
        <v>9.1999999999999998E-2</v>
      </c>
      <c r="Q376">
        <v>2E-3</v>
      </c>
      <c r="R376">
        <v>0.79</v>
      </c>
      <c r="S376">
        <v>1.0987</v>
      </c>
      <c r="T376">
        <v>0.38</v>
      </c>
      <c r="U376">
        <v>1.1399999999999999</v>
      </c>
    </row>
    <row r="377" spans="1:21" x14ac:dyDescent="0.25">
      <c r="A377" t="s">
        <v>410</v>
      </c>
      <c r="B377" t="s">
        <v>105</v>
      </c>
      <c r="C377">
        <v>28</v>
      </c>
      <c r="D377" t="s">
        <v>13</v>
      </c>
      <c r="E377">
        <v>15.499464988093299</v>
      </c>
      <c r="G377">
        <v>2.2598500000000001</v>
      </c>
      <c r="H377">
        <v>5.569</v>
      </c>
      <c r="K377">
        <v>0.73845000000000005</v>
      </c>
      <c r="L377">
        <v>1.5214000000000001</v>
      </c>
      <c r="M377">
        <v>0.63300000000000001</v>
      </c>
      <c r="N377">
        <v>1.792</v>
      </c>
      <c r="O377">
        <v>0.39</v>
      </c>
      <c r="P377">
        <v>6.0000000000000001E-3</v>
      </c>
      <c r="Q377">
        <v>0</v>
      </c>
      <c r="R377">
        <v>5.0349000000000004</v>
      </c>
      <c r="S377">
        <v>8.0829000000000004</v>
      </c>
      <c r="T377">
        <v>0</v>
      </c>
      <c r="U377">
        <v>0.373</v>
      </c>
    </row>
    <row r="378" spans="1:21" x14ac:dyDescent="0.25">
      <c r="A378" t="s">
        <v>320</v>
      </c>
      <c r="B378" t="s">
        <v>74</v>
      </c>
      <c r="C378">
        <v>25</v>
      </c>
      <c r="D378" t="s">
        <v>6</v>
      </c>
      <c r="E378">
        <v>16.408624577063001</v>
      </c>
      <c r="G378">
        <v>1.8724000000000001</v>
      </c>
      <c r="H378">
        <v>5.5270000000000001</v>
      </c>
      <c r="K378">
        <v>0.69604999999999995</v>
      </c>
      <c r="L378">
        <v>1.17635</v>
      </c>
      <c r="M378">
        <v>2.4660000000000002</v>
      </c>
      <c r="N378">
        <v>2.169</v>
      </c>
      <c r="O378">
        <v>0.49399999999999999</v>
      </c>
      <c r="P378">
        <v>2.5000000000000001E-2</v>
      </c>
      <c r="Q378">
        <v>1.9E-2</v>
      </c>
      <c r="R378">
        <v>24.397600000000001</v>
      </c>
      <c r="S378">
        <v>24.083200000000001</v>
      </c>
      <c r="T378">
        <v>0</v>
      </c>
      <c r="U378">
        <v>0.74199999999999999</v>
      </c>
    </row>
    <row r="379" spans="1:21" x14ac:dyDescent="0.25">
      <c r="A379" t="s">
        <v>785</v>
      </c>
      <c r="B379" t="s">
        <v>74</v>
      </c>
      <c r="C379">
        <v>37</v>
      </c>
      <c r="D379" t="s">
        <v>29</v>
      </c>
      <c r="E379">
        <v>13.5003869305093</v>
      </c>
      <c r="G379">
        <v>1.3545</v>
      </c>
      <c r="H379">
        <v>4.0590000000000002</v>
      </c>
      <c r="K379">
        <v>0.33810000000000001</v>
      </c>
      <c r="L379">
        <v>1.0164</v>
      </c>
      <c r="M379">
        <v>2.1589999999999998</v>
      </c>
      <c r="N379">
        <v>2.3540000000000001</v>
      </c>
      <c r="O379">
        <v>0.59199999999999997</v>
      </c>
      <c r="P379">
        <v>1.6E-2</v>
      </c>
      <c r="Q379">
        <v>3.0000000000000001E-3</v>
      </c>
      <c r="R379">
        <v>25.396999999999998</v>
      </c>
      <c r="S379">
        <v>25.473099999999999</v>
      </c>
      <c r="T379">
        <v>0.38</v>
      </c>
      <c r="U379">
        <v>0.96699999999999997</v>
      </c>
    </row>
    <row r="380" spans="1:21" x14ac:dyDescent="0.25">
      <c r="A380" t="s">
        <v>488</v>
      </c>
      <c r="B380" t="s">
        <v>74</v>
      </c>
      <c r="C380">
        <v>26</v>
      </c>
      <c r="D380" t="s">
        <v>27</v>
      </c>
      <c r="E380">
        <v>14.556232910076901</v>
      </c>
      <c r="G380">
        <v>2.7126999999999999</v>
      </c>
      <c r="H380">
        <v>7.3730000000000002</v>
      </c>
      <c r="K380">
        <v>1.0665500000000001</v>
      </c>
      <c r="L380">
        <v>1.64615</v>
      </c>
      <c r="M380">
        <v>2.0680000000000001</v>
      </c>
      <c r="N380">
        <v>2.3159999999999998</v>
      </c>
      <c r="O380">
        <v>0.26400000000000001</v>
      </c>
      <c r="P380">
        <v>0.02</v>
      </c>
      <c r="Q380">
        <v>0</v>
      </c>
      <c r="R380">
        <v>32.985300000000002</v>
      </c>
      <c r="S380">
        <v>27.462800000000001</v>
      </c>
      <c r="T380">
        <v>0.44</v>
      </c>
      <c r="U380">
        <v>0.67900000000000005</v>
      </c>
    </row>
    <row r="381" spans="1:21" x14ac:dyDescent="0.25">
      <c r="A381" t="s">
        <v>770</v>
      </c>
      <c r="B381" t="s">
        <v>101</v>
      </c>
      <c r="C381">
        <v>29</v>
      </c>
      <c r="D381" t="s">
        <v>33</v>
      </c>
      <c r="E381">
        <v>12.192605035209899</v>
      </c>
      <c r="G381">
        <v>1.2538499999999999</v>
      </c>
      <c r="H381">
        <v>5.7130000000000001</v>
      </c>
      <c r="K381">
        <v>0.51819999999999999</v>
      </c>
      <c r="L381">
        <v>0.73565000000000003</v>
      </c>
      <c r="M381">
        <v>5.101</v>
      </c>
      <c r="N381">
        <v>2.4420000000000002</v>
      </c>
      <c r="O381">
        <v>0.51700000000000002</v>
      </c>
      <c r="P381">
        <v>3.5000000000000003E-2</v>
      </c>
      <c r="Q381">
        <v>0</v>
      </c>
      <c r="R381">
        <v>30.086400000000001</v>
      </c>
      <c r="S381">
        <v>20.976600000000001</v>
      </c>
      <c r="T381">
        <v>0.54</v>
      </c>
      <c r="U381">
        <v>1.2689999999999999</v>
      </c>
    </row>
    <row r="382" spans="1:21" x14ac:dyDescent="0.25">
      <c r="A382" t="s">
        <v>660</v>
      </c>
      <c r="B382" t="s">
        <v>104</v>
      </c>
      <c r="C382">
        <v>28</v>
      </c>
      <c r="D382" t="s">
        <v>29</v>
      </c>
      <c r="E382">
        <v>11.6880620899615</v>
      </c>
      <c r="G382">
        <v>1.37805</v>
      </c>
      <c r="H382">
        <v>5.5869999999999997</v>
      </c>
      <c r="K382">
        <v>0.5393</v>
      </c>
      <c r="L382">
        <v>0.83875</v>
      </c>
      <c r="M382">
        <v>11.629</v>
      </c>
      <c r="N382">
        <v>1.8620000000000001</v>
      </c>
      <c r="O382">
        <v>1.29</v>
      </c>
      <c r="P382">
        <v>0.14099999999999999</v>
      </c>
      <c r="Q382">
        <v>0</v>
      </c>
      <c r="R382">
        <v>0.71650000000000003</v>
      </c>
      <c r="S382">
        <v>1.2093</v>
      </c>
      <c r="T382" t="s">
        <v>1054</v>
      </c>
      <c r="U382">
        <v>0.496</v>
      </c>
    </row>
    <row r="383" spans="1:21" x14ac:dyDescent="0.25">
      <c r="A383" t="s">
        <v>517</v>
      </c>
      <c r="B383" t="s">
        <v>102</v>
      </c>
      <c r="C383">
        <v>33</v>
      </c>
      <c r="D383" t="s">
        <v>32</v>
      </c>
      <c r="E383">
        <v>8.4396919966648092</v>
      </c>
      <c r="G383">
        <v>0.80115000000000003</v>
      </c>
      <c r="H383">
        <v>5.7389999999999999</v>
      </c>
      <c r="K383">
        <v>0.35394999999999999</v>
      </c>
      <c r="L383">
        <v>0.44719999999999999</v>
      </c>
      <c r="M383">
        <v>19.742000000000001</v>
      </c>
      <c r="N383">
        <v>2.5859999999999999</v>
      </c>
      <c r="O383">
        <v>1.147</v>
      </c>
      <c r="P383">
        <v>1.1870000000000001</v>
      </c>
      <c r="Q383">
        <v>0.23</v>
      </c>
      <c r="R383">
        <v>0.79749999999999999</v>
      </c>
      <c r="S383">
        <v>1.1044</v>
      </c>
      <c r="T383">
        <v>0.48</v>
      </c>
      <c r="U383">
        <v>0.69099999999999995</v>
      </c>
    </row>
    <row r="384" spans="1:21" x14ac:dyDescent="0.25">
      <c r="A384" t="s">
        <v>505</v>
      </c>
      <c r="B384" t="s">
        <v>105</v>
      </c>
      <c r="C384">
        <v>27</v>
      </c>
      <c r="D384" t="s">
        <v>28</v>
      </c>
      <c r="E384">
        <v>12.557246360612099</v>
      </c>
      <c r="G384">
        <v>1.8188500000000001</v>
      </c>
      <c r="H384">
        <v>5.7679999999999998</v>
      </c>
      <c r="K384">
        <v>0.74939999999999996</v>
      </c>
      <c r="L384">
        <v>1.06945</v>
      </c>
      <c r="M384">
        <v>4.4269999999999996</v>
      </c>
      <c r="N384">
        <v>2.3119999999999998</v>
      </c>
      <c r="O384">
        <v>0.78600000000000003</v>
      </c>
      <c r="P384">
        <v>4.5999999999999999E-2</v>
      </c>
      <c r="Q384">
        <v>2.1999999999999999E-2</v>
      </c>
      <c r="R384">
        <v>20.553999999999998</v>
      </c>
      <c r="S384">
        <v>22.583500000000001</v>
      </c>
      <c r="T384">
        <v>0</v>
      </c>
      <c r="U384">
        <v>0.69899999999999995</v>
      </c>
    </row>
    <row r="385" spans="1:21" x14ac:dyDescent="0.25">
      <c r="A385" t="s">
        <v>1040</v>
      </c>
      <c r="B385" t="s">
        <v>74</v>
      </c>
      <c r="C385">
        <v>24</v>
      </c>
      <c r="D385" t="s">
        <v>14</v>
      </c>
      <c r="E385">
        <v>9.2266920283718008</v>
      </c>
      <c r="G385">
        <v>1.1670499999999999</v>
      </c>
      <c r="H385">
        <v>5.1210000000000004</v>
      </c>
      <c r="K385">
        <v>0.4022</v>
      </c>
      <c r="L385">
        <v>0.76485000000000003</v>
      </c>
      <c r="M385">
        <v>7.3140000000000001</v>
      </c>
      <c r="N385">
        <v>2.4340000000000002</v>
      </c>
      <c r="O385">
        <v>0.65800000000000003</v>
      </c>
      <c r="P385">
        <v>2.9000000000000001E-2</v>
      </c>
      <c r="Q385">
        <v>8.0000000000000002E-3</v>
      </c>
      <c r="R385">
        <v>11.001799999999999</v>
      </c>
      <c r="S385">
        <v>16.1556</v>
      </c>
      <c r="T385">
        <v>0.45</v>
      </c>
      <c r="U385">
        <v>1.294</v>
      </c>
    </row>
    <row r="386" spans="1:21" x14ac:dyDescent="0.25">
      <c r="A386" t="s">
        <v>243</v>
      </c>
      <c r="B386" t="s">
        <v>103</v>
      </c>
      <c r="C386">
        <v>31</v>
      </c>
      <c r="D386" t="s">
        <v>19</v>
      </c>
      <c r="E386">
        <v>17.156754893102299</v>
      </c>
      <c r="G386">
        <v>3.10385</v>
      </c>
      <c r="H386">
        <v>8.9969999999999999</v>
      </c>
      <c r="K386">
        <v>1.1313500000000001</v>
      </c>
      <c r="L386">
        <v>1.9724999999999999</v>
      </c>
      <c r="M386">
        <v>1.78</v>
      </c>
      <c r="N386">
        <v>1.349</v>
      </c>
      <c r="O386">
        <v>0.52900000000000003</v>
      </c>
      <c r="P386">
        <v>6.0000000000000001E-3</v>
      </c>
      <c r="Q386">
        <v>0</v>
      </c>
      <c r="R386">
        <v>0.2601</v>
      </c>
      <c r="S386">
        <v>0.247</v>
      </c>
      <c r="T386" t="s">
        <v>1054</v>
      </c>
      <c r="U386">
        <v>0.52</v>
      </c>
    </row>
    <row r="387" spans="1:21" x14ac:dyDescent="0.25">
      <c r="A387" t="s">
        <v>283</v>
      </c>
      <c r="B387" t="s">
        <v>102</v>
      </c>
      <c r="C387">
        <v>28</v>
      </c>
      <c r="D387" t="s">
        <v>9</v>
      </c>
      <c r="E387">
        <v>14</v>
      </c>
      <c r="G387">
        <v>2.7056</v>
      </c>
      <c r="H387">
        <v>11.04</v>
      </c>
      <c r="K387">
        <v>1.1617999999999999</v>
      </c>
      <c r="L387">
        <v>1.5438000000000001</v>
      </c>
      <c r="M387">
        <v>1.7869999999999999</v>
      </c>
      <c r="N387">
        <v>1.8069999999999999</v>
      </c>
      <c r="O387">
        <v>0.498</v>
      </c>
      <c r="P387">
        <v>7.0000000000000007E-2</v>
      </c>
      <c r="Q387">
        <v>0</v>
      </c>
      <c r="R387">
        <v>0.42159999999999997</v>
      </c>
      <c r="S387">
        <v>0.57699999999999996</v>
      </c>
      <c r="T387">
        <v>0.41</v>
      </c>
      <c r="U387">
        <v>1.3979999999999999</v>
      </c>
    </row>
    <row r="388" spans="1:21" x14ac:dyDescent="0.25">
      <c r="A388" t="s">
        <v>958</v>
      </c>
      <c r="B388" t="s">
        <v>74</v>
      </c>
      <c r="C388">
        <v>24</v>
      </c>
      <c r="D388" t="s">
        <v>8</v>
      </c>
      <c r="E388">
        <v>9.4236523590171597</v>
      </c>
      <c r="G388">
        <v>1.18475</v>
      </c>
      <c r="H388">
        <v>3.718</v>
      </c>
      <c r="K388">
        <v>0.42864999999999998</v>
      </c>
      <c r="L388">
        <v>0.75609999999999999</v>
      </c>
      <c r="M388">
        <v>4.1360000000000001</v>
      </c>
      <c r="N388">
        <v>2.9359999999999999</v>
      </c>
      <c r="O388">
        <v>0.66400000000000003</v>
      </c>
      <c r="P388">
        <v>1.4999999999999999E-2</v>
      </c>
      <c r="Q388">
        <v>4.0000000000000001E-3</v>
      </c>
      <c r="R388">
        <v>11.1426</v>
      </c>
      <c r="S388">
        <v>14.3657</v>
      </c>
      <c r="T388">
        <v>0.46</v>
      </c>
      <c r="U388">
        <v>0.97899999999999998</v>
      </c>
    </row>
    <row r="389" spans="1:21" x14ac:dyDescent="0.25">
      <c r="A389" t="s">
        <v>603</v>
      </c>
      <c r="B389" t="s">
        <v>104</v>
      </c>
      <c r="C389">
        <v>24</v>
      </c>
      <c r="D389" t="s">
        <v>8</v>
      </c>
      <c r="E389">
        <v>11.620041936996801</v>
      </c>
      <c r="G389">
        <v>1.8284499999999999</v>
      </c>
      <c r="H389">
        <v>7.3380000000000001</v>
      </c>
      <c r="K389">
        <v>1.01145</v>
      </c>
      <c r="L389">
        <v>0.81699999999999995</v>
      </c>
      <c r="M389">
        <v>5.1520000000000001</v>
      </c>
      <c r="N389">
        <v>1.504</v>
      </c>
      <c r="O389">
        <v>0.92800000000000005</v>
      </c>
      <c r="P389">
        <v>3.2000000000000001E-2</v>
      </c>
      <c r="Q389">
        <v>1E-3</v>
      </c>
      <c r="R389">
        <v>0.35010000000000002</v>
      </c>
      <c r="S389">
        <v>0.35549999999999998</v>
      </c>
      <c r="T389">
        <v>0.56000000000000005</v>
      </c>
      <c r="U389">
        <v>0.877</v>
      </c>
    </row>
    <row r="390" spans="1:21" x14ac:dyDescent="0.25">
      <c r="A390" t="s">
        <v>502</v>
      </c>
      <c r="B390" t="s">
        <v>102</v>
      </c>
      <c r="C390">
        <v>32</v>
      </c>
      <c r="D390" t="s">
        <v>9</v>
      </c>
      <c r="E390">
        <v>13.17413202629</v>
      </c>
      <c r="G390">
        <v>1.9327000000000001</v>
      </c>
      <c r="H390">
        <v>8.4689999999999994</v>
      </c>
      <c r="K390">
        <v>1.0318000000000001</v>
      </c>
      <c r="L390">
        <v>0.90090000000000003</v>
      </c>
      <c r="M390">
        <v>6.4809999999999999</v>
      </c>
      <c r="N390">
        <v>2.1150000000000002</v>
      </c>
      <c r="O390">
        <v>0.67900000000000005</v>
      </c>
      <c r="P390">
        <v>6.0000000000000001E-3</v>
      </c>
      <c r="Q390">
        <v>2.3E-2</v>
      </c>
      <c r="R390">
        <v>0.7944</v>
      </c>
      <c r="S390">
        <v>1.1453</v>
      </c>
      <c r="T390">
        <v>0.42</v>
      </c>
      <c r="U390">
        <v>0.59299999999999997</v>
      </c>
    </row>
    <row r="391" spans="1:21" x14ac:dyDescent="0.25">
      <c r="A391" t="s">
        <v>916</v>
      </c>
      <c r="B391" t="s">
        <v>101</v>
      </c>
      <c r="C391">
        <v>25</v>
      </c>
      <c r="D391" t="s">
        <v>32</v>
      </c>
      <c r="E391">
        <v>11.864892571683701</v>
      </c>
      <c r="G391">
        <v>1.6388</v>
      </c>
      <c r="H391">
        <v>5.8070000000000004</v>
      </c>
      <c r="K391">
        <v>0.63095000000000001</v>
      </c>
      <c r="L391">
        <v>1.0078499999999999</v>
      </c>
      <c r="M391">
        <v>4.1879999999999997</v>
      </c>
      <c r="N391">
        <v>2.3959999999999999</v>
      </c>
      <c r="O391">
        <v>0.29699999999999999</v>
      </c>
      <c r="P391">
        <v>8.0000000000000002E-3</v>
      </c>
      <c r="Q391">
        <v>0</v>
      </c>
      <c r="R391">
        <v>10.237500000000001</v>
      </c>
      <c r="S391">
        <v>13.228199999999999</v>
      </c>
      <c r="T391">
        <v>0</v>
      </c>
      <c r="U391">
        <v>0.59199999999999997</v>
      </c>
    </row>
    <row r="392" spans="1:21" x14ac:dyDescent="0.25">
      <c r="A392" t="s">
        <v>637</v>
      </c>
      <c r="B392" t="s">
        <v>104</v>
      </c>
      <c r="C392">
        <v>26</v>
      </c>
      <c r="D392" t="s">
        <v>30</v>
      </c>
      <c r="E392">
        <v>10.7037155990788</v>
      </c>
      <c r="G392">
        <v>1.29705</v>
      </c>
      <c r="H392">
        <v>9.4779999999999998</v>
      </c>
      <c r="K392">
        <v>0.64970000000000006</v>
      </c>
      <c r="L392">
        <v>0.64734999999999998</v>
      </c>
      <c r="M392">
        <v>10.68</v>
      </c>
      <c r="N392">
        <v>2.633</v>
      </c>
      <c r="O392">
        <v>0.625</v>
      </c>
      <c r="P392">
        <v>0.128</v>
      </c>
      <c r="Q392">
        <v>0</v>
      </c>
      <c r="R392">
        <v>1.3769</v>
      </c>
      <c r="S392">
        <v>1.1462000000000001</v>
      </c>
      <c r="T392">
        <v>0.52</v>
      </c>
      <c r="U392">
        <v>1.8080000000000001</v>
      </c>
    </row>
    <row r="393" spans="1:21" x14ac:dyDescent="0.25">
      <c r="A393" t="s">
        <v>678</v>
      </c>
      <c r="B393" t="s">
        <v>101</v>
      </c>
      <c r="C393">
        <v>33</v>
      </c>
      <c r="D393" t="s">
        <v>25</v>
      </c>
      <c r="E393">
        <v>10.860592375455401</v>
      </c>
      <c r="G393">
        <v>1.2586999999999999</v>
      </c>
      <c r="H393">
        <v>6.327</v>
      </c>
      <c r="K393">
        <v>0.65649999999999997</v>
      </c>
      <c r="L393">
        <v>0.60219999999999996</v>
      </c>
      <c r="M393">
        <v>11.519</v>
      </c>
      <c r="N393">
        <v>4.7699999999999996</v>
      </c>
      <c r="O393">
        <v>0.6</v>
      </c>
      <c r="P393">
        <v>0.10100000000000001</v>
      </c>
      <c r="Q393">
        <v>1E-3</v>
      </c>
      <c r="R393">
        <v>22.523499999999999</v>
      </c>
      <c r="S393">
        <v>19.126899999999999</v>
      </c>
      <c r="T393" t="s">
        <v>1054</v>
      </c>
      <c r="U393">
        <v>0.47699999999999998</v>
      </c>
    </row>
    <row r="394" spans="1:21" x14ac:dyDescent="0.25">
      <c r="A394" t="s">
        <v>331</v>
      </c>
      <c r="B394" t="s">
        <v>103</v>
      </c>
      <c r="C394">
        <v>29</v>
      </c>
      <c r="D394" t="s">
        <v>87</v>
      </c>
      <c r="E394">
        <v>13.749676318733</v>
      </c>
      <c r="G394">
        <v>1.8444</v>
      </c>
      <c r="H394">
        <v>7.923</v>
      </c>
      <c r="K394">
        <v>0.75470000000000004</v>
      </c>
      <c r="L394">
        <v>1.0896999999999999</v>
      </c>
      <c r="M394">
        <v>3.1360000000000001</v>
      </c>
      <c r="N394">
        <v>1.7889999999999999</v>
      </c>
      <c r="O394">
        <v>0.32800000000000001</v>
      </c>
      <c r="P394">
        <v>6.0000000000000001E-3</v>
      </c>
      <c r="Q394">
        <v>0</v>
      </c>
      <c r="R394">
        <v>0.70209999999999995</v>
      </c>
      <c r="S394">
        <v>1.1812</v>
      </c>
      <c r="T394">
        <v>0</v>
      </c>
      <c r="U394">
        <v>0.35499999999999998</v>
      </c>
    </row>
    <row r="395" spans="1:21" x14ac:dyDescent="0.25">
      <c r="A395" t="s">
        <v>483</v>
      </c>
      <c r="B395" t="s">
        <v>103</v>
      </c>
      <c r="C395">
        <v>24</v>
      </c>
      <c r="D395" t="s">
        <v>20</v>
      </c>
      <c r="E395">
        <v>10.388131336666101</v>
      </c>
      <c r="G395">
        <v>1.3269500000000001</v>
      </c>
      <c r="H395">
        <v>7.5819999999999999</v>
      </c>
      <c r="K395">
        <v>0.52264999999999995</v>
      </c>
      <c r="L395">
        <v>0.80430000000000001</v>
      </c>
      <c r="M395">
        <v>5.6890000000000001</v>
      </c>
      <c r="N395">
        <v>3.0449999999999999</v>
      </c>
      <c r="O395">
        <v>1.2529999999999999</v>
      </c>
      <c r="P395">
        <v>0.109</v>
      </c>
      <c r="Q395">
        <v>5.8000000000000003E-2</v>
      </c>
      <c r="R395">
        <v>1.0998000000000001</v>
      </c>
      <c r="S395">
        <v>1.5888</v>
      </c>
      <c r="T395">
        <v>0.52</v>
      </c>
      <c r="U395">
        <v>0.86099999999999999</v>
      </c>
    </row>
    <row r="396" spans="1:21" x14ac:dyDescent="0.25">
      <c r="A396" t="s">
        <v>1156</v>
      </c>
      <c r="B396" t="s">
        <v>102</v>
      </c>
      <c r="C396">
        <v>25</v>
      </c>
      <c r="D396" t="s">
        <v>32</v>
      </c>
      <c r="E396">
        <v>10.7290618348141</v>
      </c>
      <c r="G396">
        <v>1.73265</v>
      </c>
      <c r="H396">
        <v>9.1050000000000004</v>
      </c>
      <c r="K396">
        <v>0.76200000000000001</v>
      </c>
      <c r="L396">
        <v>0.97065000000000001</v>
      </c>
      <c r="M396">
        <v>2.653</v>
      </c>
      <c r="N396">
        <v>1.9790000000000001</v>
      </c>
      <c r="O396">
        <v>0.92700000000000005</v>
      </c>
      <c r="P396">
        <v>5.6000000000000001E-2</v>
      </c>
      <c r="Q396">
        <v>1.7000000000000001E-2</v>
      </c>
      <c r="R396">
        <v>4.0990000000000002</v>
      </c>
      <c r="S396">
        <v>4.2995000000000001</v>
      </c>
      <c r="T396">
        <v>0.48</v>
      </c>
      <c r="U396">
        <v>1.651</v>
      </c>
    </row>
    <row r="397" spans="1:21" x14ac:dyDescent="0.25">
      <c r="A397" t="s">
        <v>399</v>
      </c>
      <c r="B397" t="s">
        <v>102</v>
      </c>
      <c r="C397">
        <v>33</v>
      </c>
      <c r="D397" t="s">
        <v>27</v>
      </c>
      <c r="E397">
        <v>13.643472193425801</v>
      </c>
      <c r="G397">
        <v>1.84355</v>
      </c>
      <c r="H397">
        <v>5.9130000000000003</v>
      </c>
      <c r="K397">
        <v>0.66449999999999998</v>
      </c>
      <c r="L397">
        <v>1.1790499999999999</v>
      </c>
      <c r="M397">
        <v>5.0780000000000003</v>
      </c>
      <c r="N397">
        <v>3.097</v>
      </c>
      <c r="O397">
        <v>0.51600000000000001</v>
      </c>
      <c r="P397">
        <v>2.9000000000000001E-2</v>
      </c>
      <c r="Q397">
        <v>0.02</v>
      </c>
      <c r="R397">
        <v>0.42709999999999998</v>
      </c>
      <c r="S397">
        <v>0.97330000000000005</v>
      </c>
      <c r="T397">
        <v>0</v>
      </c>
      <c r="U397">
        <v>0.74199999999999999</v>
      </c>
    </row>
    <row r="398" spans="1:21" x14ac:dyDescent="0.25">
      <c r="A398" t="s">
        <v>800</v>
      </c>
      <c r="B398" t="s">
        <v>104</v>
      </c>
      <c r="C398">
        <v>28</v>
      </c>
      <c r="D398" t="s">
        <v>33</v>
      </c>
      <c r="E398">
        <v>10.082034705091001</v>
      </c>
      <c r="G398">
        <v>1.367</v>
      </c>
      <c r="H398">
        <v>6.2990000000000004</v>
      </c>
      <c r="K398">
        <v>0.59770000000000001</v>
      </c>
      <c r="L398">
        <v>0.76929999999999998</v>
      </c>
      <c r="M398">
        <v>4.9020000000000001</v>
      </c>
      <c r="N398">
        <v>2.5430000000000001</v>
      </c>
      <c r="O398">
        <v>0.64500000000000002</v>
      </c>
      <c r="P398">
        <v>1.2E-2</v>
      </c>
      <c r="Q398">
        <v>2E-3</v>
      </c>
      <c r="R398">
        <v>1.2741</v>
      </c>
      <c r="S398">
        <v>1.3811</v>
      </c>
      <c r="T398">
        <v>0.45</v>
      </c>
      <c r="U398">
        <v>0.85499999999999998</v>
      </c>
    </row>
    <row r="399" spans="1:21" x14ac:dyDescent="0.25">
      <c r="A399" t="s">
        <v>1050</v>
      </c>
      <c r="B399" t="s">
        <v>105</v>
      </c>
      <c r="C399">
        <v>26</v>
      </c>
      <c r="D399" t="s">
        <v>12</v>
      </c>
      <c r="E399">
        <v>9.6299844600918298</v>
      </c>
      <c r="G399">
        <v>1.05585</v>
      </c>
      <c r="H399">
        <v>5.4029999999999996</v>
      </c>
      <c r="K399">
        <v>0.43154999999999999</v>
      </c>
      <c r="L399">
        <v>0.62429999999999997</v>
      </c>
      <c r="M399">
        <v>9.7449999999999992</v>
      </c>
      <c r="N399">
        <v>2.9950000000000001</v>
      </c>
      <c r="O399">
        <v>0.64300000000000002</v>
      </c>
      <c r="P399">
        <v>3.2000000000000001E-2</v>
      </c>
      <c r="Q399">
        <v>8.0000000000000002E-3</v>
      </c>
      <c r="R399">
        <v>1.4592000000000001</v>
      </c>
      <c r="S399">
        <v>1.8556999999999999</v>
      </c>
      <c r="T399">
        <v>0.47</v>
      </c>
      <c r="U399">
        <v>1.282</v>
      </c>
    </row>
    <row r="400" spans="1:21" x14ac:dyDescent="0.25">
      <c r="A400" t="s">
        <v>676</v>
      </c>
      <c r="B400" t="s">
        <v>105</v>
      </c>
      <c r="C400">
        <v>30</v>
      </c>
      <c r="D400" t="s">
        <v>14</v>
      </c>
      <c r="E400">
        <v>10.792169859845099</v>
      </c>
      <c r="G400">
        <v>1.3705499999999999</v>
      </c>
      <c r="H400">
        <v>4.21</v>
      </c>
      <c r="K400">
        <v>0.42454999999999998</v>
      </c>
      <c r="L400">
        <v>0.94599999999999995</v>
      </c>
      <c r="M400">
        <v>5.1840000000000002</v>
      </c>
      <c r="N400">
        <v>2.88</v>
      </c>
      <c r="O400">
        <v>0.93100000000000005</v>
      </c>
      <c r="P400">
        <v>2.9000000000000001E-2</v>
      </c>
      <c r="Q400">
        <v>3.3000000000000002E-2</v>
      </c>
      <c r="R400">
        <v>13.0549</v>
      </c>
      <c r="S400">
        <v>18.503499999999999</v>
      </c>
      <c r="T400">
        <v>0.39</v>
      </c>
      <c r="U400">
        <v>0.56599999999999995</v>
      </c>
    </row>
    <row r="401" spans="1:21" x14ac:dyDescent="0.25">
      <c r="A401" t="s">
        <v>587</v>
      </c>
      <c r="B401" t="s">
        <v>104</v>
      </c>
      <c r="C401">
        <v>25</v>
      </c>
      <c r="D401" t="s">
        <v>32</v>
      </c>
      <c r="E401">
        <v>13.7366170600688</v>
      </c>
      <c r="G401">
        <v>1.99255</v>
      </c>
      <c r="H401">
        <v>11.005000000000001</v>
      </c>
      <c r="K401">
        <v>1.04905</v>
      </c>
      <c r="L401">
        <v>0.94350000000000001</v>
      </c>
      <c r="M401">
        <v>6.5739999999999998</v>
      </c>
      <c r="N401">
        <v>2.605</v>
      </c>
      <c r="O401">
        <v>0.36399999999999999</v>
      </c>
      <c r="P401">
        <v>6.0000000000000001E-3</v>
      </c>
      <c r="Q401">
        <v>0</v>
      </c>
      <c r="R401">
        <v>1.1689000000000001</v>
      </c>
      <c r="S401">
        <v>1.5943000000000001</v>
      </c>
      <c r="T401">
        <v>0</v>
      </c>
      <c r="U401">
        <v>0.68300000000000005</v>
      </c>
    </row>
    <row r="402" spans="1:21" x14ac:dyDescent="0.25">
      <c r="A402" t="s">
        <v>733</v>
      </c>
      <c r="B402" t="s">
        <v>74</v>
      </c>
      <c r="C402">
        <v>25</v>
      </c>
      <c r="D402" t="s">
        <v>15</v>
      </c>
      <c r="E402">
        <v>9.3546278272862793</v>
      </c>
      <c r="G402">
        <v>1.14585</v>
      </c>
      <c r="H402">
        <v>6.16</v>
      </c>
      <c r="K402">
        <v>0.5081</v>
      </c>
      <c r="L402">
        <v>0.63775000000000004</v>
      </c>
      <c r="M402">
        <v>14.035</v>
      </c>
      <c r="N402">
        <v>3.4089999999999998</v>
      </c>
      <c r="O402">
        <v>1.282</v>
      </c>
      <c r="P402">
        <v>0.20599999999999999</v>
      </c>
      <c r="Q402">
        <v>0.113</v>
      </c>
      <c r="R402">
        <v>0.89970000000000006</v>
      </c>
      <c r="S402">
        <v>2.0508999999999999</v>
      </c>
      <c r="T402">
        <v>0.43</v>
      </c>
      <c r="U402">
        <v>0.45300000000000001</v>
      </c>
    </row>
    <row r="403" spans="1:21" x14ac:dyDescent="0.25">
      <c r="A403" t="s">
        <v>1018</v>
      </c>
      <c r="B403" t="s">
        <v>104</v>
      </c>
      <c r="C403">
        <v>36</v>
      </c>
      <c r="D403" t="s">
        <v>1157</v>
      </c>
      <c r="E403">
        <v>11.700172728063899</v>
      </c>
      <c r="G403">
        <v>1.25265</v>
      </c>
      <c r="H403">
        <v>4.8840000000000003</v>
      </c>
      <c r="K403">
        <v>0.42645</v>
      </c>
      <c r="L403">
        <v>0.82620000000000005</v>
      </c>
      <c r="M403">
        <v>7.55</v>
      </c>
      <c r="N403">
        <v>1.395</v>
      </c>
      <c r="O403">
        <v>1.2529999999999999</v>
      </c>
      <c r="P403">
        <v>0.74299999999999999</v>
      </c>
      <c r="Q403">
        <v>0.28599999999999998</v>
      </c>
      <c r="R403">
        <v>1.1636</v>
      </c>
      <c r="S403">
        <v>1.8358000000000001</v>
      </c>
      <c r="T403">
        <v>0.51</v>
      </c>
      <c r="U403">
        <v>1.31</v>
      </c>
    </row>
    <row r="404" spans="1:21" x14ac:dyDescent="0.25">
      <c r="A404" t="s">
        <v>425</v>
      </c>
      <c r="B404" t="s">
        <v>103</v>
      </c>
      <c r="C404">
        <v>38</v>
      </c>
      <c r="D404" t="s">
        <v>31</v>
      </c>
      <c r="E404">
        <v>8.2894807025363004</v>
      </c>
      <c r="G404">
        <v>1.5201</v>
      </c>
      <c r="H404">
        <v>11.632999999999999</v>
      </c>
      <c r="K404">
        <v>0.74450000000000005</v>
      </c>
      <c r="L404">
        <v>0.77559999999999996</v>
      </c>
      <c r="M404">
        <v>5.9349999999999996</v>
      </c>
      <c r="N404">
        <v>2.7559999999999998</v>
      </c>
      <c r="O404">
        <v>1.022</v>
      </c>
      <c r="P404">
        <v>0.23699999999999999</v>
      </c>
      <c r="Q404">
        <v>5.0000000000000001E-3</v>
      </c>
      <c r="R404">
        <v>1.2625</v>
      </c>
      <c r="S404">
        <v>2.6431</v>
      </c>
      <c r="T404">
        <v>0</v>
      </c>
      <c r="U404">
        <v>0.33300000000000002</v>
      </c>
    </row>
    <row r="405" spans="1:21" x14ac:dyDescent="0.25">
      <c r="A405" t="s">
        <v>317</v>
      </c>
      <c r="B405" t="s">
        <v>74</v>
      </c>
      <c r="C405">
        <v>39</v>
      </c>
      <c r="D405" t="s">
        <v>12</v>
      </c>
      <c r="E405">
        <v>12.3488027520548</v>
      </c>
      <c r="G405">
        <v>2.2787999999999999</v>
      </c>
      <c r="H405">
        <v>11.403</v>
      </c>
      <c r="K405">
        <v>1.0246500000000001</v>
      </c>
      <c r="L405">
        <v>1.2541500000000001</v>
      </c>
      <c r="M405">
        <v>3.6320000000000001</v>
      </c>
      <c r="N405">
        <v>2.5369999999999999</v>
      </c>
      <c r="O405">
        <v>0.33900000000000002</v>
      </c>
      <c r="P405">
        <v>1.0999999999999999E-2</v>
      </c>
      <c r="Q405">
        <v>1E-3</v>
      </c>
      <c r="R405">
        <v>43.642400000000002</v>
      </c>
      <c r="S405">
        <v>26.4815</v>
      </c>
      <c r="T405">
        <v>0.33</v>
      </c>
      <c r="U405">
        <v>0.59699999999999998</v>
      </c>
    </row>
    <row r="406" spans="1:21" x14ac:dyDescent="0.25">
      <c r="A406" t="s">
        <v>775</v>
      </c>
      <c r="B406" t="s">
        <v>74</v>
      </c>
      <c r="C406">
        <v>32</v>
      </c>
      <c r="D406" t="s">
        <v>918</v>
      </c>
      <c r="E406">
        <v>10.3218218683069</v>
      </c>
      <c r="G406">
        <v>1.1691499999999999</v>
      </c>
      <c r="H406">
        <v>5.2880000000000003</v>
      </c>
      <c r="K406">
        <v>0.43719999999999998</v>
      </c>
      <c r="L406">
        <v>0.73194999999999999</v>
      </c>
      <c r="M406">
        <v>13.628</v>
      </c>
      <c r="N406">
        <v>3.601</v>
      </c>
      <c r="O406">
        <v>0.752</v>
      </c>
      <c r="P406">
        <v>0.16700000000000001</v>
      </c>
      <c r="Q406">
        <v>5.8999999999999997E-2</v>
      </c>
      <c r="R406">
        <v>17.127300000000002</v>
      </c>
      <c r="S406">
        <v>14.037599999999999</v>
      </c>
      <c r="T406">
        <v>0.53</v>
      </c>
      <c r="U406">
        <v>1.046</v>
      </c>
    </row>
    <row r="407" spans="1:21" x14ac:dyDescent="0.25">
      <c r="A407" t="s">
        <v>254</v>
      </c>
      <c r="B407" t="s">
        <v>103</v>
      </c>
      <c r="C407">
        <v>36</v>
      </c>
      <c r="D407" t="s">
        <v>2</v>
      </c>
      <c r="E407">
        <v>15.463222395022999</v>
      </c>
      <c r="G407">
        <v>2.1396500000000001</v>
      </c>
      <c r="H407">
        <v>8.1790000000000003</v>
      </c>
      <c r="K407">
        <v>0.97519999999999996</v>
      </c>
      <c r="L407">
        <v>1.16445</v>
      </c>
      <c r="M407">
        <v>0.76500000000000001</v>
      </c>
      <c r="N407">
        <v>1.173</v>
      </c>
      <c r="O407">
        <v>0.374</v>
      </c>
      <c r="P407">
        <v>6.0000000000000001E-3</v>
      </c>
      <c r="Q407">
        <v>0</v>
      </c>
      <c r="R407">
        <v>0.21790000000000001</v>
      </c>
      <c r="S407">
        <v>0.22009999999999999</v>
      </c>
      <c r="T407">
        <v>0.45</v>
      </c>
      <c r="U407">
        <v>0.76400000000000001</v>
      </c>
    </row>
    <row r="408" spans="1:21" x14ac:dyDescent="0.25">
      <c r="A408" t="s">
        <v>366</v>
      </c>
      <c r="B408" t="s">
        <v>104</v>
      </c>
      <c r="C408">
        <v>26</v>
      </c>
      <c r="D408" t="s">
        <v>23</v>
      </c>
      <c r="E408">
        <v>14.25</v>
      </c>
      <c r="G408">
        <v>2.1829000000000001</v>
      </c>
      <c r="H408">
        <v>7.2869999999999999</v>
      </c>
      <c r="K408">
        <v>1.0909</v>
      </c>
      <c r="L408">
        <v>1.0920000000000001</v>
      </c>
      <c r="M408">
        <v>1.5269999999999999</v>
      </c>
      <c r="N408">
        <v>2.7160000000000002</v>
      </c>
      <c r="O408">
        <v>0.69499999999999995</v>
      </c>
      <c r="P408">
        <v>8.9999999999999993E-3</v>
      </c>
      <c r="Q408">
        <v>1E-3</v>
      </c>
      <c r="R408">
        <v>5.1044999999999998</v>
      </c>
      <c r="S408">
        <v>9.9380000000000006</v>
      </c>
      <c r="T408">
        <v>0</v>
      </c>
      <c r="U408">
        <v>0.78900000000000003</v>
      </c>
    </row>
    <row r="409" spans="1:21" x14ac:dyDescent="0.25">
      <c r="A409" t="s">
        <v>1041</v>
      </c>
      <c r="B409" t="s">
        <v>101</v>
      </c>
      <c r="C409">
        <v>25</v>
      </c>
      <c r="D409" t="s">
        <v>28</v>
      </c>
      <c r="E409">
        <v>12.229542509842499</v>
      </c>
      <c r="G409">
        <v>1.46505</v>
      </c>
      <c r="H409">
        <v>6.2359999999999998</v>
      </c>
      <c r="K409">
        <v>0.63675000000000004</v>
      </c>
      <c r="L409">
        <v>0.82830000000000004</v>
      </c>
      <c r="M409">
        <v>13.042</v>
      </c>
      <c r="N409">
        <v>1.86</v>
      </c>
      <c r="O409">
        <v>0.58399999999999996</v>
      </c>
      <c r="P409">
        <v>8.5000000000000006E-2</v>
      </c>
      <c r="Q409">
        <v>2E-3</v>
      </c>
      <c r="R409">
        <v>1.8184</v>
      </c>
      <c r="S409">
        <v>1.9394</v>
      </c>
      <c r="T409">
        <v>0.36</v>
      </c>
      <c r="U409">
        <v>1.8109999999999999</v>
      </c>
    </row>
    <row r="410" spans="1:21" x14ac:dyDescent="0.25">
      <c r="A410" t="s">
        <v>567</v>
      </c>
      <c r="B410" t="s">
        <v>101</v>
      </c>
      <c r="C410">
        <v>39</v>
      </c>
      <c r="D410" t="s">
        <v>34</v>
      </c>
      <c r="E410">
        <v>11.089423455892099</v>
      </c>
      <c r="G410">
        <v>1.7732000000000001</v>
      </c>
      <c r="H410">
        <v>5.9039999999999999</v>
      </c>
      <c r="K410">
        <v>0.7379</v>
      </c>
      <c r="L410">
        <v>1.0353000000000001</v>
      </c>
      <c r="M410">
        <v>1.506</v>
      </c>
      <c r="N410">
        <v>1.748</v>
      </c>
      <c r="O410">
        <v>0.52</v>
      </c>
      <c r="P410">
        <v>1.2E-2</v>
      </c>
      <c r="Q410">
        <v>1E-3</v>
      </c>
      <c r="R410">
        <v>17.411899999999999</v>
      </c>
      <c r="S410">
        <v>12.732900000000001</v>
      </c>
      <c r="T410">
        <v>0</v>
      </c>
      <c r="U410">
        <v>0.42199999999999999</v>
      </c>
    </row>
    <row r="411" spans="1:21" x14ac:dyDescent="0.25">
      <c r="A411" t="s">
        <v>358</v>
      </c>
      <c r="B411" t="s">
        <v>104</v>
      </c>
      <c r="C411">
        <v>29</v>
      </c>
      <c r="D411" t="s">
        <v>14</v>
      </c>
      <c r="E411">
        <v>14.818181883218999</v>
      </c>
      <c r="G411">
        <v>2.4342999999999999</v>
      </c>
      <c r="H411">
        <v>7.3179999999999996</v>
      </c>
      <c r="K411">
        <v>0.97275</v>
      </c>
      <c r="L411">
        <v>1.4615499999999999</v>
      </c>
      <c r="M411">
        <v>2.0089999999999999</v>
      </c>
      <c r="N411">
        <v>1.163</v>
      </c>
      <c r="O411">
        <v>0.68899999999999995</v>
      </c>
      <c r="P411">
        <v>6.0000000000000001E-3</v>
      </c>
      <c r="Q411">
        <v>6.5000000000000002E-2</v>
      </c>
      <c r="R411">
        <v>3.4365999999999999</v>
      </c>
      <c r="S411">
        <v>5.8723999999999998</v>
      </c>
      <c r="T411">
        <v>0</v>
      </c>
      <c r="U411">
        <v>0.54400000000000004</v>
      </c>
    </row>
    <row r="412" spans="1:21" x14ac:dyDescent="0.25">
      <c r="A412" t="s">
        <v>1014</v>
      </c>
      <c r="B412" t="s">
        <v>102</v>
      </c>
      <c r="C412">
        <v>24</v>
      </c>
      <c r="D412" t="s">
        <v>28</v>
      </c>
      <c r="E412">
        <v>12.355960425666799</v>
      </c>
      <c r="G412">
        <v>1.94815</v>
      </c>
      <c r="H412">
        <v>8.891</v>
      </c>
      <c r="K412">
        <v>1.19835</v>
      </c>
      <c r="L412">
        <v>0.74980000000000002</v>
      </c>
      <c r="M412">
        <v>1.8180000000000001</v>
      </c>
      <c r="N412">
        <v>2.4140000000000001</v>
      </c>
      <c r="O412">
        <v>0.59499999999999997</v>
      </c>
      <c r="P412">
        <v>0.02</v>
      </c>
      <c r="Q412">
        <v>5.0000000000000001E-3</v>
      </c>
      <c r="R412">
        <v>1.1116999999999999</v>
      </c>
      <c r="S412">
        <v>1.1657</v>
      </c>
      <c r="T412">
        <v>0.48</v>
      </c>
      <c r="U412">
        <v>0.52400000000000002</v>
      </c>
    </row>
    <row r="413" spans="1:21" x14ac:dyDescent="0.25">
      <c r="A413" t="s">
        <v>564</v>
      </c>
      <c r="B413" t="s">
        <v>1108</v>
      </c>
      <c r="C413">
        <v>27</v>
      </c>
      <c r="D413" t="s">
        <v>12</v>
      </c>
      <c r="E413">
        <v>13.5436426194275</v>
      </c>
      <c r="G413">
        <v>2.1732999999999998</v>
      </c>
      <c r="H413">
        <v>5.4740000000000002</v>
      </c>
      <c r="K413">
        <v>0.78564999999999996</v>
      </c>
      <c r="L413">
        <v>1.3876500000000001</v>
      </c>
      <c r="M413">
        <v>4.4939999999999998</v>
      </c>
      <c r="N413">
        <v>1.524</v>
      </c>
      <c r="O413">
        <v>0.45200000000000001</v>
      </c>
      <c r="P413">
        <v>6.0000000000000001E-3</v>
      </c>
      <c r="Q413">
        <v>0</v>
      </c>
      <c r="R413">
        <v>19.817900000000002</v>
      </c>
      <c r="S413">
        <v>17.819500000000001</v>
      </c>
      <c r="T413">
        <v>0</v>
      </c>
      <c r="U413">
        <v>0.59</v>
      </c>
    </row>
    <row r="414" spans="1:21" x14ac:dyDescent="0.25">
      <c r="A414" t="s">
        <v>694</v>
      </c>
      <c r="B414" t="s">
        <v>101</v>
      </c>
      <c r="C414">
        <v>24</v>
      </c>
      <c r="D414" t="s">
        <v>4</v>
      </c>
      <c r="E414">
        <v>11.663403696661801</v>
      </c>
      <c r="G414">
        <v>1.2316</v>
      </c>
      <c r="H414">
        <v>4.2919999999999998</v>
      </c>
      <c r="K414">
        <v>0.39979999999999999</v>
      </c>
      <c r="L414">
        <v>0.83179999999999998</v>
      </c>
      <c r="M414">
        <v>5.7510000000000003</v>
      </c>
      <c r="N414">
        <v>1.4330000000000001</v>
      </c>
      <c r="O414">
        <v>1.1659999999999999</v>
      </c>
      <c r="P414">
        <v>8.5999999999999993E-2</v>
      </c>
      <c r="Q414">
        <v>4.1000000000000002E-2</v>
      </c>
      <c r="R414">
        <v>14.840199999999999</v>
      </c>
      <c r="S414">
        <v>17.3599</v>
      </c>
      <c r="T414">
        <v>0.5</v>
      </c>
      <c r="U414">
        <v>1.0589999999999999</v>
      </c>
    </row>
    <row r="415" spans="1:21" x14ac:dyDescent="0.25">
      <c r="A415" t="s">
        <v>494</v>
      </c>
      <c r="B415" t="s">
        <v>103</v>
      </c>
      <c r="C415">
        <v>37</v>
      </c>
      <c r="D415" t="s">
        <v>28</v>
      </c>
      <c r="E415">
        <v>11.7714054315621</v>
      </c>
      <c r="G415">
        <v>1.75095</v>
      </c>
      <c r="H415">
        <v>7.27</v>
      </c>
      <c r="K415">
        <v>0.60240000000000005</v>
      </c>
      <c r="L415">
        <v>1.14855</v>
      </c>
      <c r="M415">
        <v>0.47399999999999998</v>
      </c>
      <c r="N415">
        <v>1.768</v>
      </c>
      <c r="O415">
        <v>0.76100000000000001</v>
      </c>
      <c r="P415">
        <v>0.01</v>
      </c>
      <c r="Q415">
        <v>2.9000000000000001E-2</v>
      </c>
      <c r="R415">
        <v>0.78180000000000005</v>
      </c>
      <c r="S415">
        <v>0.92230000000000001</v>
      </c>
      <c r="T415">
        <v>0.43</v>
      </c>
      <c r="U415">
        <v>0.45800000000000002</v>
      </c>
    </row>
    <row r="416" spans="1:21" x14ac:dyDescent="0.25">
      <c r="A416" t="s">
        <v>672</v>
      </c>
      <c r="B416" t="s">
        <v>74</v>
      </c>
      <c r="C416">
        <v>23</v>
      </c>
      <c r="D416" t="s">
        <v>7</v>
      </c>
      <c r="E416">
        <v>11.184719731247</v>
      </c>
      <c r="G416">
        <v>1.8183499999999999</v>
      </c>
      <c r="H416">
        <v>7.2809999999999997</v>
      </c>
      <c r="K416">
        <v>0.62180000000000002</v>
      </c>
      <c r="L416">
        <v>1.19655</v>
      </c>
      <c r="M416">
        <v>1.8819999999999999</v>
      </c>
      <c r="N416">
        <v>2.407</v>
      </c>
      <c r="O416">
        <v>0.51900000000000002</v>
      </c>
      <c r="P416">
        <v>5.6000000000000001E-2</v>
      </c>
      <c r="Q416">
        <v>1E-3</v>
      </c>
      <c r="R416">
        <v>0.96179999999999999</v>
      </c>
      <c r="S416">
        <v>1.8203</v>
      </c>
      <c r="T416">
        <v>0.52</v>
      </c>
      <c r="U416">
        <v>0.65900000000000003</v>
      </c>
    </row>
    <row r="417" spans="1:21" x14ac:dyDescent="0.25">
      <c r="A417" t="s">
        <v>747</v>
      </c>
      <c r="B417" t="s">
        <v>104</v>
      </c>
      <c r="C417">
        <v>25</v>
      </c>
      <c r="D417" t="s">
        <v>21</v>
      </c>
      <c r="E417">
        <v>15.173257123544801</v>
      </c>
      <c r="G417">
        <v>1.4418</v>
      </c>
      <c r="H417">
        <v>5.093</v>
      </c>
      <c r="K417">
        <v>0.50675000000000003</v>
      </c>
      <c r="L417">
        <v>0.93505000000000005</v>
      </c>
      <c r="M417">
        <v>1.2370000000000001</v>
      </c>
      <c r="N417">
        <v>2.411</v>
      </c>
      <c r="O417">
        <v>0.39600000000000002</v>
      </c>
      <c r="P417">
        <v>2.5000000000000001E-2</v>
      </c>
      <c r="Q417">
        <v>0</v>
      </c>
      <c r="R417">
        <v>4.7060000000000004</v>
      </c>
      <c r="S417">
        <v>5.6334999999999997</v>
      </c>
      <c r="T417">
        <v>0.41</v>
      </c>
      <c r="U417">
        <v>0.63</v>
      </c>
    </row>
    <row r="418" spans="1:21" x14ac:dyDescent="0.25">
      <c r="A418" t="s">
        <v>482</v>
      </c>
      <c r="B418" t="s">
        <v>74</v>
      </c>
      <c r="C418">
        <v>31</v>
      </c>
      <c r="D418" t="s">
        <v>26</v>
      </c>
      <c r="E418">
        <v>14.3123523413883</v>
      </c>
      <c r="G418">
        <v>1.9398500000000001</v>
      </c>
      <c r="H418">
        <v>7.0229999999999997</v>
      </c>
      <c r="K418">
        <v>0.83509999999999995</v>
      </c>
      <c r="L418">
        <v>1.1047499999999999</v>
      </c>
      <c r="M418">
        <v>3.3919999999999999</v>
      </c>
      <c r="N418">
        <v>2.7930000000000001</v>
      </c>
      <c r="O418">
        <v>0.68700000000000006</v>
      </c>
      <c r="P418">
        <v>5.2999999999999999E-2</v>
      </c>
      <c r="Q418">
        <v>0</v>
      </c>
      <c r="R418">
        <v>25.661799999999999</v>
      </c>
      <c r="S418">
        <v>23.251999999999999</v>
      </c>
      <c r="T418">
        <v>0.48</v>
      </c>
      <c r="U418">
        <v>0.78700000000000003</v>
      </c>
    </row>
    <row r="419" spans="1:21" x14ac:dyDescent="0.25">
      <c r="A419" t="s">
        <v>736</v>
      </c>
      <c r="B419" t="s">
        <v>104</v>
      </c>
      <c r="C419">
        <v>31</v>
      </c>
      <c r="D419" t="s">
        <v>8</v>
      </c>
      <c r="E419">
        <v>11.302476648223401</v>
      </c>
      <c r="G419">
        <v>1.3787</v>
      </c>
      <c r="H419">
        <v>6.7530000000000001</v>
      </c>
      <c r="K419">
        <v>0.67279999999999995</v>
      </c>
      <c r="L419">
        <v>0.70589999999999997</v>
      </c>
      <c r="M419">
        <v>8.2430000000000003</v>
      </c>
      <c r="N419">
        <v>1.992</v>
      </c>
      <c r="O419">
        <v>0.82599999999999996</v>
      </c>
      <c r="P419">
        <v>0.108</v>
      </c>
      <c r="Q419">
        <v>0.05</v>
      </c>
      <c r="R419">
        <v>1.2438</v>
      </c>
      <c r="S419">
        <v>1.6198999999999999</v>
      </c>
      <c r="T419">
        <v>0.4</v>
      </c>
      <c r="U419">
        <v>0.995</v>
      </c>
    </row>
    <row r="420" spans="1:21" x14ac:dyDescent="0.25">
      <c r="A420" t="s">
        <v>788</v>
      </c>
      <c r="B420" t="s">
        <v>74</v>
      </c>
      <c r="C420">
        <v>39</v>
      </c>
      <c r="D420" t="s">
        <v>87</v>
      </c>
      <c r="E420">
        <v>8.3887266721383202</v>
      </c>
      <c r="G420">
        <v>1.1610499999999999</v>
      </c>
      <c r="H420">
        <v>5.0880000000000001</v>
      </c>
      <c r="K420">
        <v>0.49399999999999999</v>
      </c>
      <c r="L420">
        <v>0.66705000000000003</v>
      </c>
      <c r="M420">
        <v>3.8639999999999999</v>
      </c>
      <c r="N420">
        <v>2.37</v>
      </c>
      <c r="O420">
        <v>0.503</v>
      </c>
      <c r="P420">
        <v>0.1</v>
      </c>
      <c r="Q420">
        <v>3.7999999999999999E-2</v>
      </c>
      <c r="R420">
        <v>23.460699999999999</v>
      </c>
      <c r="S420">
        <v>20.4848</v>
      </c>
      <c r="T420">
        <v>0.39</v>
      </c>
      <c r="U420">
        <v>1.393</v>
      </c>
    </row>
    <row r="421" spans="1:21" x14ac:dyDescent="0.25">
      <c r="A421" t="s">
        <v>298</v>
      </c>
      <c r="B421" t="s">
        <v>74</v>
      </c>
      <c r="C421">
        <v>26</v>
      </c>
      <c r="D421" t="s">
        <v>26</v>
      </c>
      <c r="E421">
        <v>13.7812956600782</v>
      </c>
      <c r="G421">
        <v>1.8229500000000001</v>
      </c>
      <c r="H421">
        <v>6.8460000000000001</v>
      </c>
      <c r="K421">
        <v>0.64859999999999995</v>
      </c>
      <c r="L421">
        <v>1.17435</v>
      </c>
      <c r="M421">
        <v>4.3099999999999996</v>
      </c>
      <c r="N421">
        <v>2.2669999999999999</v>
      </c>
      <c r="O421">
        <v>1.6659999999999999</v>
      </c>
      <c r="P421">
        <v>6.0000000000000001E-3</v>
      </c>
      <c r="Q421">
        <v>3.5000000000000003E-2</v>
      </c>
      <c r="R421">
        <v>22.0504</v>
      </c>
      <c r="S421">
        <v>23.4511</v>
      </c>
      <c r="T421" t="s">
        <v>1054</v>
      </c>
      <c r="U421">
        <v>1.3240000000000001</v>
      </c>
    </row>
    <row r="422" spans="1:21" x14ac:dyDescent="0.25">
      <c r="A422" t="s">
        <v>665</v>
      </c>
      <c r="B422" t="s">
        <v>104</v>
      </c>
      <c r="C422">
        <v>28</v>
      </c>
      <c r="D422" t="s">
        <v>20</v>
      </c>
      <c r="E422">
        <v>13.465023301454501</v>
      </c>
      <c r="G422">
        <v>1.65585</v>
      </c>
      <c r="H422">
        <v>7.202</v>
      </c>
      <c r="K422">
        <v>0.70699999999999996</v>
      </c>
      <c r="L422">
        <v>0.94884999999999997</v>
      </c>
      <c r="M422">
        <v>1.885</v>
      </c>
      <c r="N422">
        <v>1.022</v>
      </c>
      <c r="O422">
        <v>0.58799999999999997</v>
      </c>
      <c r="P422">
        <v>3.4000000000000002E-2</v>
      </c>
      <c r="Q422">
        <v>0</v>
      </c>
      <c r="R422">
        <v>1.4319999999999999</v>
      </c>
      <c r="S422">
        <v>1.7074</v>
      </c>
      <c r="T422">
        <v>0.52</v>
      </c>
      <c r="U422">
        <v>0.83499999999999996</v>
      </c>
    </row>
    <row r="423" spans="1:21" x14ac:dyDescent="0.25">
      <c r="A423" t="s">
        <v>638</v>
      </c>
      <c r="B423" t="s">
        <v>1108</v>
      </c>
      <c r="C423">
        <v>28</v>
      </c>
      <c r="D423" t="s">
        <v>8</v>
      </c>
      <c r="E423">
        <v>12.529679633768399</v>
      </c>
      <c r="G423">
        <v>1.5714999999999999</v>
      </c>
      <c r="H423">
        <v>6.0890000000000004</v>
      </c>
      <c r="K423">
        <v>0.76649999999999996</v>
      </c>
      <c r="L423">
        <v>0.80500000000000005</v>
      </c>
      <c r="M423">
        <v>2.7519999999999998</v>
      </c>
      <c r="N423">
        <v>1.7090000000000001</v>
      </c>
      <c r="O423">
        <v>0.435</v>
      </c>
      <c r="P423">
        <v>6.0000000000000001E-3</v>
      </c>
      <c r="Q423">
        <v>0</v>
      </c>
      <c r="R423">
        <v>11.7028</v>
      </c>
      <c r="S423">
        <v>13.045999999999999</v>
      </c>
      <c r="T423">
        <v>0.4</v>
      </c>
      <c r="U423">
        <v>1.478</v>
      </c>
    </row>
    <row r="424" spans="1:21" x14ac:dyDescent="0.25">
      <c r="A424" t="s">
        <v>1042</v>
      </c>
      <c r="B424" t="s">
        <v>105</v>
      </c>
      <c r="C424">
        <v>25</v>
      </c>
      <c r="D424" t="s">
        <v>30</v>
      </c>
      <c r="E424">
        <v>10.5379307770325</v>
      </c>
      <c r="G424">
        <v>1.756</v>
      </c>
      <c r="H424">
        <v>5.0410000000000004</v>
      </c>
      <c r="K424">
        <v>0.66844999999999999</v>
      </c>
      <c r="L424">
        <v>1.08755</v>
      </c>
      <c r="M424">
        <v>4.6470000000000002</v>
      </c>
      <c r="N424">
        <v>3.375</v>
      </c>
      <c r="O424">
        <v>1.018</v>
      </c>
      <c r="P424">
        <v>1.7999999999999999E-2</v>
      </c>
      <c r="Q424">
        <v>4.0000000000000001E-3</v>
      </c>
      <c r="R424">
        <v>9.8032000000000004</v>
      </c>
      <c r="S424">
        <v>12.0509</v>
      </c>
      <c r="T424">
        <v>0.6</v>
      </c>
      <c r="U424">
        <v>1.3440000000000001</v>
      </c>
    </row>
    <row r="425" spans="1:21" x14ac:dyDescent="0.25">
      <c r="A425" t="s">
        <v>794</v>
      </c>
      <c r="B425" t="s">
        <v>74</v>
      </c>
      <c r="C425">
        <v>22</v>
      </c>
      <c r="D425" t="s">
        <v>26</v>
      </c>
      <c r="E425">
        <v>14.3</v>
      </c>
      <c r="G425">
        <v>1.7292000000000001</v>
      </c>
      <c r="H425">
        <v>6.3540000000000001</v>
      </c>
      <c r="K425">
        <v>0.81279999999999997</v>
      </c>
      <c r="L425">
        <v>1.55349</v>
      </c>
      <c r="M425">
        <v>3.3130000000000002</v>
      </c>
      <c r="N425">
        <v>1.405</v>
      </c>
      <c r="O425">
        <v>1.0609999999999999</v>
      </c>
      <c r="P425">
        <v>8.0000000000000002E-3</v>
      </c>
      <c r="Q425">
        <v>1.7000000000000001E-2</v>
      </c>
      <c r="R425">
        <v>3.7252999999999998</v>
      </c>
      <c r="S425">
        <v>4.6646999999999998</v>
      </c>
      <c r="T425">
        <v>0.36</v>
      </c>
      <c r="U425">
        <v>0.61099999999999999</v>
      </c>
    </row>
    <row r="426" spans="1:21" x14ac:dyDescent="0.25">
      <c r="A426" t="s">
        <v>652</v>
      </c>
      <c r="B426" t="s">
        <v>101</v>
      </c>
      <c r="C426">
        <v>31</v>
      </c>
      <c r="D426" t="s">
        <v>17</v>
      </c>
      <c r="E426">
        <v>10.783491042384</v>
      </c>
      <c r="G426">
        <v>1.15015</v>
      </c>
      <c r="H426">
        <v>4.7350000000000003</v>
      </c>
      <c r="K426">
        <v>0.44214999999999999</v>
      </c>
      <c r="L426">
        <v>0.70799999999999996</v>
      </c>
      <c r="M426">
        <v>6.4080000000000004</v>
      </c>
      <c r="N426">
        <v>2.9830000000000001</v>
      </c>
      <c r="O426">
        <v>0.88200000000000001</v>
      </c>
      <c r="P426">
        <v>6.0999999999999999E-2</v>
      </c>
      <c r="Q426">
        <v>0</v>
      </c>
      <c r="R426">
        <v>17.190799999999999</v>
      </c>
      <c r="S426">
        <v>13.910299999999999</v>
      </c>
      <c r="T426" t="s">
        <v>1054</v>
      </c>
      <c r="U426">
        <v>0.85499999999999998</v>
      </c>
    </row>
    <row r="427" spans="1:21" x14ac:dyDescent="0.25">
      <c r="A427" t="s">
        <v>1051</v>
      </c>
      <c r="B427" t="s">
        <v>102</v>
      </c>
      <c r="C427">
        <v>28</v>
      </c>
      <c r="D427" t="s">
        <v>25</v>
      </c>
      <c r="E427">
        <v>9.5874639129469408</v>
      </c>
      <c r="G427">
        <v>1.7535499999999999</v>
      </c>
      <c r="H427">
        <v>5.7629999999999999</v>
      </c>
      <c r="K427">
        <v>0.78200000000000003</v>
      </c>
      <c r="L427">
        <v>0.97155000000000002</v>
      </c>
      <c r="M427">
        <v>6.8760000000000003</v>
      </c>
      <c r="N427">
        <v>1.5669999999999999</v>
      </c>
      <c r="O427">
        <v>1.1220000000000001</v>
      </c>
      <c r="P427">
        <v>3.4000000000000002E-2</v>
      </c>
      <c r="Q427">
        <v>8.0000000000000002E-3</v>
      </c>
      <c r="R427">
        <v>2.2583000000000002</v>
      </c>
      <c r="S427">
        <v>2.3801999999999999</v>
      </c>
      <c r="T427">
        <v>0.47</v>
      </c>
      <c r="U427">
        <v>1.022</v>
      </c>
    </row>
    <row r="428" spans="1:21" x14ac:dyDescent="0.25">
      <c r="A428" t="s">
        <v>959</v>
      </c>
      <c r="B428" t="s">
        <v>102</v>
      </c>
      <c r="C428">
        <v>26</v>
      </c>
      <c r="D428" t="s">
        <v>6</v>
      </c>
      <c r="E428">
        <v>11.065033010853901</v>
      </c>
      <c r="G428">
        <v>1.39185</v>
      </c>
      <c r="H428">
        <v>3.4580000000000002</v>
      </c>
      <c r="K428">
        <v>0.55110000000000003</v>
      </c>
      <c r="L428">
        <v>0.84075</v>
      </c>
      <c r="M428">
        <v>5.7759999999999998</v>
      </c>
      <c r="N428">
        <v>4.5629999999999997</v>
      </c>
      <c r="O428">
        <v>0.45900000000000002</v>
      </c>
      <c r="P428">
        <v>1.7999999999999999E-2</v>
      </c>
      <c r="Q428">
        <v>4.0000000000000001E-3</v>
      </c>
      <c r="R428">
        <v>1.8261000000000001</v>
      </c>
      <c r="S428">
        <v>3.0007999999999999</v>
      </c>
      <c r="T428">
        <v>0.39</v>
      </c>
      <c r="U428">
        <v>1.306</v>
      </c>
    </row>
    <row r="429" spans="1:21" x14ac:dyDescent="0.25">
      <c r="A429" t="s">
        <v>745</v>
      </c>
      <c r="B429" t="s">
        <v>104</v>
      </c>
      <c r="C429">
        <v>27</v>
      </c>
      <c r="D429" t="s">
        <v>895</v>
      </c>
      <c r="E429">
        <v>10.581048627686799</v>
      </c>
      <c r="G429">
        <v>1.1318999999999999</v>
      </c>
      <c r="H429">
        <v>6.0579999999999998</v>
      </c>
      <c r="K429">
        <v>0.32740000000000002</v>
      </c>
      <c r="L429">
        <v>0.80449999999999999</v>
      </c>
      <c r="M429">
        <v>2.5030000000000001</v>
      </c>
      <c r="N429">
        <v>1.266</v>
      </c>
      <c r="O429">
        <v>0.29399999999999998</v>
      </c>
      <c r="P429">
        <v>1.4E-2</v>
      </c>
      <c r="Q429">
        <v>2E-3</v>
      </c>
      <c r="R429">
        <v>2.6827000000000001</v>
      </c>
      <c r="S429">
        <v>3.6444999999999999</v>
      </c>
      <c r="T429">
        <v>0.34</v>
      </c>
      <c r="U429">
        <v>1.492</v>
      </c>
    </row>
    <row r="430" spans="1:21" x14ac:dyDescent="0.25">
      <c r="A430" t="s">
        <v>752</v>
      </c>
      <c r="B430" t="s">
        <v>105</v>
      </c>
      <c r="C430">
        <v>24</v>
      </c>
      <c r="D430" t="s">
        <v>9</v>
      </c>
      <c r="E430">
        <v>8.5512972398541098</v>
      </c>
      <c r="G430">
        <v>0.90325</v>
      </c>
      <c r="H430">
        <v>5.8490000000000002</v>
      </c>
      <c r="K430">
        <v>0.27955000000000002</v>
      </c>
      <c r="L430">
        <v>0.62370000000000003</v>
      </c>
      <c r="M430">
        <v>6.2009999999999996</v>
      </c>
      <c r="N430">
        <v>2.4700000000000002</v>
      </c>
      <c r="O430">
        <v>0.64300000000000002</v>
      </c>
      <c r="P430">
        <v>1.0999999999999999E-2</v>
      </c>
      <c r="Q430">
        <v>1E-3</v>
      </c>
      <c r="R430">
        <v>16.972300000000001</v>
      </c>
      <c r="S430">
        <v>18.710899999999999</v>
      </c>
      <c r="T430">
        <v>0</v>
      </c>
      <c r="U430">
        <v>1.0289999999999999</v>
      </c>
    </row>
    <row r="431" spans="1:21" x14ac:dyDescent="0.25">
      <c r="A431" t="s">
        <v>742</v>
      </c>
      <c r="B431" t="s">
        <v>105</v>
      </c>
      <c r="C431">
        <v>26</v>
      </c>
      <c r="D431" t="s">
        <v>21</v>
      </c>
      <c r="E431">
        <v>9.7115676082497107</v>
      </c>
      <c r="G431">
        <v>0.94689999999999996</v>
      </c>
      <c r="H431">
        <v>5.7960000000000003</v>
      </c>
      <c r="K431">
        <v>0.38229999999999997</v>
      </c>
      <c r="L431">
        <v>0.56459999999999999</v>
      </c>
      <c r="M431">
        <v>14.86</v>
      </c>
      <c r="N431">
        <v>2.0649999999999999</v>
      </c>
      <c r="O431">
        <v>0.746</v>
      </c>
      <c r="P431">
        <v>0.378</v>
      </c>
      <c r="Q431">
        <v>8.8999999999999996E-2</v>
      </c>
      <c r="R431">
        <v>6.6787000000000001</v>
      </c>
      <c r="S431">
        <v>5.7679</v>
      </c>
      <c r="T431">
        <v>0.48</v>
      </c>
      <c r="U431">
        <v>0.68</v>
      </c>
    </row>
    <row r="432" spans="1:21" x14ac:dyDescent="0.25">
      <c r="A432" t="s">
        <v>456</v>
      </c>
      <c r="B432" t="s">
        <v>104</v>
      </c>
      <c r="C432">
        <v>33</v>
      </c>
      <c r="D432" t="s">
        <v>25</v>
      </c>
      <c r="E432">
        <v>13.5055088931298</v>
      </c>
      <c r="G432">
        <v>1.9498500000000001</v>
      </c>
      <c r="H432">
        <v>7.2320000000000002</v>
      </c>
      <c r="K432">
        <v>0.76180000000000003</v>
      </c>
      <c r="L432">
        <v>1.1880500000000001</v>
      </c>
      <c r="M432">
        <v>2.7490000000000001</v>
      </c>
      <c r="N432">
        <v>1.673</v>
      </c>
      <c r="O432">
        <v>0.36</v>
      </c>
      <c r="P432">
        <v>7.0000000000000001E-3</v>
      </c>
      <c r="Q432">
        <v>0</v>
      </c>
      <c r="R432">
        <v>0.45839999999999997</v>
      </c>
      <c r="S432">
        <v>0.82169999999999999</v>
      </c>
      <c r="T432">
        <v>0.41</v>
      </c>
      <c r="U432">
        <v>1.4259999999999999</v>
      </c>
    </row>
    <row r="433" spans="1:21" x14ac:dyDescent="0.25">
      <c r="A433" t="s">
        <v>705</v>
      </c>
      <c r="B433" t="s">
        <v>104</v>
      </c>
      <c r="C433">
        <v>27</v>
      </c>
      <c r="D433" t="s">
        <v>6</v>
      </c>
      <c r="E433">
        <v>11.735571520700701</v>
      </c>
      <c r="G433">
        <v>1.6571499999999999</v>
      </c>
      <c r="H433">
        <v>3.391</v>
      </c>
      <c r="K433">
        <v>0.64259999999999995</v>
      </c>
      <c r="L433">
        <v>1.0145500000000001</v>
      </c>
      <c r="M433">
        <v>2.1230000000000002</v>
      </c>
      <c r="N433">
        <v>2.1669999999999998</v>
      </c>
      <c r="O433">
        <v>0.94199999999999995</v>
      </c>
      <c r="P433">
        <v>1.4999999999999999E-2</v>
      </c>
      <c r="Q433">
        <v>2E-3</v>
      </c>
      <c r="R433">
        <v>3.2265999999999999</v>
      </c>
      <c r="S433">
        <v>4.1273999999999997</v>
      </c>
      <c r="T433">
        <v>0</v>
      </c>
      <c r="U433">
        <v>0.45900000000000002</v>
      </c>
    </row>
    <row r="434" spans="1:21" x14ac:dyDescent="0.25">
      <c r="A434" t="s">
        <v>451</v>
      </c>
      <c r="B434" t="s">
        <v>104</v>
      </c>
      <c r="C434">
        <v>31</v>
      </c>
      <c r="D434" t="s">
        <v>25</v>
      </c>
      <c r="E434">
        <v>14.284480759173199</v>
      </c>
      <c r="G434">
        <v>1.8066500000000001</v>
      </c>
      <c r="H434">
        <v>7.8410000000000002</v>
      </c>
      <c r="K434">
        <v>0.75119999999999998</v>
      </c>
      <c r="L434">
        <v>1.05545</v>
      </c>
      <c r="M434">
        <v>5.7679999999999998</v>
      </c>
      <c r="N434">
        <v>2.5419999999999998</v>
      </c>
      <c r="O434">
        <v>0.36</v>
      </c>
      <c r="P434">
        <v>6.0000000000000001E-3</v>
      </c>
      <c r="Q434">
        <v>0</v>
      </c>
      <c r="R434">
        <v>0.56369999999999998</v>
      </c>
      <c r="S434">
        <v>0.94040000000000001</v>
      </c>
      <c r="T434">
        <v>0.51</v>
      </c>
      <c r="U434">
        <v>1.2589999999999999</v>
      </c>
    </row>
    <row r="435" spans="1:21" x14ac:dyDescent="0.25">
      <c r="A435" t="s">
        <v>1043</v>
      </c>
      <c r="B435" t="s">
        <v>74</v>
      </c>
      <c r="C435">
        <v>22</v>
      </c>
      <c r="D435" t="s">
        <v>15</v>
      </c>
      <c r="E435">
        <v>12.3772622560965</v>
      </c>
      <c r="G435">
        <v>1.5909500000000001</v>
      </c>
      <c r="H435">
        <v>6.093</v>
      </c>
      <c r="K435">
        <v>0.66990000000000005</v>
      </c>
      <c r="L435">
        <v>0.92105000000000004</v>
      </c>
      <c r="M435">
        <v>7.335</v>
      </c>
      <c r="N435">
        <v>1.7869999999999999</v>
      </c>
      <c r="O435">
        <v>1.55</v>
      </c>
      <c r="P435">
        <v>7.1999999999999995E-2</v>
      </c>
      <c r="Q435">
        <v>4.0000000000000001E-3</v>
      </c>
      <c r="R435">
        <v>11.8368</v>
      </c>
      <c r="S435">
        <v>14.988200000000001</v>
      </c>
      <c r="T435">
        <v>0</v>
      </c>
      <c r="U435">
        <v>0.71399999999999997</v>
      </c>
    </row>
    <row r="436" spans="1:21" x14ac:dyDescent="0.25">
      <c r="A436" t="s">
        <v>460</v>
      </c>
      <c r="B436" t="s">
        <v>101</v>
      </c>
      <c r="C436">
        <v>29</v>
      </c>
      <c r="D436" t="s">
        <v>2</v>
      </c>
      <c r="E436">
        <v>11.3505206391311</v>
      </c>
      <c r="G436">
        <v>1.4967999999999999</v>
      </c>
      <c r="H436">
        <v>5.6</v>
      </c>
      <c r="K436">
        <v>0.84550000000000003</v>
      </c>
      <c r="L436">
        <v>0.65129999999999999</v>
      </c>
      <c r="M436">
        <v>5.64</v>
      </c>
      <c r="N436">
        <v>2.2989999999999999</v>
      </c>
      <c r="O436">
        <v>0.82199999999999995</v>
      </c>
      <c r="P436">
        <v>2.5999999999999999E-2</v>
      </c>
      <c r="Q436">
        <v>9.2999999999999999E-2</v>
      </c>
      <c r="R436">
        <v>2.4916999999999998</v>
      </c>
      <c r="S436">
        <v>2.7109999999999999</v>
      </c>
      <c r="T436">
        <v>0.41</v>
      </c>
      <c r="U436">
        <v>0.82799999999999996</v>
      </c>
    </row>
    <row r="437" spans="1:21" x14ac:dyDescent="0.25">
      <c r="A437" t="s">
        <v>607</v>
      </c>
      <c r="B437" t="s">
        <v>105</v>
      </c>
      <c r="C437">
        <v>25</v>
      </c>
      <c r="D437" t="s">
        <v>14</v>
      </c>
      <c r="E437">
        <v>15.6744920531155</v>
      </c>
      <c r="G437">
        <v>2.4367999999999999</v>
      </c>
      <c r="H437">
        <v>4.6989999999999998</v>
      </c>
      <c r="K437">
        <v>0.71050000000000002</v>
      </c>
      <c r="L437">
        <v>1.7262999999999999</v>
      </c>
      <c r="M437">
        <v>0.60799999999999998</v>
      </c>
      <c r="N437">
        <v>1.766</v>
      </c>
      <c r="O437">
        <v>0.52100000000000002</v>
      </c>
      <c r="P437">
        <v>6.0000000000000001E-3</v>
      </c>
      <c r="Q437">
        <v>1.4E-2</v>
      </c>
      <c r="R437">
        <v>28.541399999999999</v>
      </c>
      <c r="S437">
        <v>25.482500000000002</v>
      </c>
      <c r="T437">
        <v>0.38</v>
      </c>
      <c r="U437">
        <v>0.48</v>
      </c>
    </row>
    <row r="438" spans="1:21" x14ac:dyDescent="0.25">
      <c r="A438" t="s">
        <v>321</v>
      </c>
      <c r="B438" t="s">
        <v>74</v>
      </c>
      <c r="C438">
        <v>28</v>
      </c>
      <c r="D438" t="s">
        <v>17</v>
      </c>
      <c r="E438">
        <v>13.508853456068399</v>
      </c>
      <c r="G438">
        <v>2.4277000000000002</v>
      </c>
      <c r="H438">
        <v>7.4870000000000001</v>
      </c>
      <c r="K438">
        <v>1.1557999999999999</v>
      </c>
      <c r="L438">
        <v>1.2719</v>
      </c>
      <c r="M438">
        <v>2.1379999999999999</v>
      </c>
      <c r="N438">
        <v>2.2669999999999999</v>
      </c>
      <c r="O438">
        <v>0.65600000000000003</v>
      </c>
      <c r="P438">
        <v>6.0000000000000001E-3</v>
      </c>
      <c r="Q438">
        <v>0</v>
      </c>
      <c r="R438">
        <v>15.4351</v>
      </c>
      <c r="S438">
        <v>12.7056</v>
      </c>
      <c r="T438">
        <v>0</v>
      </c>
      <c r="U438">
        <v>0.69699999999999995</v>
      </c>
    </row>
    <row r="439" spans="1:21" x14ac:dyDescent="0.25">
      <c r="A439" t="s">
        <v>565</v>
      </c>
      <c r="B439" t="s">
        <v>1108</v>
      </c>
      <c r="C439">
        <v>28</v>
      </c>
      <c r="D439" t="s">
        <v>11</v>
      </c>
      <c r="E439">
        <v>11.9367945117367</v>
      </c>
      <c r="G439">
        <v>1.98855</v>
      </c>
      <c r="H439">
        <v>8.0359999999999996</v>
      </c>
      <c r="K439">
        <v>0.94489999999999996</v>
      </c>
      <c r="L439">
        <v>1.04365</v>
      </c>
      <c r="M439">
        <v>8.2949999999999999</v>
      </c>
      <c r="N439">
        <v>2.532</v>
      </c>
      <c r="O439">
        <v>0.94199999999999995</v>
      </c>
      <c r="P439">
        <v>8.5000000000000006E-2</v>
      </c>
      <c r="Q439">
        <v>7.3999999999999996E-2</v>
      </c>
      <c r="R439">
        <v>20.7437</v>
      </c>
      <c r="S439">
        <v>19.726700000000001</v>
      </c>
      <c r="T439">
        <v>0</v>
      </c>
      <c r="U439">
        <v>1.7030000000000001</v>
      </c>
    </row>
    <row r="440" spans="1:21" x14ac:dyDescent="0.25">
      <c r="A440" t="s">
        <v>761</v>
      </c>
      <c r="B440" t="s">
        <v>104</v>
      </c>
      <c r="C440">
        <v>30</v>
      </c>
      <c r="D440" t="s">
        <v>5</v>
      </c>
      <c r="E440">
        <v>8.7234900076643207</v>
      </c>
      <c r="G440">
        <v>0.93725000000000003</v>
      </c>
      <c r="H440">
        <v>3.657</v>
      </c>
      <c r="K440">
        <v>0.33879999999999999</v>
      </c>
      <c r="L440">
        <v>0.59845000000000004</v>
      </c>
      <c r="M440">
        <v>13.574</v>
      </c>
      <c r="N440">
        <v>2.899</v>
      </c>
      <c r="O440">
        <v>1.3979999999999999</v>
      </c>
      <c r="P440">
        <v>0.72799999999999998</v>
      </c>
      <c r="Q440">
        <v>0.26600000000000001</v>
      </c>
      <c r="R440">
        <v>1.0545</v>
      </c>
      <c r="S440">
        <v>1.1618999999999999</v>
      </c>
      <c r="T440">
        <v>0</v>
      </c>
      <c r="U440">
        <v>0.38800000000000001</v>
      </c>
    </row>
    <row r="441" spans="1:21" x14ac:dyDescent="0.25">
      <c r="A441" t="s">
        <v>1158</v>
      </c>
      <c r="B441" t="s">
        <v>74</v>
      </c>
      <c r="C441">
        <v>28</v>
      </c>
      <c r="D441" t="s">
        <v>15</v>
      </c>
      <c r="E441">
        <v>9.7633397973169895</v>
      </c>
      <c r="G441">
        <v>1.15015</v>
      </c>
      <c r="H441">
        <v>6.5449999999999999</v>
      </c>
      <c r="K441">
        <v>0.56799999999999995</v>
      </c>
      <c r="L441">
        <v>0.58214999999999995</v>
      </c>
      <c r="M441">
        <v>5.1749999999999998</v>
      </c>
      <c r="N441">
        <v>2.0590000000000002</v>
      </c>
      <c r="O441">
        <v>0.47899999999999998</v>
      </c>
      <c r="P441">
        <v>4.2000000000000003E-2</v>
      </c>
      <c r="Q441">
        <v>0.121</v>
      </c>
      <c r="R441">
        <v>18.765599999999999</v>
      </c>
      <c r="S441">
        <v>16.372399999999999</v>
      </c>
      <c r="T441">
        <v>0.45</v>
      </c>
      <c r="U441">
        <v>1.073</v>
      </c>
    </row>
    <row r="442" spans="1:21" x14ac:dyDescent="0.25">
      <c r="A442" t="s">
        <v>506</v>
      </c>
      <c r="B442" t="s">
        <v>104</v>
      </c>
      <c r="C442">
        <v>27</v>
      </c>
      <c r="D442" t="s">
        <v>1025</v>
      </c>
      <c r="E442">
        <v>10.6006485691859</v>
      </c>
      <c r="G442">
        <v>1.7481500000000001</v>
      </c>
      <c r="H442">
        <v>7.1040000000000001</v>
      </c>
      <c r="K442">
        <v>0.85650000000000004</v>
      </c>
      <c r="L442">
        <v>0.89165000000000005</v>
      </c>
      <c r="M442">
        <v>4.0090000000000003</v>
      </c>
      <c r="N442">
        <v>2.3330000000000002</v>
      </c>
      <c r="O442">
        <v>0.69599999999999995</v>
      </c>
      <c r="P442">
        <v>1.9E-2</v>
      </c>
      <c r="Q442">
        <v>4.0000000000000001E-3</v>
      </c>
      <c r="R442">
        <v>1.0885</v>
      </c>
      <c r="S442">
        <v>1.4246000000000001</v>
      </c>
      <c r="T442">
        <v>0.38</v>
      </c>
      <c r="U442">
        <v>1.774</v>
      </c>
    </row>
    <row r="443" spans="1:21" x14ac:dyDescent="0.25">
      <c r="A443" t="s">
        <v>740</v>
      </c>
      <c r="B443" t="s">
        <v>105</v>
      </c>
      <c r="C443">
        <v>34</v>
      </c>
      <c r="D443" t="s">
        <v>33</v>
      </c>
      <c r="E443">
        <v>9.5762406692875803</v>
      </c>
      <c r="G443">
        <v>1.10775</v>
      </c>
      <c r="H443">
        <v>5.2729999999999997</v>
      </c>
      <c r="K443">
        <v>0.42980000000000002</v>
      </c>
      <c r="L443">
        <v>0.67795000000000005</v>
      </c>
      <c r="M443">
        <v>6.1740000000000004</v>
      </c>
      <c r="N443">
        <v>2.8010000000000002</v>
      </c>
      <c r="O443">
        <v>0.76400000000000001</v>
      </c>
      <c r="P443">
        <v>5.0999999999999997E-2</v>
      </c>
      <c r="Q443">
        <v>3.3000000000000002E-2</v>
      </c>
      <c r="R443">
        <v>18.5944</v>
      </c>
      <c r="S443">
        <v>19.0701</v>
      </c>
      <c r="T443">
        <v>0.52</v>
      </c>
      <c r="U443">
        <v>0.73699999999999999</v>
      </c>
    </row>
    <row r="444" spans="1:21" x14ac:dyDescent="0.25">
      <c r="A444" t="s">
        <v>778</v>
      </c>
      <c r="B444" t="s">
        <v>102</v>
      </c>
      <c r="C444">
        <v>28</v>
      </c>
      <c r="D444" t="s">
        <v>21</v>
      </c>
      <c r="E444">
        <v>11.8356392050246</v>
      </c>
      <c r="G444">
        <v>1.76515</v>
      </c>
      <c r="H444">
        <v>8.2919999999999998</v>
      </c>
      <c r="K444">
        <v>0.86439999999999995</v>
      </c>
      <c r="L444">
        <v>0.90075000000000005</v>
      </c>
      <c r="M444">
        <v>5.415</v>
      </c>
      <c r="N444">
        <v>1.413</v>
      </c>
      <c r="O444">
        <v>0.69</v>
      </c>
      <c r="P444">
        <v>0.152</v>
      </c>
      <c r="Q444">
        <v>5.8999999999999997E-2</v>
      </c>
      <c r="R444">
        <v>4.6315</v>
      </c>
      <c r="S444">
        <v>5.8444000000000003</v>
      </c>
      <c r="T444">
        <v>0.48</v>
      </c>
      <c r="U444">
        <v>0.80300000000000005</v>
      </c>
    </row>
    <row r="445" spans="1:21" x14ac:dyDescent="0.25">
      <c r="A445" t="s">
        <v>337</v>
      </c>
      <c r="B445" t="s">
        <v>105</v>
      </c>
      <c r="C445">
        <v>30</v>
      </c>
      <c r="D445" t="s">
        <v>18</v>
      </c>
      <c r="E445">
        <v>13.7313881571687</v>
      </c>
      <c r="G445">
        <v>2.0539000000000001</v>
      </c>
      <c r="H445">
        <v>8.1590000000000007</v>
      </c>
      <c r="K445">
        <v>1.00705</v>
      </c>
      <c r="L445">
        <v>1.0468500000000001</v>
      </c>
      <c r="M445">
        <v>3.415</v>
      </c>
      <c r="N445">
        <v>3.214</v>
      </c>
      <c r="O445">
        <v>1.621</v>
      </c>
      <c r="P445">
        <v>0.10299999999999999</v>
      </c>
      <c r="Q445">
        <v>0.11799999999999999</v>
      </c>
      <c r="R445">
        <v>18.303100000000001</v>
      </c>
      <c r="S445">
        <v>21.469799999999999</v>
      </c>
      <c r="T445">
        <v>0.39</v>
      </c>
      <c r="U445">
        <v>0.71699999999999997</v>
      </c>
    </row>
    <row r="446" spans="1:21" x14ac:dyDescent="0.25">
      <c r="A446" t="s">
        <v>473</v>
      </c>
      <c r="B446" t="s">
        <v>74</v>
      </c>
      <c r="C446">
        <v>32</v>
      </c>
      <c r="D446" t="s">
        <v>11</v>
      </c>
      <c r="E446">
        <v>11.671544451425</v>
      </c>
      <c r="G446">
        <v>1.5807</v>
      </c>
      <c r="H446">
        <v>4.4729999999999999</v>
      </c>
      <c r="K446">
        <v>0.67169999999999996</v>
      </c>
      <c r="L446">
        <v>0.90900000000000003</v>
      </c>
      <c r="M446">
        <v>3.87</v>
      </c>
      <c r="N446">
        <v>1.5309999999999999</v>
      </c>
      <c r="O446">
        <v>0.94299999999999995</v>
      </c>
      <c r="P446">
        <v>2.1000000000000001E-2</v>
      </c>
      <c r="Q446">
        <v>5.2999999999999999E-2</v>
      </c>
      <c r="R446">
        <v>27.701799999999999</v>
      </c>
      <c r="S446">
        <v>24.964300000000001</v>
      </c>
      <c r="T446">
        <v>0.56000000000000005</v>
      </c>
      <c r="U446">
        <v>0.93100000000000005</v>
      </c>
    </row>
    <row r="447" spans="1:21" x14ac:dyDescent="0.25">
      <c r="A447" t="s">
        <v>493</v>
      </c>
      <c r="B447" t="s">
        <v>102</v>
      </c>
      <c r="C447">
        <v>30</v>
      </c>
      <c r="D447" t="s">
        <v>31</v>
      </c>
      <c r="E447">
        <v>9.4397137787878709</v>
      </c>
      <c r="G447">
        <v>1.1279999999999999</v>
      </c>
      <c r="H447">
        <v>6.9630000000000001</v>
      </c>
      <c r="K447">
        <v>0.62365000000000004</v>
      </c>
      <c r="L447">
        <v>0.50434999999999997</v>
      </c>
      <c r="M447">
        <v>12.55</v>
      </c>
      <c r="N447">
        <v>1.5</v>
      </c>
      <c r="O447">
        <v>1.5840000000000001</v>
      </c>
      <c r="P447">
        <v>0.25700000000000001</v>
      </c>
      <c r="Q447">
        <v>0.245</v>
      </c>
      <c r="R447">
        <v>0.74470000000000003</v>
      </c>
      <c r="S447">
        <v>1.2474000000000001</v>
      </c>
      <c r="T447">
        <v>0</v>
      </c>
      <c r="U447">
        <v>0.628</v>
      </c>
    </row>
    <row r="448" spans="1:21" x14ac:dyDescent="0.25">
      <c r="A448" t="s">
        <v>898</v>
      </c>
      <c r="B448" t="s">
        <v>101</v>
      </c>
      <c r="C448">
        <v>25</v>
      </c>
      <c r="D448" t="s">
        <v>16</v>
      </c>
      <c r="E448">
        <v>13.25</v>
      </c>
      <c r="G448">
        <v>1.6469</v>
      </c>
      <c r="H448">
        <v>5.6</v>
      </c>
      <c r="K448">
        <v>0.68669999999999998</v>
      </c>
      <c r="L448">
        <v>0.96020000000000005</v>
      </c>
      <c r="M448">
        <v>3.3010000000000002</v>
      </c>
      <c r="N448">
        <v>1.819</v>
      </c>
      <c r="O448">
        <v>0.499</v>
      </c>
      <c r="P448">
        <v>7.0000000000000001E-3</v>
      </c>
      <c r="Q448">
        <v>0</v>
      </c>
      <c r="R448">
        <v>18.802700000000002</v>
      </c>
      <c r="S448">
        <v>18.4436</v>
      </c>
      <c r="T448">
        <v>0.45</v>
      </c>
      <c r="U448">
        <v>0.65600000000000003</v>
      </c>
    </row>
    <row r="449" spans="1:21" x14ac:dyDescent="0.25">
      <c r="A449" t="s">
        <v>359</v>
      </c>
      <c r="B449" t="s">
        <v>101</v>
      </c>
      <c r="C449">
        <v>31</v>
      </c>
      <c r="D449" t="s">
        <v>16</v>
      </c>
      <c r="E449">
        <v>14.302851161779399</v>
      </c>
      <c r="G449">
        <v>1.95895</v>
      </c>
      <c r="H449">
        <v>6.7229999999999999</v>
      </c>
      <c r="K449">
        <v>0.78444999999999998</v>
      </c>
      <c r="L449">
        <v>1.1745000000000001</v>
      </c>
      <c r="M449">
        <v>2.573</v>
      </c>
      <c r="N449">
        <v>1.6160000000000001</v>
      </c>
      <c r="O449">
        <v>0.65400000000000003</v>
      </c>
      <c r="P449">
        <v>2.8000000000000001E-2</v>
      </c>
      <c r="Q449">
        <v>0</v>
      </c>
      <c r="R449">
        <v>10.8377</v>
      </c>
      <c r="S449">
        <v>11.287000000000001</v>
      </c>
      <c r="T449">
        <v>0.35</v>
      </c>
      <c r="U449">
        <v>1.452</v>
      </c>
    </row>
    <row r="450" spans="1:21" x14ac:dyDescent="0.25">
      <c r="A450" t="s">
        <v>466</v>
      </c>
      <c r="B450" t="s">
        <v>74</v>
      </c>
      <c r="C450">
        <v>33</v>
      </c>
      <c r="D450" t="s">
        <v>7</v>
      </c>
      <c r="E450">
        <v>14.514897885869001</v>
      </c>
      <c r="G450">
        <v>2.0304000000000002</v>
      </c>
      <c r="H450">
        <v>6.0410000000000004</v>
      </c>
      <c r="K450">
        <v>0.73185</v>
      </c>
      <c r="L450">
        <v>1.2985500000000001</v>
      </c>
      <c r="M450">
        <v>0.90500000000000003</v>
      </c>
      <c r="N450">
        <v>2.2389999999999999</v>
      </c>
      <c r="O450">
        <v>0.36399999999999999</v>
      </c>
      <c r="P450">
        <v>6.0000000000000001E-3</v>
      </c>
      <c r="Q450">
        <v>0</v>
      </c>
      <c r="R450">
        <v>30.7151</v>
      </c>
      <c r="S450">
        <v>25.2712</v>
      </c>
      <c r="T450">
        <v>0.43</v>
      </c>
      <c r="U450">
        <v>0.55800000000000005</v>
      </c>
    </row>
    <row r="451" spans="1:21" x14ac:dyDescent="0.25">
      <c r="A451" t="s">
        <v>793</v>
      </c>
      <c r="B451" t="s">
        <v>101</v>
      </c>
      <c r="C451">
        <v>26</v>
      </c>
      <c r="D451" t="s">
        <v>32</v>
      </c>
      <c r="E451">
        <v>12.147550763698099</v>
      </c>
      <c r="G451">
        <v>1.48455</v>
      </c>
      <c r="H451">
        <v>6.3650000000000002</v>
      </c>
      <c r="K451">
        <v>0.56904999999999994</v>
      </c>
      <c r="L451">
        <v>0.91549999999999998</v>
      </c>
      <c r="M451">
        <v>3.8639999999999999</v>
      </c>
      <c r="N451">
        <v>4.1150000000000002</v>
      </c>
      <c r="O451">
        <v>0.29799999999999999</v>
      </c>
      <c r="P451">
        <v>8.0000000000000002E-3</v>
      </c>
      <c r="Q451">
        <v>0</v>
      </c>
      <c r="R451">
        <v>21.5108</v>
      </c>
      <c r="S451">
        <v>22.483699999999999</v>
      </c>
      <c r="T451">
        <v>0.35</v>
      </c>
      <c r="U451">
        <v>0.70499999999999996</v>
      </c>
    </row>
    <row r="452" spans="1:21" x14ac:dyDescent="0.25">
      <c r="A452" t="s">
        <v>653</v>
      </c>
      <c r="B452" t="s">
        <v>103</v>
      </c>
      <c r="C452">
        <v>38</v>
      </c>
      <c r="D452" t="s">
        <v>30</v>
      </c>
      <c r="E452">
        <v>8.4846545253695105</v>
      </c>
      <c r="G452">
        <v>1.09595</v>
      </c>
      <c r="H452">
        <v>3.754</v>
      </c>
      <c r="K452">
        <v>0.50060000000000004</v>
      </c>
      <c r="L452">
        <v>0.59535000000000005</v>
      </c>
      <c r="M452">
        <v>20.88</v>
      </c>
      <c r="N452">
        <v>2.3079999999999998</v>
      </c>
      <c r="O452">
        <v>0.85799999999999998</v>
      </c>
      <c r="P452">
        <v>0.65800000000000003</v>
      </c>
      <c r="Q452">
        <v>1E-3</v>
      </c>
      <c r="R452">
        <v>0.54669999999999996</v>
      </c>
      <c r="S452">
        <v>0.48759999999999998</v>
      </c>
      <c r="T452">
        <v>0.54</v>
      </c>
      <c r="U452">
        <v>0.76300000000000001</v>
      </c>
    </row>
    <row r="453" spans="1:21" x14ac:dyDescent="0.25">
      <c r="A453" t="s">
        <v>406</v>
      </c>
      <c r="B453" t="s">
        <v>104</v>
      </c>
      <c r="C453">
        <v>31</v>
      </c>
      <c r="D453" t="s">
        <v>5</v>
      </c>
      <c r="E453">
        <v>13.4703556363853</v>
      </c>
      <c r="G453">
        <v>1.63205</v>
      </c>
      <c r="H453">
        <v>5.85</v>
      </c>
      <c r="K453">
        <v>0.61350000000000005</v>
      </c>
      <c r="L453">
        <v>1.0185500000000001</v>
      </c>
      <c r="M453">
        <v>2.6480000000000001</v>
      </c>
      <c r="N453">
        <v>1.246</v>
      </c>
      <c r="O453">
        <v>1.238</v>
      </c>
      <c r="P453">
        <v>0.14499999999999999</v>
      </c>
      <c r="Q453">
        <v>0.06</v>
      </c>
      <c r="R453">
        <v>11.6792</v>
      </c>
      <c r="S453">
        <v>14.1828</v>
      </c>
      <c r="T453">
        <v>0</v>
      </c>
      <c r="U453">
        <v>0.434</v>
      </c>
    </row>
    <row r="454" spans="1:21" x14ac:dyDescent="0.25">
      <c r="A454" t="s">
        <v>960</v>
      </c>
      <c r="B454" t="s">
        <v>104</v>
      </c>
      <c r="C454">
        <v>30</v>
      </c>
      <c r="D454" t="s">
        <v>9</v>
      </c>
      <c r="E454">
        <v>9.6332833535488192</v>
      </c>
      <c r="G454">
        <v>1.24855</v>
      </c>
      <c r="H454">
        <v>5.6289999999999996</v>
      </c>
      <c r="K454">
        <v>0.52415</v>
      </c>
      <c r="L454">
        <v>0.72440000000000004</v>
      </c>
      <c r="M454">
        <v>10.022</v>
      </c>
      <c r="N454">
        <v>2.2839999999999998</v>
      </c>
      <c r="O454">
        <v>0.72299999999999998</v>
      </c>
      <c r="P454">
        <v>0.03</v>
      </c>
      <c r="Q454">
        <v>8.9999999999999993E-3</v>
      </c>
      <c r="R454">
        <v>1.6647000000000001</v>
      </c>
      <c r="S454">
        <v>1.7532000000000001</v>
      </c>
      <c r="T454">
        <v>0.44</v>
      </c>
      <c r="U454">
        <v>0.625</v>
      </c>
    </row>
    <row r="455" spans="1:21" x14ac:dyDescent="0.25">
      <c r="A455" t="s">
        <v>314</v>
      </c>
      <c r="B455" t="s">
        <v>74</v>
      </c>
      <c r="C455">
        <v>28</v>
      </c>
      <c r="D455" t="s">
        <v>31</v>
      </c>
      <c r="E455">
        <v>14.0472655963961</v>
      </c>
      <c r="G455">
        <v>2.0439500000000002</v>
      </c>
      <c r="H455">
        <v>9.1539999999999999</v>
      </c>
      <c r="K455">
        <v>0.97729999999999995</v>
      </c>
      <c r="L455">
        <v>1.0666500000000001</v>
      </c>
      <c r="M455">
        <v>8.59</v>
      </c>
      <c r="N455">
        <v>2.3180000000000001</v>
      </c>
      <c r="O455">
        <v>1.5349999999999999</v>
      </c>
      <c r="P455">
        <v>8.1000000000000003E-2</v>
      </c>
      <c r="Q455">
        <v>3.9E-2</v>
      </c>
      <c r="R455">
        <v>21.4373</v>
      </c>
      <c r="S455">
        <v>26.166899999999998</v>
      </c>
      <c r="T455">
        <v>0</v>
      </c>
      <c r="U455">
        <v>0.59599999999999997</v>
      </c>
    </row>
    <row r="456" spans="1:21" x14ac:dyDescent="0.25">
      <c r="A456" t="s">
        <v>919</v>
      </c>
      <c r="B456" t="s">
        <v>105</v>
      </c>
      <c r="C456">
        <v>32</v>
      </c>
      <c r="D456" t="s">
        <v>1107</v>
      </c>
      <c r="E456">
        <v>9.51669011612411</v>
      </c>
      <c r="G456">
        <v>1.2041999999999999</v>
      </c>
      <c r="H456">
        <v>5.8179999999999996</v>
      </c>
      <c r="K456">
        <v>0.55679999999999996</v>
      </c>
      <c r="L456">
        <v>0.64739999999999998</v>
      </c>
      <c r="M456">
        <v>10.622999999999999</v>
      </c>
      <c r="N456">
        <v>2.1720000000000002</v>
      </c>
      <c r="O456">
        <v>1.244</v>
      </c>
      <c r="P456">
        <v>0.90700000000000003</v>
      </c>
      <c r="Q456">
        <v>0.152</v>
      </c>
      <c r="R456">
        <v>21.636299999999999</v>
      </c>
      <c r="S456">
        <v>19.486899999999999</v>
      </c>
      <c r="T456">
        <v>0.48</v>
      </c>
      <c r="U456">
        <v>0.878</v>
      </c>
    </row>
    <row r="457" spans="1:21" x14ac:dyDescent="0.25">
      <c r="A457" t="s">
        <v>722</v>
      </c>
      <c r="B457" t="s">
        <v>103</v>
      </c>
      <c r="C457">
        <v>35</v>
      </c>
      <c r="D457" t="s">
        <v>16</v>
      </c>
      <c r="E457">
        <v>9.7506559688174406</v>
      </c>
      <c r="G457">
        <v>1.7552000000000001</v>
      </c>
      <c r="H457">
        <v>8.4789999999999992</v>
      </c>
      <c r="K457">
        <v>0.91359999999999997</v>
      </c>
      <c r="L457">
        <v>0.84160000000000001</v>
      </c>
      <c r="M457">
        <v>2.8</v>
      </c>
      <c r="N457">
        <v>2.7130000000000001</v>
      </c>
      <c r="O457">
        <v>0.76900000000000002</v>
      </c>
      <c r="P457">
        <v>5.7000000000000002E-2</v>
      </c>
      <c r="Q457">
        <v>1E-3</v>
      </c>
      <c r="R457">
        <v>3.2542</v>
      </c>
      <c r="S457">
        <v>2.0022000000000002</v>
      </c>
      <c r="T457">
        <v>0</v>
      </c>
      <c r="U457">
        <v>0.28199999999999997</v>
      </c>
    </row>
    <row r="458" spans="1:21" x14ac:dyDescent="0.25">
      <c r="A458" t="s">
        <v>714</v>
      </c>
      <c r="B458" t="s">
        <v>105</v>
      </c>
      <c r="C458">
        <v>29</v>
      </c>
      <c r="D458" t="s">
        <v>8</v>
      </c>
      <c r="E458">
        <v>11.2993204575299</v>
      </c>
      <c r="G458">
        <v>1.4226000000000001</v>
      </c>
      <c r="H458">
        <v>5.2290000000000001</v>
      </c>
      <c r="K458">
        <v>0.63170000000000004</v>
      </c>
      <c r="L458">
        <v>0.79090000000000005</v>
      </c>
      <c r="M458">
        <v>10.849</v>
      </c>
      <c r="N458">
        <v>2.0859999999999999</v>
      </c>
      <c r="O458">
        <v>0.73299999999999998</v>
      </c>
      <c r="P458">
        <v>0.161</v>
      </c>
      <c r="Q458">
        <v>2.1999999999999999E-2</v>
      </c>
      <c r="R458">
        <v>9.8744999999999994</v>
      </c>
      <c r="S458">
        <v>12.664400000000001</v>
      </c>
      <c r="T458">
        <v>0.49</v>
      </c>
      <c r="U458">
        <v>0.84799999999999998</v>
      </c>
    </row>
    <row r="459" spans="1:21" x14ac:dyDescent="0.25">
      <c r="A459" t="s">
        <v>341</v>
      </c>
      <c r="B459" t="s">
        <v>105</v>
      </c>
      <c r="C459">
        <v>29</v>
      </c>
      <c r="D459" t="s">
        <v>31</v>
      </c>
      <c r="E459">
        <v>14.2454132737263</v>
      </c>
      <c r="G459">
        <v>2.3717999999999999</v>
      </c>
      <c r="H459">
        <v>7.1589999999999998</v>
      </c>
      <c r="K459">
        <v>0.99539999999999995</v>
      </c>
      <c r="L459">
        <v>1.3764000000000001</v>
      </c>
      <c r="M459">
        <v>2.9390000000000001</v>
      </c>
      <c r="N459">
        <v>2.44</v>
      </c>
      <c r="O459">
        <v>0.26300000000000001</v>
      </c>
      <c r="P459">
        <v>3.7999999999999999E-2</v>
      </c>
      <c r="Q459">
        <v>0</v>
      </c>
      <c r="R459">
        <v>8.1610999999999994</v>
      </c>
      <c r="S459">
        <v>9.7579999999999991</v>
      </c>
      <c r="T459">
        <v>0.37</v>
      </c>
      <c r="U459">
        <v>0.84299999999999997</v>
      </c>
    </row>
    <row r="460" spans="1:21" x14ac:dyDescent="0.25">
      <c r="A460" t="s">
        <v>808</v>
      </c>
      <c r="B460" t="s">
        <v>101</v>
      </c>
      <c r="C460">
        <v>26</v>
      </c>
      <c r="D460" t="s">
        <v>17</v>
      </c>
      <c r="E460">
        <v>11.5246088474833</v>
      </c>
      <c r="G460">
        <v>1.4594</v>
      </c>
      <c r="H460">
        <v>4.9489999999999998</v>
      </c>
      <c r="K460">
        <v>0.51195000000000002</v>
      </c>
      <c r="L460">
        <v>0.94745000000000001</v>
      </c>
      <c r="M460">
        <v>3.3090000000000002</v>
      </c>
      <c r="N460">
        <v>1.7909999999999999</v>
      </c>
      <c r="O460">
        <v>0.68100000000000005</v>
      </c>
      <c r="P460">
        <v>3.2000000000000001E-2</v>
      </c>
      <c r="Q460">
        <v>0</v>
      </c>
      <c r="R460">
        <v>8.3206000000000007</v>
      </c>
      <c r="S460">
        <v>9.4147999999999996</v>
      </c>
      <c r="T460">
        <v>0.52</v>
      </c>
      <c r="U460">
        <v>0.83799999999999997</v>
      </c>
    </row>
    <row r="461" spans="1:21" x14ac:dyDescent="0.25">
      <c r="A461" t="s">
        <v>627</v>
      </c>
      <c r="B461" t="s">
        <v>104</v>
      </c>
      <c r="C461">
        <v>28</v>
      </c>
      <c r="D461" t="s">
        <v>14</v>
      </c>
      <c r="E461">
        <v>9.9057698163993901</v>
      </c>
      <c r="G461">
        <v>1.2219</v>
      </c>
      <c r="H461">
        <v>4.1130000000000004</v>
      </c>
      <c r="K461">
        <v>0.29585</v>
      </c>
      <c r="L461">
        <v>0.92605000000000004</v>
      </c>
      <c r="M461">
        <v>18.722000000000001</v>
      </c>
      <c r="N461">
        <v>2.5880000000000001</v>
      </c>
      <c r="O461">
        <v>1.296</v>
      </c>
      <c r="P461">
        <v>0.13300000000000001</v>
      </c>
      <c r="Q461">
        <v>3.7999999999999999E-2</v>
      </c>
      <c r="R461">
        <v>0.69369999999999998</v>
      </c>
      <c r="S461">
        <v>1.2112000000000001</v>
      </c>
      <c r="T461">
        <v>0.35</v>
      </c>
      <c r="U461">
        <v>0.94499999999999995</v>
      </c>
    </row>
    <row r="462" spans="1:21" x14ac:dyDescent="0.25">
      <c r="A462" t="s">
        <v>434</v>
      </c>
      <c r="B462" t="s">
        <v>101</v>
      </c>
      <c r="C462">
        <v>30</v>
      </c>
      <c r="D462" t="s">
        <v>32</v>
      </c>
      <c r="E462">
        <v>12.879112166233501</v>
      </c>
      <c r="G462">
        <v>1.5178499999999999</v>
      </c>
      <c r="H462">
        <v>6.8490000000000002</v>
      </c>
      <c r="K462">
        <v>0.5282</v>
      </c>
      <c r="L462">
        <v>0.98965000000000003</v>
      </c>
      <c r="M462">
        <v>7.7869999999999999</v>
      </c>
      <c r="N462">
        <v>2.621</v>
      </c>
      <c r="O462">
        <v>1.0349999999999999</v>
      </c>
      <c r="P462">
        <v>4.2999999999999997E-2</v>
      </c>
      <c r="Q462">
        <v>4.1000000000000002E-2</v>
      </c>
      <c r="R462">
        <v>21.160900000000002</v>
      </c>
      <c r="S462">
        <v>22.216000000000001</v>
      </c>
      <c r="T462" t="s">
        <v>1054</v>
      </c>
      <c r="U462">
        <v>0.38600000000000001</v>
      </c>
    </row>
    <row r="463" spans="1:21" x14ac:dyDescent="0.25">
      <c r="A463" t="s">
        <v>375</v>
      </c>
      <c r="B463" t="s">
        <v>74</v>
      </c>
      <c r="C463">
        <v>32</v>
      </c>
      <c r="D463" t="s">
        <v>32</v>
      </c>
      <c r="E463">
        <v>14.2946206429092</v>
      </c>
      <c r="G463">
        <v>1.6482000000000001</v>
      </c>
      <c r="H463">
        <v>8.1489999999999991</v>
      </c>
      <c r="K463">
        <v>0.55620000000000003</v>
      </c>
      <c r="L463">
        <v>1.0920000000000001</v>
      </c>
      <c r="M463">
        <v>2.8410000000000002</v>
      </c>
      <c r="N463">
        <v>2.3290000000000002</v>
      </c>
      <c r="O463">
        <v>0.72499999999999998</v>
      </c>
      <c r="P463">
        <v>4.2000000000000003E-2</v>
      </c>
      <c r="Q463">
        <v>2E-3</v>
      </c>
      <c r="R463">
        <v>29.277699999999999</v>
      </c>
      <c r="S463">
        <v>24.68</v>
      </c>
      <c r="T463">
        <v>0.49</v>
      </c>
      <c r="U463">
        <v>1.77</v>
      </c>
    </row>
    <row r="464" spans="1:21" x14ac:dyDescent="0.25">
      <c r="A464" t="s">
        <v>613</v>
      </c>
      <c r="B464" t="s">
        <v>74</v>
      </c>
      <c r="C464">
        <v>32</v>
      </c>
      <c r="D464" t="s">
        <v>23</v>
      </c>
      <c r="E464">
        <v>11.862557352096401</v>
      </c>
      <c r="G464">
        <v>1.3604499999999999</v>
      </c>
      <c r="H464">
        <v>6.7759999999999998</v>
      </c>
      <c r="K464">
        <v>0.70309999999999995</v>
      </c>
      <c r="L464">
        <v>0.65734999999999999</v>
      </c>
      <c r="M464">
        <v>11.196999999999999</v>
      </c>
      <c r="N464">
        <v>2.597</v>
      </c>
      <c r="O464">
        <v>1.379</v>
      </c>
      <c r="P464">
        <v>2.1000000000000001E-2</v>
      </c>
      <c r="Q464">
        <v>0.05</v>
      </c>
      <c r="R464">
        <v>20.66</v>
      </c>
      <c r="S464">
        <v>21.098400000000002</v>
      </c>
      <c r="T464">
        <v>0.43</v>
      </c>
      <c r="U464">
        <v>0.79</v>
      </c>
    </row>
    <row r="465" spans="1:21" x14ac:dyDescent="0.25">
      <c r="A465" t="s">
        <v>615</v>
      </c>
      <c r="B465" t="s">
        <v>74</v>
      </c>
      <c r="C465">
        <v>30</v>
      </c>
      <c r="D465" t="s">
        <v>1159</v>
      </c>
      <c r="E465">
        <v>13.2162259756909</v>
      </c>
      <c r="G465">
        <v>1.7281</v>
      </c>
      <c r="H465">
        <v>6.3949999999999996</v>
      </c>
      <c r="K465">
        <v>0.69274999999999998</v>
      </c>
      <c r="L465">
        <v>1.03535</v>
      </c>
      <c r="M465">
        <v>1.5629999999999999</v>
      </c>
      <c r="N465">
        <v>1.98</v>
      </c>
      <c r="O465">
        <v>0.45900000000000002</v>
      </c>
      <c r="P465">
        <v>8.0000000000000002E-3</v>
      </c>
      <c r="Q465">
        <v>0</v>
      </c>
      <c r="R465">
        <v>26.311599999999999</v>
      </c>
      <c r="S465">
        <v>21.072600000000001</v>
      </c>
      <c r="T465">
        <v>0.3</v>
      </c>
      <c r="U465">
        <v>1.167</v>
      </c>
    </row>
    <row r="466" spans="1:21" x14ac:dyDescent="0.25">
      <c r="A466" t="s">
        <v>266</v>
      </c>
      <c r="B466" t="s">
        <v>74</v>
      </c>
      <c r="C466">
        <v>27</v>
      </c>
      <c r="D466" t="s">
        <v>34</v>
      </c>
      <c r="E466">
        <v>14.7409070337337</v>
      </c>
      <c r="G466">
        <v>2.6287500000000001</v>
      </c>
      <c r="H466">
        <v>7.84</v>
      </c>
      <c r="K466">
        <v>1.21095</v>
      </c>
      <c r="L466">
        <v>1.4177999999999999</v>
      </c>
      <c r="M466">
        <v>2.4089999999999998</v>
      </c>
      <c r="N466">
        <v>1.0489999999999999</v>
      </c>
      <c r="O466">
        <v>0.83499999999999996</v>
      </c>
      <c r="P466">
        <v>6.0000000000000001E-3</v>
      </c>
      <c r="Q466">
        <v>0</v>
      </c>
      <c r="R466">
        <v>20.936399999999999</v>
      </c>
      <c r="S466">
        <v>20.366900000000001</v>
      </c>
      <c r="T466">
        <v>0</v>
      </c>
      <c r="U466">
        <v>0.309</v>
      </c>
    </row>
    <row r="467" spans="1:21" x14ac:dyDescent="0.25">
      <c r="A467" t="s">
        <v>546</v>
      </c>
      <c r="B467" t="s">
        <v>104</v>
      </c>
      <c r="C467">
        <v>22</v>
      </c>
      <c r="D467" t="s">
        <v>34</v>
      </c>
      <c r="E467">
        <v>14.02</v>
      </c>
      <c r="G467">
        <v>2.1003500000000002</v>
      </c>
      <c r="H467">
        <v>6.6580000000000004</v>
      </c>
      <c r="K467">
        <v>0.88519999999999999</v>
      </c>
      <c r="L467">
        <v>1.21515</v>
      </c>
      <c r="M467">
        <v>4.4889999999999999</v>
      </c>
      <c r="N467">
        <v>2.0369999999999999</v>
      </c>
      <c r="O467">
        <v>0.33900000000000002</v>
      </c>
      <c r="P467">
        <v>6.0000000000000001E-3</v>
      </c>
      <c r="Q467">
        <v>0</v>
      </c>
      <c r="R467">
        <v>3.5091999999999999</v>
      </c>
      <c r="S467">
        <v>4.1147999999999998</v>
      </c>
      <c r="T467">
        <v>0.45</v>
      </c>
      <c r="U467">
        <v>1.2749999999999999</v>
      </c>
    </row>
    <row r="468" spans="1:21" x14ac:dyDescent="0.25">
      <c r="A468" t="s">
        <v>863</v>
      </c>
      <c r="B468" t="s">
        <v>74</v>
      </c>
      <c r="C468">
        <v>24</v>
      </c>
      <c r="D468" t="s">
        <v>15</v>
      </c>
      <c r="E468">
        <v>14.9460872411865</v>
      </c>
      <c r="G468">
        <v>1.8291999999999999</v>
      </c>
      <c r="H468">
        <v>7.1689999999999996</v>
      </c>
      <c r="K468">
        <v>0.69099999999999995</v>
      </c>
      <c r="L468">
        <v>1.1382000000000001</v>
      </c>
      <c r="M468">
        <v>3.6560000000000001</v>
      </c>
      <c r="N468">
        <v>2.7589999999999999</v>
      </c>
      <c r="O468">
        <v>0.54100000000000004</v>
      </c>
      <c r="P468">
        <v>1.0999999999999999E-2</v>
      </c>
      <c r="Q468">
        <v>2E-3</v>
      </c>
      <c r="R468">
        <v>22.552700000000002</v>
      </c>
      <c r="S468">
        <v>21.4649</v>
      </c>
      <c r="T468">
        <v>0.39</v>
      </c>
      <c r="U468">
        <v>0.81699999999999995</v>
      </c>
    </row>
    <row r="469" spans="1:21" x14ac:dyDescent="0.25">
      <c r="A469" t="s">
        <v>961</v>
      </c>
      <c r="B469" t="s">
        <v>101</v>
      </c>
      <c r="C469">
        <v>30</v>
      </c>
      <c r="D469" t="s">
        <v>8</v>
      </c>
      <c r="E469">
        <v>10.219274998623501</v>
      </c>
      <c r="G469">
        <v>1.3490500000000001</v>
      </c>
      <c r="H469">
        <v>7.2270000000000003</v>
      </c>
      <c r="K469">
        <v>0.64259999999999995</v>
      </c>
      <c r="L469">
        <v>0.70645000000000002</v>
      </c>
      <c r="M469">
        <v>7.0759999999999996</v>
      </c>
      <c r="N469">
        <v>3.367</v>
      </c>
      <c r="O469">
        <v>0.68500000000000005</v>
      </c>
      <c r="P469">
        <v>0.25700000000000001</v>
      </c>
      <c r="Q469">
        <v>8.0000000000000002E-3</v>
      </c>
      <c r="R469">
        <v>18.0169</v>
      </c>
      <c r="S469">
        <v>18.607900000000001</v>
      </c>
      <c r="T469">
        <v>0</v>
      </c>
      <c r="U469">
        <v>0.52600000000000002</v>
      </c>
    </row>
    <row r="470" spans="1:21" x14ac:dyDescent="0.25">
      <c r="A470" t="s">
        <v>273</v>
      </c>
      <c r="B470" t="s">
        <v>74</v>
      </c>
      <c r="C470">
        <v>37</v>
      </c>
      <c r="D470" t="s">
        <v>25</v>
      </c>
      <c r="E470">
        <v>16.202031730756499</v>
      </c>
      <c r="G470">
        <v>2.97105</v>
      </c>
      <c r="H470">
        <v>8.7639999999999993</v>
      </c>
      <c r="K470">
        <v>1.2200500000000001</v>
      </c>
      <c r="L470">
        <v>1.7509999999999999</v>
      </c>
      <c r="M470">
        <v>3.4039999999999999</v>
      </c>
      <c r="N470">
        <v>1.9590000000000001</v>
      </c>
      <c r="O470">
        <v>0.73099999999999998</v>
      </c>
      <c r="P470">
        <v>6.0000000000000001E-3</v>
      </c>
      <c r="Q470">
        <v>3.7999999999999999E-2</v>
      </c>
      <c r="R470">
        <v>36.836300000000001</v>
      </c>
      <c r="S470">
        <v>28.536899999999999</v>
      </c>
      <c r="T470">
        <v>0.39</v>
      </c>
      <c r="U470">
        <v>0.745</v>
      </c>
    </row>
    <row r="471" spans="1:21" x14ac:dyDescent="0.25">
      <c r="A471" t="s">
        <v>1044</v>
      </c>
      <c r="B471" t="s">
        <v>103</v>
      </c>
      <c r="C471">
        <v>23</v>
      </c>
      <c r="D471" t="s">
        <v>20</v>
      </c>
      <c r="E471">
        <v>11.734058400979899</v>
      </c>
      <c r="G471">
        <v>1.278</v>
      </c>
      <c r="H471">
        <v>4.1440000000000001</v>
      </c>
      <c r="K471">
        <v>0.61109999999999998</v>
      </c>
      <c r="L471">
        <v>0.66690000000000005</v>
      </c>
      <c r="M471">
        <v>1.3460000000000001</v>
      </c>
      <c r="N471">
        <v>2.5739999999999998</v>
      </c>
      <c r="O471">
        <v>0.245</v>
      </c>
      <c r="P471">
        <v>1.2999999999999999E-2</v>
      </c>
      <c r="Q471">
        <v>3.0000000000000001E-3</v>
      </c>
      <c r="R471">
        <v>0.81759999999999999</v>
      </c>
      <c r="S471">
        <v>1.1319999999999999</v>
      </c>
      <c r="T471">
        <v>0</v>
      </c>
      <c r="U471">
        <v>0.32</v>
      </c>
    </row>
    <row r="472" spans="1:21" x14ac:dyDescent="0.25">
      <c r="A472" t="s">
        <v>662</v>
      </c>
      <c r="B472" t="s">
        <v>104</v>
      </c>
      <c r="C472">
        <v>28</v>
      </c>
      <c r="D472" t="s">
        <v>29</v>
      </c>
      <c r="E472">
        <v>11.732485059644</v>
      </c>
      <c r="G472">
        <v>1.87585</v>
      </c>
      <c r="H472">
        <v>4.8710000000000004</v>
      </c>
      <c r="K472">
        <v>0.85140000000000005</v>
      </c>
      <c r="L472">
        <v>1.0244500000000001</v>
      </c>
      <c r="M472">
        <v>2.0030000000000001</v>
      </c>
      <c r="N472">
        <v>1.591</v>
      </c>
      <c r="O472">
        <v>0.41399999999999998</v>
      </c>
      <c r="P472">
        <v>8.0000000000000002E-3</v>
      </c>
      <c r="Q472">
        <v>0</v>
      </c>
      <c r="R472">
        <v>0.28749999999999998</v>
      </c>
      <c r="S472">
        <v>0.3049</v>
      </c>
      <c r="T472">
        <v>0.35</v>
      </c>
      <c r="U472">
        <v>0.68300000000000005</v>
      </c>
    </row>
    <row r="473" spans="1:21" x14ac:dyDescent="0.25">
      <c r="A473" t="s">
        <v>1015</v>
      </c>
      <c r="B473" t="s">
        <v>104</v>
      </c>
      <c r="C473">
        <v>31</v>
      </c>
      <c r="D473" t="s">
        <v>34</v>
      </c>
      <c r="E473">
        <v>10.266327985891101</v>
      </c>
      <c r="G473">
        <v>1.7785500000000001</v>
      </c>
      <c r="H473">
        <v>6.609</v>
      </c>
      <c r="K473">
        <v>0.70335000000000003</v>
      </c>
      <c r="L473">
        <v>1.0751999999999999</v>
      </c>
      <c r="M473">
        <v>7.3109999999999999</v>
      </c>
      <c r="N473">
        <v>1.7310000000000001</v>
      </c>
      <c r="O473">
        <v>0.72299999999999998</v>
      </c>
      <c r="P473">
        <v>0.126</v>
      </c>
      <c r="Q473">
        <v>3.0000000000000001E-3</v>
      </c>
      <c r="R473">
        <v>3.0773999999999999</v>
      </c>
      <c r="S473">
        <v>3.9855</v>
      </c>
      <c r="T473">
        <v>0.55000000000000004</v>
      </c>
      <c r="U473">
        <v>0.82199999999999995</v>
      </c>
    </row>
    <row r="474" spans="1:21" x14ac:dyDescent="0.25">
      <c r="A474" t="s">
        <v>803</v>
      </c>
      <c r="B474" t="s">
        <v>1108</v>
      </c>
      <c r="C474">
        <v>28</v>
      </c>
      <c r="D474" t="s">
        <v>31</v>
      </c>
      <c r="E474">
        <v>8.7344680176886502</v>
      </c>
      <c r="G474">
        <v>0.97985</v>
      </c>
      <c r="H474">
        <v>6.0369999999999999</v>
      </c>
      <c r="K474">
        <v>0.4667</v>
      </c>
      <c r="L474">
        <v>0.51315</v>
      </c>
      <c r="M474">
        <v>10.148</v>
      </c>
      <c r="N474">
        <v>2.4670000000000001</v>
      </c>
      <c r="O474">
        <v>0.63100000000000001</v>
      </c>
      <c r="P474">
        <v>8.9999999999999993E-3</v>
      </c>
      <c r="Q474">
        <v>1E-3</v>
      </c>
      <c r="R474">
        <v>12.057499999999999</v>
      </c>
      <c r="S474">
        <v>12.5221</v>
      </c>
      <c r="T474">
        <v>0</v>
      </c>
      <c r="U474">
        <v>0.77600000000000002</v>
      </c>
    </row>
    <row r="475" spans="1:21" x14ac:dyDescent="0.25">
      <c r="A475" t="s">
        <v>257</v>
      </c>
      <c r="B475" t="s">
        <v>101</v>
      </c>
      <c r="C475">
        <v>34</v>
      </c>
      <c r="D475" t="s">
        <v>19</v>
      </c>
      <c r="E475">
        <v>14.367957135441999</v>
      </c>
      <c r="G475">
        <v>2.4365999999999999</v>
      </c>
      <c r="H475">
        <v>7.3840000000000003</v>
      </c>
      <c r="K475">
        <v>1.05945</v>
      </c>
      <c r="L475">
        <v>1.3771500000000001</v>
      </c>
      <c r="M475">
        <v>3.698</v>
      </c>
      <c r="N475">
        <v>2.2370000000000001</v>
      </c>
      <c r="O475">
        <v>0.877</v>
      </c>
      <c r="P475">
        <v>6.0000000000000001E-3</v>
      </c>
      <c r="Q475">
        <v>0</v>
      </c>
      <c r="R475">
        <v>16.0731</v>
      </c>
      <c r="S475">
        <v>13.502599999999999</v>
      </c>
      <c r="T475">
        <v>0.3</v>
      </c>
      <c r="U475">
        <v>0.71399999999999997</v>
      </c>
    </row>
    <row r="476" spans="1:21" x14ac:dyDescent="0.25">
      <c r="A476" t="s">
        <v>413</v>
      </c>
      <c r="B476" t="s">
        <v>105</v>
      </c>
      <c r="C476">
        <v>27</v>
      </c>
      <c r="D476" t="s">
        <v>4</v>
      </c>
      <c r="E476">
        <v>14.434640786713</v>
      </c>
      <c r="G476">
        <v>2.4450500000000002</v>
      </c>
      <c r="H476">
        <v>10.368</v>
      </c>
      <c r="K476">
        <v>1.1719999999999999</v>
      </c>
      <c r="L476">
        <v>1.27305</v>
      </c>
      <c r="M476">
        <v>3.694</v>
      </c>
      <c r="N476">
        <v>1.5660000000000001</v>
      </c>
      <c r="O476">
        <v>0.71499999999999997</v>
      </c>
      <c r="P476">
        <v>6.3E-2</v>
      </c>
      <c r="Q476">
        <v>1.9E-2</v>
      </c>
      <c r="R476">
        <v>18.1343</v>
      </c>
      <c r="S476">
        <v>23.620699999999999</v>
      </c>
      <c r="T476" t="s">
        <v>1054</v>
      </c>
      <c r="U476">
        <v>0.50700000000000001</v>
      </c>
    </row>
    <row r="477" spans="1:21" x14ac:dyDescent="0.25">
      <c r="A477" t="s">
        <v>295</v>
      </c>
      <c r="B477" t="s">
        <v>103</v>
      </c>
      <c r="C477">
        <v>27</v>
      </c>
      <c r="D477" t="s">
        <v>19</v>
      </c>
      <c r="E477">
        <v>12</v>
      </c>
      <c r="G477">
        <v>1.4213499999999999</v>
      </c>
      <c r="H477">
        <v>5.3010000000000002</v>
      </c>
      <c r="K477">
        <v>0.64939999999999998</v>
      </c>
      <c r="L477">
        <v>0.77195000000000003</v>
      </c>
      <c r="M477">
        <v>17.288</v>
      </c>
      <c r="N477">
        <v>2.891</v>
      </c>
      <c r="O477">
        <v>1.2669999999999999</v>
      </c>
      <c r="P477">
        <v>0.72599999999999998</v>
      </c>
      <c r="Q477">
        <v>8.1000000000000003E-2</v>
      </c>
      <c r="R477">
        <v>2.0152000000000001</v>
      </c>
      <c r="S477">
        <v>3.2469999999999999</v>
      </c>
      <c r="T477">
        <v>0.45</v>
      </c>
      <c r="U477">
        <v>0.57299999999999995</v>
      </c>
    </row>
    <row r="478" spans="1:21" x14ac:dyDescent="0.25">
      <c r="A478" t="s">
        <v>1045</v>
      </c>
      <c r="B478" t="s">
        <v>105</v>
      </c>
      <c r="C478">
        <v>27</v>
      </c>
      <c r="D478" t="s">
        <v>32</v>
      </c>
      <c r="E478">
        <v>10.336565833454801</v>
      </c>
      <c r="G478">
        <v>1.2579499999999999</v>
      </c>
      <c r="H478">
        <v>4.9829999999999997</v>
      </c>
      <c r="K478">
        <v>0.50160000000000005</v>
      </c>
      <c r="L478">
        <v>0.75634999999999997</v>
      </c>
      <c r="M478">
        <v>5.6849999999999996</v>
      </c>
      <c r="N478">
        <v>2.254</v>
      </c>
      <c r="O478">
        <v>0.40600000000000003</v>
      </c>
      <c r="P478">
        <v>4.4999999999999998E-2</v>
      </c>
      <c r="Q478">
        <v>1.4E-2</v>
      </c>
      <c r="R478">
        <v>9.6579999999999995</v>
      </c>
      <c r="S478">
        <v>9.3991000000000007</v>
      </c>
      <c r="T478">
        <v>0.41</v>
      </c>
      <c r="U478">
        <v>0.83199999999999996</v>
      </c>
    </row>
    <row r="479" spans="1:21" x14ac:dyDescent="0.25">
      <c r="A479" t="s">
        <v>568</v>
      </c>
      <c r="B479" t="s">
        <v>102</v>
      </c>
      <c r="C479">
        <v>32</v>
      </c>
      <c r="D479" t="s">
        <v>6</v>
      </c>
      <c r="E479">
        <v>11.103186243262</v>
      </c>
      <c r="G479">
        <v>1.3552</v>
      </c>
      <c r="H479">
        <v>6.859</v>
      </c>
      <c r="K479">
        <v>0.51815</v>
      </c>
      <c r="L479">
        <v>0.83704999999999996</v>
      </c>
      <c r="M479">
        <v>4.8040000000000003</v>
      </c>
      <c r="N479">
        <v>2.399</v>
      </c>
      <c r="O479">
        <v>1.1140000000000001</v>
      </c>
      <c r="P479">
        <v>0.21199999999999999</v>
      </c>
      <c r="Q479">
        <v>1E-3</v>
      </c>
      <c r="R479">
        <v>0.72399999999999998</v>
      </c>
      <c r="S479">
        <v>1.8170999999999999</v>
      </c>
      <c r="T479">
        <v>0.54</v>
      </c>
      <c r="U479">
        <v>0.83299999999999996</v>
      </c>
    </row>
    <row r="480" spans="1:21" x14ac:dyDescent="0.25">
      <c r="A480" t="s">
        <v>377</v>
      </c>
      <c r="B480" t="s">
        <v>102</v>
      </c>
      <c r="C480">
        <v>33</v>
      </c>
      <c r="D480" t="s">
        <v>12</v>
      </c>
      <c r="E480">
        <v>13.4388892271188</v>
      </c>
      <c r="G480">
        <v>2.03735</v>
      </c>
      <c r="H480">
        <v>8.7449999999999992</v>
      </c>
      <c r="K480">
        <v>0.78244999999999998</v>
      </c>
      <c r="L480">
        <v>1.2548999999999999</v>
      </c>
      <c r="M480">
        <v>2.21</v>
      </c>
      <c r="N480">
        <v>2.452</v>
      </c>
      <c r="O480">
        <v>0.89100000000000001</v>
      </c>
      <c r="P480">
        <v>1.0999999999999999E-2</v>
      </c>
      <c r="Q480">
        <v>1E-3</v>
      </c>
      <c r="R480">
        <v>0.91459999999999997</v>
      </c>
      <c r="S480">
        <v>1.0533999999999999</v>
      </c>
      <c r="T480">
        <v>0</v>
      </c>
      <c r="U480">
        <v>0.63400000000000001</v>
      </c>
    </row>
    <row r="481" spans="1:21" x14ac:dyDescent="0.25">
      <c r="A481" t="s">
        <v>716</v>
      </c>
      <c r="B481" t="s">
        <v>104</v>
      </c>
      <c r="C481">
        <v>26</v>
      </c>
      <c r="D481" t="s">
        <v>21</v>
      </c>
      <c r="E481">
        <v>12.437613337119201</v>
      </c>
      <c r="G481">
        <v>1.0609500000000001</v>
      </c>
      <c r="H481">
        <v>6.14</v>
      </c>
      <c r="K481">
        <v>0.48544999999999999</v>
      </c>
      <c r="L481">
        <v>0.57550000000000001</v>
      </c>
      <c r="M481">
        <v>5.125</v>
      </c>
      <c r="N481">
        <v>1.7749999999999999</v>
      </c>
      <c r="O481">
        <v>0.49399999999999999</v>
      </c>
      <c r="P481">
        <v>7.0000000000000001E-3</v>
      </c>
      <c r="Q481">
        <v>0</v>
      </c>
      <c r="R481">
        <v>0.54510000000000003</v>
      </c>
      <c r="S481">
        <v>1.2994000000000001</v>
      </c>
      <c r="T481">
        <v>0.45</v>
      </c>
      <c r="U481">
        <v>1.712</v>
      </c>
    </row>
    <row r="482" spans="1:21" x14ac:dyDescent="0.25">
      <c r="A482" t="s">
        <v>697</v>
      </c>
      <c r="B482" t="s">
        <v>74</v>
      </c>
      <c r="C482">
        <v>30</v>
      </c>
      <c r="D482" t="s">
        <v>8</v>
      </c>
      <c r="E482">
        <v>12.3692389599462</v>
      </c>
      <c r="G482">
        <v>1.62765</v>
      </c>
      <c r="H482">
        <v>5.75</v>
      </c>
      <c r="K482">
        <v>0.43080000000000002</v>
      </c>
      <c r="L482">
        <v>1.19685</v>
      </c>
      <c r="M482">
        <v>5.9939999999999998</v>
      </c>
      <c r="N482">
        <v>2.5819999999999999</v>
      </c>
      <c r="O482">
        <v>0.57299999999999995</v>
      </c>
      <c r="P482">
        <v>3.3000000000000002E-2</v>
      </c>
      <c r="Q482">
        <v>7.3999999999999996E-2</v>
      </c>
      <c r="R482">
        <v>21.6388</v>
      </c>
      <c r="S482">
        <v>18.826599999999999</v>
      </c>
      <c r="T482">
        <v>0.53</v>
      </c>
      <c r="U482">
        <v>0.94899999999999995</v>
      </c>
    </row>
    <row r="483" spans="1:21" x14ac:dyDescent="0.25">
      <c r="A483" t="s">
        <v>396</v>
      </c>
      <c r="B483" t="s">
        <v>104</v>
      </c>
      <c r="C483">
        <v>30</v>
      </c>
      <c r="D483" t="s">
        <v>34</v>
      </c>
      <c r="E483">
        <v>14</v>
      </c>
      <c r="G483">
        <v>1.79335</v>
      </c>
      <c r="H483">
        <v>6.1980000000000004</v>
      </c>
      <c r="K483">
        <v>0.63895000000000002</v>
      </c>
      <c r="L483">
        <v>1.1544000000000001</v>
      </c>
      <c r="M483">
        <v>0.751</v>
      </c>
      <c r="N483">
        <v>1.508</v>
      </c>
      <c r="O483">
        <v>0.42199999999999999</v>
      </c>
      <c r="P483">
        <v>7.0000000000000001E-3</v>
      </c>
      <c r="Q483">
        <v>0</v>
      </c>
      <c r="R483">
        <v>2.9207000000000001</v>
      </c>
      <c r="S483">
        <v>3.1659999999999999</v>
      </c>
      <c r="T483">
        <v>0</v>
      </c>
      <c r="U483">
        <v>0.64100000000000001</v>
      </c>
    </row>
    <row r="484" spans="1:21" x14ac:dyDescent="0.25">
      <c r="A484" t="s">
        <v>1094</v>
      </c>
      <c r="B484" t="s">
        <v>74</v>
      </c>
      <c r="C484">
        <v>23</v>
      </c>
      <c r="D484" t="s">
        <v>33</v>
      </c>
      <c r="E484">
        <v>12.3100937686267</v>
      </c>
      <c r="G484">
        <v>1.2967</v>
      </c>
      <c r="H484">
        <v>6.798</v>
      </c>
      <c r="K484">
        <v>0.57674999999999998</v>
      </c>
      <c r="L484">
        <v>0.71994999999999998</v>
      </c>
      <c r="M484">
        <v>2.633</v>
      </c>
      <c r="N484">
        <v>2.8809999999999998</v>
      </c>
      <c r="O484">
        <v>1.272</v>
      </c>
      <c r="P484">
        <v>4.2000000000000003E-2</v>
      </c>
      <c r="Q484">
        <v>1.2E-2</v>
      </c>
      <c r="R484">
        <v>7.5773999999999999</v>
      </c>
      <c r="S484">
        <v>7.1787999999999998</v>
      </c>
      <c r="T484">
        <v>0.5</v>
      </c>
      <c r="U484">
        <v>0.69899999999999995</v>
      </c>
    </row>
    <row r="485" spans="1:21" x14ac:dyDescent="0.25">
      <c r="A485" t="s">
        <v>339</v>
      </c>
      <c r="B485" t="s">
        <v>101</v>
      </c>
      <c r="C485">
        <v>23</v>
      </c>
      <c r="D485" t="s">
        <v>15</v>
      </c>
      <c r="E485">
        <v>16.589856118317702</v>
      </c>
      <c r="G485">
        <v>2.22865</v>
      </c>
      <c r="H485">
        <v>7.03</v>
      </c>
      <c r="K485">
        <v>0.89090000000000003</v>
      </c>
      <c r="L485">
        <v>1.33775</v>
      </c>
      <c r="M485">
        <v>4.319</v>
      </c>
      <c r="N485">
        <v>2.2200000000000002</v>
      </c>
      <c r="O485">
        <v>0.77</v>
      </c>
      <c r="P485">
        <v>1.7999999999999999E-2</v>
      </c>
      <c r="Q485">
        <v>0</v>
      </c>
      <c r="R485">
        <v>9.7638999999999996</v>
      </c>
      <c r="S485">
        <v>12.4595</v>
      </c>
      <c r="T485">
        <v>0.5</v>
      </c>
      <c r="U485">
        <v>0.82199999999999995</v>
      </c>
    </row>
    <row r="486" spans="1:21" x14ac:dyDescent="0.25">
      <c r="A486" t="s">
        <v>250</v>
      </c>
      <c r="B486" t="s">
        <v>104</v>
      </c>
      <c r="C486">
        <v>28</v>
      </c>
      <c r="D486" t="s">
        <v>27</v>
      </c>
      <c r="E486">
        <v>15.3527907366454</v>
      </c>
      <c r="G486">
        <v>2.17605</v>
      </c>
      <c r="H486">
        <v>10.792</v>
      </c>
      <c r="K486">
        <v>1.0504500000000001</v>
      </c>
      <c r="L486">
        <v>1.1255999999999999</v>
      </c>
      <c r="M486">
        <v>6.016</v>
      </c>
      <c r="N486">
        <v>2.4569999999999999</v>
      </c>
      <c r="O486">
        <v>0.98299999999999998</v>
      </c>
      <c r="P486">
        <v>4.5999999999999999E-2</v>
      </c>
      <c r="Q486">
        <v>1.7999999999999999E-2</v>
      </c>
      <c r="R486">
        <v>1.5204</v>
      </c>
      <c r="S486">
        <v>1.7552000000000001</v>
      </c>
      <c r="T486">
        <v>0.33</v>
      </c>
      <c r="U486">
        <v>0.79500000000000004</v>
      </c>
    </row>
    <row r="487" spans="1:21" x14ac:dyDescent="0.25">
      <c r="A487" t="s">
        <v>982</v>
      </c>
      <c r="B487" t="s">
        <v>105</v>
      </c>
      <c r="C487">
        <v>38</v>
      </c>
      <c r="D487" t="s">
        <v>29</v>
      </c>
      <c r="E487">
        <v>13.7309697727793</v>
      </c>
      <c r="G487">
        <v>1.40415</v>
      </c>
      <c r="H487">
        <v>5.1879999999999997</v>
      </c>
      <c r="K487">
        <v>0.59419999999999995</v>
      </c>
      <c r="L487">
        <v>0.80994999999999995</v>
      </c>
      <c r="M487">
        <v>6.1390000000000002</v>
      </c>
      <c r="N487">
        <v>3.7069999999999999</v>
      </c>
      <c r="O487">
        <v>0.97299999999999998</v>
      </c>
      <c r="P487">
        <v>0.10299999999999999</v>
      </c>
      <c r="Q487">
        <v>3.2000000000000001E-2</v>
      </c>
      <c r="R487">
        <v>1.2419</v>
      </c>
      <c r="S487">
        <v>2.0470000000000002</v>
      </c>
      <c r="T487">
        <v>0.48</v>
      </c>
      <c r="U487">
        <v>0.98499999999999999</v>
      </c>
    </row>
    <row r="488" spans="1:21" x14ac:dyDescent="0.25">
      <c r="A488" t="s">
        <v>597</v>
      </c>
      <c r="B488" t="s">
        <v>103</v>
      </c>
      <c r="C488">
        <v>30</v>
      </c>
      <c r="D488" t="s">
        <v>29</v>
      </c>
      <c r="E488">
        <v>14.104804876916701</v>
      </c>
      <c r="G488">
        <v>1.7253000000000001</v>
      </c>
      <c r="H488">
        <v>6.9379999999999997</v>
      </c>
      <c r="K488">
        <v>0.84655000000000002</v>
      </c>
      <c r="L488">
        <v>0.87875000000000003</v>
      </c>
      <c r="M488">
        <v>10.494999999999999</v>
      </c>
      <c r="N488">
        <v>2.984</v>
      </c>
      <c r="O488">
        <v>1.726</v>
      </c>
      <c r="P488">
        <v>0.40100000000000002</v>
      </c>
      <c r="Q488">
        <v>0.185</v>
      </c>
      <c r="R488">
        <v>0.65559999999999996</v>
      </c>
      <c r="S488">
        <v>1.177</v>
      </c>
      <c r="T488">
        <v>0</v>
      </c>
      <c r="U488">
        <v>0.47499999999999998</v>
      </c>
    </row>
    <row r="489" spans="1:21" x14ac:dyDescent="0.25">
      <c r="A489" t="s">
        <v>307</v>
      </c>
      <c r="B489" t="s">
        <v>74</v>
      </c>
      <c r="C489">
        <v>31</v>
      </c>
      <c r="D489" t="s">
        <v>1160</v>
      </c>
      <c r="E489">
        <v>15.769753854119401</v>
      </c>
      <c r="G489">
        <v>1.9192499999999999</v>
      </c>
      <c r="H489">
        <v>6.4569999999999999</v>
      </c>
      <c r="K489">
        <v>0.79020000000000001</v>
      </c>
      <c r="L489">
        <v>1.1290500000000001</v>
      </c>
      <c r="M489">
        <v>3.4729999999999999</v>
      </c>
      <c r="N489">
        <v>2.8679999999999999</v>
      </c>
      <c r="O489">
        <v>0.56899999999999995</v>
      </c>
      <c r="P489">
        <v>6.0000000000000001E-3</v>
      </c>
      <c r="Q489">
        <v>0</v>
      </c>
      <c r="R489">
        <v>29.493300000000001</v>
      </c>
      <c r="S489">
        <v>23.377800000000001</v>
      </c>
      <c r="T489">
        <v>0.53</v>
      </c>
      <c r="U489">
        <v>1.018</v>
      </c>
    </row>
    <row r="490" spans="1:21" x14ac:dyDescent="0.25">
      <c r="A490" t="s">
        <v>766</v>
      </c>
      <c r="B490" t="s">
        <v>74</v>
      </c>
      <c r="C490">
        <v>32</v>
      </c>
      <c r="D490" t="s">
        <v>27</v>
      </c>
      <c r="E490">
        <v>10.433658194821801</v>
      </c>
      <c r="G490">
        <v>1.1537500000000001</v>
      </c>
      <c r="H490">
        <v>5.1230000000000002</v>
      </c>
      <c r="K490">
        <v>0.36009999999999998</v>
      </c>
      <c r="L490">
        <v>0.79364999999999997</v>
      </c>
      <c r="M490">
        <v>5.008</v>
      </c>
      <c r="N490">
        <v>2.254</v>
      </c>
      <c r="O490">
        <v>0.88200000000000001</v>
      </c>
      <c r="P490">
        <v>8.3000000000000004E-2</v>
      </c>
      <c r="Q490">
        <v>3.7999999999999999E-2</v>
      </c>
      <c r="R490">
        <v>19.482700000000001</v>
      </c>
      <c r="S490">
        <v>16.1022</v>
      </c>
      <c r="T490">
        <v>0</v>
      </c>
      <c r="U490">
        <v>0.42099999999999999</v>
      </c>
    </row>
    <row r="491" spans="1:21" x14ac:dyDescent="0.25">
      <c r="A491" t="s">
        <v>589</v>
      </c>
      <c r="B491" t="s">
        <v>104</v>
      </c>
      <c r="C491">
        <v>34</v>
      </c>
      <c r="D491" t="s">
        <v>1161</v>
      </c>
      <c r="E491">
        <v>11.8199007102882</v>
      </c>
      <c r="G491">
        <v>1.8656999999999999</v>
      </c>
      <c r="H491">
        <v>5.7</v>
      </c>
      <c r="K491">
        <v>0.77675000000000005</v>
      </c>
      <c r="L491">
        <v>1.0889500000000001</v>
      </c>
      <c r="M491">
        <v>2.9390000000000001</v>
      </c>
      <c r="N491">
        <v>1.7270000000000001</v>
      </c>
      <c r="O491">
        <v>0.68500000000000005</v>
      </c>
      <c r="P491">
        <v>7.0000000000000001E-3</v>
      </c>
      <c r="Q491">
        <v>0</v>
      </c>
      <c r="R491">
        <v>0.5706</v>
      </c>
      <c r="S491">
        <v>1.1565000000000001</v>
      </c>
      <c r="T491">
        <v>0.38</v>
      </c>
      <c r="U491">
        <v>0.46899999999999997</v>
      </c>
    </row>
    <row r="492" spans="1:21" x14ac:dyDescent="0.25">
      <c r="A492" t="s">
        <v>996</v>
      </c>
      <c r="B492" t="s">
        <v>74</v>
      </c>
      <c r="C492">
        <v>27</v>
      </c>
      <c r="D492" t="s">
        <v>7</v>
      </c>
      <c r="E492">
        <v>11.946224692862399</v>
      </c>
      <c r="G492">
        <v>1.99905</v>
      </c>
      <c r="H492">
        <v>5.7060000000000004</v>
      </c>
      <c r="K492">
        <v>0.67620000000000002</v>
      </c>
      <c r="L492">
        <v>1.3228500000000001</v>
      </c>
      <c r="M492">
        <v>0.42199999999999999</v>
      </c>
      <c r="N492">
        <v>2.137</v>
      </c>
      <c r="O492">
        <v>0.23899999999999999</v>
      </c>
      <c r="P492">
        <v>8.9999999999999993E-3</v>
      </c>
      <c r="Q492">
        <v>1E-3</v>
      </c>
      <c r="R492">
        <v>12.960699999999999</v>
      </c>
      <c r="S492">
        <v>18.4148</v>
      </c>
      <c r="T492">
        <v>0.38</v>
      </c>
      <c r="U492">
        <v>2.3239999999999998</v>
      </c>
    </row>
    <row r="493" spans="1:21" x14ac:dyDescent="0.25">
      <c r="A493" t="s">
        <v>701</v>
      </c>
      <c r="B493" t="s">
        <v>105</v>
      </c>
      <c r="C493">
        <v>31</v>
      </c>
      <c r="D493" t="s">
        <v>13</v>
      </c>
      <c r="E493">
        <v>10.2718055439782</v>
      </c>
      <c r="G493">
        <v>1.9819500000000001</v>
      </c>
      <c r="H493">
        <v>4.0359999999999996</v>
      </c>
      <c r="K493">
        <v>0.70125000000000004</v>
      </c>
      <c r="L493">
        <v>1.2806999999999999</v>
      </c>
      <c r="M493">
        <v>2.698</v>
      </c>
      <c r="N493">
        <v>3.52</v>
      </c>
      <c r="O493">
        <v>0.57999999999999996</v>
      </c>
      <c r="P493">
        <v>8.0000000000000002E-3</v>
      </c>
      <c r="Q493">
        <v>0</v>
      </c>
      <c r="R493">
        <v>11.5427</v>
      </c>
      <c r="S493">
        <v>12.178599999999999</v>
      </c>
      <c r="T493">
        <v>0</v>
      </c>
      <c r="U493">
        <v>0.88200000000000001</v>
      </c>
    </row>
    <row r="494" spans="1:21" x14ac:dyDescent="0.25">
      <c r="A494" t="s">
        <v>372</v>
      </c>
      <c r="B494" t="s">
        <v>105</v>
      </c>
      <c r="C494">
        <v>27</v>
      </c>
      <c r="D494" t="s">
        <v>32</v>
      </c>
      <c r="E494">
        <v>15.151475972909401</v>
      </c>
      <c r="G494">
        <v>2.39045</v>
      </c>
      <c r="H494">
        <v>9.2230000000000008</v>
      </c>
      <c r="K494">
        <v>1.07195</v>
      </c>
      <c r="L494">
        <v>1.3185</v>
      </c>
      <c r="M494">
        <v>3.3580000000000001</v>
      </c>
      <c r="N494">
        <v>1.7989999999999999</v>
      </c>
      <c r="O494">
        <v>1.022</v>
      </c>
      <c r="P494">
        <v>6.5000000000000002E-2</v>
      </c>
      <c r="Q494">
        <v>0.109</v>
      </c>
      <c r="R494">
        <v>1.7021999999999999</v>
      </c>
      <c r="S494">
        <v>2.3748999999999998</v>
      </c>
      <c r="T494">
        <v>0.41</v>
      </c>
      <c r="U494">
        <v>1.3819999999999999</v>
      </c>
    </row>
    <row r="495" spans="1:21" x14ac:dyDescent="0.25">
      <c r="A495" t="s">
        <v>641</v>
      </c>
      <c r="B495" t="s">
        <v>101</v>
      </c>
      <c r="C495">
        <v>26</v>
      </c>
      <c r="D495" t="s">
        <v>12</v>
      </c>
      <c r="E495">
        <v>12.4293738326451</v>
      </c>
      <c r="G495">
        <v>1.8974</v>
      </c>
      <c r="H495">
        <v>7.1970000000000001</v>
      </c>
      <c r="K495">
        <v>0.89959999999999996</v>
      </c>
      <c r="L495">
        <v>0.99780000000000002</v>
      </c>
      <c r="M495">
        <v>9.5739999999999998</v>
      </c>
      <c r="N495">
        <v>2.4849999999999999</v>
      </c>
      <c r="O495">
        <v>0.96899999999999997</v>
      </c>
      <c r="P495">
        <v>0.45600000000000002</v>
      </c>
      <c r="Q495">
        <v>0</v>
      </c>
      <c r="R495">
        <v>5.8827999999999996</v>
      </c>
      <c r="S495">
        <v>7.4249999999999998</v>
      </c>
      <c r="T495">
        <v>0.44</v>
      </c>
      <c r="U495">
        <v>0.495</v>
      </c>
    </row>
    <row r="496" spans="1:21" x14ac:dyDescent="0.25">
      <c r="A496" t="s">
        <v>732</v>
      </c>
      <c r="B496" t="s">
        <v>105</v>
      </c>
      <c r="C496">
        <v>38</v>
      </c>
      <c r="D496" t="s">
        <v>26</v>
      </c>
      <c r="E496">
        <v>9.97436552760262</v>
      </c>
      <c r="G496">
        <v>1.1057999999999999</v>
      </c>
      <c r="H496">
        <v>8.2629999999999999</v>
      </c>
      <c r="K496">
        <v>0.51480000000000004</v>
      </c>
      <c r="L496">
        <v>0.59099999999999997</v>
      </c>
      <c r="M496">
        <v>6.944</v>
      </c>
      <c r="N496">
        <v>2.8319999999999999</v>
      </c>
      <c r="O496">
        <v>0.56200000000000006</v>
      </c>
      <c r="P496">
        <v>7.0000000000000001E-3</v>
      </c>
      <c r="Q496">
        <v>0</v>
      </c>
      <c r="R496">
        <v>6.8068</v>
      </c>
      <c r="S496">
        <v>8.2795000000000005</v>
      </c>
      <c r="T496">
        <v>0.49</v>
      </c>
      <c r="U496">
        <v>0.78400000000000003</v>
      </c>
    </row>
    <row r="497" spans="1:21" x14ac:dyDescent="0.25">
      <c r="A497" t="s">
        <v>547</v>
      </c>
      <c r="B497" t="s">
        <v>104</v>
      </c>
      <c r="C497">
        <v>29</v>
      </c>
      <c r="D497" t="s">
        <v>26</v>
      </c>
      <c r="E497">
        <v>14.230362742743001</v>
      </c>
      <c r="G497">
        <v>2.0263499999999999</v>
      </c>
      <c r="H497">
        <v>9.5830000000000002</v>
      </c>
      <c r="K497">
        <v>0.91369999999999996</v>
      </c>
      <c r="L497">
        <v>1.1126499999999999</v>
      </c>
      <c r="M497">
        <v>4.1239999999999997</v>
      </c>
      <c r="N497">
        <v>2.1080000000000001</v>
      </c>
      <c r="O497">
        <v>0.48499999999999999</v>
      </c>
      <c r="P497">
        <v>6.0000000000000001E-3</v>
      </c>
      <c r="Q497">
        <v>0</v>
      </c>
      <c r="R497">
        <v>0.87019999999999997</v>
      </c>
      <c r="S497">
        <v>1.8859999999999999</v>
      </c>
      <c r="T497">
        <v>0.35</v>
      </c>
      <c r="U497">
        <v>1.3680000000000001</v>
      </c>
    </row>
    <row r="498" spans="1:21" x14ac:dyDescent="0.25">
      <c r="A498" t="s">
        <v>442</v>
      </c>
      <c r="B498" t="s">
        <v>101</v>
      </c>
      <c r="C498">
        <v>23</v>
      </c>
      <c r="D498" t="s">
        <v>5</v>
      </c>
      <c r="E498">
        <v>14.7134340099299</v>
      </c>
      <c r="G498">
        <v>2.04535</v>
      </c>
      <c r="H498">
        <v>7.3979999999999997</v>
      </c>
      <c r="K498">
        <v>0.72965000000000002</v>
      </c>
      <c r="L498">
        <v>1.3157000000000001</v>
      </c>
      <c r="M498">
        <v>1.881</v>
      </c>
      <c r="N498">
        <v>1.833</v>
      </c>
      <c r="O498">
        <v>0.94199999999999995</v>
      </c>
      <c r="P498">
        <v>7.0000000000000001E-3</v>
      </c>
      <c r="Q498">
        <v>0.10199999999999999</v>
      </c>
      <c r="R498">
        <v>7.6433999999999997</v>
      </c>
      <c r="S498">
        <v>11.4809</v>
      </c>
      <c r="T498">
        <v>0.44</v>
      </c>
      <c r="U498">
        <v>1.8859999999999999</v>
      </c>
    </row>
    <row r="499" spans="1:21" x14ac:dyDescent="0.25">
      <c r="A499" t="s">
        <v>598</v>
      </c>
      <c r="B499" t="s">
        <v>103</v>
      </c>
      <c r="C499">
        <v>27</v>
      </c>
      <c r="D499" t="s">
        <v>5</v>
      </c>
      <c r="E499">
        <v>15.7944403645814</v>
      </c>
      <c r="G499">
        <v>2.1536</v>
      </c>
      <c r="H499">
        <v>7.32</v>
      </c>
      <c r="K499">
        <v>0.90915000000000001</v>
      </c>
      <c r="L499">
        <v>1.2444500000000001</v>
      </c>
      <c r="M499">
        <v>0.61699999999999999</v>
      </c>
      <c r="N499">
        <v>1.4850000000000001</v>
      </c>
      <c r="O499">
        <v>0.50900000000000001</v>
      </c>
      <c r="P499">
        <v>6.0000000000000001E-3</v>
      </c>
      <c r="Q499">
        <v>0</v>
      </c>
      <c r="R499">
        <v>0.4133</v>
      </c>
      <c r="S499">
        <v>0.60099999999999998</v>
      </c>
      <c r="T499">
        <v>0.46</v>
      </c>
      <c r="U499">
        <v>2.0590000000000002</v>
      </c>
    </row>
    <row r="500" spans="1:21" x14ac:dyDescent="0.25">
      <c r="A500" t="s">
        <v>673</v>
      </c>
      <c r="B500" t="s">
        <v>105</v>
      </c>
      <c r="C500">
        <v>24</v>
      </c>
      <c r="D500" t="s">
        <v>17</v>
      </c>
      <c r="E500">
        <v>10.980831805075301</v>
      </c>
      <c r="G500">
        <v>1.2981499999999999</v>
      </c>
      <c r="H500">
        <v>5.9749999999999996</v>
      </c>
      <c r="K500">
        <v>0.45874999999999999</v>
      </c>
      <c r="L500">
        <v>0.83940000000000003</v>
      </c>
      <c r="M500">
        <v>7.1669999999999998</v>
      </c>
      <c r="N500">
        <v>2.0009999999999999</v>
      </c>
      <c r="O500">
        <v>1.08</v>
      </c>
      <c r="P500">
        <v>0.13300000000000001</v>
      </c>
      <c r="Q500">
        <v>3.0000000000000001E-3</v>
      </c>
      <c r="R500">
        <v>7.6715</v>
      </c>
      <c r="S500">
        <v>9.6632999999999996</v>
      </c>
      <c r="T500">
        <v>0.41</v>
      </c>
      <c r="U500">
        <v>1.028</v>
      </c>
    </row>
    <row r="501" spans="1:21" x14ac:dyDescent="0.25">
      <c r="A501" t="s">
        <v>1162</v>
      </c>
      <c r="B501" t="s">
        <v>102</v>
      </c>
      <c r="C501">
        <v>23</v>
      </c>
      <c r="D501" t="s">
        <v>87</v>
      </c>
      <c r="E501">
        <v>11.618526864519399</v>
      </c>
      <c r="G501">
        <v>1.43835</v>
      </c>
      <c r="H501">
        <v>7.2009999999999996</v>
      </c>
      <c r="K501">
        <v>0.75275000000000003</v>
      </c>
      <c r="L501">
        <v>0.68559999999999999</v>
      </c>
      <c r="M501">
        <v>12.138</v>
      </c>
      <c r="N501">
        <v>1.8540000000000001</v>
      </c>
      <c r="O501">
        <v>0.69699999999999995</v>
      </c>
      <c r="P501">
        <v>7.8E-2</v>
      </c>
      <c r="Q501">
        <v>0.06</v>
      </c>
      <c r="R501">
        <v>3.5215000000000001</v>
      </c>
      <c r="S501">
        <v>3.6991999999999998</v>
      </c>
      <c r="T501">
        <v>0.45</v>
      </c>
      <c r="U501">
        <v>0.59099999999999997</v>
      </c>
    </row>
    <row r="502" spans="1:21" x14ac:dyDescent="0.25">
      <c r="A502" t="s">
        <v>310</v>
      </c>
      <c r="B502" t="s">
        <v>104</v>
      </c>
      <c r="C502">
        <v>29</v>
      </c>
      <c r="D502" t="s">
        <v>30</v>
      </c>
      <c r="E502">
        <v>14.3768343871236</v>
      </c>
      <c r="G502">
        <v>1.9774</v>
      </c>
      <c r="H502">
        <v>7.2279999999999998</v>
      </c>
      <c r="K502">
        <v>0.78439999999999999</v>
      </c>
      <c r="L502">
        <v>1.1930000000000001</v>
      </c>
      <c r="M502">
        <v>4.3899999999999997</v>
      </c>
      <c r="N502">
        <v>2.2690000000000001</v>
      </c>
      <c r="O502">
        <v>0.83299999999999996</v>
      </c>
      <c r="P502">
        <v>5.7000000000000002E-2</v>
      </c>
      <c r="Q502">
        <v>7.4999999999999997E-2</v>
      </c>
      <c r="R502">
        <v>0.42230000000000001</v>
      </c>
      <c r="S502">
        <v>0.64939999999999998</v>
      </c>
      <c r="T502">
        <v>0.53</v>
      </c>
      <c r="U502">
        <v>1.173</v>
      </c>
    </row>
    <row r="503" spans="1:21" x14ac:dyDescent="0.25">
      <c r="A503" t="s">
        <v>704</v>
      </c>
      <c r="B503" t="s">
        <v>104</v>
      </c>
      <c r="C503">
        <v>34</v>
      </c>
      <c r="D503" t="s">
        <v>21</v>
      </c>
      <c r="E503">
        <v>12.753810619480999</v>
      </c>
      <c r="G503">
        <v>1.2661</v>
      </c>
      <c r="H503">
        <v>5.4870000000000001</v>
      </c>
      <c r="K503">
        <v>0.62370000000000003</v>
      </c>
      <c r="L503">
        <v>0.64239999999999997</v>
      </c>
      <c r="M503">
        <v>3.4889999999999999</v>
      </c>
      <c r="N503">
        <v>2.0670000000000002</v>
      </c>
      <c r="O503">
        <v>0.83099999999999996</v>
      </c>
      <c r="P503">
        <v>8.9999999999999993E-3</v>
      </c>
      <c r="Q503">
        <v>1E-3</v>
      </c>
      <c r="R503">
        <v>8.2445000000000004</v>
      </c>
      <c r="S503">
        <v>9.9393999999999991</v>
      </c>
      <c r="T503">
        <v>0.49</v>
      </c>
      <c r="U503">
        <v>0.98099999999999998</v>
      </c>
    </row>
    <row r="504" spans="1:21" x14ac:dyDescent="0.25">
      <c r="A504" t="s">
        <v>556</v>
      </c>
      <c r="B504" t="s">
        <v>104</v>
      </c>
      <c r="C504">
        <v>29</v>
      </c>
      <c r="D504" t="s">
        <v>19</v>
      </c>
      <c r="E504">
        <v>10.367571618796299</v>
      </c>
      <c r="G504">
        <v>1.1021000000000001</v>
      </c>
      <c r="H504">
        <v>6.851</v>
      </c>
      <c r="K504">
        <v>0.50729999999999997</v>
      </c>
      <c r="L504">
        <v>0.5948</v>
      </c>
      <c r="M504">
        <v>7.891</v>
      </c>
      <c r="N504">
        <v>3.2709999999999999</v>
      </c>
      <c r="O504">
        <v>0.53300000000000003</v>
      </c>
      <c r="P504">
        <v>8.0000000000000002E-3</v>
      </c>
      <c r="Q504">
        <v>2.7E-2</v>
      </c>
      <c r="R504">
        <v>5.2550999999999997</v>
      </c>
      <c r="S504">
        <v>5.3152999999999997</v>
      </c>
      <c r="T504">
        <v>0.53</v>
      </c>
      <c r="U504">
        <v>0.76500000000000001</v>
      </c>
    </row>
    <row r="505" spans="1:21" x14ac:dyDescent="0.25">
      <c r="A505" t="s">
        <v>759</v>
      </c>
      <c r="B505" t="s">
        <v>103</v>
      </c>
      <c r="C505">
        <v>33</v>
      </c>
      <c r="D505" t="s">
        <v>10</v>
      </c>
      <c r="E505">
        <v>9.9985225527532293</v>
      </c>
      <c r="G505">
        <v>1.0306999999999999</v>
      </c>
      <c r="H505">
        <v>5.1820000000000004</v>
      </c>
      <c r="K505">
        <v>0.37924999999999998</v>
      </c>
      <c r="L505">
        <v>0.65144999999999997</v>
      </c>
      <c r="M505">
        <v>11.206</v>
      </c>
      <c r="N505">
        <v>2.907</v>
      </c>
      <c r="O505">
        <v>0.51200000000000001</v>
      </c>
      <c r="P505">
        <v>1.0999999999999999E-2</v>
      </c>
      <c r="Q505">
        <v>1E-3</v>
      </c>
      <c r="R505">
        <v>0.93169999999999997</v>
      </c>
      <c r="S505">
        <v>2.2793000000000001</v>
      </c>
      <c r="T505">
        <v>0</v>
      </c>
      <c r="U505">
        <v>0.42499999999999999</v>
      </c>
    </row>
    <row r="506" spans="1:21" x14ac:dyDescent="0.25">
      <c r="A506" t="s">
        <v>352</v>
      </c>
      <c r="B506" t="s">
        <v>105</v>
      </c>
      <c r="C506">
        <v>33</v>
      </c>
      <c r="D506" t="s">
        <v>17</v>
      </c>
      <c r="E506">
        <v>13.6925422318687</v>
      </c>
      <c r="G506">
        <v>2.2360500000000001</v>
      </c>
      <c r="H506">
        <v>8.2789999999999999</v>
      </c>
      <c r="K506">
        <v>1.0602</v>
      </c>
      <c r="L506">
        <v>1.1758500000000001</v>
      </c>
      <c r="M506">
        <v>3.64</v>
      </c>
      <c r="N506">
        <v>1.363</v>
      </c>
      <c r="O506">
        <v>0.621</v>
      </c>
      <c r="P506">
        <v>6.0000000000000001E-3</v>
      </c>
      <c r="Q506">
        <v>0</v>
      </c>
      <c r="R506">
        <v>18.6736</v>
      </c>
      <c r="S506">
        <v>14.2631</v>
      </c>
      <c r="T506">
        <v>0</v>
      </c>
      <c r="U506">
        <v>0.71799999999999997</v>
      </c>
    </row>
    <row r="507" spans="1:21" x14ac:dyDescent="0.25">
      <c r="A507" t="s">
        <v>382</v>
      </c>
      <c r="B507" t="s">
        <v>104</v>
      </c>
      <c r="C507">
        <v>32</v>
      </c>
      <c r="D507" t="s">
        <v>1163</v>
      </c>
      <c r="E507">
        <v>13.5106542743505</v>
      </c>
      <c r="G507">
        <v>2.2254499999999999</v>
      </c>
      <c r="H507">
        <v>9.4849999999999994</v>
      </c>
      <c r="K507">
        <v>1.0697000000000001</v>
      </c>
      <c r="L507">
        <v>1.1557500000000001</v>
      </c>
      <c r="M507">
        <v>3.2970000000000002</v>
      </c>
      <c r="N507">
        <v>1.008</v>
      </c>
      <c r="O507">
        <v>0.39200000000000002</v>
      </c>
      <c r="P507">
        <v>6.0000000000000001E-3</v>
      </c>
      <c r="Q507">
        <v>0</v>
      </c>
      <c r="R507">
        <v>1.2793000000000001</v>
      </c>
      <c r="S507">
        <v>1.8333999999999999</v>
      </c>
      <c r="T507">
        <v>0.48</v>
      </c>
      <c r="U507">
        <v>1.1060000000000001</v>
      </c>
    </row>
    <row r="508" spans="1:21" x14ac:dyDescent="0.25">
      <c r="A508" t="s">
        <v>1070</v>
      </c>
      <c r="B508" t="s">
        <v>74</v>
      </c>
      <c r="C508">
        <v>23</v>
      </c>
      <c r="D508" t="s">
        <v>32</v>
      </c>
      <c r="E508">
        <v>14.527124111984801</v>
      </c>
      <c r="G508">
        <v>1.4902</v>
      </c>
      <c r="H508">
        <v>6.6210000000000004</v>
      </c>
      <c r="K508">
        <v>0.71860000000000002</v>
      </c>
      <c r="L508">
        <v>0.77159999999999995</v>
      </c>
      <c r="M508">
        <v>4.3780000000000001</v>
      </c>
      <c r="N508">
        <v>2.5299999999999998</v>
      </c>
      <c r="O508">
        <v>0.84899999999999998</v>
      </c>
      <c r="P508">
        <v>2.1000000000000001E-2</v>
      </c>
      <c r="Q508">
        <v>5.0000000000000001E-3</v>
      </c>
      <c r="R508">
        <v>0.91910000000000003</v>
      </c>
      <c r="S508">
        <v>0.91849999999999998</v>
      </c>
      <c r="T508">
        <v>0.51</v>
      </c>
      <c r="U508">
        <v>0.59499999999999997</v>
      </c>
    </row>
    <row r="509" spans="1:21" x14ac:dyDescent="0.25">
      <c r="A509" t="s">
        <v>748</v>
      </c>
      <c r="B509" t="s">
        <v>101</v>
      </c>
      <c r="C509">
        <v>26</v>
      </c>
      <c r="D509" t="s">
        <v>4</v>
      </c>
      <c r="E509">
        <v>10.242514134042301</v>
      </c>
      <c r="G509">
        <v>1.19495</v>
      </c>
      <c r="H509">
        <v>6.52</v>
      </c>
      <c r="K509">
        <v>0.50675000000000003</v>
      </c>
      <c r="L509">
        <v>0.68820000000000003</v>
      </c>
      <c r="M509">
        <v>4.8959999999999999</v>
      </c>
      <c r="N509">
        <v>2.58</v>
      </c>
      <c r="O509">
        <v>0.72699999999999998</v>
      </c>
      <c r="P509">
        <v>6.7000000000000004E-2</v>
      </c>
      <c r="Q509">
        <v>0</v>
      </c>
      <c r="R509">
        <v>11.2508</v>
      </c>
      <c r="S509">
        <v>15.038399999999999</v>
      </c>
      <c r="T509">
        <v>0.5</v>
      </c>
      <c r="U509">
        <v>1.121</v>
      </c>
    </row>
    <row r="510" spans="1:21" x14ac:dyDescent="0.25">
      <c r="A510" t="s">
        <v>501</v>
      </c>
      <c r="B510" t="s">
        <v>104</v>
      </c>
      <c r="C510">
        <v>29</v>
      </c>
      <c r="D510" t="s">
        <v>11</v>
      </c>
      <c r="E510">
        <v>15.4059350353991</v>
      </c>
      <c r="G510">
        <v>2.0724499999999999</v>
      </c>
      <c r="H510">
        <v>7.8259999999999996</v>
      </c>
      <c r="K510">
        <v>0.77715000000000001</v>
      </c>
      <c r="L510">
        <v>1.2952999999999999</v>
      </c>
      <c r="M510">
        <v>4.274</v>
      </c>
      <c r="N510">
        <v>1.754</v>
      </c>
      <c r="O510">
        <v>0.34799999999999998</v>
      </c>
      <c r="P510">
        <v>7.0000000000000001E-3</v>
      </c>
      <c r="Q510">
        <v>0</v>
      </c>
      <c r="R510">
        <v>0.35270000000000001</v>
      </c>
      <c r="S510">
        <v>0.37890000000000001</v>
      </c>
      <c r="T510">
        <v>0.39</v>
      </c>
      <c r="U510">
        <v>0.63</v>
      </c>
    </row>
    <row r="511" spans="1:21" x14ac:dyDescent="0.25">
      <c r="A511" t="s">
        <v>1164</v>
      </c>
      <c r="B511" t="s">
        <v>103</v>
      </c>
      <c r="C511">
        <v>25</v>
      </c>
      <c r="D511" t="s">
        <v>25</v>
      </c>
      <c r="E511">
        <v>10.7113335044411</v>
      </c>
      <c r="G511">
        <v>1.84405</v>
      </c>
      <c r="H511">
        <v>7.915</v>
      </c>
      <c r="K511">
        <v>0.64939999999999998</v>
      </c>
      <c r="L511">
        <v>1.19465</v>
      </c>
      <c r="M511">
        <v>4.2910000000000004</v>
      </c>
      <c r="N511">
        <v>3.1589999999999998</v>
      </c>
      <c r="O511">
        <v>0.42199999999999999</v>
      </c>
      <c r="P511">
        <v>3.2000000000000001E-2</v>
      </c>
      <c r="Q511">
        <v>8.9999999999999993E-3</v>
      </c>
      <c r="R511">
        <v>1.7439</v>
      </c>
      <c r="S511">
        <v>1.9242999999999999</v>
      </c>
      <c r="T511">
        <v>0.25</v>
      </c>
      <c r="U511">
        <v>1.175</v>
      </c>
    </row>
    <row r="512" spans="1:21" x14ac:dyDescent="0.25">
      <c r="A512" t="s">
        <v>623</v>
      </c>
      <c r="B512" t="s">
        <v>104</v>
      </c>
      <c r="C512">
        <v>23</v>
      </c>
      <c r="D512" t="s">
        <v>8</v>
      </c>
      <c r="E512">
        <v>10.5802535751384</v>
      </c>
      <c r="G512">
        <v>1.0501499999999999</v>
      </c>
      <c r="H512">
        <v>5.9279999999999999</v>
      </c>
      <c r="K512">
        <v>0.38995000000000002</v>
      </c>
      <c r="L512">
        <v>0.66020000000000001</v>
      </c>
      <c r="M512">
        <v>16.574999999999999</v>
      </c>
      <c r="N512">
        <v>1.657</v>
      </c>
      <c r="O512">
        <v>0.79100000000000004</v>
      </c>
      <c r="P512">
        <v>6.4000000000000001E-2</v>
      </c>
      <c r="Q512">
        <v>1E-3</v>
      </c>
      <c r="R512">
        <v>0.76559999999999995</v>
      </c>
      <c r="S512">
        <v>1.7103999999999999</v>
      </c>
      <c r="T512">
        <v>0</v>
      </c>
      <c r="U512">
        <v>0.56899999999999995</v>
      </c>
    </row>
    <row r="513" spans="1:21" x14ac:dyDescent="0.25">
      <c r="A513" t="s">
        <v>600</v>
      </c>
      <c r="B513" t="s">
        <v>103</v>
      </c>
      <c r="C513">
        <v>29</v>
      </c>
      <c r="D513" t="s">
        <v>4</v>
      </c>
      <c r="E513">
        <v>12</v>
      </c>
      <c r="G513">
        <v>1.65185</v>
      </c>
      <c r="H513">
        <v>6.8979999999999997</v>
      </c>
      <c r="K513">
        <v>0.80584999999999996</v>
      </c>
      <c r="L513">
        <v>0.84599999999999997</v>
      </c>
      <c r="M513">
        <v>1.9059999999999999</v>
      </c>
      <c r="N513">
        <v>1.216</v>
      </c>
      <c r="O513">
        <v>0.187</v>
      </c>
      <c r="P513">
        <v>8.0000000000000002E-3</v>
      </c>
      <c r="Q513">
        <v>0</v>
      </c>
      <c r="R513">
        <v>0.27939999999999998</v>
      </c>
      <c r="S513">
        <v>0.48470000000000002</v>
      </c>
      <c r="T513">
        <v>0</v>
      </c>
      <c r="U513">
        <v>0.64</v>
      </c>
    </row>
    <row r="514" spans="1:21" x14ac:dyDescent="0.25">
      <c r="A514" t="s">
        <v>458</v>
      </c>
      <c r="B514" t="s">
        <v>104</v>
      </c>
      <c r="C514">
        <v>31</v>
      </c>
      <c r="D514" t="s">
        <v>26</v>
      </c>
      <c r="E514">
        <v>13.5847366680958</v>
      </c>
      <c r="G514">
        <v>2.1248999999999998</v>
      </c>
      <c r="H514">
        <v>11.775</v>
      </c>
      <c r="K514">
        <v>1.0517000000000001</v>
      </c>
      <c r="L514">
        <v>1.0731999999999999</v>
      </c>
      <c r="M514">
        <v>1.746</v>
      </c>
      <c r="N514">
        <v>3.6309999999999998</v>
      </c>
      <c r="O514">
        <v>0.92400000000000004</v>
      </c>
      <c r="P514">
        <v>8.0000000000000002E-3</v>
      </c>
      <c r="Q514">
        <v>0</v>
      </c>
      <c r="R514">
        <v>1.0410999999999999</v>
      </c>
      <c r="S514">
        <v>1.6980999999999999</v>
      </c>
      <c r="T514">
        <v>0</v>
      </c>
      <c r="U514">
        <v>0.60499999999999998</v>
      </c>
    </row>
    <row r="515" spans="1:21" x14ac:dyDescent="0.25">
      <c r="A515" t="s">
        <v>302</v>
      </c>
      <c r="B515" t="s">
        <v>74</v>
      </c>
      <c r="C515">
        <v>31</v>
      </c>
      <c r="D515" t="s">
        <v>10</v>
      </c>
      <c r="E515">
        <v>15.945344604725801</v>
      </c>
      <c r="G515">
        <v>2.1839499999999998</v>
      </c>
      <c r="H515">
        <v>6.6180000000000003</v>
      </c>
      <c r="K515">
        <v>0.65900000000000003</v>
      </c>
      <c r="L515">
        <v>1.52495</v>
      </c>
      <c r="M515">
        <v>6.9690000000000003</v>
      </c>
      <c r="N515">
        <v>2.8239999999999998</v>
      </c>
      <c r="O515">
        <v>1.1220000000000001</v>
      </c>
      <c r="P515">
        <v>8.8999999999999996E-2</v>
      </c>
      <c r="Q515">
        <v>2.1000000000000001E-2</v>
      </c>
      <c r="R515">
        <v>27.7226</v>
      </c>
      <c r="S515">
        <v>21.363700000000001</v>
      </c>
      <c r="T515">
        <v>0.43</v>
      </c>
      <c r="U515">
        <v>1.282</v>
      </c>
    </row>
    <row r="516" spans="1:21" x14ac:dyDescent="0.25">
      <c r="A516" t="s">
        <v>795</v>
      </c>
      <c r="B516" t="s">
        <v>103</v>
      </c>
      <c r="C516">
        <v>29</v>
      </c>
      <c r="D516" t="s">
        <v>18</v>
      </c>
      <c r="E516">
        <v>9.4831716139897395</v>
      </c>
      <c r="G516">
        <v>1.3104</v>
      </c>
      <c r="H516">
        <v>6.3840000000000003</v>
      </c>
      <c r="K516">
        <v>0.65525</v>
      </c>
      <c r="L516">
        <v>0.65515000000000001</v>
      </c>
      <c r="M516">
        <v>6.601</v>
      </c>
      <c r="N516">
        <v>3.3919999999999999</v>
      </c>
      <c r="O516">
        <v>0.79700000000000004</v>
      </c>
      <c r="P516">
        <v>2.5999999999999999E-2</v>
      </c>
      <c r="Q516">
        <v>6.3E-2</v>
      </c>
      <c r="R516">
        <v>5.1473000000000004</v>
      </c>
      <c r="S516">
        <v>5.3665000000000003</v>
      </c>
      <c r="T516">
        <v>0.43</v>
      </c>
      <c r="U516">
        <v>1.0680000000000001</v>
      </c>
    </row>
    <row r="517" spans="1:21" x14ac:dyDescent="0.25">
      <c r="A517" t="s">
        <v>743</v>
      </c>
      <c r="B517" t="s">
        <v>104</v>
      </c>
      <c r="C517">
        <v>30</v>
      </c>
      <c r="D517" t="s">
        <v>4</v>
      </c>
      <c r="E517">
        <v>12.3836484295401</v>
      </c>
      <c r="G517">
        <v>1.7142500000000001</v>
      </c>
      <c r="H517">
        <v>6.5060000000000002</v>
      </c>
      <c r="K517">
        <v>0.57050000000000001</v>
      </c>
      <c r="L517">
        <v>1.14375</v>
      </c>
      <c r="M517">
        <v>0.86099999999999999</v>
      </c>
      <c r="N517">
        <v>1.526</v>
      </c>
      <c r="O517">
        <v>0.67700000000000005</v>
      </c>
      <c r="P517">
        <v>1.7000000000000001E-2</v>
      </c>
      <c r="Q517">
        <v>3.0000000000000001E-3</v>
      </c>
      <c r="R517">
        <v>1.1822999999999999</v>
      </c>
      <c r="S517">
        <v>1.4817</v>
      </c>
      <c r="T517">
        <v>0.54</v>
      </c>
      <c r="U517">
        <v>0.68200000000000005</v>
      </c>
    </row>
    <row r="518" spans="1:21" x14ac:dyDescent="0.25">
      <c r="A518" t="s">
        <v>789</v>
      </c>
      <c r="B518" t="s">
        <v>103</v>
      </c>
      <c r="C518">
        <v>25</v>
      </c>
      <c r="D518" t="s">
        <v>141</v>
      </c>
      <c r="E518">
        <v>10.981317798082699</v>
      </c>
      <c r="G518">
        <v>1.1738</v>
      </c>
      <c r="H518">
        <v>5.149</v>
      </c>
      <c r="K518">
        <v>0.51900000000000002</v>
      </c>
      <c r="L518">
        <v>0.65480000000000005</v>
      </c>
      <c r="M518">
        <v>3.8639999999999999</v>
      </c>
      <c r="N518">
        <v>2.1890000000000001</v>
      </c>
      <c r="O518">
        <v>0.56999999999999995</v>
      </c>
      <c r="P518">
        <v>3.5000000000000003E-2</v>
      </c>
      <c r="Q518">
        <v>0.01</v>
      </c>
      <c r="R518">
        <v>1.8636999999999999</v>
      </c>
      <c r="S518">
        <v>2.1779000000000002</v>
      </c>
      <c r="T518">
        <v>0.42</v>
      </c>
      <c r="U518">
        <v>1.107</v>
      </c>
    </row>
    <row r="519" spans="1:21" x14ac:dyDescent="0.25">
      <c r="A519" t="s">
        <v>311</v>
      </c>
      <c r="B519" t="s">
        <v>103</v>
      </c>
      <c r="C519">
        <v>33</v>
      </c>
      <c r="D519" t="s">
        <v>1165</v>
      </c>
      <c r="E519">
        <v>13.494956559917799</v>
      </c>
      <c r="G519">
        <v>2.5014500000000002</v>
      </c>
      <c r="H519">
        <v>7.1269999999999998</v>
      </c>
      <c r="K519">
        <v>1.0564</v>
      </c>
      <c r="L519">
        <v>1.4450499999999999</v>
      </c>
      <c r="M519">
        <v>4.3760000000000003</v>
      </c>
      <c r="N519">
        <v>2.3610000000000002</v>
      </c>
      <c r="O519">
        <v>0.378</v>
      </c>
      <c r="P519">
        <v>6.0000000000000001E-3</v>
      </c>
      <c r="Q519">
        <v>2.1000000000000001E-2</v>
      </c>
      <c r="R519">
        <v>0.40620000000000001</v>
      </c>
      <c r="S519">
        <v>0.40410000000000001</v>
      </c>
      <c r="T519">
        <v>0.54</v>
      </c>
      <c r="U519">
        <v>0.71099999999999997</v>
      </c>
    </row>
    <row r="520" spans="1:21" x14ac:dyDescent="0.25">
      <c r="A520" t="s">
        <v>669</v>
      </c>
      <c r="B520" t="s">
        <v>101</v>
      </c>
      <c r="C520">
        <v>32</v>
      </c>
      <c r="D520" t="s">
        <v>9</v>
      </c>
      <c r="E520">
        <v>11.7650499786265</v>
      </c>
      <c r="G520">
        <v>1.7157</v>
      </c>
      <c r="H520">
        <v>5.3840000000000003</v>
      </c>
      <c r="K520">
        <v>0.59640000000000004</v>
      </c>
      <c r="L520">
        <v>1.1193</v>
      </c>
      <c r="M520">
        <v>5.3289999999999997</v>
      </c>
      <c r="N520">
        <v>2.581</v>
      </c>
      <c r="O520">
        <v>0.81200000000000006</v>
      </c>
      <c r="P520">
        <v>0.106</v>
      </c>
      <c r="Q520">
        <v>2.1000000000000001E-2</v>
      </c>
      <c r="R520">
        <v>7.9001000000000001</v>
      </c>
      <c r="S520">
        <v>13.5535</v>
      </c>
      <c r="T520">
        <v>0.39</v>
      </c>
      <c r="U520">
        <v>0.83399999999999996</v>
      </c>
    </row>
    <row r="521" spans="1:21" x14ac:dyDescent="0.25">
      <c r="A521" t="s">
        <v>1047</v>
      </c>
      <c r="B521" t="s">
        <v>103</v>
      </c>
      <c r="C521">
        <v>27</v>
      </c>
      <c r="D521" t="s">
        <v>32</v>
      </c>
      <c r="E521">
        <v>12.525155009654</v>
      </c>
      <c r="G521">
        <v>1.42035</v>
      </c>
      <c r="H521">
        <v>6.6079999999999997</v>
      </c>
      <c r="K521">
        <v>0.74024999999999996</v>
      </c>
      <c r="L521">
        <v>0.68010000000000004</v>
      </c>
      <c r="M521">
        <v>12.818</v>
      </c>
      <c r="N521">
        <v>4.3019999999999996</v>
      </c>
      <c r="O521">
        <v>0.63900000000000001</v>
      </c>
      <c r="P521">
        <v>0.155</v>
      </c>
      <c r="Q521">
        <v>8.5999999999999993E-2</v>
      </c>
      <c r="R521">
        <v>1.3108</v>
      </c>
      <c r="S521">
        <v>1.5905</v>
      </c>
      <c r="T521">
        <v>0</v>
      </c>
      <c r="U521">
        <v>0.31900000000000001</v>
      </c>
    </row>
    <row r="522" spans="1:21" x14ac:dyDescent="0.25">
      <c r="A522" t="s">
        <v>1046</v>
      </c>
      <c r="B522" t="s">
        <v>103</v>
      </c>
      <c r="C522">
        <v>27</v>
      </c>
      <c r="D522" t="s">
        <v>22</v>
      </c>
      <c r="E522">
        <v>8.74724976289599</v>
      </c>
      <c r="G522">
        <v>1.6796500000000001</v>
      </c>
      <c r="H522">
        <v>6.9329999999999998</v>
      </c>
      <c r="K522">
        <v>0.73485</v>
      </c>
      <c r="L522">
        <v>0.94479999999999997</v>
      </c>
      <c r="M522">
        <v>10.257</v>
      </c>
      <c r="N522">
        <v>2.0299999999999998</v>
      </c>
      <c r="O522">
        <v>0.54</v>
      </c>
      <c r="P522">
        <v>2.5000000000000001E-2</v>
      </c>
      <c r="Q522">
        <v>7.0000000000000001E-3</v>
      </c>
      <c r="R522">
        <v>1.3164</v>
      </c>
      <c r="S522">
        <v>1.9040999999999999</v>
      </c>
      <c r="T522">
        <v>0.45</v>
      </c>
      <c r="U522">
        <v>1.2509999999999999</v>
      </c>
    </row>
    <row r="523" spans="1:21" x14ac:dyDescent="0.25">
      <c r="A523" t="s">
        <v>576</v>
      </c>
      <c r="B523" t="s">
        <v>102</v>
      </c>
      <c r="C523">
        <v>28</v>
      </c>
      <c r="D523" t="s">
        <v>16</v>
      </c>
      <c r="E523">
        <v>12.367678048026301</v>
      </c>
      <c r="G523">
        <v>1.9876499999999999</v>
      </c>
      <c r="H523">
        <v>9.51</v>
      </c>
      <c r="K523">
        <v>0.95730000000000004</v>
      </c>
      <c r="L523">
        <v>1.0303500000000001</v>
      </c>
      <c r="M523">
        <v>5.27</v>
      </c>
      <c r="N523">
        <v>1.5229999999999999</v>
      </c>
      <c r="O523">
        <v>0.80800000000000005</v>
      </c>
      <c r="P523">
        <v>2.8000000000000001E-2</v>
      </c>
      <c r="Q523">
        <v>1.9E-2</v>
      </c>
      <c r="R523">
        <v>0.54610000000000003</v>
      </c>
      <c r="S523">
        <v>0.5242</v>
      </c>
      <c r="T523" t="s">
        <v>1054</v>
      </c>
      <c r="U523">
        <v>0.53900000000000003</v>
      </c>
    </row>
    <row r="524" spans="1:21" x14ac:dyDescent="0.25">
      <c r="A524" t="s">
        <v>1166</v>
      </c>
      <c r="B524" t="s">
        <v>104</v>
      </c>
      <c r="C524">
        <v>22</v>
      </c>
      <c r="D524" t="s">
        <v>10</v>
      </c>
      <c r="E524">
        <v>11.099870371902901</v>
      </c>
      <c r="G524">
        <v>1.4459</v>
      </c>
      <c r="H524">
        <v>7.95</v>
      </c>
      <c r="K524">
        <v>0.81840000000000002</v>
      </c>
      <c r="L524">
        <v>0.62749999999999995</v>
      </c>
      <c r="M524">
        <v>13.917999999999999</v>
      </c>
      <c r="N524">
        <v>1.905</v>
      </c>
      <c r="O524">
        <v>0.876</v>
      </c>
      <c r="P524">
        <v>0.24099999999999999</v>
      </c>
      <c r="Q524">
        <v>0.06</v>
      </c>
      <c r="R524">
        <v>1.2036</v>
      </c>
      <c r="S524">
        <v>1.5004999999999999</v>
      </c>
      <c r="T524">
        <v>0.45</v>
      </c>
      <c r="U524">
        <v>0.90600000000000003</v>
      </c>
    </row>
    <row r="525" spans="1:21" x14ac:dyDescent="0.25">
      <c r="A525" t="s">
        <v>787</v>
      </c>
      <c r="B525" t="s">
        <v>102</v>
      </c>
      <c r="C525">
        <v>30</v>
      </c>
      <c r="D525" t="s">
        <v>28</v>
      </c>
      <c r="E525">
        <v>11.199196437515401</v>
      </c>
      <c r="G525">
        <v>1.6554</v>
      </c>
      <c r="H525">
        <v>9.2200000000000006</v>
      </c>
      <c r="K525">
        <v>0.98570000000000002</v>
      </c>
      <c r="L525">
        <v>0.66969999999999996</v>
      </c>
      <c r="M525">
        <v>10.978</v>
      </c>
      <c r="N525">
        <v>2.1850000000000001</v>
      </c>
      <c r="O525">
        <v>1.1399999999999999</v>
      </c>
      <c r="P525">
        <v>8.9999999999999993E-3</v>
      </c>
      <c r="Q525">
        <v>3.2000000000000001E-2</v>
      </c>
      <c r="R525">
        <v>1.0959000000000001</v>
      </c>
      <c r="S525">
        <v>1.2709999999999999</v>
      </c>
      <c r="T525">
        <v>0.46</v>
      </c>
      <c r="U525">
        <v>0.77</v>
      </c>
    </row>
    <row r="526" spans="1:21" x14ac:dyDescent="0.25">
      <c r="A526" t="s">
        <v>1016</v>
      </c>
      <c r="B526" t="s">
        <v>101</v>
      </c>
      <c r="C526">
        <v>22</v>
      </c>
      <c r="D526" t="s">
        <v>33</v>
      </c>
      <c r="E526">
        <v>14.921616135563401</v>
      </c>
      <c r="G526">
        <v>1.4597500000000001</v>
      </c>
      <c r="H526">
        <v>4.4850000000000003</v>
      </c>
      <c r="K526">
        <v>0.45729999999999998</v>
      </c>
      <c r="L526">
        <v>1.0024500000000001</v>
      </c>
      <c r="M526">
        <v>1.728</v>
      </c>
      <c r="N526">
        <v>3.1459999999999999</v>
      </c>
      <c r="O526">
        <v>0.57599999999999996</v>
      </c>
      <c r="P526">
        <v>0.02</v>
      </c>
      <c r="Q526">
        <v>5.0000000000000001E-3</v>
      </c>
      <c r="R526">
        <v>3.7021999999999999</v>
      </c>
      <c r="S526">
        <v>7.3036000000000003</v>
      </c>
      <c r="T526">
        <v>0.56000000000000005</v>
      </c>
      <c r="U526">
        <v>0.79800000000000004</v>
      </c>
    </row>
    <row r="527" spans="1:21" x14ac:dyDescent="0.25">
      <c r="A527" t="s">
        <v>499</v>
      </c>
      <c r="B527" t="s">
        <v>101</v>
      </c>
      <c r="C527">
        <v>32</v>
      </c>
      <c r="D527" t="s">
        <v>28</v>
      </c>
      <c r="E527">
        <v>13.334891892060201</v>
      </c>
      <c r="G527">
        <v>2.16405</v>
      </c>
      <c r="H527">
        <v>7.4139999999999997</v>
      </c>
      <c r="K527">
        <v>0.88219999999999998</v>
      </c>
      <c r="L527">
        <v>1.2818499999999999</v>
      </c>
      <c r="M527">
        <v>2.29</v>
      </c>
      <c r="N527">
        <v>2.246</v>
      </c>
      <c r="O527">
        <v>0.311</v>
      </c>
      <c r="P527">
        <v>6.0000000000000001E-3</v>
      </c>
      <c r="Q527">
        <v>2.1000000000000001E-2</v>
      </c>
      <c r="R527">
        <v>26.4285</v>
      </c>
      <c r="S527">
        <v>21.5915</v>
      </c>
      <c r="T527">
        <v>0</v>
      </c>
      <c r="U527">
        <v>0.76300000000000001</v>
      </c>
    </row>
    <row r="528" spans="1:21" x14ac:dyDescent="0.25">
      <c r="A528" t="s">
        <v>1167</v>
      </c>
      <c r="B528" t="s">
        <v>103</v>
      </c>
      <c r="C528">
        <v>26</v>
      </c>
      <c r="D528" t="s">
        <v>31</v>
      </c>
      <c r="E528">
        <v>9.5007246191307608</v>
      </c>
      <c r="G528">
        <v>1.17855</v>
      </c>
      <c r="H528">
        <v>5.7519999999999998</v>
      </c>
      <c r="K528">
        <v>0.4214</v>
      </c>
      <c r="L528">
        <v>0.75714999999999999</v>
      </c>
      <c r="M528">
        <v>10.420999999999999</v>
      </c>
      <c r="N528">
        <v>2.306</v>
      </c>
      <c r="O528">
        <v>0.83399999999999996</v>
      </c>
      <c r="P528">
        <v>0.33100000000000002</v>
      </c>
      <c r="Q528">
        <v>1.4999999999999999E-2</v>
      </c>
      <c r="R528">
        <v>4.0434000000000001</v>
      </c>
      <c r="S528">
        <v>4.0414000000000003</v>
      </c>
      <c r="T528">
        <v>0</v>
      </c>
      <c r="U528">
        <v>0.28000000000000003</v>
      </c>
    </row>
    <row r="529" spans="1:21" x14ac:dyDescent="0.25">
      <c r="A529" t="s">
        <v>290</v>
      </c>
      <c r="B529" t="s">
        <v>104</v>
      </c>
      <c r="C529">
        <v>28</v>
      </c>
      <c r="D529" t="s">
        <v>30</v>
      </c>
      <c r="E529">
        <v>15.3129723623766</v>
      </c>
      <c r="G529">
        <v>2.6629</v>
      </c>
      <c r="H529">
        <v>10.194000000000001</v>
      </c>
      <c r="K529">
        <v>1.2034</v>
      </c>
      <c r="L529">
        <v>1.4595</v>
      </c>
      <c r="M529">
        <v>1.042</v>
      </c>
      <c r="N529">
        <v>1.3320000000000001</v>
      </c>
      <c r="O529">
        <v>0.45100000000000001</v>
      </c>
      <c r="P529">
        <v>6.0000000000000001E-3</v>
      </c>
      <c r="Q529">
        <v>0</v>
      </c>
      <c r="R529">
        <v>2.0754000000000001</v>
      </c>
      <c r="S529">
        <v>2.4199000000000002</v>
      </c>
      <c r="T529">
        <v>0</v>
      </c>
      <c r="U529">
        <v>0.58099999999999996</v>
      </c>
    </row>
    <row r="530" spans="1:21" x14ac:dyDescent="0.25">
      <c r="A530" t="s">
        <v>967</v>
      </c>
      <c r="B530" t="s">
        <v>74</v>
      </c>
      <c r="C530">
        <v>21</v>
      </c>
      <c r="D530" t="s">
        <v>17</v>
      </c>
      <c r="E530">
        <v>15.08</v>
      </c>
      <c r="G530">
        <v>2.2458499999999999</v>
      </c>
      <c r="H530">
        <v>8.81</v>
      </c>
      <c r="K530">
        <v>1.2320500000000001</v>
      </c>
      <c r="L530">
        <v>1.0138</v>
      </c>
      <c r="M530">
        <v>2.133</v>
      </c>
      <c r="N530">
        <v>1.9430000000000001</v>
      </c>
      <c r="O530">
        <v>0.67900000000000005</v>
      </c>
      <c r="P530">
        <v>8.9999999999999993E-3</v>
      </c>
      <c r="Q530">
        <v>2E-3</v>
      </c>
      <c r="R530">
        <v>13.0389</v>
      </c>
      <c r="S530">
        <v>13.6022</v>
      </c>
      <c r="T530">
        <v>0</v>
      </c>
      <c r="U530">
        <v>0.505</v>
      </c>
    </row>
    <row r="531" spans="1:21" x14ac:dyDescent="0.25">
      <c r="A531" t="s">
        <v>579</v>
      </c>
      <c r="B531" t="s">
        <v>102</v>
      </c>
      <c r="C531">
        <v>28</v>
      </c>
      <c r="D531" t="s">
        <v>1168</v>
      </c>
      <c r="E531">
        <v>12.5228835313779</v>
      </c>
      <c r="G531">
        <v>1.3038000000000001</v>
      </c>
      <c r="H531">
        <v>6.9450000000000003</v>
      </c>
      <c r="K531">
        <v>0.77644999999999997</v>
      </c>
      <c r="L531">
        <v>0.52734999999999999</v>
      </c>
      <c r="M531">
        <v>10.319000000000001</v>
      </c>
      <c r="N531">
        <v>1.784</v>
      </c>
      <c r="O531">
        <v>0.748</v>
      </c>
      <c r="P531">
        <v>0.13500000000000001</v>
      </c>
      <c r="Q531">
        <v>4.5999999999999999E-2</v>
      </c>
      <c r="R531">
        <v>3.5169999999999999</v>
      </c>
      <c r="S531">
        <v>4.1369999999999996</v>
      </c>
      <c r="T531">
        <v>0</v>
      </c>
      <c r="U531">
        <v>0.33700000000000002</v>
      </c>
    </row>
    <row r="532" spans="1:21" x14ac:dyDescent="0.25">
      <c r="A532" t="s">
        <v>470</v>
      </c>
      <c r="B532" t="s">
        <v>74</v>
      </c>
      <c r="C532">
        <v>33</v>
      </c>
      <c r="D532" t="s">
        <v>87</v>
      </c>
      <c r="E532">
        <v>14.7367833657517</v>
      </c>
      <c r="G532">
        <v>1.73885</v>
      </c>
      <c r="H532">
        <v>6.4340000000000002</v>
      </c>
      <c r="K532">
        <v>0.61860000000000004</v>
      </c>
      <c r="L532">
        <v>1.12025</v>
      </c>
      <c r="M532">
        <v>5.6909999999999998</v>
      </c>
      <c r="N532">
        <v>2.2429999999999999</v>
      </c>
      <c r="O532">
        <v>0.93500000000000005</v>
      </c>
      <c r="P532">
        <v>0.13400000000000001</v>
      </c>
      <c r="Q532">
        <v>3.7999999999999999E-2</v>
      </c>
      <c r="R532">
        <v>21.700600000000001</v>
      </c>
      <c r="S532">
        <v>23.554500000000001</v>
      </c>
      <c r="T532">
        <v>0.43</v>
      </c>
      <c r="U532">
        <v>1.5880000000000001</v>
      </c>
    </row>
    <row r="533" spans="1:21" x14ac:dyDescent="0.25">
      <c r="A533" t="s">
        <v>744</v>
      </c>
      <c r="B533" t="s">
        <v>104</v>
      </c>
      <c r="C533">
        <v>23</v>
      </c>
      <c r="D533" t="s">
        <v>23</v>
      </c>
      <c r="E533">
        <v>12.6559458445185</v>
      </c>
      <c r="G533">
        <v>1.7447999999999999</v>
      </c>
      <c r="H533">
        <v>7.3920000000000003</v>
      </c>
      <c r="K533">
        <v>0.79490000000000005</v>
      </c>
      <c r="L533">
        <v>0.94989999999999997</v>
      </c>
      <c r="M533">
        <v>3.5960000000000001</v>
      </c>
      <c r="N533">
        <v>2.258</v>
      </c>
      <c r="O533">
        <v>0.45400000000000001</v>
      </c>
      <c r="P533">
        <v>8.9999999999999993E-3</v>
      </c>
      <c r="Q533">
        <v>1E-3</v>
      </c>
      <c r="R533">
        <v>0.4446</v>
      </c>
      <c r="S533">
        <v>1.1680999999999999</v>
      </c>
      <c r="T533">
        <v>0.56000000000000005</v>
      </c>
      <c r="U533">
        <v>0.71899999999999997</v>
      </c>
    </row>
    <row r="534" spans="1:21" x14ac:dyDescent="0.25">
      <c r="A534" t="s">
        <v>593</v>
      </c>
      <c r="B534" t="s">
        <v>101</v>
      </c>
      <c r="C534">
        <v>26</v>
      </c>
      <c r="D534" t="s">
        <v>22</v>
      </c>
      <c r="E534">
        <v>13.320982885230899</v>
      </c>
      <c r="G534">
        <v>1.8775999999999999</v>
      </c>
      <c r="H534">
        <v>7.0129999999999999</v>
      </c>
      <c r="K534">
        <v>0.96899999999999997</v>
      </c>
      <c r="L534">
        <v>0.90859999999999996</v>
      </c>
      <c r="M534">
        <v>0.68899999999999995</v>
      </c>
      <c r="N534">
        <v>2.0579999999999998</v>
      </c>
      <c r="O534">
        <v>0.29099999999999998</v>
      </c>
      <c r="P534">
        <v>0.02</v>
      </c>
      <c r="Q534">
        <v>2.1000000000000001E-2</v>
      </c>
      <c r="R534">
        <v>5.3117999999999999</v>
      </c>
      <c r="S534">
        <v>8.7690999999999999</v>
      </c>
      <c r="T534">
        <v>0.56000000000000005</v>
      </c>
      <c r="U534">
        <v>0.76200000000000001</v>
      </c>
    </row>
    <row r="535" spans="1:21" x14ac:dyDescent="0.25">
      <c r="A535" t="s">
        <v>689</v>
      </c>
      <c r="B535" t="s">
        <v>101</v>
      </c>
      <c r="C535">
        <v>30</v>
      </c>
      <c r="D535" t="s">
        <v>30</v>
      </c>
      <c r="E535">
        <v>10.4084524231455</v>
      </c>
      <c r="G535">
        <v>1.1413500000000001</v>
      </c>
      <c r="H535">
        <v>5.7619999999999996</v>
      </c>
      <c r="K535">
        <v>0.5887</v>
      </c>
      <c r="L535">
        <v>0.55264999999999997</v>
      </c>
      <c r="M535">
        <v>12.707000000000001</v>
      </c>
      <c r="N535">
        <v>3.0409999999999999</v>
      </c>
      <c r="O535">
        <v>0.65900000000000003</v>
      </c>
      <c r="P535">
        <v>0.12</v>
      </c>
      <c r="Q535">
        <v>2E-3</v>
      </c>
      <c r="R535">
        <v>1.0145999999999999</v>
      </c>
      <c r="S535">
        <v>1.0696000000000001</v>
      </c>
      <c r="T535">
        <v>0</v>
      </c>
      <c r="U535">
        <v>0.247</v>
      </c>
    </row>
    <row r="536" spans="1:21" x14ac:dyDescent="0.25">
      <c r="A536" t="s">
        <v>1169</v>
      </c>
      <c r="B536" t="s">
        <v>102</v>
      </c>
      <c r="C536">
        <v>19</v>
      </c>
      <c r="D536" t="s">
        <v>4</v>
      </c>
      <c r="E536">
        <v>12.7017418941</v>
      </c>
      <c r="G536">
        <v>1.83395</v>
      </c>
      <c r="H536">
        <v>5.718</v>
      </c>
      <c r="K536">
        <v>0.77229999999999999</v>
      </c>
      <c r="L536">
        <v>1.06165</v>
      </c>
      <c r="M536">
        <v>2.282</v>
      </c>
      <c r="N536">
        <v>2.1709999999999998</v>
      </c>
      <c r="O536">
        <v>1.095</v>
      </c>
      <c r="P536">
        <v>2.4E-2</v>
      </c>
      <c r="Q536">
        <v>6.0000000000000001E-3</v>
      </c>
      <c r="R536">
        <v>1.3</v>
      </c>
      <c r="S536">
        <v>1.6503000000000001</v>
      </c>
      <c r="T536">
        <v>0</v>
      </c>
      <c r="U536">
        <v>0.38600000000000001</v>
      </c>
    </row>
    <row r="537" spans="1:21" x14ac:dyDescent="0.25">
      <c r="A537" t="s">
        <v>371</v>
      </c>
      <c r="B537" t="s">
        <v>104</v>
      </c>
      <c r="C537">
        <v>32</v>
      </c>
      <c r="D537" t="s">
        <v>16</v>
      </c>
      <c r="E537">
        <v>15.9948746917505</v>
      </c>
      <c r="G537">
        <v>2.4739499999999999</v>
      </c>
      <c r="H537">
        <v>9.7799999999999994</v>
      </c>
      <c r="K537">
        <v>1.3637999999999999</v>
      </c>
      <c r="L537">
        <v>1.11015</v>
      </c>
      <c r="M537">
        <v>3.218</v>
      </c>
      <c r="N537">
        <v>1.5189999999999999</v>
      </c>
      <c r="O537">
        <v>0.66800000000000004</v>
      </c>
      <c r="P537">
        <v>2.5999999999999999E-2</v>
      </c>
      <c r="Q537">
        <v>0</v>
      </c>
      <c r="R537">
        <v>0.59189999999999998</v>
      </c>
      <c r="S537">
        <v>0.66849999999999998</v>
      </c>
      <c r="T537">
        <v>0</v>
      </c>
      <c r="U537">
        <v>0.63300000000000001</v>
      </c>
    </row>
    <row r="538" spans="1:21" x14ac:dyDescent="0.25">
      <c r="A538" t="s">
        <v>625</v>
      </c>
      <c r="B538" t="s">
        <v>104</v>
      </c>
      <c r="C538">
        <v>40</v>
      </c>
      <c r="D538" t="s">
        <v>11</v>
      </c>
      <c r="E538">
        <v>11.7517559580587</v>
      </c>
      <c r="G538">
        <v>1.46285</v>
      </c>
      <c r="H538">
        <v>7.38</v>
      </c>
      <c r="K538">
        <v>0.82294999999999996</v>
      </c>
      <c r="L538">
        <v>0.63990000000000002</v>
      </c>
      <c r="M538">
        <v>3.5289999999999999</v>
      </c>
      <c r="N538">
        <v>3.6659999999999999</v>
      </c>
      <c r="O538">
        <v>0.622</v>
      </c>
      <c r="P538">
        <v>7.0000000000000001E-3</v>
      </c>
      <c r="Q538">
        <v>0</v>
      </c>
      <c r="R538">
        <v>1.8485</v>
      </c>
      <c r="S538">
        <v>3.3540999999999999</v>
      </c>
      <c r="T538">
        <v>0</v>
      </c>
      <c r="U538">
        <v>0.69199999999999995</v>
      </c>
    </row>
    <row r="539" spans="1:21" x14ac:dyDescent="0.25">
      <c r="A539" t="s">
        <v>566</v>
      </c>
      <c r="B539" t="s">
        <v>104</v>
      </c>
      <c r="C539">
        <v>30</v>
      </c>
      <c r="D539" t="s">
        <v>1170</v>
      </c>
      <c r="E539">
        <v>10.666450601216599</v>
      </c>
      <c r="G539">
        <v>1.0863</v>
      </c>
      <c r="H539">
        <v>4.6529999999999996</v>
      </c>
      <c r="K539">
        <v>0.34889999999999999</v>
      </c>
      <c r="L539">
        <v>0.73740000000000006</v>
      </c>
      <c r="M539">
        <v>5.1390000000000002</v>
      </c>
      <c r="N539">
        <v>4.3899999999999997</v>
      </c>
      <c r="O539">
        <v>0.60199999999999998</v>
      </c>
      <c r="P539">
        <v>5.1999999999999998E-2</v>
      </c>
      <c r="Q539">
        <v>1E-3</v>
      </c>
      <c r="R539">
        <v>6.4424000000000001</v>
      </c>
      <c r="S539">
        <v>12.201499999999999</v>
      </c>
      <c r="T539">
        <v>0</v>
      </c>
      <c r="U539">
        <v>0.32200000000000001</v>
      </c>
    </row>
    <row r="540" spans="1:21" x14ac:dyDescent="0.25">
      <c r="A540" t="s">
        <v>712</v>
      </c>
      <c r="B540" t="s">
        <v>103</v>
      </c>
      <c r="C540">
        <v>34</v>
      </c>
      <c r="D540" t="s">
        <v>13</v>
      </c>
      <c r="E540">
        <v>9.8025266770566493</v>
      </c>
      <c r="G540">
        <v>0.96825000000000006</v>
      </c>
      <c r="H540">
        <v>3.8559999999999999</v>
      </c>
      <c r="K540">
        <v>0.35470000000000002</v>
      </c>
      <c r="L540">
        <v>0.61355000000000004</v>
      </c>
      <c r="M540">
        <v>6.569</v>
      </c>
      <c r="N540">
        <v>1.2729999999999999</v>
      </c>
      <c r="O540">
        <v>1.173</v>
      </c>
      <c r="P540">
        <v>0.25800000000000001</v>
      </c>
      <c r="Q540">
        <v>0.193</v>
      </c>
      <c r="R540">
        <v>1.2016</v>
      </c>
      <c r="S540">
        <v>1.3857999999999999</v>
      </c>
      <c r="T540">
        <v>0.46</v>
      </c>
      <c r="U540">
        <v>1.3460000000000001</v>
      </c>
    </row>
    <row r="541" spans="1:21" x14ac:dyDescent="0.25">
      <c r="A541" t="s">
        <v>1017</v>
      </c>
      <c r="B541" t="s">
        <v>103</v>
      </c>
      <c r="C541">
        <v>28</v>
      </c>
      <c r="D541" t="s">
        <v>15</v>
      </c>
      <c r="E541">
        <v>7.2636176379061403</v>
      </c>
      <c r="G541">
        <v>0.92274999999999996</v>
      </c>
      <c r="H541">
        <v>5.8319999999999999</v>
      </c>
      <c r="K541">
        <v>0.48035</v>
      </c>
      <c r="L541">
        <v>0.44240000000000002</v>
      </c>
      <c r="M541">
        <v>13.961</v>
      </c>
      <c r="N541">
        <v>2.5529999999999999</v>
      </c>
      <c r="O541">
        <v>1.4139999999999999</v>
      </c>
      <c r="P541">
        <v>1.1060000000000001</v>
      </c>
      <c r="Q541">
        <v>0.129</v>
      </c>
      <c r="R541">
        <v>5.2388000000000003</v>
      </c>
      <c r="S541">
        <v>3.2585000000000002</v>
      </c>
      <c r="T541">
        <v>0</v>
      </c>
      <c r="U541">
        <v>0.42299999999999999</v>
      </c>
    </row>
    <row r="542" spans="1:21" x14ac:dyDescent="0.25">
      <c r="A542" t="s">
        <v>655</v>
      </c>
      <c r="B542" t="s">
        <v>101</v>
      </c>
      <c r="C542">
        <v>31</v>
      </c>
      <c r="D542" t="s">
        <v>4</v>
      </c>
      <c r="E542">
        <v>11.019268135208501</v>
      </c>
      <c r="G542">
        <v>1.27915</v>
      </c>
      <c r="H542">
        <v>6.2080000000000002</v>
      </c>
      <c r="K542">
        <v>0.64249999999999996</v>
      </c>
      <c r="L542">
        <v>0.63665000000000005</v>
      </c>
      <c r="M542">
        <v>9.7149999999999999</v>
      </c>
      <c r="N542">
        <v>2.5840000000000001</v>
      </c>
      <c r="O542">
        <v>0.55100000000000005</v>
      </c>
      <c r="P542">
        <v>0.06</v>
      </c>
      <c r="Q542">
        <v>3.3000000000000002E-2</v>
      </c>
      <c r="R542">
        <v>6.1470000000000002</v>
      </c>
      <c r="S542">
        <v>7.1468999999999996</v>
      </c>
      <c r="T542">
        <v>0</v>
      </c>
      <c r="U542">
        <v>0.34</v>
      </c>
    </row>
    <row r="543" spans="1:21" x14ac:dyDescent="0.25">
      <c r="A543" t="s">
        <v>261</v>
      </c>
      <c r="B543" t="s">
        <v>3</v>
      </c>
      <c r="C543">
        <v>28</v>
      </c>
      <c r="D543" t="s">
        <v>31</v>
      </c>
      <c r="E543">
        <v>16.454513591786998</v>
      </c>
      <c r="G543">
        <v>1.1471</v>
      </c>
      <c r="H543">
        <v>5.7009999999999996</v>
      </c>
      <c r="K543">
        <v>0.28810000000000002</v>
      </c>
      <c r="L543">
        <v>0.85899999999999999</v>
      </c>
      <c r="M543">
        <v>3.5697999999999999</v>
      </c>
      <c r="N543">
        <v>3.4950000000000001</v>
      </c>
      <c r="O543">
        <v>1.0419</v>
      </c>
      <c r="P543">
        <v>7.3000000000000001E-3</v>
      </c>
      <c r="Q543">
        <v>4.5499999999999999E-2</v>
      </c>
      <c r="R543">
        <v>0</v>
      </c>
      <c r="S543">
        <v>0</v>
      </c>
      <c r="T543">
        <v>0.43</v>
      </c>
      <c r="U543">
        <v>1.04</v>
      </c>
    </row>
    <row r="544" spans="1:21" x14ac:dyDescent="0.25">
      <c r="A544" t="s">
        <v>539</v>
      </c>
      <c r="B544" t="s">
        <v>3</v>
      </c>
      <c r="C544">
        <v>24</v>
      </c>
      <c r="D544" t="s">
        <v>23</v>
      </c>
      <c r="E544">
        <v>16.086800683837499</v>
      </c>
      <c r="G544">
        <v>0.94389999999999996</v>
      </c>
      <c r="H544">
        <v>3.7069999999999999</v>
      </c>
      <c r="K544">
        <v>0.25790000000000002</v>
      </c>
      <c r="L544">
        <v>0.68600000000000005</v>
      </c>
      <c r="M544">
        <v>1.4074</v>
      </c>
      <c r="N544">
        <v>4.2690000000000001</v>
      </c>
      <c r="O544">
        <v>0.27279999999999999</v>
      </c>
      <c r="P544">
        <v>1.0500000000000001E-2</v>
      </c>
      <c r="Q544">
        <v>2.2000000000000001E-3</v>
      </c>
      <c r="R544">
        <v>0</v>
      </c>
      <c r="S544">
        <v>0</v>
      </c>
      <c r="T544">
        <v>0.56000000000000005</v>
      </c>
      <c r="U544">
        <v>0.79100000000000004</v>
      </c>
    </row>
    <row r="545" spans="1:21" x14ac:dyDescent="0.25">
      <c r="A545" t="s">
        <v>259</v>
      </c>
      <c r="B545" t="s">
        <v>3</v>
      </c>
      <c r="C545">
        <v>26</v>
      </c>
      <c r="D545" t="s">
        <v>10</v>
      </c>
      <c r="E545">
        <v>18.337192725275798</v>
      </c>
      <c r="G545">
        <v>1.54</v>
      </c>
      <c r="H545">
        <v>4.1470000000000002</v>
      </c>
      <c r="K545">
        <v>0.36399999999999999</v>
      </c>
      <c r="L545">
        <v>1.1759999999999999</v>
      </c>
      <c r="M545">
        <v>1.4681</v>
      </c>
      <c r="N545">
        <v>4.6399999999999997</v>
      </c>
      <c r="O545">
        <v>0.54649999999999999</v>
      </c>
      <c r="P545">
        <v>5.5999999999999999E-3</v>
      </c>
      <c r="Q545">
        <v>1.1000000000000001E-3</v>
      </c>
      <c r="R545">
        <v>0</v>
      </c>
      <c r="S545">
        <v>0</v>
      </c>
      <c r="T545">
        <v>0</v>
      </c>
      <c r="U545">
        <v>0.29499999999999998</v>
      </c>
    </row>
    <row r="546" spans="1:21" x14ac:dyDescent="0.25">
      <c r="A546" t="s">
        <v>376</v>
      </c>
      <c r="B546" t="s">
        <v>3</v>
      </c>
      <c r="C546">
        <v>32</v>
      </c>
      <c r="D546" t="s">
        <v>87</v>
      </c>
      <c r="E546">
        <v>19.901753104951201</v>
      </c>
      <c r="G546">
        <v>0.82179999999999997</v>
      </c>
      <c r="H546">
        <v>4.476</v>
      </c>
      <c r="K546">
        <v>0.20979999999999999</v>
      </c>
      <c r="L546">
        <v>0.61199999999999999</v>
      </c>
      <c r="M546">
        <v>5.3860000000000001</v>
      </c>
      <c r="N546">
        <v>4.6379999999999999</v>
      </c>
      <c r="O546">
        <v>0.70199999999999996</v>
      </c>
      <c r="P546">
        <v>3.5200000000000002E-2</v>
      </c>
      <c r="Q546">
        <v>1.2999999999999999E-2</v>
      </c>
      <c r="R546">
        <v>0</v>
      </c>
      <c r="S546">
        <v>0</v>
      </c>
      <c r="T546">
        <v>0</v>
      </c>
      <c r="U546">
        <v>0.40200000000000002</v>
      </c>
    </row>
    <row r="547" spans="1:21" x14ac:dyDescent="0.25">
      <c r="A547" t="s">
        <v>444</v>
      </c>
      <c r="B547" t="s">
        <v>3</v>
      </c>
      <c r="C547">
        <v>30</v>
      </c>
      <c r="D547" t="s">
        <v>20</v>
      </c>
      <c r="E547">
        <v>17.826221339225899</v>
      </c>
      <c r="G547">
        <v>0.95389999999999997</v>
      </c>
      <c r="H547">
        <v>4.0149999999999997</v>
      </c>
      <c r="K547">
        <v>0.16289999999999999</v>
      </c>
      <c r="L547">
        <v>0.79100000000000004</v>
      </c>
      <c r="M547">
        <v>3.2614999999999998</v>
      </c>
      <c r="N547">
        <v>4.63</v>
      </c>
      <c r="O547">
        <v>0.6946</v>
      </c>
      <c r="P547">
        <v>2.5399999999999999E-2</v>
      </c>
      <c r="Q547">
        <v>1.9300000000000001E-2</v>
      </c>
      <c r="R547">
        <v>0</v>
      </c>
      <c r="S547">
        <v>0</v>
      </c>
      <c r="T547">
        <v>0.36</v>
      </c>
      <c r="U547">
        <v>1.135</v>
      </c>
    </row>
    <row r="548" spans="1:21" x14ac:dyDescent="0.25">
      <c r="A548" t="s">
        <v>363</v>
      </c>
      <c r="B548" t="s">
        <v>3</v>
      </c>
      <c r="C548">
        <v>37</v>
      </c>
      <c r="D548" t="s">
        <v>28</v>
      </c>
      <c r="E548">
        <v>17.1769662889172</v>
      </c>
      <c r="G548">
        <v>0.78080000000000005</v>
      </c>
      <c r="H548">
        <v>3.6949999999999998</v>
      </c>
      <c r="K548">
        <v>0.1978</v>
      </c>
      <c r="L548">
        <v>0.58299999999999996</v>
      </c>
      <c r="M548">
        <v>1.8736999999999999</v>
      </c>
      <c r="N548">
        <v>8.9580000000000002</v>
      </c>
      <c r="O548">
        <v>0.30180000000000001</v>
      </c>
      <c r="P548">
        <v>1.9199999999999998E-2</v>
      </c>
      <c r="Q548">
        <v>1.6999999999999999E-3</v>
      </c>
      <c r="R548">
        <v>0</v>
      </c>
      <c r="S548">
        <v>0</v>
      </c>
      <c r="T548">
        <v>0.47</v>
      </c>
      <c r="U548">
        <v>0.35799999999999998</v>
      </c>
    </row>
    <row r="549" spans="1:21" x14ac:dyDescent="0.25">
      <c r="A549" t="s">
        <v>531</v>
      </c>
      <c r="B549" t="s">
        <v>3</v>
      </c>
      <c r="C549">
        <v>39</v>
      </c>
      <c r="D549" t="s">
        <v>18</v>
      </c>
      <c r="E549">
        <v>14.2535474925537</v>
      </c>
      <c r="G549">
        <v>0.81569999999999998</v>
      </c>
      <c r="H549">
        <v>3.6240000000000001</v>
      </c>
      <c r="K549">
        <v>0.1057</v>
      </c>
      <c r="L549">
        <v>0.71</v>
      </c>
      <c r="M549">
        <v>2.7372999999999998</v>
      </c>
      <c r="N549">
        <v>4.8609999999999998</v>
      </c>
      <c r="O549">
        <v>0.80210000000000004</v>
      </c>
      <c r="P549">
        <v>9.1000000000000004E-3</v>
      </c>
      <c r="Q549">
        <v>1.9E-3</v>
      </c>
      <c r="R549">
        <v>0</v>
      </c>
      <c r="S549">
        <v>0</v>
      </c>
      <c r="T549">
        <v>0.53</v>
      </c>
      <c r="U549">
        <v>0.502</v>
      </c>
    </row>
    <row r="550" spans="1:21" x14ac:dyDescent="0.25">
      <c r="A550" t="s">
        <v>282</v>
      </c>
      <c r="B550" t="s">
        <v>3</v>
      </c>
      <c r="C550">
        <v>35</v>
      </c>
      <c r="D550" t="s">
        <v>28</v>
      </c>
      <c r="E550">
        <v>18.490861820879498</v>
      </c>
      <c r="G550">
        <v>1.2302</v>
      </c>
      <c r="H550">
        <v>5.7320000000000002</v>
      </c>
      <c r="K550">
        <v>0.28720000000000001</v>
      </c>
      <c r="L550">
        <v>0.94299999999999995</v>
      </c>
      <c r="M550">
        <v>1.9466000000000001</v>
      </c>
      <c r="N550">
        <v>6.2519999999999998</v>
      </c>
      <c r="O550">
        <v>0.34960000000000002</v>
      </c>
      <c r="P550">
        <v>5.7000000000000002E-3</v>
      </c>
      <c r="Q550">
        <v>3.4000000000000002E-2</v>
      </c>
      <c r="R550">
        <v>0</v>
      </c>
      <c r="S550">
        <v>0</v>
      </c>
      <c r="T550">
        <v>0</v>
      </c>
      <c r="U550">
        <v>0.32600000000000001</v>
      </c>
    </row>
    <row r="551" spans="1:21" x14ac:dyDescent="0.25">
      <c r="A551" t="s">
        <v>922</v>
      </c>
      <c r="B551" t="s">
        <v>3</v>
      </c>
      <c r="C551">
        <v>23</v>
      </c>
      <c r="D551" t="s">
        <v>21</v>
      </c>
      <c r="E551">
        <v>17.815699025894101</v>
      </c>
      <c r="G551">
        <v>0.68079999999999996</v>
      </c>
      <c r="H551">
        <v>2.9809999999999999</v>
      </c>
      <c r="K551">
        <v>0.15279999999999999</v>
      </c>
      <c r="L551">
        <v>0.52800000000000002</v>
      </c>
      <c r="M551">
        <v>2.2989000000000002</v>
      </c>
      <c r="N551">
        <v>5.2089999999999996</v>
      </c>
      <c r="O551">
        <v>0.41710000000000003</v>
      </c>
      <c r="P551">
        <v>4.9399999999999999E-2</v>
      </c>
      <c r="Q551">
        <v>3.7000000000000002E-3</v>
      </c>
      <c r="R551">
        <v>0</v>
      </c>
      <c r="S551">
        <v>0</v>
      </c>
      <c r="T551">
        <v>0.44</v>
      </c>
      <c r="U551">
        <v>0.74199999999999999</v>
      </c>
    </row>
    <row r="552" spans="1:21" x14ac:dyDescent="0.25">
      <c r="A552" t="s">
        <v>923</v>
      </c>
      <c r="B552" t="s">
        <v>3</v>
      </c>
      <c r="C552">
        <v>25</v>
      </c>
      <c r="D552" t="s">
        <v>29</v>
      </c>
      <c r="E552">
        <v>13.7585653170912</v>
      </c>
      <c r="G552">
        <v>0.56479999999999997</v>
      </c>
      <c r="H552">
        <v>2.9910000000000001</v>
      </c>
      <c r="K552">
        <v>0.1048</v>
      </c>
      <c r="L552">
        <v>0.46</v>
      </c>
      <c r="M552">
        <v>4.8358999999999996</v>
      </c>
      <c r="N552">
        <v>5.8689999999999998</v>
      </c>
      <c r="O552">
        <v>0.35360000000000003</v>
      </c>
      <c r="P552">
        <v>1.7899999999999999E-2</v>
      </c>
      <c r="Q552">
        <v>4.7999999999999996E-3</v>
      </c>
      <c r="R552">
        <v>0</v>
      </c>
      <c r="S552">
        <v>0</v>
      </c>
      <c r="T552">
        <v>0.5</v>
      </c>
      <c r="U552">
        <v>0.57099999999999995</v>
      </c>
    </row>
    <row r="553" spans="1:21" x14ac:dyDescent="0.25">
      <c r="A553" t="s">
        <v>865</v>
      </c>
      <c r="B553" t="s">
        <v>3</v>
      </c>
      <c r="C553">
        <v>38</v>
      </c>
      <c r="D553" t="s">
        <v>26</v>
      </c>
      <c r="E553">
        <v>13.7847947233073</v>
      </c>
      <c r="G553">
        <v>1.0270999999999999</v>
      </c>
      <c r="H553">
        <v>3.823</v>
      </c>
      <c r="K553">
        <v>0.1741</v>
      </c>
      <c r="L553">
        <v>0.85299999999999998</v>
      </c>
      <c r="M553">
        <v>5.3531000000000004</v>
      </c>
      <c r="N553">
        <v>5.8330000000000002</v>
      </c>
      <c r="O553">
        <v>1.2063999999999999</v>
      </c>
      <c r="P553">
        <v>1.3299999999999999E-2</v>
      </c>
      <c r="Q553">
        <v>4.3E-3</v>
      </c>
      <c r="R553">
        <v>0</v>
      </c>
      <c r="S553">
        <v>0</v>
      </c>
      <c r="T553">
        <v>0.4</v>
      </c>
      <c r="U553">
        <v>0.83699999999999997</v>
      </c>
    </row>
    <row r="554" spans="1:21" x14ac:dyDescent="0.25">
      <c r="A554" t="s">
        <v>867</v>
      </c>
      <c r="B554" t="s">
        <v>3</v>
      </c>
      <c r="C554">
        <v>25</v>
      </c>
      <c r="D554" t="s">
        <v>20</v>
      </c>
      <c r="E554">
        <v>18.563320313602301</v>
      </c>
      <c r="G554">
        <v>0.79139999999999999</v>
      </c>
      <c r="H554">
        <v>4.3179999999999996</v>
      </c>
      <c r="K554">
        <v>0.1744</v>
      </c>
      <c r="L554">
        <v>0.61699999999999999</v>
      </c>
      <c r="M554">
        <v>5.9554999999999998</v>
      </c>
      <c r="N554">
        <v>5.4749999999999996</v>
      </c>
      <c r="O554">
        <v>0.57969999999999999</v>
      </c>
      <c r="P554">
        <v>4.6199999999999998E-2</v>
      </c>
      <c r="Q554">
        <v>2.0199999999999999E-2</v>
      </c>
      <c r="R554">
        <v>0</v>
      </c>
      <c r="S554">
        <v>0</v>
      </c>
      <c r="T554">
        <v>0.48</v>
      </c>
      <c r="U554">
        <v>0.64600000000000002</v>
      </c>
    </row>
    <row r="555" spans="1:21" x14ac:dyDescent="0.25">
      <c r="A555" t="s">
        <v>868</v>
      </c>
      <c r="B555" t="s">
        <v>3</v>
      </c>
      <c r="C555">
        <v>28</v>
      </c>
      <c r="D555" t="s">
        <v>7</v>
      </c>
      <c r="E555">
        <v>16.187144657560001</v>
      </c>
      <c r="G555">
        <v>0.95199999999999996</v>
      </c>
      <c r="H555">
        <v>3.617</v>
      </c>
      <c r="K555">
        <v>0.17</v>
      </c>
      <c r="L555">
        <v>0.78200000000000003</v>
      </c>
      <c r="M555">
        <v>2.9445999999999999</v>
      </c>
      <c r="N555">
        <v>5.35</v>
      </c>
      <c r="O555">
        <v>1.0065999999999999</v>
      </c>
      <c r="P555">
        <v>3.0099999999999998E-2</v>
      </c>
      <c r="Q555">
        <v>1.5E-3</v>
      </c>
      <c r="R555">
        <v>0</v>
      </c>
      <c r="S555">
        <v>0</v>
      </c>
      <c r="T555">
        <v>0.46</v>
      </c>
      <c r="U555">
        <v>1.286</v>
      </c>
    </row>
    <row r="556" spans="1:21" x14ac:dyDescent="0.25">
      <c r="A556" t="s">
        <v>924</v>
      </c>
      <c r="B556" t="s">
        <v>3</v>
      </c>
      <c r="C556">
        <v>29</v>
      </c>
      <c r="D556" t="s">
        <v>26</v>
      </c>
      <c r="E556">
        <v>12.4893080018724</v>
      </c>
      <c r="G556">
        <v>0.68369999999999997</v>
      </c>
      <c r="H556">
        <v>2.968</v>
      </c>
      <c r="K556">
        <v>8.0699999999999994E-2</v>
      </c>
      <c r="L556">
        <v>0.60299999999999998</v>
      </c>
      <c r="M556">
        <v>10.1564</v>
      </c>
      <c r="N556">
        <v>4.2619999999999996</v>
      </c>
      <c r="O556">
        <v>0.68010000000000004</v>
      </c>
      <c r="P556">
        <v>0.40060000000000001</v>
      </c>
      <c r="Q556">
        <v>3.3999999999999998E-3</v>
      </c>
      <c r="R556">
        <v>0</v>
      </c>
      <c r="S556">
        <v>0</v>
      </c>
      <c r="T556">
        <v>0</v>
      </c>
      <c r="U556">
        <v>0.29399999999999998</v>
      </c>
    </row>
    <row r="557" spans="1:21" x14ac:dyDescent="0.25">
      <c r="A557" t="s">
        <v>448</v>
      </c>
      <c r="B557" t="s">
        <v>3</v>
      </c>
      <c r="C557">
        <v>26</v>
      </c>
      <c r="D557" t="s">
        <v>1171</v>
      </c>
      <c r="E557">
        <v>15.231700879160901</v>
      </c>
      <c r="G557">
        <v>0.70569999999999999</v>
      </c>
      <c r="H557">
        <v>3.5070000000000001</v>
      </c>
      <c r="K557">
        <v>0.13669999999999999</v>
      </c>
      <c r="L557">
        <v>0.56899999999999995</v>
      </c>
      <c r="M557">
        <v>7.4832999999999998</v>
      </c>
      <c r="N557">
        <v>6.6130000000000004</v>
      </c>
      <c r="O557">
        <v>0.68820000000000003</v>
      </c>
      <c r="P557">
        <v>2.4299999999999999E-2</v>
      </c>
      <c r="Q557">
        <v>1.4E-3</v>
      </c>
      <c r="R557">
        <v>0</v>
      </c>
      <c r="S557">
        <v>0</v>
      </c>
      <c r="T557">
        <v>0.35</v>
      </c>
      <c r="U557">
        <v>1.1759999999999999</v>
      </c>
    </row>
    <row r="558" spans="1:21" x14ac:dyDescent="0.25">
      <c r="A558" t="s">
        <v>925</v>
      </c>
      <c r="B558" t="s">
        <v>3</v>
      </c>
      <c r="C558">
        <v>24</v>
      </c>
      <c r="D558" t="s">
        <v>6</v>
      </c>
      <c r="E558">
        <v>14.680726782262701</v>
      </c>
      <c r="G558">
        <v>0.88360000000000005</v>
      </c>
      <c r="H558">
        <v>4.8710000000000004</v>
      </c>
      <c r="K558">
        <v>0.21460000000000001</v>
      </c>
      <c r="L558">
        <v>0.66900000000000004</v>
      </c>
      <c r="M558">
        <v>10.1639</v>
      </c>
      <c r="N558">
        <v>4.34</v>
      </c>
      <c r="O558">
        <v>1.5610999999999999</v>
      </c>
      <c r="P558">
        <v>0.41930000000000001</v>
      </c>
      <c r="Q558">
        <v>9.1600000000000001E-2</v>
      </c>
      <c r="R558">
        <v>0</v>
      </c>
      <c r="S558">
        <v>0</v>
      </c>
      <c r="T558" t="s">
        <v>1054</v>
      </c>
      <c r="U558">
        <v>0.35599999999999998</v>
      </c>
    </row>
    <row r="559" spans="1:21" x14ac:dyDescent="0.25">
      <c r="A559" t="s">
        <v>378</v>
      </c>
      <c r="B559" t="s">
        <v>3</v>
      </c>
      <c r="C559">
        <v>29</v>
      </c>
      <c r="D559" t="s">
        <v>15</v>
      </c>
      <c r="E559">
        <v>18.116656443277499</v>
      </c>
      <c r="G559">
        <v>0.91739999999999999</v>
      </c>
      <c r="H559">
        <v>3.3759999999999999</v>
      </c>
      <c r="K559">
        <v>0.19040000000000001</v>
      </c>
      <c r="L559">
        <v>0.72699999999999998</v>
      </c>
      <c r="M559">
        <v>5.5542999999999996</v>
      </c>
      <c r="N559">
        <v>4.4080000000000004</v>
      </c>
      <c r="O559">
        <v>0.94720000000000004</v>
      </c>
      <c r="P559">
        <v>2.18E-2</v>
      </c>
      <c r="Q559">
        <v>1.2999999999999999E-3</v>
      </c>
      <c r="R559">
        <v>0</v>
      </c>
      <c r="S559">
        <v>0</v>
      </c>
      <c r="T559">
        <v>0</v>
      </c>
      <c r="U559">
        <v>0.58399999999999996</v>
      </c>
    </row>
    <row r="560" spans="1:21" x14ac:dyDescent="0.25">
      <c r="A560" t="s">
        <v>325</v>
      </c>
      <c r="B560" t="s">
        <v>3</v>
      </c>
      <c r="C560">
        <v>33</v>
      </c>
      <c r="D560" t="s">
        <v>2</v>
      </c>
      <c r="E560">
        <v>17.678077442876202</v>
      </c>
      <c r="G560">
        <v>0.85270000000000001</v>
      </c>
      <c r="H560">
        <v>4.2290000000000001</v>
      </c>
      <c r="K560">
        <v>0.2167</v>
      </c>
      <c r="L560">
        <v>0.63600000000000001</v>
      </c>
      <c r="M560">
        <v>5.2954999999999997</v>
      </c>
      <c r="N560">
        <v>5.9790000000000001</v>
      </c>
      <c r="O560">
        <v>0.97340000000000004</v>
      </c>
      <c r="P560">
        <v>1.7299999999999999E-2</v>
      </c>
      <c r="Q560">
        <v>1.1999999999999999E-3</v>
      </c>
      <c r="R560">
        <v>0</v>
      </c>
      <c r="S560">
        <v>0</v>
      </c>
      <c r="T560">
        <v>0</v>
      </c>
      <c r="U560">
        <v>0.27400000000000002</v>
      </c>
    </row>
    <row r="561" spans="1:21" x14ac:dyDescent="0.25">
      <c r="A561" t="s">
        <v>980</v>
      </c>
      <c r="B561" t="s">
        <v>3</v>
      </c>
      <c r="C561">
        <v>30</v>
      </c>
      <c r="D561" t="s">
        <v>10</v>
      </c>
      <c r="E561">
        <v>14.3873793687951</v>
      </c>
      <c r="G561">
        <v>0.62139999999999995</v>
      </c>
      <c r="H561">
        <v>3.468</v>
      </c>
      <c r="K561">
        <v>0.10639999999999999</v>
      </c>
      <c r="L561">
        <v>0.51500000000000001</v>
      </c>
      <c r="M561">
        <v>5.9067999999999996</v>
      </c>
      <c r="N561">
        <v>5.6020000000000003</v>
      </c>
      <c r="O561">
        <v>0.82279999999999998</v>
      </c>
      <c r="P561">
        <v>0.27689999999999998</v>
      </c>
      <c r="Q561">
        <v>6.7999999999999996E-3</v>
      </c>
      <c r="R561">
        <v>0</v>
      </c>
      <c r="S561">
        <v>0</v>
      </c>
      <c r="T561">
        <v>0.59</v>
      </c>
      <c r="U561">
        <v>0.33800000000000002</v>
      </c>
    </row>
    <row r="562" spans="1:21" x14ac:dyDescent="0.25">
      <c r="A562" t="s">
        <v>691</v>
      </c>
      <c r="B562" t="s">
        <v>3</v>
      </c>
      <c r="C562">
        <v>31</v>
      </c>
      <c r="D562" t="s">
        <v>28</v>
      </c>
      <c r="E562">
        <v>15.0023175403621</v>
      </c>
      <c r="G562">
        <v>0.88490000000000002</v>
      </c>
      <c r="H562">
        <v>5.5960000000000001</v>
      </c>
      <c r="K562">
        <v>0.25790000000000002</v>
      </c>
      <c r="L562">
        <v>0.627</v>
      </c>
      <c r="M562">
        <v>1.7243999999999999</v>
      </c>
      <c r="N562">
        <v>5.0659999999999998</v>
      </c>
      <c r="O562">
        <v>0.50980000000000003</v>
      </c>
      <c r="P562">
        <v>9.5399999999999999E-2</v>
      </c>
      <c r="Q562">
        <v>2.3999999999999998E-3</v>
      </c>
      <c r="R562">
        <v>0</v>
      </c>
      <c r="S562">
        <v>0</v>
      </c>
      <c r="T562">
        <v>0.35</v>
      </c>
      <c r="U562">
        <v>0.871</v>
      </c>
    </row>
    <row r="563" spans="1:21" x14ac:dyDescent="0.25">
      <c r="A563" t="s">
        <v>400</v>
      </c>
      <c r="B563" t="s">
        <v>3</v>
      </c>
      <c r="C563">
        <v>23</v>
      </c>
      <c r="D563" t="s">
        <v>1120</v>
      </c>
      <c r="E563">
        <v>18.354988092106002</v>
      </c>
      <c r="G563">
        <v>1.2517</v>
      </c>
      <c r="H563">
        <v>3.66</v>
      </c>
      <c r="K563">
        <v>0.36969999999999997</v>
      </c>
      <c r="L563">
        <v>0.88200000000000001</v>
      </c>
      <c r="M563">
        <v>4.1726000000000001</v>
      </c>
      <c r="N563">
        <v>4.1449999999999996</v>
      </c>
      <c r="O563">
        <v>0.8649</v>
      </c>
      <c r="P563">
        <v>5.8099999999999999E-2</v>
      </c>
      <c r="Q563">
        <v>1.8E-3</v>
      </c>
      <c r="R563">
        <v>0</v>
      </c>
      <c r="S563">
        <v>0</v>
      </c>
      <c r="T563">
        <v>0.45</v>
      </c>
      <c r="U563">
        <v>0.76200000000000001</v>
      </c>
    </row>
    <row r="564" spans="1:21" x14ac:dyDescent="0.25">
      <c r="A564" t="s">
        <v>729</v>
      </c>
      <c r="B564" t="s">
        <v>3</v>
      </c>
      <c r="C564">
        <v>36</v>
      </c>
      <c r="D564" t="s">
        <v>11</v>
      </c>
      <c r="E564">
        <v>11.912146506649099</v>
      </c>
      <c r="G564">
        <v>1.0229999999999999</v>
      </c>
      <c r="H564">
        <v>4.6260000000000003</v>
      </c>
      <c r="K564">
        <v>0.27600000000000002</v>
      </c>
      <c r="L564">
        <v>0.747</v>
      </c>
      <c r="M564">
        <v>1.7702</v>
      </c>
      <c r="N564">
        <v>3.0939999999999999</v>
      </c>
      <c r="O564">
        <v>0.64970000000000006</v>
      </c>
      <c r="P564">
        <v>1.55E-2</v>
      </c>
      <c r="Q564">
        <v>5.1000000000000004E-3</v>
      </c>
      <c r="R564">
        <v>0</v>
      </c>
      <c r="S564">
        <v>0</v>
      </c>
      <c r="T564">
        <v>0.53</v>
      </c>
      <c r="U564">
        <v>0.96699999999999997</v>
      </c>
    </row>
    <row r="565" spans="1:21" x14ac:dyDescent="0.25">
      <c r="A565" t="s">
        <v>666</v>
      </c>
      <c r="B565" t="s">
        <v>3</v>
      </c>
      <c r="C565">
        <v>23</v>
      </c>
      <c r="D565" t="s">
        <v>10</v>
      </c>
      <c r="E565">
        <v>16.25</v>
      </c>
      <c r="G565">
        <v>0.91920000000000002</v>
      </c>
      <c r="H565">
        <v>3.9319999999999999</v>
      </c>
      <c r="K565">
        <v>0.20319999999999999</v>
      </c>
      <c r="L565">
        <v>0.71599999999999997</v>
      </c>
      <c r="M565">
        <v>6.4641000000000002</v>
      </c>
      <c r="N565">
        <v>5.9390000000000001</v>
      </c>
      <c r="O565">
        <v>0.29449999999999998</v>
      </c>
      <c r="P565">
        <v>5.2200000000000003E-2</v>
      </c>
      <c r="Q565">
        <v>1.6000000000000001E-3</v>
      </c>
      <c r="R565">
        <v>0</v>
      </c>
      <c r="S565">
        <v>0</v>
      </c>
      <c r="T565">
        <v>0.43</v>
      </c>
      <c r="U565">
        <v>1.07</v>
      </c>
    </row>
    <row r="566" spans="1:21" x14ac:dyDescent="0.25">
      <c r="A566" t="s">
        <v>384</v>
      </c>
      <c r="B566" t="s">
        <v>3</v>
      </c>
      <c r="C566">
        <v>30</v>
      </c>
      <c r="D566" t="s">
        <v>34</v>
      </c>
      <c r="E566">
        <v>18.118992555857599</v>
      </c>
      <c r="G566">
        <v>1.2585999999999999</v>
      </c>
      <c r="H566">
        <v>6.3719999999999999</v>
      </c>
      <c r="K566">
        <v>0.3836</v>
      </c>
      <c r="L566">
        <v>0.875</v>
      </c>
      <c r="M566">
        <v>2.3094999999999999</v>
      </c>
      <c r="N566">
        <v>2.9769999999999999</v>
      </c>
      <c r="O566">
        <v>0.79730000000000001</v>
      </c>
      <c r="P566">
        <v>5.4000000000000003E-3</v>
      </c>
      <c r="Q566">
        <v>1.1000000000000001E-3</v>
      </c>
      <c r="R566">
        <v>0</v>
      </c>
      <c r="S566">
        <v>0</v>
      </c>
      <c r="T566">
        <v>0</v>
      </c>
      <c r="U566">
        <v>0.83</v>
      </c>
    </row>
    <row r="567" spans="1:21" x14ac:dyDescent="0.25">
      <c r="A567" t="s">
        <v>541</v>
      </c>
      <c r="B567" t="s">
        <v>3</v>
      </c>
      <c r="C567">
        <v>28</v>
      </c>
      <c r="D567" t="s">
        <v>12</v>
      </c>
      <c r="E567">
        <v>16.6148861694722</v>
      </c>
      <c r="G567">
        <v>0.66110000000000002</v>
      </c>
      <c r="H567">
        <v>3.8</v>
      </c>
      <c r="K567">
        <v>0.17610000000000001</v>
      </c>
      <c r="L567">
        <v>0.48499999999999999</v>
      </c>
      <c r="M567">
        <v>5.0625</v>
      </c>
      <c r="N567">
        <v>5.0220000000000002</v>
      </c>
      <c r="O567">
        <v>0.70579999999999998</v>
      </c>
      <c r="P567">
        <v>4.24E-2</v>
      </c>
      <c r="Q567">
        <v>1.2999999999999999E-3</v>
      </c>
      <c r="R567">
        <v>0</v>
      </c>
      <c r="S567">
        <v>0</v>
      </c>
      <c r="T567">
        <v>0.5</v>
      </c>
      <c r="U567">
        <v>1.083</v>
      </c>
    </row>
    <row r="568" spans="1:21" x14ac:dyDescent="0.25">
      <c r="A568" t="s">
        <v>441</v>
      </c>
      <c r="B568" t="s">
        <v>3</v>
      </c>
      <c r="C568">
        <v>30</v>
      </c>
      <c r="D568" t="s">
        <v>31</v>
      </c>
      <c r="E568">
        <v>18.880808271443399</v>
      </c>
      <c r="G568">
        <v>1.119</v>
      </c>
      <c r="H568">
        <v>6.2590000000000003</v>
      </c>
      <c r="K568">
        <v>0.39</v>
      </c>
      <c r="L568">
        <v>0.72899999999999998</v>
      </c>
      <c r="M568">
        <v>3.6535000000000002</v>
      </c>
      <c r="N568">
        <v>3.4140000000000001</v>
      </c>
      <c r="O568">
        <v>0.81310000000000004</v>
      </c>
      <c r="P568">
        <v>1.6E-2</v>
      </c>
      <c r="Q568">
        <v>0.1197</v>
      </c>
      <c r="R568">
        <v>0</v>
      </c>
      <c r="S568">
        <v>0</v>
      </c>
      <c r="T568">
        <v>0.56999999999999995</v>
      </c>
      <c r="U568">
        <v>0.64600000000000002</v>
      </c>
    </row>
    <row r="569" spans="1:21" x14ac:dyDescent="0.25">
      <c r="A569" t="s">
        <v>1071</v>
      </c>
      <c r="B569" t="s">
        <v>3</v>
      </c>
      <c r="C569">
        <v>21</v>
      </c>
      <c r="D569" t="s">
        <v>26</v>
      </c>
      <c r="E569">
        <v>17.25</v>
      </c>
      <c r="G569">
        <v>1.24746</v>
      </c>
      <c r="H569">
        <v>6.6139999999999999</v>
      </c>
      <c r="K569">
        <v>0.37640000000000001</v>
      </c>
      <c r="L569">
        <v>0.91346000000000005</v>
      </c>
      <c r="M569">
        <v>2.2450000000000001</v>
      </c>
      <c r="N569">
        <v>6.5140000000000002</v>
      </c>
      <c r="O569">
        <v>0.99429999999999996</v>
      </c>
      <c r="P569">
        <v>3.8600000000000002E-2</v>
      </c>
      <c r="Q569">
        <v>1.3899999999999999E-2</v>
      </c>
      <c r="R569">
        <v>0</v>
      </c>
      <c r="S569">
        <v>0</v>
      </c>
      <c r="T569">
        <v>0.54</v>
      </c>
      <c r="U569">
        <v>1.3420000000000001</v>
      </c>
    </row>
    <row r="570" spans="1:21" x14ac:dyDescent="0.25">
      <c r="A570" t="s">
        <v>871</v>
      </c>
      <c r="B570" t="s">
        <v>3</v>
      </c>
      <c r="C570">
        <v>34</v>
      </c>
      <c r="D570" t="s">
        <v>28</v>
      </c>
      <c r="E570">
        <v>17.070391269862</v>
      </c>
      <c r="G570">
        <v>0.84470000000000001</v>
      </c>
      <c r="H570">
        <v>3.5569999999999999</v>
      </c>
      <c r="K570">
        <v>0.14169999999999999</v>
      </c>
      <c r="L570">
        <v>0.70299999999999996</v>
      </c>
      <c r="M570">
        <v>5.6050000000000004</v>
      </c>
      <c r="N570">
        <v>6.9580000000000002</v>
      </c>
      <c r="O570">
        <v>0.60319999999999996</v>
      </c>
      <c r="P570">
        <v>6.0299999999999999E-2</v>
      </c>
      <c r="Q570">
        <v>1.1999999999999999E-3</v>
      </c>
      <c r="R570">
        <v>0</v>
      </c>
      <c r="S570">
        <v>0</v>
      </c>
      <c r="T570">
        <v>0.55000000000000004</v>
      </c>
      <c r="U570">
        <v>1.1779999999999999</v>
      </c>
    </row>
    <row r="571" spans="1:21" x14ac:dyDescent="0.25">
      <c r="A571" t="s">
        <v>927</v>
      </c>
      <c r="B571" t="s">
        <v>3</v>
      </c>
      <c r="C571">
        <v>25</v>
      </c>
      <c r="D571" t="s">
        <v>1172</v>
      </c>
      <c r="E571">
        <v>14.132777857778599</v>
      </c>
      <c r="G571">
        <v>0.73850000000000005</v>
      </c>
      <c r="H571">
        <v>4.9269999999999996</v>
      </c>
      <c r="K571">
        <v>0.16550000000000001</v>
      </c>
      <c r="L571">
        <v>0.57299999999999995</v>
      </c>
      <c r="M571">
        <v>8.8346</v>
      </c>
      <c r="N571">
        <v>4.9530000000000003</v>
      </c>
      <c r="O571">
        <v>1.3463000000000001</v>
      </c>
      <c r="P571">
        <v>4.6800000000000001E-2</v>
      </c>
      <c r="Q571" s="1">
        <v>5.4999999999999997E-3</v>
      </c>
      <c r="R571">
        <v>0</v>
      </c>
      <c r="S571">
        <v>0</v>
      </c>
      <c r="T571">
        <v>0.56000000000000005</v>
      </c>
      <c r="U571">
        <v>0.85399999999999998</v>
      </c>
    </row>
    <row r="572" spans="1:21" x14ac:dyDescent="0.25">
      <c r="A572" t="s">
        <v>583</v>
      </c>
      <c r="B572" t="s">
        <v>3</v>
      </c>
      <c r="C572">
        <v>35</v>
      </c>
      <c r="D572" t="s">
        <v>27</v>
      </c>
      <c r="E572">
        <v>13.445864897902601</v>
      </c>
      <c r="G572">
        <v>0.7298</v>
      </c>
      <c r="H572">
        <v>4.0679999999999996</v>
      </c>
      <c r="K572">
        <v>0.23480000000000001</v>
      </c>
      <c r="L572">
        <v>0.495</v>
      </c>
      <c r="M572">
        <v>5.8146000000000004</v>
      </c>
      <c r="N572">
        <v>5.0279999999999996</v>
      </c>
      <c r="O572">
        <v>1.4172</v>
      </c>
      <c r="P572">
        <v>0.1464</v>
      </c>
      <c r="Q572" s="1">
        <v>2.0999999999999999E-3</v>
      </c>
      <c r="R572">
        <v>0</v>
      </c>
      <c r="S572">
        <v>0</v>
      </c>
      <c r="T572">
        <v>0.42</v>
      </c>
      <c r="U572">
        <v>0.497</v>
      </c>
    </row>
    <row r="573" spans="1:21" x14ac:dyDescent="0.25">
      <c r="A573" t="s">
        <v>351</v>
      </c>
      <c r="B573" t="s">
        <v>3</v>
      </c>
      <c r="C573">
        <v>34</v>
      </c>
      <c r="D573" t="s">
        <v>9</v>
      </c>
      <c r="E573">
        <v>16.463626204297299</v>
      </c>
      <c r="G573">
        <v>0.91759999999999997</v>
      </c>
      <c r="H573">
        <v>3.4590000000000001</v>
      </c>
      <c r="K573">
        <v>0.1966</v>
      </c>
      <c r="L573">
        <v>0.72099999999999997</v>
      </c>
      <c r="M573">
        <v>8.6645000000000003</v>
      </c>
      <c r="N573">
        <v>4.444</v>
      </c>
      <c r="O573">
        <v>0.90720000000000001</v>
      </c>
      <c r="P573">
        <v>0.22439999999999999</v>
      </c>
      <c r="Q573">
        <v>2.0500000000000001E-2</v>
      </c>
      <c r="R573">
        <v>0</v>
      </c>
      <c r="S573">
        <v>0</v>
      </c>
      <c r="T573">
        <v>0.46</v>
      </c>
      <c r="U573">
        <v>1.2490000000000001</v>
      </c>
    </row>
    <row r="574" spans="1:21" x14ac:dyDescent="0.25">
      <c r="A574" t="s">
        <v>271</v>
      </c>
      <c r="B574" t="s">
        <v>3</v>
      </c>
      <c r="C574">
        <v>39</v>
      </c>
      <c r="D574" t="s">
        <v>34</v>
      </c>
      <c r="E574">
        <v>16.7574872056083</v>
      </c>
      <c r="G574">
        <v>1.2077</v>
      </c>
      <c r="H574">
        <v>6.1769999999999996</v>
      </c>
      <c r="K574">
        <v>0.2797</v>
      </c>
      <c r="L574">
        <v>0.92800000000000005</v>
      </c>
      <c r="M574">
        <v>1.3118000000000001</v>
      </c>
      <c r="N574">
        <v>3.738</v>
      </c>
      <c r="O574">
        <v>0.62150000000000005</v>
      </c>
      <c r="P574">
        <v>5.3E-3</v>
      </c>
      <c r="Q574">
        <v>1.1000000000000001E-3</v>
      </c>
      <c r="R574">
        <v>0</v>
      </c>
      <c r="S574">
        <v>0</v>
      </c>
      <c r="T574">
        <v>0.48</v>
      </c>
      <c r="U574">
        <v>0.93600000000000005</v>
      </c>
    </row>
    <row r="575" spans="1:21" x14ac:dyDescent="0.25">
      <c r="A575" t="s">
        <v>619</v>
      </c>
      <c r="B575" t="s">
        <v>3</v>
      </c>
      <c r="C575">
        <v>31</v>
      </c>
      <c r="D575" t="s">
        <v>16</v>
      </c>
      <c r="E575">
        <v>14.6055787808089</v>
      </c>
      <c r="G575">
        <v>0.82740000000000002</v>
      </c>
      <c r="H575">
        <v>4.5490000000000004</v>
      </c>
      <c r="K575">
        <v>0.16839999999999999</v>
      </c>
      <c r="L575">
        <v>0.65900000000000003</v>
      </c>
      <c r="M575">
        <v>3.7797000000000001</v>
      </c>
      <c r="N575">
        <v>4.008</v>
      </c>
      <c r="O575">
        <v>0.82130000000000003</v>
      </c>
      <c r="P575">
        <v>2.9100000000000001E-2</v>
      </c>
      <c r="Q575">
        <v>1.2999999999999999E-3</v>
      </c>
      <c r="R575">
        <v>0</v>
      </c>
      <c r="S575">
        <v>0</v>
      </c>
      <c r="T575">
        <v>0.47</v>
      </c>
      <c r="U575">
        <v>0.89900000000000002</v>
      </c>
    </row>
    <row r="576" spans="1:21" x14ac:dyDescent="0.25">
      <c r="A576" t="s">
        <v>427</v>
      </c>
      <c r="B576" t="s">
        <v>3</v>
      </c>
      <c r="C576">
        <v>30</v>
      </c>
      <c r="D576" t="s">
        <v>34</v>
      </c>
      <c r="E576">
        <v>17.864075431907398</v>
      </c>
      <c r="G576">
        <v>0.8992</v>
      </c>
      <c r="H576">
        <v>4.8970000000000002</v>
      </c>
      <c r="K576">
        <v>0.18820000000000001</v>
      </c>
      <c r="L576">
        <v>0.71099999999999997</v>
      </c>
      <c r="M576">
        <v>1.0982000000000001</v>
      </c>
      <c r="N576">
        <v>4.2519999999999998</v>
      </c>
      <c r="O576">
        <v>0.5323</v>
      </c>
      <c r="P576">
        <v>2.64E-2</v>
      </c>
      <c r="Q576">
        <v>2.1700000000000001E-2</v>
      </c>
      <c r="R576">
        <v>0</v>
      </c>
      <c r="S576">
        <v>0</v>
      </c>
      <c r="T576">
        <v>0</v>
      </c>
      <c r="U576">
        <v>1.1639999999999999</v>
      </c>
    </row>
    <row r="577" spans="1:21" x14ac:dyDescent="0.25">
      <c r="A577" t="s">
        <v>512</v>
      </c>
      <c r="B577" t="s">
        <v>3</v>
      </c>
      <c r="C577">
        <v>33</v>
      </c>
      <c r="D577" t="s">
        <v>87</v>
      </c>
      <c r="E577">
        <v>15.764769060538701</v>
      </c>
      <c r="G577">
        <v>0.78490000000000004</v>
      </c>
      <c r="H577">
        <v>3.1269999999999998</v>
      </c>
      <c r="K577">
        <v>0.16889999999999999</v>
      </c>
      <c r="L577">
        <v>0.61599999999999999</v>
      </c>
      <c r="M577">
        <v>3.1263999999999998</v>
      </c>
      <c r="N577">
        <v>4.1909999999999998</v>
      </c>
      <c r="O577">
        <v>0.42399999999999999</v>
      </c>
      <c r="P577">
        <v>5.7999999999999996E-3</v>
      </c>
      <c r="Q577">
        <v>1.1999999999999999E-3</v>
      </c>
      <c r="R577">
        <v>0</v>
      </c>
      <c r="S577">
        <v>0</v>
      </c>
      <c r="T577">
        <v>0</v>
      </c>
      <c r="U577">
        <v>0.309</v>
      </c>
    </row>
    <row r="578" spans="1:21" x14ac:dyDescent="0.25">
      <c r="A578" t="s">
        <v>1074</v>
      </c>
      <c r="B578" t="s">
        <v>3</v>
      </c>
      <c r="C578">
        <v>22</v>
      </c>
      <c r="D578" t="s">
        <v>18</v>
      </c>
      <c r="E578">
        <v>19.124876403623698</v>
      </c>
      <c r="G578">
        <v>1.008</v>
      </c>
      <c r="H578">
        <v>3.8839999999999999</v>
      </c>
      <c r="K578">
        <v>0.191</v>
      </c>
      <c r="L578">
        <v>0.81699999999999995</v>
      </c>
      <c r="M578">
        <v>2.0171000000000001</v>
      </c>
      <c r="N578">
        <v>4.5209999999999999</v>
      </c>
      <c r="O578">
        <v>0.53739999999999999</v>
      </c>
      <c r="P578">
        <v>1.2800000000000001E-2</v>
      </c>
      <c r="Q578">
        <v>4.1999999999999997E-3</v>
      </c>
      <c r="R578">
        <v>0</v>
      </c>
      <c r="S578">
        <v>0</v>
      </c>
      <c r="T578">
        <v>0</v>
      </c>
      <c r="U578">
        <v>0.48599999999999999</v>
      </c>
    </row>
    <row r="579" spans="1:21" x14ac:dyDescent="0.25">
      <c r="A579" t="s">
        <v>616</v>
      </c>
      <c r="B579" t="s">
        <v>3</v>
      </c>
      <c r="C579">
        <v>26</v>
      </c>
      <c r="D579" t="s">
        <v>873</v>
      </c>
      <c r="E579">
        <v>14.2671642120201</v>
      </c>
      <c r="G579">
        <v>0.66900000000000004</v>
      </c>
      <c r="H579">
        <v>3.4460000000000002</v>
      </c>
      <c r="K579">
        <v>0.16400000000000001</v>
      </c>
      <c r="L579">
        <v>0.505</v>
      </c>
      <c r="M579">
        <v>4.6474000000000002</v>
      </c>
      <c r="N579">
        <v>4.8810000000000002</v>
      </c>
      <c r="O579">
        <v>1.1671</v>
      </c>
      <c r="P579">
        <v>0.1217</v>
      </c>
      <c r="Q579">
        <v>5.3999999999999999E-2</v>
      </c>
      <c r="R579">
        <v>0</v>
      </c>
      <c r="S579">
        <v>0</v>
      </c>
      <c r="T579">
        <v>0</v>
      </c>
      <c r="U579">
        <v>0.80500000000000005</v>
      </c>
    </row>
    <row r="580" spans="1:21" x14ac:dyDescent="0.25">
      <c r="A580" t="s">
        <v>1055</v>
      </c>
      <c r="B580" t="s">
        <v>3</v>
      </c>
      <c r="C580">
        <v>26</v>
      </c>
      <c r="D580" t="s">
        <v>87</v>
      </c>
      <c r="E580">
        <v>15.0032550789007</v>
      </c>
      <c r="G580">
        <v>0.7722</v>
      </c>
      <c r="H580">
        <v>3.9729999999999999</v>
      </c>
      <c r="K580">
        <v>0.17419999999999999</v>
      </c>
      <c r="L580">
        <v>0.59799999999999998</v>
      </c>
      <c r="M580">
        <v>7.2111000000000001</v>
      </c>
      <c r="N580">
        <v>5.0119999999999996</v>
      </c>
      <c r="O580">
        <v>0.64739999999999998</v>
      </c>
      <c r="P580">
        <v>4.0899999999999999E-2</v>
      </c>
      <c r="Q580">
        <v>1.5800000000000002E-2</v>
      </c>
      <c r="R580">
        <v>0</v>
      </c>
      <c r="S580">
        <v>0</v>
      </c>
      <c r="T580">
        <v>0</v>
      </c>
      <c r="U580">
        <v>0.71899999999999997</v>
      </c>
    </row>
    <row r="581" spans="1:21" x14ac:dyDescent="0.25">
      <c r="A581" t="s">
        <v>246</v>
      </c>
      <c r="B581" t="s">
        <v>3</v>
      </c>
      <c r="C581">
        <v>26</v>
      </c>
      <c r="D581" t="s">
        <v>11</v>
      </c>
      <c r="E581">
        <v>18.281263968752199</v>
      </c>
      <c r="G581">
        <v>1.7717000000000001</v>
      </c>
      <c r="H581">
        <v>6.1580000000000004</v>
      </c>
      <c r="K581">
        <v>0.49969999999999998</v>
      </c>
      <c r="L581">
        <v>1.272</v>
      </c>
      <c r="M581">
        <v>1.7547999999999999</v>
      </c>
      <c r="N581">
        <v>4.5019999999999998</v>
      </c>
      <c r="O581">
        <v>0.42599999999999999</v>
      </c>
      <c r="P581">
        <v>5.7999999999999996E-3</v>
      </c>
      <c r="Q581">
        <v>1.1999999999999999E-3</v>
      </c>
      <c r="R581">
        <v>0</v>
      </c>
      <c r="S581">
        <v>0</v>
      </c>
      <c r="T581">
        <v>0.54</v>
      </c>
      <c r="U581">
        <v>0.91300000000000003</v>
      </c>
    </row>
    <row r="582" spans="1:21" x14ac:dyDescent="0.25">
      <c r="A582" t="s">
        <v>706</v>
      </c>
      <c r="B582" t="s">
        <v>3</v>
      </c>
      <c r="C582">
        <v>27</v>
      </c>
      <c r="D582" t="s">
        <v>11</v>
      </c>
      <c r="E582">
        <v>12.6537108244666</v>
      </c>
      <c r="G582">
        <v>0.80200000000000005</v>
      </c>
      <c r="H582">
        <v>3.6829999999999998</v>
      </c>
      <c r="K582">
        <v>0.153</v>
      </c>
      <c r="L582">
        <v>0.64900000000000002</v>
      </c>
      <c r="M582">
        <v>5.3148</v>
      </c>
      <c r="N582">
        <v>5.1219999999999999</v>
      </c>
      <c r="O582">
        <v>0.78910000000000002</v>
      </c>
      <c r="P582">
        <v>9.4000000000000004E-3</v>
      </c>
      <c r="Q582">
        <v>2E-3</v>
      </c>
      <c r="R582">
        <v>0</v>
      </c>
      <c r="S582">
        <v>0</v>
      </c>
      <c r="T582">
        <v>0</v>
      </c>
      <c r="U582">
        <v>0.67</v>
      </c>
    </row>
    <row r="583" spans="1:21" x14ac:dyDescent="0.25">
      <c r="A583" t="s">
        <v>1021</v>
      </c>
      <c r="B583" t="s">
        <v>3</v>
      </c>
      <c r="C583">
        <v>24</v>
      </c>
      <c r="D583" t="s">
        <v>1173</v>
      </c>
      <c r="E583">
        <v>14.622669500612799</v>
      </c>
      <c r="G583">
        <v>0.71819999999999995</v>
      </c>
      <c r="H583">
        <v>3.8740000000000001</v>
      </c>
      <c r="K583">
        <v>0.18720000000000001</v>
      </c>
      <c r="L583">
        <v>0.53100000000000003</v>
      </c>
      <c r="M583">
        <v>2.3130999999999999</v>
      </c>
      <c r="N583">
        <v>3.847</v>
      </c>
      <c r="O583">
        <v>0.68689999999999996</v>
      </c>
      <c r="P583">
        <v>1.06E-2</v>
      </c>
      <c r="Q583">
        <v>6.9900000000000004E-2</v>
      </c>
      <c r="R583">
        <v>0</v>
      </c>
      <c r="S583">
        <v>0</v>
      </c>
      <c r="T583">
        <v>0.46</v>
      </c>
      <c r="U583">
        <v>0.89600000000000002</v>
      </c>
    </row>
    <row r="584" spans="1:21" x14ac:dyDescent="0.25">
      <c r="A584" t="s">
        <v>929</v>
      </c>
      <c r="B584" t="s">
        <v>3</v>
      </c>
      <c r="C584">
        <v>30</v>
      </c>
      <c r="D584" t="s">
        <v>14</v>
      </c>
      <c r="E584">
        <v>14.9234262160025</v>
      </c>
      <c r="G584">
        <v>1.2415</v>
      </c>
      <c r="H584">
        <v>4.3259999999999996</v>
      </c>
      <c r="K584">
        <v>0.3735</v>
      </c>
      <c r="L584">
        <v>0.86799999999999999</v>
      </c>
      <c r="M584">
        <v>1.4113</v>
      </c>
      <c r="N584">
        <v>4.5830000000000002</v>
      </c>
      <c r="O584">
        <v>0.50290000000000001</v>
      </c>
      <c r="P584">
        <v>1.84E-2</v>
      </c>
      <c r="Q584">
        <v>6.1000000000000004E-3</v>
      </c>
      <c r="R584">
        <v>0</v>
      </c>
      <c r="S584">
        <v>0</v>
      </c>
      <c r="T584">
        <v>0.44</v>
      </c>
      <c r="U584">
        <v>0.52500000000000002</v>
      </c>
    </row>
    <row r="585" spans="1:21" x14ac:dyDescent="0.25">
      <c r="A585" t="s">
        <v>874</v>
      </c>
      <c r="B585" t="s">
        <v>3</v>
      </c>
      <c r="C585">
        <v>33</v>
      </c>
      <c r="D585" t="s">
        <v>19</v>
      </c>
      <c r="E585">
        <v>14.4662755750035</v>
      </c>
      <c r="G585">
        <v>0.747</v>
      </c>
      <c r="H585">
        <v>3.9220000000000002</v>
      </c>
      <c r="K585">
        <v>0.191</v>
      </c>
      <c r="L585">
        <v>0.55600000000000005</v>
      </c>
      <c r="M585">
        <v>5.5937000000000001</v>
      </c>
      <c r="N585">
        <v>5.1059999999999999</v>
      </c>
      <c r="O585">
        <v>0.78800000000000003</v>
      </c>
      <c r="P585">
        <v>1.89E-2</v>
      </c>
      <c r="Q585">
        <v>1.6999999999999999E-3</v>
      </c>
      <c r="R585">
        <v>0</v>
      </c>
      <c r="S585">
        <v>0</v>
      </c>
      <c r="T585">
        <v>0.56000000000000005</v>
      </c>
      <c r="U585">
        <v>0.66400000000000003</v>
      </c>
    </row>
    <row r="586" spans="1:21" x14ac:dyDescent="0.25">
      <c r="A586" t="s">
        <v>489</v>
      </c>
      <c r="B586" t="s">
        <v>3</v>
      </c>
      <c r="C586">
        <v>33</v>
      </c>
      <c r="D586" t="s">
        <v>5</v>
      </c>
      <c r="E586">
        <v>18.889046694742401</v>
      </c>
      <c r="G586">
        <v>0.96299999999999997</v>
      </c>
      <c r="H586">
        <v>3.1070000000000002</v>
      </c>
      <c r="K586">
        <v>0.153</v>
      </c>
      <c r="L586">
        <v>0.81</v>
      </c>
      <c r="M586">
        <v>1.2170000000000001</v>
      </c>
      <c r="N586">
        <v>3.726</v>
      </c>
      <c r="O586">
        <v>0.34770000000000001</v>
      </c>
      <c r="P586">
        <v>5.3E-3</v>
      </c>
      <c r="Q586">
        <v>1.1000000000000001E-3</v>
      </c>
      <c r="R586">
        <v>0</v>
      </c>
      <c r="S586">
        <v>0</v>
      </c>
      <c r="T586">
        <v>0</v>
      </c>
      <c r="U586">
        <v>0.51400000000000001</v>
      </c>
    </row>
    <row r="587" spans="1:21" x14ac:dyDescent="0.25">
      <c r="A587" t="s">
        <v>509</v>
      </c>
      <c r="B587" t="s">
        <v>3</v>
      </c>
      <c r="C587">
        <v>24</v>
      </c>
      <c r="D587" t="s">
        <v>32</v>
      </c>
      <c r="E587">
        <v>18.060853390699499</v>
      </c>
      <c r="G587">
        <v>0.86219999999999997</v>
      </c>
      <c r="H587">
        <v>3.3679999999999999</v>
      </c>
      <c r="K587">
        <v>0.25619999999999998</v>
      </c>
      <c r="L587">
        <v>0.60599999999999998</v>
      </c>
      <c r="M587">
        <v>2.4224000000000001</v>
      </c>
      <c r="N587">
        <v>5.2350000000000003</v>
      </c>
      <c r="O587">
        <v>0.60170000000000001</v>
      </c>
      <c r="P587">
        <v>7.7999999999999996E-3</v>
      </c>
      <c r="Q587">
        <v>1.6000000000000001E-3</v>
      </c>
      <c r="R587">
        <v>0</v>
      </c>
      <c r="S587">
        <v>0</v>
      </c>
      <c r="T587">
        <v>0.49</v>
      </c>
      <c r="U587">
        <v>1.7070000000000001</v>
      </c>
    </row>
    <row r="588" spans="1:21" x14ac:dyDescent="0.25">
      <c r="A588" t="s">
        <v>469</v>
      </c>
      <c r="B588" t="s">
        <v>3</v>
      </c>
      <c r="C588">
        <v>30</v>
      </c>
      <c r="D588" t="s">
        <v>8</v>
      </c>
      <c r="E588">
        <v>15.2052548491236</v>
      </c>
      <c r="G588">
        <v>0.67410000000000003</v>
      </c>
      <c r="H588">
        <v>3.4649999999999999</v>
      </c>
      <c r="K588">
        <v>0.19209999999999999</v>
      </c>
      <c r="L588">
        <v>0.48199999999999998</v>
      </c>
      <c r="M588">
        <v>5.3368000000000002</v>
      </c>
      <c r="N588">
        <v>4.7889999999999997</v>
      </c>
      <c r="O588">
        <v>0.95320000000000005</v>
      </c>
      <c r="P588">
        <v>4.7300000000000002E-2</v>
      </c>
      <c r="Q588">
        <v>2.4899999999999999E-2</v>
      </c>
      <c r="R588">
        <v>0</v>
      </c>
      <c r="S588">
        <v>0</v>
      </c>
      <c r="T588">
        <v>0.51</v>
      </c>
      <c r="U588">
        <v>1.159</v>
      </c>
    </row>
    <row r="589" spans="1:21" x14ac:dyDescent="0.25">
      <c r="A589" t="s">
        <v>904</v>
      </c>
      <c r="B589" t="s">
        <v>3</v>
      </c>
      <c r="C589">
        <v>27</v>
      </c>
      <c r="D589" t="s">
        <v>36</v>
      </c>
      <c r="E589">
        <v>11.5279206859712</v>
      </c>
      <c r="G589">
        <v>0.73150000000000004</v>
      </c>
      <c r="H589">
        <v>3.1869999999999998</v>
      </c>
      <c r="K589">
        <v>8.7499999999999994E-2</v>
      </c>
      <c r="L589">
        <v>0.64400000000000002</v>
      </c>
      <c r="M589">
        <v>6.3451000000000004</v>
      </c>
      <c r="N589">
        <v>3.1709999999999998</v>
      </c>
      <c r="O589">
        <v>0.5</v>
      </c>
      <c r="P589">
        <v>0.1341</v>
      </c>
      <c r="Q589">
        <v>5.67E-2</v>
      </c>
      <c r="R589">
        <v>0</v>
      </c>
      <c r="S589">
        <v>0</v>
      </c>
      <c r="T589">
        <v>0.35</v>
      </c>
      <c r="U589">
        <v>0.68799999999999994</v>
      </c>
    </row>
    <row r="590" spans="1:21" x14ac:dyDescent="0.25">
      <c r="A590" t="s">
        <v>645</v>
      </c>
      <c r="B590" t="s">
        <v>3</v>
      </c>
      <c r="C590">
        <v>34</v>
      </c>
      <c r="D590" t="s">
        <v>1174</v>
      </c>
      <c r="E590">
        <v>11.1468820052719</v>
      </c>
      <c r="G590">
        <v>0.53800000000000003</v>
      </c>
      <c r="H590">
        <v>3.5680000000000001</v>
      </c>
      <c r="K590">
        <v>0.13200000000000001</v>
      </c>
      <c r="L590">
        <v>0.40600000000000003</v>
      </c>
      <c r="M590">
        <v>7.2043999999999997</v>
      </c>
      <c r="N590">
        <v>4.1619999999999999</v>
      </c>
      <c r="O590">
        <v>0.51910000000000001</v>
      </c>
      <c r="P590">
        <v>9.9000000000000008E-3</v>
      </c>
      <c r="Q590">
        <v>2.0999999999999999E-3</v>
      </c>
      <c r="R590">
        <v>0</v>
      </c>
      <c r="S590">
        <v>0</v>
      </c>
      <c r="T590">
        <v>0</v>
      </c>
      <c r="U590">
        <v>0.47599999999999998</v>
      </c>
    </row>
    <row r="591" spans="1:21" x14ac:dyDescent="0.25">
      <c r="A591" t="s">
        <v>875</v>
      </c>
      <c r="B591" t="s">
        <v>3</v>
      </c>
      <c r="C591">
        <v>27</v>
      </c>
      <c r="D591" t="s">
        <v>12</v>
      </c>
      <c r="E591">
        <v>19.078675213119801</v>
      </c>
      <c r="G591">
        <v>1.3924000000000001</v>
      </c>
      <c r="H591">
        <v>4.3979999999999997</v>
      </c>
      <c r="K591">
        <v>0.3024</v>
      </c>
      <c r="L591">
        <v>1.0900000000000001</v>
      </c>
      <c r="M591">
        <v>5.0876000000000001</v>
      </c>
      <c r="N591">
        <v>5.3760000000000003</v>
      </c>
      <c r="O591">
        <v>0.95550000000000002</v>
      </c>
      <c r="P591">
        <v>5.0999999999999997E-2</v>
      </c>
      <c r="Q591" s="1">
        <v>1.46E-2</v>
      </c>
      <c r="R591">
        <v>0</v>
      </c>
      <c r="S591">
        <v>0</v>
      </c>
      <c r="T591">
        <v>0.4</v>
      </c>
      <c r="U591">
        <v>0.89900000000000002</v>
      </c>
    </row>
    <row r="592" spans="1:21" x14ac:dyDescent="0.25">
      <c r="A592" t="s">
        <v>545</v>
      </c>
      <c r="B592" t="s">
        <v>3</v>
      </c>
      <c r="C592">
        <v>35</v>
      </c>
      <c r="D592" t="s">
        <v>6</v>
      </c>
      <c r="E592">
        <v>12.8003053300217</v>
      </c>
      <c r="G592">
        <v>0.77810000000000001</v>
      </c>
      <c r="H592">
        <v>3.407</v>
      </c>
      <c r="K592">
        <v>0.12709999999999999</v>
      </c>
      <c r="L592">
        <v>0.65100000000000002</v>
      </c>
      <c r="M592">
        <v>2.5224000000000002</v>
      </c>
      <c r="N592">
        <v>5.0490000000000004</v>
      </c>
      <c r="O592">
        <v>1.2932999999999999</v>
      </c>
      <c r="P592">
        <v>4.7699999999999999E-2</v>
      </c>
      <c r="Q592">
        <v>0.32819999999999999</v>
      </c>
      <c r="R592">
        <v>0</v>
      </c>
      <c r="S592">
        <v>0</v>
      </c>
      <c r="T592">
        <v>0.38</v>
      </c>
      <c r="U592">
        <v>0.91400000000000003</v>
      </c>
    </row>
    <row r="593" spans="1:21" x14ac:dyDescent="0.25">
      <c r="A593" t="s">
        <v>1067</v>
      </c>
      <c r="B593" t="s">
        <v>3</v>
      </c>
      <c r="C593">
        <v>29</v>
      </c>
      <c r="D593" t="s">
        <v>8</v>
      </c>
      <c r="E593">
        <v>15.4910758270749</v>
      </c>
      <c r="G593">
        <v>0.85089999999999999</v>
      </c>
      <c r="H593">
        <v>3.9910000000000001</v>
      </c>
      <c r="K593">
        <v>0.15690000000000001</v>
      </c>
      <c r="L593">
        <v>0.69399999999999995</v>
      </c>
      <c r="M593">
        <v>1.8633999999999999</v>
      </c>
      <c r="N593">
        <v>4.0350000000000001</v>
      </c>
      <c r="O593">
        <v>0.65990000000000004</v>
      </c>
      <c r="P593">
        <v>3.6600000000000001E-2</v>
      </c>
      <c r="Q593">
        <v>1.41E-2</v>
      </c>
      <c r="R593">
        <v>0</v>
      </c>
      <c r="S593">
        <v>0</v>
      </c>
      <c r="T593">
        <v>0</v>
      </c>
      <c r="U593">
        <v>0.24</v>
      </c>
    </row>
    <row r="594" spans="1:21" x14ac:dyDescent="0.25">
      <c r="A594" t="s">
        <v>876</v>
      </c>
      <c r="B594" t="s">
        <v>3</v>
      </c>
      <c r="C594">
        <v>35</v>
      </c>
      <c r="D594" t="s">
        <v>1175</v>
      </c>
      <c r="E594">
        <v>17.124666111717101</v>
      </c>
      <c r="G594">
        <v>0.88829999999999998</v>
      </c>
      <c r="H594">
        <v>2.891</v>
      </c>
      <c r="K594">
        <v>0.1043</v>
      </c>
      <c r="L594">
        <v>0.78400000000000003</v>
      </c>
      <c r="M594">
        <v>1.9400999999999999</v>
      </c>
      <c r="N594">
        <v>6.4889999999999999</v>
      </c>
      <c r="O594">
        <v>0.50180000000000002</v>
      </c>
      <c r="P594">
        <v>2.01E-2</v>
      </c>
      <c r="Q594">
        <v>1.2999999999999999E-3</v>
      </c>
      <c r="R594">
        <v>0</v>
      </c>
      <c r="S594">
        <v>0</v>
      </c>
      <c r="T594" t="s">
        <v>1054</v>
      </c>
      <c r="U594">
        <v>0.495</v>
      </c>
    </row>
    <row r="595" spans="1:21" x14ac:dyDescent="0.25">
      <c r="A595" t="s">
        <v>508</v>
      </c>
      <c r="B595" t="s">
        <v>3</v>
      </c>
      <c r="C595">
        <v>31</v>
      </c>
      <c r="D595" t="s">
        <v>16</v>
      </c>
      <c r="E595">
        <v>19</v>
      </c>
      <c r="G595">
        <v>0.93240000000000001</v>
      </c>
      <c r="H595">
        <v>3.823</v>
      </c>
      <c r="K595">
        <v>0.16639999999999999</v>
      </c>
      <c r="L595">
        <v>0.76600000000000001</v>
      </c>
      <c r="M595">
        <v>3.5602999999999998</v>
      </c>
      <c r="N595">
        <v>4.0650000000000004</v>
      </c>
      <c r="O595">
        <v>0.38679999999999998</v>
      </c>
      <c r="P595">
        <v>5.7999999999999996E-3</v>
      </c>
      <c r="Q595">
        <v>1.1999999999999999E-3</v>
      </c>
      <c r="R595">
        <v>0</v>
      </c>
      <c r="S595">
        <v>0</v>
      </c>
      <c r="T595">
        <v>0</v>
      </c>
      <c r="U595">
        <v>0.49299999999999999</v>
      </c>
    </row>
    <row r="596" spans="1:21" x14ac:dyDescent="0.25">
      <c r="A596" t="s">
        <v>573</v>
      </c>
      <c r="B596" t="s">
        <v>3</v>
      </c>
      <c r="C596">
        <v>32</v>
      </c>
      <c r="D596" t="s">
        <v>1163</v>
      </c>
      <c r="E596">
        <v>14.7515414318861</v>
      </c>
      <c r="G596">
        <v>0.86529999999999996</v>
      </c>
      <c r="H596">
        <v>4.9770000000000003</v>
      </c>
      <c r="K596">
        <v>0.24729999999999999</v>
      </c>
      <c r="L596">
        <v>0.61799999999999999</v>
      </c>
      <c r="M596">
        <v>6.2649999999999997</v>
      </c>
      <c r="N596">
        <v>3.306</v>
      </c>
      <c r="O596">
        <v>0.87409999999999999</v>
      </c>
      <c r="P596">
        <v>4.02E-2</v>
      </c>
      <c r="Q596">
        <v>1.8E-3</v>
      </c>
      <c r="R596">
        <v>0</v>
      </c>
      <c r="S596">
        <v>0</v>
      </c>
      <c r="T596" t="s">
        <v>1054</v>
      </c>
      <c r="U596">
        <v>0.56299999999999994</v>
      </c>
    </row>
    <row r="597" spans="1:21" x14ac:dyDescent="0.25">
      <c r="A597" t="s">
        <v>365</v>
      </c>
      <c r="B597" t="s">
        <v>3</v>
      </c>
      <c r="C597">
        <v>31</v>
      </c>
      <c r="D597" t="s">
        <v>14</v>
      </c>
      <c r="E597">
        <v>20.647293906861101</v>
      </c>
      <c r="G597">
        <v>0.90480000000000005</v>
      </c>
      <c r="H597">
        <v>4.59</v>
      </c>
      <c r="K597">
        <v>0.2248</v>
      </c>
      <c r="L597">
        <v>0.68</v>
      </c>
      <c r="M597">
        <v>3.3691</v>
      </c>
      <c r="N597">
        <v>6.1239999999999997</v>
      </c>
      <c r="O597">
        <v>0.41589999999999999</v>
      </c>
      <c r="P597">
        <v>1.67E-2</v>
      </c>
      <c r="Q597" s="1">
        <v>1E-3</v>
      </c>
      <c r="R597">
        <v>0</v>
      </c>
      <c r="S597">
        <v>0</v>
      </c>
      <c r="T597">
        <v>0</v>
      </c>
      <c r="U597">
        <v>0.27200000000000002</v>
      </c>
    </row>
    <row r="598" spans="1:21" x14ac:dyDescent="0.25">
      <c r="A598" t="s">
        <v>931</v>
      </c>
      <c r="B598" t="s">
        <v>3</v>
      </c>
      <c r="C598">
        <v>27</v>
      </c>
      <c r="D598" t="s">
        <v>5</v>
      </c>
      <c r="E598">
        <v>14.192753611619199</v>
      </c>
      <c r="G598">
        <v>0.68659999999999999</v>
      </c>
      <c r="H598">
        <v>3.1059999999999999</v>
      </c>
      <c r="K598">
        <v>8.4599999999999995E-2</v>
      </c>
      <c r="L598">
        <v>0.60199999999999998</v>
      </c>
      <c r="M598">
        <v>3.0524</v>
      </c>
      <c r="N598">
        <v>3.5150000000000001</v>
      </c>
      <c r="O598">
        <v>0.58509999999999995</v>
      </c>
      <c r="P598">
        <v>1.8100000000000002E-2</v>
      </c>
      <c r="Q598">
        <v>6.0000000000000001E-3</v>
      </c>
      <c r="R598">
        <v>0</v>
      </c>
      <c r="S598">
        <v>0</v>
      </c>
      <c r="T598" t="s">
        <v>1054</v>
      </c>
      <c r="U598">
        <v>0.40600000000000003</v>
      </c>
    </row>
    <row r="599" spans="1:21" x14ac:dyDescent="0.25">
      <c r="A599" t="s">
        <v>584</v>
      </c>
      <c r="B599" t="s">
        <v>3</v>
      </c>
      <c r="C599">
        <v>29</v>
      </c>
      <c r="D599" t="s">
        <v>4</v>
      </c>
      <c r="E599">
        <v>14.802778323920901</v>
      </c>
      <c r="G599">
        <v>0.87809999999999999</v>
      </c>
      <c r="H599">
        <v>3.9969999999999999</v>
      </c>
      <c r="K599">
        <v>0.19209999999999999</v>
      </c>
      <c r="L599">
        <v>0.68600000000000005</v>
      </c>
      <c r="M599">
        <v>8.1297999999999995</v>
      </c>
      <c r="N599">
        <v>5.085</v>
      </c>
      <c r="O599">
        <v>0.81699999999999995</v>
      </c>
      <c r="P599">
        <v>0.15040000000000001</v>
      </c>
      <c r="Q599">
        <v>1.5E-3</v>
      </c>
      <c r="R599">
        <v>0</v>
      </c>
      <c r="S599">
        <v>0</v>
      </c>
      <c r="T599">
        <v>0.55000000000000004</v>
      </c>
      <c r="U599">
        <v>0.93</v>
      </c>
    </row>
    <row r="600" spans="1:21" x14ac:dyDescent="0.25">
      <c r="A600" t="s">
        <v>932</v>
      </c>
      <c r="B600" t="s">
        <v>3</v>
      </c>
      <c r="C600">
        <v>28</v>
      </c>
      <c r="D600" t="s">
        <v>901</v>
      </c>
      <c r="E600">
        <v>14.127129110913501</v>
      </c>
      <c r="G600">
        <v>0.93899999999999995</v>
      </c>
      <c r="H600">
        <v>4.218</v>
      </c>
      <c r="K600">
        <v>0.26700000000000002</v>
      </c>
      <c r="L600">
        <v>0.67200000000000004</v>
      </c>
      <c r="M600">
        <v>7.2359</v>
      </c>
      <c r="N600">
        <v>4.5739999999999998</v>
      </c>
      <c r="O600">
        <v>1.0253000000000001</v>
      </c>
      <c r="P600">
        <v>0.26250000000000001</v>
      </c>
      <c r="Q600">
        <v>0.1118</v>
      </c>
      <c r="R600">
        <v>0</v>
      </c>
      <c r="S600">
        <v>0</v>
      </c>
      <c r="T600">
        <v>0.54</v>
      </c>
      <c r="U600">
        <v>0.80900000000000005</v>
      </c>
    </row>
    <row r="601" spans="1:21" x14ac:dyDescent="0.25">
      <c r="A601" t="s">
        <v>338</v>
      </c>
      <c r="B601" t="s">
        <v>3</v>
      </c>
      <c r="C601">
        <v>31</v>
      </c>
      <c r="D601" t="s">
        <v>21</v>
      </c>
      <c r="E601">
        <v>17.254933380292901</v>
      </c>
      <c r="G601">
        <v>0.54820000000000002</v>
      </c>
      <c r="H601">
        <v>3.53</v>
      </c>
      <c r="K601">
        <v>0.16220000000000001</v>
      </c>
      <c r="L601">
        <v>0.38600000000000001</v>
      </c>
      <c r="M601">
        <v>6.7850999999999999</v>
      </c>
      <c r="N601">
        <v>6.8979999999999997</v>
      </c>
      <c r="O601">
        <v>0.99150000000000005</v>
      </c>
      <c r="P601">
        <v>0.12189999999999999</v>
      </c>
      <c r="Q601">
        <v>1.5E-3</v>
      </c>
      <c r="R601">
        <v>0</v>
      </c>
      <c r="S601">
        <v>0</v>
      </c>
      <c r="T601">
        <v>0</v>
      </c>
      <c r="U601">
        <v>0.316</v>
      </c>
    </row>
    <row r="602" spans="1:21" x14ac:dyDescent="0.25">
      <c r="A602" t="s">
        <v>757</v>
      </c>
      <c r="B602" t="s">
        <v>3</v>
      </c>
      <c r="C602">
        <v>26</v>
      </c>
      <c r="D602" t="s">
        <v>30</v>
      </c>
      <c r="E602">
        <v>14.543486429891701</v>
      </c>
      <c r="G602">
        <v>1.2499</v>
      </c>
      <c r="H602">
        <v>3.3540000000000001</v>
      </c>
      <c r="K602">
        <v>0.2049</v>
      </c>
      <c r="L602">
        <v>1.0449999999999999</v>
      </c>
      <c r="M602">
        <v>4.7733999999999996</v>
      </c>
      <c r="N602">
        <v>4.0979999999999999</v>
      </c>
      <c r="O602">
        <v>0.98809999999999998</v>
      </c>
      <c r="P602">
        <v>2.18E-2</v>
      </c>
      <c r="Q602">
        <v>6.0000000000000001E-3</v>
      </c>
      <c r="R602">
        <v>0</v>
      </c>
      <c r="S602">
        <v>0</v>
      </c>
      <c r="T602">
        <v>0.53</v>
      </c>
      <c r="U602">
        <v>0.57999999999999996</v>
      </c>
    </row>
    <row r="603" spans="1:21" x14ac:dyDescent="0.25">
      <c r="A603" t="s">
        <v>1176</v>
      </c>
      <c r="B603" t="s">
        <v>3</v>
      </c>
      <c r="C603">
        <v>31</v>
      </c>
      <c r="D603" t="s">
        <v>18</v>
      </c>
      <c r="E603">
        <v>13.7392649558396</v>
      </c>
      <c r="G603">
        <v>0.79700000000000004</v>
      </c>
      <c r="H603">
        <v>4.0149999999999997</v>
      </c>
      <c r="K603">
        <v>0.23400000000000001</v>
      </c>
      <c r="L603">
        <v>0.56299999999999994</v>
      </c>
      <c r="M603">
        <v>3.7863000000000002</v>
      </c>
      <c r="N603">
        <v>4.8109999999999999</v>
      </c>
      <c r="O603">
        <v>0.82140000000000002</v>
      </c>
      <c r="P603">
        <v>7.8E-2</v>
      </c>
      <c r="Q603">
        <v>6.7400000000000002E-2</v>
      </c>
      <c r="R603">
        <v>0</v>
      </c>
      <c r="S603">
        <v>0</v>
      </c>
      <c r="T603">
        <v>0</v>
      </c>
      <c r="U603">
        <v>0.36499999999999999</v>
      </c>
    </row>
    <row r="604" spans="1:21" x14ac:dyDescent="0.25">
      <c r="A604" t="s">
        <v>343</v>
      </c>
      <c r="B604" t="s">
        <v>3</v>
      </c>
      <c r="C604">
        <v>30</v>
      </c>
      <c r="D604" t="s">
        <v>23</v>
      </c>
      <c r="E604">
        <v>18.5522299706194</v>
      </c>
      <c r="G604">
        <v>1.1285000000000001</v>
      </c>
      <c r="H604">
        <v>3.7669999999999999</v>
      </c>
      <c r="K604">
        <v>0.27550000000000002</v>
      </c>
      <c r="L604">
        <v>0.85299999999999998</v>
      </c>
      <c r="M604">
        <v>1.9094</v>
      </c>
      <c r="N604">
        <v>3.976</v>
      </c>
      <c r="O604">
        <v>0.83540000000000003</v>
      </c>
      <c r="P604">
        <v>3.04E-2</v>
      </c>
      <c r="Q604" s="1">
        <v>1.9900000000000001E-2</v>
      </c>
      <c r="R604">
        <v>0</v>
      </c>
      <c r="S604">
        <v>0</v>
      </c>
      <c r="T604">
        <v>0.37</v>
      </c>
      <c r="U604">
        <v>1.4079999999999999</v>
      </c>
    </row>
    <row r="605" spans="1:21" x14ac:dyDescent="0.25">
      <c r="A605" t="s">
        <v>1056</v>
      </c>
      <c r="B605" t="s">
        <v>3</v>
      </c>
      <c r="C605">
        <v>27</v>
      </c>
      <c r="D605" t="s">
        <v>1172</v>
      </c>
      <c r="E605">
        <v>17.788658141856398</v>
      </c>
      <c r="G605">
        <v>0.82020000000000004</v>
      </c>
      <c r="H605">
        <v>4.9630000000000001</v>
      </c>
      <c r="K605">
        <v>0.28620000000000001</v>
      </c>
      <c r="L605">
        <v>0.53400000000000003</v>
      </c>
      <c r="M605">
        <v>1.5085</v>
      </c>
      <c r="N605">
        <v>4.476</v>
      </c>
      <c r="O605">
        <v>0.51219999999999999</v>
      </c>
      <c r="P605">
        <v>2.3099999999999999E-2</v>
      </c>
      <c r="Q605">
        <v>6.4999999999999997E-3</v>
      </c>
      <c r="R605">
        <v>0</v>
      </c>
      <c r="S605">
        <v>0</v>
      </c>
      <c r="T605">
        <v>0.5</v>
      </c>
      <c r="U605">
        <v>0.91100000000000003</v>
      </c>
    </row>
    <row r="606" spans="1:21" x14ac:dyDescent="0.25">
      <c r="A606" t="s">
        <v>534</v>
      </c>
      <c r="B606" t="s">
        <v>3</v>
      </c>
      <c r="C606">
        <v>26</v>
      </c>
      <c r="D606" t="s">
        <v>7</v>
      </c>
      <c r="E606">
        <v>15.034511365459799</v>
      </c>
      <c r="G606">
        <v>0.91720000000000002</v>
      </c>
      <c r="H606">
        <v>4.3769999999999998</v>
      </c>
      <c r="K606">
        <v>0.1762</v>
      </c>
      <c r="L606">
        <v>0.74099999999999999</v>
      </c>
      <c r="M606">
        <v>2.8429000000000002</v>
      </c>
      <c r="N606">
        <v>5.2969999999999997</v>
      </c>
      <c r="O606">
        <v>0.85160000000000002</v>
      </c>
      <c r="P606">
        <v>7.1999999999999998E-3</v>
      </c>
      <c r="Q606">
        <v>1.5E-3</v>
      </c>
      <c r="R606">
        <v>0</v>
      </c>
      <c r="S606">
        <v>0</v>
      </c>
      <c r="T606">
        <v>0</v>
      </c>
      <c r="U606">
        <v>0.48599999999999999</v>
      </c>
    </row>
    <row r="607" spans="1:21" x14ac:dyDescent="0.25">
      <c r="A607" t="s">
        <v>267</v>
      </c>
      <c r="B607" t="s">
        <v>3</v>
      </c>
      <c r="C607">
        <v>29</v>
      </c>
      <c r="D607" t="s">
        <v>16</v>
      </c>
      <c r="E607">
        <v>18.496531691680101</v>
      </c>
      <c r="G607">
        <v>1.1581999999999999</v>
      </c>
      <c r="H607">
        <v>6.125</v>
      </c>
      <c r="K607">
        <v>0.30220000000000002</v>
      </c>
      <c r="L607">
        <v>0.85599999999999998</v>
      </c>
      <c r="M607">
        <v>5.7892999999999999</v>
      </c>
      <c r="N607">
        <v>4.8780000000000001</v>
      </c>
      <c r="O607">
        <v>0.98029999999999995</v>
      </c>
      <c r="P607">
        <v>3.8100000000000002E-2</v>
      </c>
      <c r="Q607" s="1">
        <v>2.69E-2</v>
      </c>
      <c r="R607">
        <v>0</v>
      </c>
      <c r="S607">
        <v>0</v>
      </c>
      <c r="T607">
        <v>0</v>
      </c>
      <c r="U607">
        <v>0.27800000000000002</v>
      </c>
    </row>
    <row r="608" spans="1:21" x14ac:dyDescent="0.25">
      <c r="A608" t="s">
        <v>1057</v>
      </c>
      <c r="B608" t="s">
        <v>3</v>
      </c>
      <c r="C608">
        <v>28</v>
      </c>
      <c r="D608" t="s">
        <v>19</v>
      </c>
      <c r="E608">
        <v>17.262647707462701</v>
      </c>
      <c r="G608">
        <v>0.92100000000000004</v>
      </c>
      <c r="H608">
        <v>4.2729999999999997</v>
      </c>
      <c r="K608">
        <v>0.20100000000000001</v>
      </c>
      <c r="L608">
        <v>0.72</v>
      </c>
      <c r="M608">
        <v>3.2759999999999998</v>
      </c>
      <c r="N608">
        <v>4.1550000000000002</v>
      </c>
      <c r="O608">
        <v>0.41770000000000002</v>
      </c>
      <c r="P608">
        <v>2.7699999999999999E-2</v>
      </c>
      <c r="Q608">
        <v>3.0999999999999999E-3</v>
      </c>
      <c r="R608">
        <v>0</v>
      </c>
      <c r="S608">
        <v>0</v>
      </c>
      <c r="T608">
        <v>0</v>
      </c>
      <c r="U608">
        <v>0.55200000000000005</v>
      </c>
    </row>
    <row r="609" spans="1:21" x14ac:dyDescent="0.25">
      <c r="A609" t="s">
        <v>1177</v>
      </c>
      <c r="B609" t="s">
        <v>3</v>
      </c>
      <c r="C609">
        <v>21</v>
      </c>
      <c r="D609" t="s">
        <v>23</v>
      </c>
      <c r="E609">
        <v>17.5</v>
      </c>
      <c r="G609">
        <v>0.93479999999999996</v>
      </c>
      <c r="H609">
        <v>3.88</v>
      </c>
      <c r="K609">
        <v>0.14380000000000001</v>
      </c>
      <c r="L609">
        <v>0.79100000000000004</v>
      </c>
      <c r="M609">
        <v>2.0817000000000001</v>
      </c>
      <c r="N609">
        <v>4.5279999999999996</v>
      </c>
      <c r="O609">
        <v>0.9335</v>
      </c>
      <c r="P609">
        <v>2.4E-2</v>
      </c>
      <c r="Q609">
        <v>8.0999999999999996E-3</v>
      </c>
      <c r="R609">
        <v>0</v>
      </c>
      <c r="S609">
        <v>0</v>
      </c>
      <c r="T609">
        <v>0.49</v>
      </c>
      <c r="U609">
        <v>0.44600000000000001</v>
      </c>
    </row>
    <row r="610" spans="1:21" x14ac:dyDescent="0.25">
      <c r="A610" t="s">
        <v>403</v>
      </c>
      <c r="B610" t="s">
        <v>3</v>
      </c>
      <c r="C610">
        <v>34</v>
      </c>
      <c r="D610" t="s">
        <v>6</v>
      </c>
      <c r="E610">
        <v>17.1230136161813</v>
      </c>
      <c r="G610">
        <v>1.0726</v>
      </c>
      <c r="H610">
        <v>2.9929999999999999</v>
      </c>
      <c r="K610">
        <v>0.21060000000000001</v>
      </c>
      <c r="L610">
        <v>0.86199999999999999</v>
      </c>
      <c r="M610">
        <v>3.1598000000000002</v>
      </c>
      <c r="N610">
        <v>6.9180000000000001</v>
      </c>
      <c r="O610">
        <v>0.7026</v>
      </c>
      <c r="P610">
        <v>7.1000000000000004E-3</v>
      </c>
      <c r="Q610" s="1">
        <v>4.6300000000000001E-2</v>
      </c>
      <c r="R610">
        <v>0</v>
      </c>
      <c r="S610">
        <v>0</v>
      </c>
      <c r="T610">
        <v>0.52</v>
      </c>
      <c r="U610">
        <v>0.96299999999999997</v>
      </c>
    </row>
    <row r="611" spans="1:21" x14ac:dyDescent="0.25">
      <c r="A611" t="s">
        <v>1178</v>
      </c>
      <c r="B611" t="s">
        <v>3</v>
      </c>
      <c r="C611">
        <v>25</v>
      </c>
      <c r="D611" t="s">
        <v>1179</v>
      </c>
      <c r="E611">
        <v>14.7773102720978</v>
      </c>
      <c r="G611">
        <v>0.74780000000000002</v>
      </c>
      <c r="H611">
        <v>3.3719999999999999</v>
      </c>
      <c r="K611">
        <v>0.1598</v>
      </c>
      <c r="L611">
        <v>0.58799999999999997</v>
      </c>
      <c r="M611">
        <v>1.8835</v>
      </c>
      <c r="N611">
        <v>4.6390000000000002</v>
      </c>
      <c r="O611">
        <v>0.63260000000000005</v>
      </c>
      <c r="P611">
        <v>2.8500000000000001E-2</v>
      </c>
      <c r="Q611">
        <v>8.1299999999999997E-2</v>
      </c>
      <c r="R611">
        <v>0</v>
      </c>
      <c r="S611">
        <v>0</v>
      </c>
      <c r="T611">
        <v>0.43</v>
      </c>
      <c r="U611">
        <v>1.3979999999999999</v>
      </c>
    </row>
    <row r="612" spans="1:21" x14ac:dyDescent="0.25">
      <c r="A612" t="s">
        <v>1058</v>
      </c>
      <c r="B612" t="s">
        <v>3</v>
      </c>
      <c r="C612">
        <v>28</v>
      </c>
      <c r="D612" t="s">
        <v>22</v>
      </c>
      <c r="E612">
        <v>12.4318672911902</v>
      </c>
      <c r="G612">
        <v>0.92789999999999995</v>
      </c>
      <c r="H612">
        <v>3.4630000000000001</v>
      </c>
      <c r="K612">
        <v>0.16789999999999999</v>
      </c>
      <c r="L612">
        <v>0.76</v>
      </c>
      <c r="M612">
        <v>7.8948</v>
      </c>
      <c r="N612">
        <v>5.9109999999999996</v>
      </c>
      <c r="O612">
        <v>0.46400000000000002</v>
      </c>
      <c r="P612">
        <v>0.39100000000000001</v>
      </c>
      <c r="Q612">
        <v>6.4999999999999997E-3</v>
      </c>
      <c r="R612">
        <v>0</v>
      </c>
      <c r="S612">
        <v>0</v>
      </c>
      <c r="T612">
        <v>0.44</v>
      </c>
      <c r="U612">
        <v>0.93600000000000005</v>
      </c>
    </row>
    <row r="613" spans="1:21" x14ac:dyDescent="0.25">
      <c r="A613" t="s">
        <v>553</v>
      </c>
      <c r="B613" t="s">
        <v>3</v>
      </c>
      <c r="C613">
        <v>32</v>
      </c>
      <c r="D613" t="s">
        <v>12</v>
      </c>
      <c r="E613">
        <v>14.7793624096531</v>
      </c>
      <c r="G613">
        <v>0.62329999999999997</v>
      </c>
      <c r="H613">
        <v>2.5760000000000001</v>
      </c>
      <c r="K613">
        <v>0.1113</v>
      </c>
      <c r="L613">
        <v>0.51200000000000001</v>
      </c>
      <c r="M613">
        <v>4.9440999999999997</v>
      </c>
      <c r="N613">
        <v>5.016</v>
      </c>
      <c r="O613">
        <v>0.70279999999999998</v>
      </c>
      <c r="P613">
        <v>8.48E-2</v>
      </c>
      <c r="Q613">
        <v>2.4400000000000002E-2</v>
      </c>
      <c r="R613">
        <v>0</v>
      </c>
      <c r="S613">
        <v>0</v>
      </c>
      <c r="T613">
        <v>0.46</v>
      </c>
      <c r="U613">
        <v>0.57299999999999995</v>
      </c>
    </row>
    <row r="614" spans="1:21" x14ac:dyDescent="0.25">
      <c r="A614" t="s">
        <v>346</v>
      </c>
      <c r="B614" t="s">
        <v>3</v>
      </c>
      <c r="C614">
        <v>30</v>
      </c>
      <c r="D614" t="s">
        <v>11</v>
      </c>
      <c r="E614">
        <v>19.009054320336599</v>
      </c>
      <c r="G614">
        <v>1.5962000000000001</v>
      </c>
      <c r="H614">
        <v>5.3019999999999996</v>
      </c>
      <c r="K614">
        <v>0.3372</v>
      </c>
      <c r="L614">
        <v>1.2589999999999999</v>
      </c>
      <c r="M614">
        <v>2.3609</v>
      </c>
      <c r="N614">
        <v>3.7629999999999999</v>
      </c>
      <c r="O614">
        <v>0.41699999999999998</v>
      </c>
      <c r="P614">
        <v>5.3E-3</v>
      </c>
      <c r="Q614">
        <v>1.1000000000000001E-3</v>
      </c>
      <c r="R614">
        <v>0</v>
      </c>
      <c r="S614">
        <v>0</v>
      </c>
      <c r="T614">
        <v>0</v>
      </c>
      <c r="U614">
        <v>0.2</v>
      </c>
    </row>
    <row r="615" spans="1:21" x14ac:dyDescent="0.25">
      <c r="A615" t="s">
        <v>577</v>
      </c>
      <c r="B615" t="s">
        <v>3</v>
      </c>
      <c r="C615">
        <v>34</v>
      </c>
      <c r="D615" t="s">
        <v>31</v>
      </c>
      <c r="E615">
        <v>14.5129463319903</v>
      </c>
      <c r="G615">
        <v>0.96579999999999999</v>
      </c>
      <c r="H615">
        <v>3.7480000000000002</v>
      </c>
      <c r="K615">
        <v>0.17680000000000001</v>
      </c>
      <c r="L615">
        <v>0.78900000000000003</v>
      </c>
      <c r="M615">
        <v>5.2378999999999998</v>
      </c>
      <c r="N615">
        <v>4.2350000000000003</v>
      </c>
      <c r="O615">
        <v>0.80369999999999997</v>
      </c>
      <c r="P615">
        <v>3.4799999999999998E-2</v>
      </c>
      <c r="Q615">
        <v>1.89E-2</v>
      </c>
      <c r="R615">
        <v>0</v>
      </c>
      <c r="S615">
        <v>0</v>
      </c>
      <c r="T615">
        <v>0</v>
      </c>
      <c r="U615">
        <v>0.377</v>
      </c>
    </row>
    <row r="616" spans="1:21" x14ac:dyDescent="0.25">
      <c r="A616" t="s">
        <v>449</v>
      </c>
      <c r="B616" t="s">
        <v>3</v>
      </c>
      <c r="C616">
        <v>33</v>
      </c>
      <c r="D616" t="s">
        <v>34</v>
      </c>
      <c r="E616">
        <v>16.300108344803199</v>
      </c>
      <c r="G616">
        <v>1.0819000000000001</v>
      </c>
      <c r="H616">
        <v>5.01</v>
      </c>
      <c r="K616">
        <v>0.27089999999999997</v>
      </c>
      <c r="L616">
        <v>0.81100000000000005</v>
      </c>
      <c r="M616">
        <v>4.3670999999999998</v>
      </c>
      <c r="N616">
        <v>3.4209999999999998</v>
      </c>
      <c r="O616">
        <v>0.6351</v>
      </c>
      <c r="P616">
        <v>5.8999999999999999E-3</v>
      </c>
      <c r="Q616" s="1">
        <v>1.5900000000000001E-2</v>
      </c>
      <c r="R616">
        <v>0</v>
      </c>
      <c r="S616">
        <v>0</v>
      </c>
      <c r="T616">
        <v>0.49</v>
      </c>
      <c r="U616">
        <v>0.59799999999999998</v>
      </c>
    </row>
    <row r="617" spans="1:21" x14ac:dyDescent="0.25">
      <c r="A617" t="s">
        <v>279</v>
      </c>
      <c r="B617" t="s">
        <v>3</v>
      </c>
      <c r="C617">
        <v>31</v>
      </c>
      <c r="D617" t="s">
        <v>27</v>
      </c>
      <c r="E617">
        <v>18.949143923122001</v>
      </c>
      <c r="G617">
        <v>1.4044000000000001</v>
      </c>
      <c r="H617">
        <v>7.8369999999999997</v>
      </c>
      <c r="K617">
        <v>0.32640000000000002</v>
      </c>
      <c r="L617">
        <v>1.0780000000000001</v>
      </c>
      <c r="M617">
        <v>2.1122000000000001</v>
      </c>
      <c r="N617">
        <v>4.0940000000000003</v>
      </c>
      <c r="O617">
        <v>1.0474000000000001</v>
      </c>
      <c r="P617">
        <v>7.6E-3</v>
      </c>
      <c r="Q617">
        <v>1.6000000000000001E-3</v>
      </c>
      <c r="R617">
        <v>0</v>
      </c>
      <c r="S617">
        <v>0</v>
      </c>
      <c r="T617">
        <v>0</v>
      </c>
      <c r="U617">
        <v>0.78700000000000003</v>
      </c>
    </row>
    <row r="618" spans="1:21" x14ac:dyDescent="0.25">
      <c r="A618" t="s">
        <v>274</v>
      </c>
      <c r="B618" t="s">
        <v>3</v>
      </c>
      <c r="C618">
        <v>35</v>
      </c>
      <c r="D618" t="s">
        <v>26</v>
      </c>
      <c r="E618">
        <v>20.319542306967801</v>
      </c>
      <c r="G618">
        <v>1.0509999999999999</v>
      </c>
      <c r="H618">
        <v>3.5680000000000001</v>
      </c>
      <c r="K618">
        <v>0.214</v>
      </c>
      <c r="L618">
        <v>0.83699999999999997</v>
      </c>
      <c r="M618">
        <v>3.1312000000000002</v>
      </c>
      <c r="N618">
        <v>3.8580000000000001</v>
      </c>
      <c r="O618">
        <v>0.78920000000000001</v>
      </c>
      <c r="P618">
        <v>5.7999999999999996E-3</v>
      </c>
      <c r="Q618">
        <v>1.1999999999999999E-3</v>
      </c>
      <c r="R618">
        <v>0</v>
      </c>
      <c r="S618">
        <v>0</v>
      </c>
      <c r="T618">
        <v>0.48</v>
      </c>
      <c r="U618">
        <v>1.0660000000000001</v>
      </c>
    </row>
    <row r="619" spans="1:21" x14ac:dyDescent="0.25">
      <c r="A619" t="s">
        <v>675</v>
      </c>
      <c r="B619" t="s">
        <v>3</v>
      </c>
      <c r="C619">
        <v>26</v>
      </c>
      <c r="D619" t="s">
        <v>34</v>
      </c>
      <c r="E619">
        <v>12.4589282194656</v>
      </c>
      <c r="G619">
        <v>0.95479999999999998</v>
      </c>
      <c r="H619">
        <v>5.9219999999999997</v>
      </c>
      <c r="K619">
        <v>0.14779999999999999</v>
      </c>
      <c r="L619">
        <v>0.80700000000000005</v>
      </c>
      <c r="M619">
        <v>3.1320000000000001</v>
      </c>
      <c r="N619">
        <v>4.0659999999999998</v>
      </c>
      <c r="O619">
        <v>0.56299999999999994</v>
      </c>
      <c r="P619">
        <v>1.84E-2</v>
      </c>
      <c r="Q619">
        <v>6.1000000000000004E-3</v>
      </c>
      <c r="R619">
        <v>0</v>
      </c>
      <c r="S619">
        <v>0</v>
      </c>
      <c r="T619">
        <v>0.48</v>
      </c>
      <c r="U619">
        <v>0.55100000000000005</v>
      </c>
    </row>
    <row r="620" spans="1:21" x14ac:dyDescent="0.25">
      <c r="A620" t="s">
        <v>877</v>
      </c>
      <c r="B620" t="s">
        <v>3</v>
      </c>
      <c r="C620">
        <v>31</v>
      </c>
      <c r="D620" t="s">
        <v>9</v>
      </c>
      <c r="E620">
        <v>18.763098876157098</v>
      </c>
      <c r="G620">
        <v>0.99609999999999999</v>
      </c>
      <c r="H620">
        <v>3.2970000000000002</v>
      </c>
      <c r="K620">
        <v>0.1341</v>
      </c>
      <c r="L620">
        <v>0.86199999999999999</v>
      </c>
      <c r="M620">
        <v>5.43</v>
      </c>
      <c r="N620">
        <v>4.4119999999999999</v>
      </c>
      <c r="O620">
        <v>0.82920000000000005</v>
      </c>
      <c r="P620">
        <v>5.8999999999999999E-3</v>
      </c>
      <c r="Q620">
        <v>1.1999999999999999E-3</v>
      </c>
      <c r="R620">
        <v>0</v>
      </c>
      <c r="S620">
        <v>0</v>
      </c>
      <c r="T620">
        <v>0.43</v>
      </c>
      <c r="U620">
        <v>0.67600000000000005</v>
      </c>
    </row>
    <row r="621" spans="1:21" x14ac:dyDescent="0.25">
      <c r="A621" t="s">
        <v>709</v>
      </c>
      <c r="B621" t="s">
        <v>3</v>
      </c>
      <c r="C621">
        <v>26</v>
      </c>
      <c r="D621" t="s">
        <v>9</v>
      </c>
      <c r="E621">
        <v>13.6100284040273</v>
      </c>
      <c r="G621">
        <v>0.89629999999999999</v>
      </c>
      <c r="H621">
        <v>3.786</v>
      </c>
      <c r="K621">
        <v>0.1013</v>
      </c>
      <c r="L621">
        <v>0.79500000000000004</v>
      </c>
      <c r="M621">
        <v>3.6663000000000001</v>
      </c>
      <c r="N621">
        <v>4.6399999999999997</v>
      </c>
      <c r="O621">
        <v>0.68120000000000003</v>
      </c>
      <c r="P621">
        <v>4.4499999999999998E-2</v>
      </c>
      <c r="Q621" s="1">
        <v>1.9300000000000001E-2</v>
      </c>
      <c r="R621">
        <v>0</v>
      </c>
      <c r="S621">
        <v>0</v>
      </c>
      <c r="T621">
        <v>0.42</v>
      </c>
      <c r="U621">
        <v>1.1559999999999999</v>
      </c>
    </row>
    <row r="622" spans="1:21" x14ac:dyDescent="0.25">
      <c r="A622" t="s">
        <v>520</v>
      </c>
      <c r="B622" t="s">
        <v>3</v>
      </c>
      <c r="C622">
        <v>28</v>
      </c>
      <c r="D622" t="s">
        <v>13</v>
      </c>
      <c r="E622">
        <v>11.201768384591</v>
      </c>
      <c r="G622">
        <v>0.37709999999999999</v>
      </c>
      <c r="H622">
        <v>3.04</v>
      </c>
      <c r="K622">
        <v>0.1181</v>
      </c>
      <c r="L622">
        <v>0.25900000000000001</v>
      </c>
      <c r="M622">
        <v>7.8841999999999999</v>
      </c>
      <c r="N622">
        <v>6.3289999999999997</v>
      </c>
      <c r="O622">
        <v>1.0223</v>
      </c>
      <c r="P622">
        <v>3.0099999999999998E-2</v>
      </c>
      <c r="Q622">
        <v>4.7000000000000002E-3</v>
      </c>
      <c r="R622">
        <v>0</v>
      </c>
      <c r="S622">
        <v>0</v>
      </c>
      <c r="T622">
        <v>0.41</v>
      </c>
      <c r="U622">
        <v>0.72399999999999998</v>
      </c>
    </row>
    <row r="623" spans="1:21" x14ac:dyDescent="0.25">
      <c r="A623" t="s">
        <v>1053</v>
      </c>
      <c r="B623" t="s">
        <v>3</v>
      </c>
      <c r="C623">
        <v>24</v>
      </c>
      <c r="D623" t="s">
        <v>32</v>
      </c>
      <c r="E623">
        <v>14.341379501895601</v>
      </c>
      <c r="G623">
        <v>0.72260000000000002</v>
      </c>
      <c r="H623">
        <v>3.0009999999999999</v>
      </c>
      <c r="K623">
        <v>9.7600000000000006E-2</v>
      </c>
      <c r="L623">
        <v>0.625</v>
      </c>
      <c r="M623">
        <v>2.1703000000000001</v>
      </c>
      <c r="N623">
        <v>5.3639999999999999</v>
      </c>
      <c r="O623">
        <v>0.71309999999999996</v>
      </c>
      <c r="P623">
        <v>1.4999999999999999E-2</v>
      </c>
      <c r="Q623">
        <v>3.3999999999999998E-3</v>
      </c>
      <c r="R623">
        <v>0</v>
      </c>
      <c r="S623">
        <v>0</v>
      </c>
      <c r="T623">
        <v>0.49</v>
      </c>
      <c r="U623">
        <v>1.1970000000000001</v>
      </c>
    </row>
    <row r="624" spans="1:21" x14ac:dyDescent="0.25">
      <c r="A624" t="s">
        <v>515</v>
      </c>
      <c r="B624" t="s">
        <v>3</v>
      </c>
      <c r="C624">
        <v>25</v>
      </c>
      <c r="D624" t="s">
        <v>15</v>
      </c>
      <c r="E624">
        <v>16.25</v>
      </c>
      <c r="G624">
        <v>0.92430000000000001</v>
      </c>
      <c r="H624">
        <v>3.891</v>
      </c>
      <c r="K624">
        <v>0.15229999999999999</v>
      </c>
      <c r="L624">
        <v>0.77200000000000002</v>
      </c>
      <c r="M624">
        <v>2.1838000000000002</v>
      </c>
      <c r="N624">
        <v>5</v>
      </c>
      <c r="O624">
        <v>0.77070000000000005</v>
      </c>
      <c r="P624">
        <v>7.6E-3</v>
      </c>
      <c r="Q624" s="1">
        <v>1.8499999999999999E-2</v>
      </c>
      <c r="R624">
        <v>0</v>
      </c>
      <c r="S624">
        <v>0</v>
      </c>
      <c r="T624">
        <v>0.39</v>
      </c>
      <c r="U624">
        <v>1.319</v>
      </c>
    </row>
    <row r="625" spans="1:21" x14ac:dyDescent="0.25">
      <c r="A625" t="s">
        <v>383</v>
      </c>
      <c r="B625" t="s">
        <v>3</v>
      </c>
      <c r="C625">
        <v>27</v>
      </c>
      <c r="D625" t="s">
        <v>19</v>
      </c>
      <c r="E625">
        <v>16.284787766385399</v>
      </c>
      <c r="G625">
        <v>0.80820000000000003</v>
      </c>
      <c r="H625">
        <v>3.41</v>
      </c>
      <c r="K625">
        <v>0.1192</v>
      </c>
      <c r="L625">
        <v>0.68899999999999995</v>
      </c>
      <c r="M625">
        <v>8.3263999999999996</v>
      </c>
      <c r="N625">
        <v>4.2679999999999998</v>
      </c>
      <c r="O625">
        <v>1.0202</v>
      </c>
      <c r="P625">
        <v>0.1004</v>
      </c>
      <c r="Q625" s="1">
        <v>1.8200000000000001E-2</v>
      </c>
      <c r="R625">
        <v>0</v>
      </c>
      <c r="S625">
        <v>0</v>
      </c>
      <c r="T625">
        <v>0.56000000000000005</v>
      </c>
      <c r="U625">
        <v>0.78300000000000003</v>
      </c>
    </row>
    <row r="626" spans="1:21" x14ac:dyDescent="0.25">
      <c r="A626" t="s">
        <v>401</v>
      </c>
      <c r="B626" t="s">
        <v>3</v>
      </c>
      <c r="C626">
        <v>33</v>
      </c>
      <c r="D626" t="s">
        <v>23</v>
      </c>
      <c r="E626">
        <v>16.929937081633899</v>
      </c>
      <c r="G626">
        <v>0.84219999999999995</v>
      </c>
      <c r="H626">
        <v>4.0890000000000004</v>
      </c>
      <c r="K626">
        <v>0.17519999999999999</v>
      </c>
      <c r="L626">
        <v>0.66700000000000004</v>
      </c>
      <c r="M626">
        <v>3.9419</v>
      </c>
      <c r="N626">
        <v>5.0229999999999997</v>
      </c>
      <c r="O626">
        <v>0.79339999999999999</v>
      </c>
      <c r="P626">
        <v>0.15690000000000001</v>
      </c>
      <c r="Q626">
        <v>3.0599999999999999E-2</v>
      </c>
      <c r="R626">
        <v>0</v>
      </c>
      <c r="S626">
        <v>0</v>
      </c>
      <c r="T626">
        <v>0.51</v>
      </c>
      <c r="U626">
        <v>0.96199999999999997</v>
      </c>
    </row>
    <row r="627" spans="1:21" x14ac:dyDescent="0.25">
      <c r="A627" t="s">
        <v>936</v>
      </c>
      <c r="B627" t="s">
        <v>3</v>
      </c>
      <c r="C627">
        <v>32</v>
      </c>
      <c r="D627" t="s">
        <v>937</v>
      </c>
      <c r="E627">
        <v>17.380028522695198</v>
      </c>
      <c r="G627">
        <v>1.1153999999999999</v>
      </c>
      <c r="H627">
        <v>4.58</v>
      </c>
      <c r="K627">
        <v>0.25140000000000001</v>
      </c>
      <c r="L627">
        <v>0.86399999999999999</v>
      </c>
      <c r="M627">
        <v>2.3849999999999998</v>
      </c>
      <c r="N627">
        <v>3.903</v>
      </c>
      <c r="O627">
        <v>0.52110000000000001</v>
      </c>
      <c r="P627">
        <v>2.7400000000000001E-2</v>
      </c>
      <c r="Q627" s="1">
        <v>3.3999999999999998E-3</v>
      </c>
      <c r="R627">
        <v>0</v>
      </c>
      <c r="S627">
        <v>0</v>
      </c>
      <c r="T627">
        <v>0</v>
      </c>
      <c r="U627">
        <v>0.93799999999999994</v>
      </c>
    </row>
    <row r="628" spans="1:21" x14ac:dyDescent="0.25">
      <c r="A628" t="s">
        <v>471</v>
      </c>
      <c r="B628" t="s">
        <v>3</v>
      </c>
      <c r="C628">
        <v>36</v>
      </c>
      <c r="D628" t="s">
        <v>1180</v>
      </c>
      <c r="E628">
        <v>12.5352501636493</v>
      </c>
      <c r="G628">
        <v>0.64159999999999995</v>
      </c>
      <c r="H628">
        <v>4.6550000000000002</v>
      </c>
      <c r="K628">
        <v>0.24060000000000001</v>
      </c>
      <c r="L628">
        <v>0.40100000000000002</v>
      </c>
      <c r="M628">
        <v>7.6951999999999998</v>
      </c>
      <c r="N628">
        <v>5.5890000000000004</v>
      </c>
      <c r="O628">
        <v>0.36670000000000003</v>
      </c>
      <c r="P628">
        <v>5.4600000000000003E-2</v>
      </c>
      <c r="Q628">
        <v>4.8000000000000001E-2</v>
      </c>
      <c r="R628">
        <v>0</v>
      </c>
      <c r="S628">
        <v>0</v>
      </c>
      <c r="T628">
        <v>0.5</v>
      </c>
      <c r="U628">
        <v>2.113</v>
      </c>
    </row>
    <row r="629" spans="1:21" x14ac:dyDescent="0.25">
      <c r="A629" t="s">
        <v>395</v>
      </c>
      <c r="B629" t="s">
        <v>3</v>
      </c>
      <c r="C629">
        <v>34</v>
      </c>
      <c r="D629" t="s">
        <v>25</v>
      </c>
      <c r="E629">
        <v>20.607343291418001</v>
      </c>
      <c r="G629">
        <v>1.6792</v>
      </c>
      <c r="H629">
        <v>5.6379999999999999</v>
      </c>
      <c r="K629">
        <v>0.4042</v>
      </c>
      <c r="L629">
        <v>1.2749999999999999</v>
      </c>
      <c r="M629">
        <v>1.2553000000000001</v>
      </c>
      <c r="N629">
        <v>3.4239999999999999</v>
      </c>
      <c r="O629">
        <v>0.52229999999999999</v>
      </c>
      <c r="P629">
        <v>5.4000000000000003E-3</v>
      </c>
      <c r="Q629">
        <v>1.61E-2</v>
      </c>
      <c r="R629">
        <v>0</v>
      </c>
      <c r="S629">
        <v>0</v>
      </c>
      <c r="T629">
        <v>0.57999999999999996</v>
      </c>
      <c r="U629">
        <v>0.69299999999999995</v>
      </c>
    </row>
    <row r="630" spans="1:21" x14ac:dyDescent="0.25">
      <c r="A630" t="s">
        <v>438</v>
      </c>
      <c r="B630" t="s">
        <v>3</v>
      </c>
      <c r="C630">
        <v>30</v>
      </c>
      <c r="D630" t="s">
        <v>17</v>
      </c>
      <c r="E630">
        <v>16.735057554324101</v>
      </c>
      <c r="G630">
        <v>0.97599999999999998</v>
      </c>
      <c r="H630">
        <v>4.274</v>
      </c>
      <c r="K630">
        <v>0.22700000000000001</v>
      </c>
      <c r="L630">
        <v>0.749</v>
      </c>
      <c r="M630">
        <v>2.8714</v>
      </c>
      <c r="N630">
        <v>5.4240000000000004</v>
      </c>
      <c r="O630">
        <v>0.27700000000000002</v>
      </c>
      <c r="P630">
        <v>5.7999999999999996E-3</v>
      </c>
      <c r="Q630">
        <v>1.1999999999999999E-3</v>
      </c>
      <c r="R630">
        <v>0</v>
      </c>
      <c r="S630">
        <v>0</v>
      </c>
      <c r="T630">
        <v>0</v>
      </c>
      <c r="U630">
        <v>0.53</v>
      </c>
    </row>
    <row r="631" spans="1:21" x14ac:dyDescent="0.25">
      <c r="A631" t="s">
        <v>671</v>
      </c>
      <c r="B631" t="s">
        <v>3</v>
      </c>
      <c r="C631">
        <v>27</v>
      </c>
      <c r="D631" t="s">
        <v>29</v>
      </c>
      <c r="E631">
        <v>14.7644595940044</v>
      </c>
      <c r="G631">
        <v>0.75980000000000003</v>
      </c>
      <c r="H631">
        <v>4.2670000000000003</v>
      </c>
      <c r="K631">
        <v>0.21779999999999999</v>
      </c>
      <c r="L631">
        <v>0.54200000000000004</v>
      </c>
      <c r="M631">
        <v>2.6086999999999998</v>
      </c>
      <c r="N631">
        <v>4.7050000000000001</v>
      </c>
      <c r="O631">
        <v>0.68769999999999998</v>
      </c>
      <c r="P631">
        <v>2.3900000000000001E-2</v>
      </c>
      <c r="Q631">
        <v>2.0999999999999999E-3</v>
      </c>
      <c r="R631">
        <v>0</v>
      </c>
      <c r="S631">
        <v>0</v>
      </c>
      <c r="T631">
        <v>0</v>
      </c>
      <c r="U631">
        <v>0.70199999999999996</v>
      </c>
    </row>
    <row r="632" spans="1:21" x14ac:dyDescent="0.25">
      <c r="A632" t="s">
        <v>294</v>
      </c>
      <c r="B632" t="s">
        <v>3</v>
      </c>
      <c r="C632">
        <v>25</v>
      </c>
      <c r="D632" t="s">
        <v>16</v>
      </c>
      <c r="E632">
        <v>18.7425506582276</v>
      </c>
      <c r="G632">
        <v>1.5367999999999999</v>
      </c>
      <c r="H632">
        <v>5.9790000000000001</v>
      </c>
      <c r="K632">
        <v>0.32079999999999997</v>
      </c>
      <c r="L632">
        <v>1.276</v>
      </c>
      <c r="M632">
        <v>2.6941999999999999</v>
      </c>
      <c r="N632">
        <v>4.1630000000000003</v>
      </c>
      <c r="O632">
        <v>0.60119999999999996</v>
      </c>
      <c r="P632">
        <v>5.7000000000000002E-3</v>
      </c>
      <c r="Q632">
        <v>1.1999999999999999E-3</v>
      </c>
      <c r="R632">
        <v>0</v>
      </c>
      <c r="S632">
        <v>0</v>
      </c>
      <c r="T632">
        <v>0.49</v>
      </c>
      <c r="U632">
        <v>0.76600000000000001</v>
      </c>
    </row>
    <row r="633" spans="1:21" x14ac:dyDescent="0.25">
      <c r="A633" t="s">
        <v>387</v>
      </c>
      <c r="B633" t="s">
        <v>3</v>
      </c>
      <c r="C633">
        <v>27</v>
      </c>
      <c r="D633" t="s">
        <v>8</v>
      </c>
      <c r="E633">
        <v>19.450208890572799</v>
      </c>
      <c r="G633">
        <v>1.3129999999999999</v>
      </c>
      <c r="H633">
        <v>4.5279999999999996</v>
      </c>
      <c r="K633">
        <v>0.17100000000000001</v>
      </c>
      <c r="L633">
        <v>1.1419999999999999</v>
      </c>
      <c r="M633">
        <v>3.2867999999999999</v>
      </c>
      <c r="N633">
        <v>3.1339999999999999</v>
      </c>
      <c r="O633">
        <v>0.58979999999999999</v>
      </c>
      <c r="P633">
        <v>5.7000000000000002E-3</v>
      </c>
      <c r="Q633">
        <v>4.3299999999999998E-2</v>
      </c>
      <c r="R633">
        <v>0</v>
      </c>
      <c r="S633">
        <v>0</v>
      </c>
      <c r="T633">
        <v>0.5</v>
      </c>
      <c r="U633">
        <v>1.069</v>
      </c>
    </row>
    <row r="634" spans="1:21" x14ac:dyDescent="0.25">
      <c r="A634" t="s">
        <v>1059</v>
      </c>
      <c r="B634" t="s">
        <v>3</v>
      </c>
      <c r="C634">
        <v>26</v>
      </c>
      <c r="D634" t="s">
        <v>21</v>
      </c>
      <c r="E634">
        <v>15.6394597121191</v>
      </c>
      <c r="G634">
        <v>0.82750000000000001</v>
      </c>
      <c r="H634">
        <v>4.0449999999999999</v>
      </c>
      <c r="K634">
        <v>0.20050000000000001</v>
      </c>
      <c r="L634">
        <v>0.627</v>
      </c>
      <c r="M634">
        <v>3.1903999999999999</v>
      </c>
      <c r="N634">
        <v>4.8540000000000001</v>
      </c>
      <c r="O634">
        <v>0.64170000000000005</v>
      </c>
      <c r="P634">
        <v>3.56E-2</v>
      </c>
      <c r="Q634">
        <v>1.37E-2</v>
      </c>
      <c r="R634">
        <v>0</v>
      </c>
      <c r="S634">
        <v>0</v>
      </c>
      <c r="T634">
        <v>0</v>
      </c>
      <c r="U634">
        <v>0.28000000000000003</v>
      </c>
    </row>
    <row r="635" spans="1:21" x14ac:dyDescent="0.25">
      <c r="A635" t="s">
        <v>907</v>
      </c>
      <c r="B635" t="s">
        <v>3</v>
      </c>
      <c r="C635">
        <v>30</v>
      </c>
      <c r="D635" t="s">
        <v>23</v>
      </c>
      <c r="E635">
        <v>14.9908280534846</v>
      </c>
      <c r="G635">
        <v>0.92789999999999995</v>
      </c>
      <c r="H635">
        <v>4.194</v>
      </c>
      <c r="K635">
        <v>0.13389999999999999</v>
      </c>
      <c r="L635">
        <v>0.79400000000000004</v>
      </c>
      <c r="M635">
        <v>3.6017000000000001</v>
      </c>
      <c r="N635">
        <v>5.6349999999999998</v>
      </c>
      <c r="O635">
        <v>0.64319999999999999</v>
      </c>
      <c r="P635">
        <v>0.1076</v>
      </c>
      <c r="Q635">
        <v>4.8999999999999998E-3</v>
      </c>
      <c r="R635">
        <v>0</v>
      </c>
      <c r="S635">
        <v>0</v>
      </c>
      <c r="T635">
        <v>0.48</v>
      </c>
      <c r="U635">
        <v>1.0109999999999999</v>
      </c>
    </row>
    <row r="636" spans="1:21" x14ac:dyDescent="0.25">
      <c r="A636" t="s">
        <v>940</v>
      </c>
      <c r="B636" t="s">
        <v>3</v>
      </c>
      <c r="C636">
        <v>27</v>
      </c>
      <c r="D636" t="s">
        <v>8</v>
      </c>
      <c r="E636">
        <v>15.393615711882299</v>
      </c>
      <c r="G636">
        <v>0.87760000000000005</v>
      </c>
      <c r="H636">
        <v>3.8639999999999999</v>
      </c>
      <c r="K636">
        <v>0.19359999999999999</v>
      </c>
      <c r="L636">
        <v>0.68400000000000005</v>
      </c>
      <c r="M636">
        <v>2.8292999999999999</v>
      </c>
      <c r="N636">
        <v>5.351</v>
      </c>
      <c r="O636">
        <v>0.72929999999999995</v>
      </c>
      <c r="P636">
        <v>3.5999999999999997E-2</v>
      </c>
      <c r="Q636">
        <v>1.3899999999999999E-2</v>
      </c>
      <c r="R636">
        <v>0</v>
      </c>
      <c r="S636">
        <v>0</v>
      </c>
      <c r="T636">
        <v>0.38</v>
      </c>
      <c r="U636">
        <v>0.94399999999999995</v>
      </c>
    </row>
    <row r="637" spans="1:21" x14ac:dyDescent="0.25">
      <c r="A637" t="s">
        <v>431</v>
      </c>
      <c r="B637" t="s">
        <v>3</v>
      </c>
      <c r="C637">
        <v>28</v>
      </c>
      <c r="D637" t="s">
        <v>31</v>
      </c>
      <c r="E637">
        <v>18.227453729293</v>
      </c>
      <c r="G637">
        <v>1.4256</v>
      </c>
      <c r="H637">
        <v>5.9749999999999996</v>
      </c>
      <c r="K637">
        <v>0.35060000000000002</v>
      </c>
      <c r="L637">
        <v>1.075</v>
      </c>
      <c r="M637">
        <v>3.2894000000000001</v>
      </c>
      <c r="N637">
        <v>3.2109999999999999</v>
      </c>
      <c r="O637">
        <v>0.56879999999999997</v>
      </c>
      <c r="P637">
        <v>1.9400000000000001E-2</v>
      </c>
      <c r="Q637">
        <v>1.4500000000000001E-2</v>
      </c>
      <c r="R637">
        <v>0</v>
      </c>
      <c r="S637">
        <v>0</v>
      </c>
      <c r="T637">
        <v>0.48</v>
      </c>
      <c r="U637">
        <v>0.67800000000000005</v>
      </c>
    </row>
    <row r="638" spans="1:21" x14ac:dyDescent="0.25">
      <c r="A638" t="s">
        <v>690</v>
      </c>
      <c r="B638" t="s">
        <v>3</v>
      </c>
      <c r="C638">
        <v>26</v>
      </c>
      <c r="D638" t="s">
        <v>2</v>
      </c>
      <c r="E638">
        <v>14.4702719816718</v>
      </c>
      <c r="G638">
        <v>0.82669999999999999</v>
      </c>
      <c r="H638">
        <v>2.5089999999999999</v>
      </c>
      <c r="K638">
        <v>0.1137</v>
      </c>
      <c r="L638">
        <v>0.71299999999999997</v>
      </c>
      <c r="M638">
        <v>3.6779999999999999</v>
      </c>
      <c r="N638">
        <v>4.7469999999999999</v>
      </c>
      <c r="O638">
        <v>0.93710000000000004</v>
      </c>
      <c r="P638">
        <v>1.38E-2</v>
      </c>
      <c r="Q638">
        <v>4.4999999999999997E-3</v>
      </c>
      <c r="R638">
        <v>0</v>
      </c>
      <c r="S638">
        <v>0</v>
      </c>
      <c r="T638">
        <v>0.27</v>
      </c>
      <c r="U638">
        <v>1.296</v>
      </c>
    </row>
    <row r="639" spans="1:21" x14ac:dyDescent="0.25">
      <c r="A639" t="s">
        <v>421</v>
      </c>
      <c r="B639" t="s">
        <v>3</v>
      </c>
      <c r="C639">
        <v>31</v>
      </c>
      <c r="D639" t="s">
        <v>12</v>
      </c>
      <c r="E639">
        <v>19.166665499537601</v>
      </c>
      <c r="G639">
        <v>1.0542</v>
      </c>
      <c r="H639">
        <v>3.9769999999999999</v>
      </c>
      <c r="K639">
        <v>0.19120000000000001</v>
      </c>
      <c r="L639">
        <v>0.86299999999999999</v>
      </c>
      <c r="M639">
        <v>1.8455999999999999</v>
      </c>
      <c r="N639">
        <v>3.738</v>
      </c>
      <c r="O639">
        <v>0.87819999999999998</v>
      </c>
      <c r="P639">
        <v>1.9699999999999999E-2</v>
      </c>
      <c r="Q639">
        <v>1.1000000000000001E-3</v>
      </c>
      <c r="R639">
        <v>0</v>
      </c>
      <c r="S639">
        <v>0</v>
      </c>
      <c r="T639">
        <v>0</v>
      </c>
      <c r="U639">
        <v>0.47199999999999998</v>
      </c>
    </row>
    <row r="640" spans="1:21" x14ac:dyDescent="0.25">
      <c r="A640" t="s">
        <v>719</v>
      </c>
      <c r="B640" t="s">
        <v>3</v>
      </c>
      <c r="C640">
        <v>28</v>
      </c>
      <c r="D640" t="s">
        <v>19</v>
      </c>
      <c r="E640">
        <v>14.815036394655699</v>
      </c>
      <c r="G640">
        <v>0.6038</v>
      </c>
      <c r="H640">
        <v>4.4909999999999997</v>
      </c>
      <c r="K640">
        <v>0.17979999999999999</v>
      </c>
      <c r="L640">
        <v>0.42399999999999999</v>
      </c>
      <c r="M640">
        <v>4.5922000000000001</v>
      </c>
      <c r="N640">
        <v>5.7610000000000001</v>
      </c>
      <c r="O640">
        <v>0.59550000000000003</v>
      </c>
      <c r="P640">
        <v>3.5000000000000003E-2</v>
      </c>
      <c r="Q640">
        <v>0.1188</v>
      </c>
      <c r="R640">
        <v>0</v>
      </c>
      <c r="S640">
        <v>0</v>
      </c>
      <c r="T640">
        <v>0</v>
      </c>
      <c r="U640">
        <v>0.378</v>
      </c>
    </row>
    <row r="641" spans="1:21" x14ac:dyDescent="0.25">
      <c r="A641" t="s">
        <v>530</v>
      </c>
      <c r="B641" t="s">
        <v>3</v>
      </c>
      <c r="C641">
        <v>25</v>
      </c>
      <c r="D641" t="s">
        <v>4</v>
      </c>
      <c r="E641">
        <v>17.899537989488302</v>
      </c>
      <c r="G641">
        <v>0.77910000000000001</v>
      </c>
      <c r="H641">
        <v>3.71</v>
      </c>
      <c r="K641">
        <v>0.15010000000000001</v>
      </c>
      <c r="L641">
        <v>0.629</v>
      </c>
      <c r="M641">
        <v>3.4693999999999998</v>
      </c>
      <c r="N641">
        <v>3.9929999999999999</v>
      </c>
      <c r="O641">
        <v>0.62290000000000001</v>
      </c>
      <c r="P641">
        <v>6.6E-3</v>
      </c>
      <c r="Q641">
        <v>1.2999999999999999E-3</v>
      </c>
      <c r="R641">
        <v>0</v>
      </c>
      <c r="S641">
        <v>0</v>
      </c>
      <c r="T641">
        <v>0.56000000000000005</v>
      </c>
      <c r="U641">
        <v>1.056</v>
      </c>
    </row>
    <row r="642" spans="1:21" x14ac:dyDescent="0.25">
      <c r="A642" t="s">
        <v>1075</v>
      </c>
      <c r="B642" t="s">
        <v>3</v>
      </c>
      <c r="C642">
        <v>23</v>
      </c>
      <c r="D642" t="s">
        <v>33</v>
      </c>
      <c r="E642">
        <v>17.2928263399148</v>
      </c>
      <c r="G642">
        <v>0.64339999999999997</v>
      </c>
      <c r="H642">
        <v>3.23</v>
      </c>
      <c r="K642">
        <v>0.1114</v>
      </c>
      <c r="L642">
        <v>0.53200000000000003</v>
      </c>
      <c r="M642">
        <v>1.6901999999999999</v>
      </c>
      <c r="N642">
        <v>4.3099999999999996</v>
      </c>
      <c r="O642">
        <v>0.5968</v>
      </c>
      <c r="P642">
        <v>1.9300000000000001E-2</v>
      </c>
      <c r="Q642">
        <v>6.4000000000000003E-3</v>
      </c>
      <c r="R642">
        <v>0</v>
      </c>
      <c r="S642">
        <v>0</v>
      </c>
      <c r="T642">
        <v>0</v>
      </c>
      <c r="U642">
        <v>0.28499999999999998</v>
      </c>
    </row>
    <row r="643" spans="1:21" x14ac:dyDescent="0.25">
      <c r="A643" t="s">
        <v>495</v>
      </c>
      <c r="B643" t="s">
        <v>3</v>
      </c>
      <c r="C643">
        <v>35</v>
      </c>
      <c r="D643" t="s">
        <v>8</v>
      </c>
      <c r="E643">
        <v>16.0073835037302</v>
      </c>
      <c r="G643">
        <v>0.73599999999999999</v>
      </c>
      <c r="H643">
        <v>3.4609999999999999</v>
      </c>
      <c r="K643">
        <v>0.12</v>
      </c>
      <c r="L643">
        <v>0.61599999999999999</v>
      </c>
      <c r="M643">
        <v>3.6751999999999998</v>
      </c>
      <c r="N643">
        <v>5.569</v>
      </c>
      <c r="O643">
        <v>1.2591000000000001</v>
      </c>
      <c r="P643">
        <v>0.1013</v>
      </c>
      <c r="Q643">
        <v>2.53E-2</v>
      </c>
      <c r="R643">
        <v>0</v>
      </c>
      <c r="S643">
        <v>0</v>
      </c>
      <c r="T643">
        <v>0.47</v>
      </c>
      <c r="U643">
        <v>0.91400000000000003</v>
      </c>
    </row>
    <row r="644" spans="1:21" x14ac:dyDescent="0.25">
      <c r="A644" t="s">
        <v>695</v>
      </c>
      <c r="B644" t="s">
        <v>3</v>
      </c>
      <c r="C644">
        <v>26</v>
      </c>
      <c r="D644" t="s">
        <v>12</v>
      </c>
      <c r="E644">
        <v>14.8669877103658</v>
      </c>
      <c r="G644">
        <v>0.76070000000000004</v>
      </c>
      <c r="H644">
        <v>3.22</v>
      </c>
      <c r="K644">
        <v>0.1067</v>
      </c>
      <c r="L644">
        <v>0.65400000000000003</v>
      </c>
      <c r="M644">
        <v>1.4845999999999999</v>
      </c>
      <c r="N644">
        <v>4.069</v>
      </c>
      <c r="O644">
        <v>0.83789999999999998</v>
      </c>
      <c r="P644">
        <v>2.24E-2</v>
      </c>
      <c r="Q644">
        <v>6.1999999999999998E-3</v>
      </c>
      <c r="R644">
        <v>0</v>
      </c>
      <c r="S644">
        <v>0</v>
      </c>
      <c r="T644">
        <v>0.57999999999999996</v>
      </c>
      <c r="U644">
        <v>0.624</v>
      </c>
    </row>
    <row r="645" spans="1:21" x14ac:dyDescent="0.25">
      <c r="A645" t="s">
        <v>570</v>
      </c>
      <c r="B645" t="s">
        <v>3</v>
      </c>
      <c r="C645">
        <v>30</v>
      </c>
      <c r="D645" t="s">
        <v>1181</v>
      </c>
      <c r="E645">
        <v>14.2352110183508</v>
      </c>
      <c r="G645">
        <v>0.64200000000000002</v>
      </c>
      <c r="H645">
        <v>2.5369999999999999</v>
      </c>
      <c r="K645">
        <v>7.2999999999999995E-2</v>
      </c>
      <c r="L645">
        <v>0.56899999999999995</v>
      </c>
      <c r="M645">
        <v>7.2971000000000004</v>
      </c>
      <c r="N645">
        <v>5.7779999999999996</v>
      </c>
      <c r="O645">
        <v>1.0903</v>
      </c>
      <c r="P645">
        <v>3.61E-2</v>
      </c>
      <c r="Q645">
        <v>1.9199999999999998E-2</v>
      </c>
      <c r="R645">
        <v>0</v>
      </c>
      <c r="S645">
        <v>0</v>
      </c>
      <c r="T645">
        <v>0</v>
      </c>
      <c r="U645">
        <v>0.69699999999999995</v>
      </c>
    </row>
    <row r="646" spans="1:21" x14ac:dyDescent="0.25">
      <c r="A646" t="s">
        <v>941</v>
      </c>
      <c r="B646" t="s">
        <v>3</v>
      </c>
      <c r="C646">
        <v>23</v>
      </c>
      <c r="D646" t="s">
        <v>21</v>
      </c>
      <c r="E646">
        <v>15.5746818847007</v>
      </c>
      <c r="G646">
        <v>0.85129999999999995</v>
      </c>
      <c r="H646">
        <v>3.6139999999999999</v>
      </c>
      <c r="K646">
        <v>0.15129999999999999</v>
      </c>
      <c r="L646">
        <v>0.7</v>
      </c>
      <c r="M646">
        <v>5.9245999999999999</v>
      </c>
      <c r="N646">
        <v>3.5739999999999998</v>
      </c>
      <c r="O646">
        <v>0.42680000000000001</v>
      </c>
      <c r="P646">
        <v>8.9499999999999996E-2</v>
      </c>
      <c r="Q646" s="1">
        <v>4.8500000000000001E-2</v>
      </c>
      <c r="R646">
        <v>0</v>
      </c>
      <c r="S646">
        <v>0</v>
      </c>
      <c r="T646">
        <v>0</v>
      </c>
      <c r="U646">
        <v>0.32500000000000001</v>
      </c>
    </row>
    <row r="647" spans="1:21" x14ac:dyDescent="0.25">
      <c r="A647" t="s">
        <v>305</v>
      </c>
      <c r="B647" t="s">
        <v>3</v>
      </c>
      <c r="C647">
        <v>28</v>
      </c>
      <c r="D647" t="s">
        <v>23</v>
      </c>
      <c r="E647">
        <v>18.026459722756702</v>
      </c>
      <c r="G647">
        <v>0.90349999999999997</v>
      </c>
      <c r="H647">
        <v>3.8380000000000001</v>
      </c>
      <c r="K647">
        <v>0.20150000000000001</v>
      </c>
      <c r="L647">
        <v>0.70199999999999996</v>
      </c>
      <c r="M647">
        <v>2.3504</v>
      </c>
      <c r="N647">
        <v>5.0590000000000002</v>
      </c>
      <c r="O647">
        <v>0.45710000000000001</v>
      </c>
      <c r="P647">
        <v>5.1999999999999998E-3</v>
      </c>
      <c r="Q647">
        <v>1.1000000000000001E-3</v>
      </c>
      <c r="R647">
        <v>0</v>
      </c>
      <c r="S647">
        <v>0</v>
      </c>
      <c r="T647">
        <v>0.36</v>
      </c>
      <c r="U647">
        <v>0.94</v>
      </c>
    </row>
    <row r="648" spans="1:21" x14ac:dyDescent="0.25">
      <c r="A648" t="s">
        <v>414</v>
      </c>
      <c r="B648" t="s">
        <v>3</v>
      </c>
      <c r="C648">
        <v>30</v>
      </c>
      <c r="D648" t="s">
        <v>34</v>
      </c>
      <c r="E648">
        <v>18.100962592468999</v>
      </c>
      <c r="G648">
        <v>1.2638</v>
      </c>
      <c r="H648">
        <v>5.165</v>
      </c>
      <c r="K648">
        <v>0.20880000000000001</v>
      </c>
      <c r="L648">
        <v>1.0549999999999999</v>
      </c>
      <c r="M648">
        <v>1.6641999999999999</v>
      </c>
      <c r="N648">
        <v>4.1459999999999999</v>
      </c>
      <c r="O648">
        <v>0.19209999999999999</v>
      </c>
      <c r="P648">
        <v>5.4999999999999997E-3</v>
      </c>
      <c r="Q648" s="1">
        <v>1.1000000000000001E-3</v>
      </c>
      <c r="R648">
        <v>0</v>
      </c>
      <c r="S648">
        <v>0</v>
      </c>
      <c r="T648">
        <v>0</v>
      </c>
      <c r="U648">
        <v>0.28499999999999998</v>
      </c>
    </row>
    <row r="649" spans="1:21" x14ac:dyDescent="0.25">
      <c r="A649" t="s">
        <v>713</v>
      </c>
      <c r="B649" t="s">
        <v>3</v>
      </c>
      <c r="C649">
        <v>38</v>
      </c>
      <c r="D649" t="s">
        <v>11</v>
      </c>
      <c r="E649">
        <v>14.360198692961699</v>
      </c>
      <c r="G649">
        <v>0.55640000000000001</v>
      </c>
      <c r="H649">
        <v>3.7010000000000001</v>
      </c>
      <c r="K649">
        <v>0.12640000000000001</v>
      </c>
      <c r="L649">
        <v>0.43</v>
      </c>
      <c r="M649">
        <v>3.7804000000000002</v>
      </c>
      <c r="N649">
        <v>4.4729999999999999</v>
      </c>
      <c r="O649">
        <v>0.55459999999999998</v>
      </c>
      <c r="P649">
        <v>3.0800000000000001E-2</v>
      </c>
      <c r="Q649" s="1">
        <v>5.96E-2</v>
      </c>
      <c r="R649">
        <v>0</v>
      </c>
      <c r="S649">
        <v>0</v>
      </c>
      <c r="T649">
        <v>0</v>
      </c>
      <c r="U649">
        <v>0.70599999999999996</v>
      </c>
    </row>
    <row r="650" spans="1:21" x14ac:dyDescent="0.25">
      <c r="A650" t="s">
        <v>1182</v>
      </c>
      <c r="B650" t="s">
        <v>3</v>
      </c>
      <c r="C650">
        <v>24</v>
      </c>
      <c r="D650" t="s">
        <v>5</v>
      </c>
      <c r="E650">
        <v>16.326694757260601</v>
      </c>
      <c r="G650">
        <v>0.74690000000000001</v>
      </c>
      <c r="H650">
        <v>3.0139999999999998</v>
      </c>
      <c r="K650">
        <v>0.15290000000000001</v>
      </c>
      <c r="L650">
        <v>0.59399999999999997</v>
      </c>
      <c r="M650">
        <v>2.2357</v>
      </c>
      <c r="N650">
        <v>5.218</v>
      </c>
      <c r="O650">
        <v>0.64829999999999999</v>
      </c>
      <c r="P650">
        <v>1.6199999999999999E-2</v>
      </c>
      <c r="Q650" s="1">
        <v>5.3E-3</v>
      </c>
      <c r="R650">
        <v>0</v>
      </c>
      <c r="S650">
        <v>0</v>
      </c>
      <c r="T650">
        <v>0</v>
      </c>
      <c r="U650">
        <v>0.45600000000000002</v>
      </c>
    </row>
    <row r="651" spans="1:21" x14ac:dyDescent="0.25">
      <c r="A651" t="s">
        <v>1060</v>
      </c>
      <c r="B651" t="s">
        <v>3</v>
      </c>
      <c r="C651">
        <v>24</v>
      </c>
      <c r="D651" t="s">
        <v>15</v>
      </c>
      <c r="E651">
        <v>14.525054336922</v>
      </c>
      <c r="G651">
        <v>0.64610000000000001</v>
      </c>
      <c r="H651">
        <v>3.53</v>
      </c>
      <c r="K651">
        <v>0.15409999999999999</v>
      </c>
      <c r="L651">
        <v>0.49199999999999999</v>
      </c>
      <c r="M651">
        <v>3.4119000000000002</v>
      </c>
      <c r="N651">
        <v>6.3929999999999998</v>
      </c>
      <c r="O651">
        <v>0.62090000000000001</v>
      </c>
      <c r="P651">
        <v>0.1</v>
      </c>
      <c r="Q651">
        <v>3.8999999999999998E-3</v>
      </c>
      <c r="R651">
        <v>0</v>
      </c>
      <c r="S651">
        <v>0</v>
      </c>
      <c r="T651">
        <v>0</v>
      </c>
      <c r="U651">
        <v>0.40799999999999997</v>
      </c>
    </row>
    <row r="652" spans="1:21" x14ac:dyDescent="0.25">
      <c r="A652" t="s">
        <v>683</v>
      </c>
      <c r="B652" t="s">
        <v>3</v>
      </c>
      <c r="C652">
        <v>27</v>
      </c>
      <c r="D652" t="s">
        <v>4</v>
      </c>
      <c r="E652">
        <v>13.7247312679717</v>
      </c>
      <c r="G652">
        <v>0.63859999999999995</v>
      </c>
      <c r="H652">
        <v>2.0329999999999999</v>
      </c>
      <c r="K652">
        <v>8.0600000000000005E-2</v>
      </c>
      <c r="L652">
        <v>0.55800000000000005</v>
      </c>
      <c r="M652">
        <v>1.9348000000000001</v>
      </c>
      <c r="N652">
        <v>4.375</v>
      </c>
      <c r="O652">
        <v>0.40910000000000002</v>
      </c>
      <c r="P652">
        <v>8.8999999999999999E-3</v>
      </c>
      <c r="Q652">
        <v>1.9E-3</v>
      </c>
      <c r="R652">
        <v>0</v>
      </c>
      <c r="S652">
        <v>0</v>
      </c>
      <c r="T652">
        <v>0.53</v>
      </c>
      <c r="U652">
        <v>0.76800000000000002</v>
      </c>
    </row>
    <row r="653" spans="1:21" x14ac:dyDescent="0.25">
      <c r="A653" t="s">
        <v>1022</v>
      </c>
      <c r="B653" t="s">
        <v>3</v>
      </c>
      <c r="C653">
        <v>31</v>
      </c>
      <c r="D653" t="s">
        <v>33</v>
      </c>
      <c r="E653">
        <v>11.2663163599308</v>
      </c>
      <c r="G653">
        <v>0.73240000000000005</v>
      </c>
      <c r="H653">
        <v>5.8090000000000002</v>
      </c>
      <c r="K653">
        <v>0.39639999999999997</v>
      </c>
      <c r="L653">
        <v>0.33600000000000002</v>
      </c>
      <c r="M653">
        <v>4.8479000000000001</v>
      </c>
      <c r="N653">
        <v>3.7210000000000001</v>
      </c>
      <c r="O653">
        <v>0.6714</v>
      </c>
      <c r="P653">
        <v>9.8699999999999996E-2</v>
      </c>
      <c r="Q653">
        <v>7.0599999999999996E-2</v>
      </c>
      <c r="R653">
        <v>0</v>
      </c>
      <c r="S653">
        <v>0</v>
      </c>
      <c r="T653">
        <v>0.55000000000000004</v>
      </c>
      <c r="U653">
        <v>1.0149999999999999</v>
      </c>
    </row>
    <row r="654" spans="1:21" x14ac:dyDescent="0.25">
      <c r="A654" t="s">
        <v>984</v>
      </c>
      <c r="B654" t="s">
        <v>3</v>
      </c>
      <c r="C654">
        <v>26</v>
      </c>
      <c r="D654" t="s">
        <v>26</v>
      </c>
      <c r="E654">
        <v>11.7784716119307</v>
      </c>
      <c r="G654">
        <v>0.6552</v>
      </c>
      <c r="H654">
        <v>3.3159999999999998</v>
      </c>
      <c r="K654">
        <v>0.1502</v>
      </c>
      <c r="L654">
        <v>0.505</v>
      </c>
      <c r="M654">
        <v>2.7772999999999999</v>
      </c>
      <c r="N654">
        <v>4.9749999999999996</v>
      </c>
      <c r="O654">
        <v>0.60519999999999996</v>
      </c>
      <c r="P654">
        <v>2.63E-2</v>
      </c>
      <c r="Q654">
        <v>8.3000000000000001E-3</v>
      </c>
      <c r="R654">
        <v>0</v>
      </c>
      <c r="S654">
        <v>0</v>
      </c>
      <c r="T654">
        <v>0.49</v>
      </c>
      <c r="U654">
        <v>0.90800000000000003</v>
      </c>
    </row>
    <row r="655" spans="1:21" x14ac:dyDescent="0.25">
      <c r="A655" t="s">
        <v>270</v>
      </c>
      <c r="B655" t="s">
        <v>3</v>
      </c>
      <c r="C655">
        <v>30</v>
      </c>
      <c r="D655" t="s">
        <v>10</v>
      </c>
      <c r="E655">
        <v>17.993840613993701</v>
      </c>
      <c r="G655">
        <v>1.0203</v>
      </c>
      <c r="H655">
        <v>5.931</v>
      </c>
      <c r="K655">
        <v>0.2303</v>
      </c>
      <c r="L655">
        <v>0.79</v>
      </c>
      <c r="M655">
        <v>7.1515000000000004</v>
      </c>
      <c r="N655">
        <v>6.8979999999999997</v>
      </c>
      <c r="O655">
        <v>0.87339999999999995</v>
      </c>
      <c r="P655">
        <v>0.14910000000000001</v>
      </c>
      <c r="Q655">
        <v>3.2000000000000001E-2</v>
      </c>
      <c r="R655">
        <v>0</v>
      </c>
      <c r="S655">
        <v>0</v>
      </c>
      <c r="T655">
        <v>0.45</v>
      </c>
      <c r="U655">
        <v>0.79</v>
      </c>
    </row>
    <row r="656" spans="1:21" x14ac:dyDescent="0.25">
      <c r="A656" t="s">
        <v>549</v>
      </c>
      <c r="B656" t="s">
        <v>3</v>
      </c>
      <c r="C656">
        <v>26</v>
      </c>
      <c r="D656" t="s">
        <v>23</v>
      </c>
      <c r="E656">
        <v>16.5</v>
      </c>
      <c r="G656">
        <v>0.95240000000000002</v>
      </c>
      <c r="H656">
        <v>3.927</v>
      </c>
      <c r="K656">
        <v>0.23139999999999999</v>
      </c>
      <c r="L656">
        <v>0.72099999999999997</v>
      </c>
      <c r="M656">
        <v>1.8011999999999999</v>
      </c>
      <c r="N656">
        <v>5.1879999999999997</v>
      </c>
      <c r="O656">
        <v>0.81710000000000005</v>
      </c>
      <c r="P656">
        <v>8.8999999999999999E-3</v>
      </c>
      <c r="Q656">
        <v>1.9E-3</v>
      </c>
      <c r="R656">
        <v>0</v>
      </c>
      <c r="S656">
        <v>0</v>
      </c>
      <c r="T656">
        <v>0.57999999999999996</v>
      </c>
      <c r="U656">
        <v>0.58799999999999997</v>
      </c>
    </row>
    <row r="657" spans="1:21" x14ac:dyDescent="0.25">
      <c r="A657" t="s">
        <v>1061</v>
      </c>
      <c r="B657" t="s">
        <v>3</v>
      </c>
      <c r="C657">
        <v>25</v>
      </c>
      <c r="D657" t="s">
        <v>23</v>
      </c>
      <c r="E657">
        <v>13.8988871782506</v>
      </c>
      <c r="G657">
        <v>0.69930000000000003</v>
      </c>
      <c r="H657">
        <v>3.3889999999999998</v>
      </c>
      <c r="K657">
        <v>9.9299999999999999E-2</v>
      </c>
      <c r="L657">
        <v>0.6</v>
      </c>
      <c r="M657">
        <v>3.2023999999999999</v>
      </c>
      <c r="N657">
        <v>5.0620000000000003</v>
      </c>
      <c r="O657">
        <v>0.4975</v>
      </c>
      <c r="P657">
        <v>2.6599999999999999E-2</v>
      </c>
      <c r="Q657">
        <v>7.7000000000000002E-3</v>
      </c>
      <c r="R657">
        <v>0</v>
      </c>
      <c r="S657">
        <v>0</v>
      </c>
      <c r="T657">
        <v>0.45</v>
      </c>
      <c r="U657">
        <v>1.0109999999999999</v>
      </c>
    </row>
    <row r="658" spans="1:21" x14ac:dyDescent="0.25">
      <c r="A658" t="s">
        <v>880</v>
      </c>
      <c r="B658" t="s">
        <v>3</v>
      </c>
      <c r="C658">
        <v>31</v>
      </c>
      <c r="D658" t="s">
        <v>30</v>
      </c>
      <c r="E658">
        <v>17.945297800671199</v>
      </c>
      <c r="G658">
        <v>1.1001000000000001</v>
      </c>
      <c r="H658">
        <v>3.2789999999999999</v>
      </c>
      <c r="K658">
        <v>0.21010000000000001</v>
      </c>
      <c r="L658">
        <v>0.89</v>
      </c>
      <c r="M658">
        <v>7.5582000000000003</v>
      </c>
      <c r="N658">
        <v>5.3250000000000002</v>
      </c>
      <c r="O658">
        <v>0.80289999999999995</v>
      </c>
      <c r="P658">
        <v>6.9099999999999995E-2</v>
      </c>
      <c r="Q658">
        <v>2.1399999999999999E-2</v>
      </c>
      <c r="R658">
        <v>0</v>
      </c>
      <c r="S658">
        <v>0</v>
      </c>
      <c r="T658">
        <v>0.5</v>
      </c>
      <c r="U658">
        <v>0.69099999999999995</v>
      </c>
    </row>
    <row r="659" spans="1:21" x14ac:dyDescent="0.25">
      <c r="A659" t="s">
        <v>908</v>
      </c>
      <c r="B659" t="s">
        <v>3</v>
      </c>
      <c r="C659">
        <v>29</v>
      </c>
      <c r="D659" t="s">
        <v>18</v>
      </c>
      <c r="E659">
        <v>17.401108318161501</v>
      </c>
      <c r="G659">
        <v>0.76780000000000004</v>
      </c>
      <c r="H659">
        <v>3.387</v>
      </c>
      <c r="K659">
        <v>0.21779999999999999</v>
      </c>
      <c r="L659">
        <v>0.55000000000000004</v>
      </c>
      <c r="M659">
        <v>5.1825000000000001</v>
      </c>
      <c r="N659">
        <v>5.6619999999999999</v>
      </c>
      <c r="O659">
        <v>0.81969999999999998</v>
      </c>
      <c r="P659">
        <v>0.26889999999999997</v>
      </c>
      <c r="Q659">
        <v>4.1200000000000001E-2</v>
      </c>
      <c r="R659">
        <v>0</v>
      </c>
      <c r="S659">
        <v>0</v>
      </c>
      <c r="T659">
        <v>0.52</v>
      </c>
      <c r="U659">
        <v>1.006</v>
      </c>
    </row>
    <row r="660" spans="1:21" x14ac:dyDescent="0.25">
      <c r="A660" t="s">
        <v>368</v>
      </c>
      <c r="B660" t="s">
        <v>3</v>
      </c>
      <c r="C660">
        <v>22</v>
      </c>
      <c r="D660" t="s">
        <v>15</v>
      </c>
      <c r="E660">
        <v>17.076516478727299</v>
      </c>
      <c r="G660">
        <v>0.94410000000000005</v>
      </c>
      <c r="H660">
        <v>4.7249999999999996</v>
      </c>
      <c r="K660">
        <v>0.2341</v>
      </c>
      <c r="L660">
        <v>0.71</v>
      </c>
      <c r="M660">
        <v>1.6657999999999999</v>
      </c>
      <c r="N660">
        <v>4.7309999999999999</v>
      </c>
      <c r="O660">
        <v>0.34310000000000002</v>
      </c>
      <c r="P660">
        <v>2.6499999999999999E-2</v>
      </c>
      <c r="Q660">
        <v>2.0999999999999999E-3</v>
      </c>
      <c r="R660">
        <v>0</v>
      </c>
      <c r="S660">
        <v>0</v>
      </c>
      <c r="T660">
        <v>0.46</v>
      </c>
      <c r="U660">
        <v>0.64200000000000002</v>
      </c>
    </row>
    <row r="661" spans="1:21" x14ac:dyDescent="0.25">
      <c r="A661" t="s">
        <v>700</v>
      </c>
      <c r="B661" t="s">
        <v>3</v>
      </c>
      <c r="C661">
        <v>28</v>
      </c>
      <c r="D661" t="s">
        <v>2</v>
      </c>
      <c r="E661">
        <v>17.5</v>
      </c>
      <c r="G661">
        <v>0.81579999999999997</v>
      </c>
      <c r="H661">
        <v>5.734</v>
      </c>
      <c r="K661">
        <v>0.38679999999999998</v>
      </c>
      <c r="L661">
        <v>0.54500000000000004</v>
      </c>
      <c r="M661">
        <v>2.3029999999999999</v>
      </c>
      <c r="N661">
        <v>6.3650000000000002</v>
      </c>
      <c r="O661">
        <v>0.81869999999999998</v>
      </c>
      <c r="P661">
        <v>2.2100000000000002E-2</v>
      </c>
      <c r="Q661">
        <v>1.95E-2</v>
      </c>
      <c r="R661">
        <v>0</v>
      </c>
      <c r="S661">
        <v>0</v>
      </c>
      <c r="T661">
        <v>0.45</v>
      </c>
      <c r="U661">
        <v>0.96399999999999997</v>
      </c>
    </row>
    <row r="662" spans="1:21" x14ac:dyDescent="0.25">
      <c r="A662" t="s">
        <v>287</v>
      </c>
      <c r="B662" t="s">
        <v>3</v>
      </c>
      <c r="C662">
        <v>26</v>
      </c>
      <c r="D662" t="s">
        <v>15</v>
      </c>
      <c r="E662">
        <v>19.3669580032876</v>
      </c>
      <c r="G662">
        <v>1.2283999999999999</v>
      </c>
      <c r="H662">
        <v>5.8170000000000002</v>
      </c>
      <c r="K662">
        <v>0.29039999999999999</v>
      </c>
      <c r="L662">
        <v>0.93799999999999994</v>
      </c>
      <c r="M662">
        <v>2.5295999999999998</v>
      </c>
      <c r="N662">
        <v>5.3860000000000001</v>
      </c>
      <c r="O662">
        <v>0.80969999999999998</v>
      </c>
      <c r="P662">
        <v>2.12E-2</v>
      </c>
      <c r="Q662">
        <v>4.2000000000000003E-2</v>
      </c>
      <c r="R662">
        <v>0</v>
      </c>
      <c r="S662">
        <v>0</v>
      </c>
      <c r="T662">
        <v>0.44</v>
      </c>
      <c r="U662">
        <v>0.71499999999999997</v>
      </c>
    </row>
    <row r="663" spans="1:21" x14ac:dyDescent="0.25">
      <c r="A663" t="s">
        <v>630</v>
      </c>
      <c r="B663" t="s">
        <v>3</v>
      </c>
      <c r="C663">
        <v>27</v>
      </c>
      <c r="D663" t="s">
        <v>12</v>
      </c>
      <c r="E663">
        <v>13.974408334526901</v>
      </c>
      <c r="G663">
        <v>0.90269999999999995</v>
      </c>
      <c r="H663">
        <v>3.6589999999999998</v>
      </c>
      <c r="K663">
        <v>0.19570000000000001</v>
      </c>
      <c r="L663">
        <v>0.70699999999999996</v>
      </c>
      <c r="M663">
        <v>4.8681000000000001</v>
      </c>
      <c r="N663">
        <v>4.4080000000000004</v>
      </c>
      <c r="O663">
        <v>0.71779999999999999</v>
      </c>
      <c r="P663">
        <v>3.5400000000000001E-2</v>
      </c>
      <c r="Q663" s="1">
        <v>1.37E-2</v>
      </c>
      <c r="R663">
        <v>0</v>
      </c>
      <c r="S663">
        <v>0</v>
      </c>
      <c r="T663">
        <v>0.42</v>
      </c>
      <c r="U663">
        <v>1.69</v>
      </c>
    </row>
    <row r="664" spans="1:21" x14ac:dyDescent="0.25">
      <c r="A664" t="s">
        <v>970</v>
      </c>
      <c r="B664" t="s">
        <v>3</v>
      </c>
      <c r="C664">
        <v>28</v>
      </c>
      <c r="D664" t="s">
        <v>34</v>
      </c>
      <c r="E664">
        <v>14.362209793284901</v>
      </c>
      <c r="G664">
        <v>0.95020000000000004</v>
      </c>
      <c r="H664">
        <v>5.0039999999999996</v>
      </c>
      <c r="K664">
        <v>0.28920000000000001</v>
      </c>
      <c r="L664">
        <v>0.66100000000000003</v>
      </c>
      <c r="M664">
        <v>3.5251999999999999</v>
      </c>
      <c r="N664">
        <v>3.6589999999999998</v>
      </c>
      <c r="O664">
        <v>0.85070000000000001</v>
      </c>
      <c r="P664">
        <v>2.3400000000000001E-2</v>
      </c>
      <c r="Q664">
        <v>2E-3</v>
      </c>
      <c r="R664">
        <v>0</v>
      </c>
      <c r="S664">
        <v>0</v>
      </c>
      <c r="T664">
        <v>0</v>
      </c>
      <c r="U664">
        <v>0.29099999999999998</v>
      </c>
    </row>
    <row r="665" spans="1:21" x14ac:dyDescent="0.25">
      <c r="A665" t="s">
        <v>503</v>
      </c>
      <c r="B665" t="s">
        <v>3</v>
      </c>
      <c r="C665">
        <v>22</v>
      </c>
      <c r="D665" t="s">
        <v>1183</v>
      </c>
      <c r="E665">
        <v>16.9848567664244</v>
      </c>
      <c r="G665">
        <v>0.83609999999999995</v>
      </c>
      <c r="H665">
        <v>4.1859999999999999</v>
      </c>
      <c r="K665">
        <v>0.18410000000000001</v>
      </c>
      <c r="L665">
        <v>0.65200000000000002</v>
      </c>
      <c r="M665">
        <v>2.206</v>
      </c>
      <c r="N665">
        <v>4.2320000000000002</v>
      </c>
      <c r="O665">
        <v>0.37230000000000002</v>
      </c>
      <c r="P665">
        <v>1.0699999999999999E-2</v>
      </c>
      <c r="Q665">
        <v>3.0999999999999999E-3</v>
      </c>
      <c r="R665">
        <v>0</v>
      </c>
      <c r="S665">
        <v>0</v>
      </c>
      <c r="T665">
        <v>0.48</v>
      </c>
      <c r="U665">
        <v>0.86299999999999999</v>
      </c>
    </row>
    <row r="666" spans="1:21" x14ac:dyDescent="0.25">
      <c r="A666" t="s">
        <v>459</v>
      </c>
      <c r="B666" t="s">
        <v>3</v>
      </c>
      <c r="C666">
        <v>32</v>
      </c>
      <c r="D666" t="s">
        <v>87</v>
      </c>
      <c r="E666">
        <v>16.596328589761999</v>
      </c>
      <c r="G666">
        <v>0.84299999999999997</v>
      </c>
      <c r="H666">
        <v>4.0910000000000002</v>
      </c>
      <c r="K666">
        <v>0.21299999999999999</v>
      </c>
      <c r="L666">
        <v>0.63</v>
      </c>
      <c r="M666">
        <v>4.1242999999999999</v>
      </c>
      <c r="N666">
        <v>4.8479999999999999</v>
      </c>
      <c r="O666">
        <v>0.67100000000000004</v>
      </c>
      <c r="P666">
        <v>0.1381</v>
      </c>
      <c r="Q666">
        <v>2.23E-2</v>
      </c>
      <c r="R666">
        <v>0</v>
      </c>
      <c r="S666">
        <v>0</v>
      </c>
      <c r="T666">
        <v>0.56999999999999995</v>
      </c>
      <c r="U666">
        <v>0.93200000000000005</v>
      </c>
    </row>
    <row r="667" spans="1:21" x14ac:dyDescent="0.25">
      <c r="A667" t="s">
        <v>618</v>
      </c>
      <c r="B667" t="s">
        <v>3</v>
      </c>
      <c r="C667">
        <v>34</v>
      </c>
      <c r="D667" t="s">
        <v>33</v>
      </c>
      <c r="E667">
        <v>16.383533999697399</v>
      </c>
      <c r="G667">
        <v>0.75900000000000001</v>
      </c>
      <c r="H667">
        <v>3.7320000000000002</v>
      </c>
      <c r="K667">
        <v>0.20100000000000001</v>
      </c>
      <c r="L667">
        <v>0.55800000000000005</v>
      </c>
      <c r="M667">
        <v>3.1023999999999998</v>
      </c>
      <c r="N667">
        <v>4.3730000000000002</v>
      </c>
      <c r="O667">
        <v>0.93810000000000004</v>
      </c>
      <c r="P667">
        <v>1.8599999999999998E-2</v>
      </c>
      <c r="Q667">
        <v>1.7899999999999999E-2</v>
      </c>
      <c r="R667">
        <v>0</v>
      </c>
      <c r="S667">
        <v>0</v>
      </c>
      <c r="T667">
        <v>0</v>
      </c>
      <c r="U667">
        <v>0.4</v>
      </c>
    </row>
    <row r="668" spans="1:21" x14ac:dyDescent="0.25">
      <c r="A668" t="s">
        <v>418</v>
      </c>
      <c r="B668" t="s">
        <v>3</v>
      </c>
      <c r="C668">
        <v>35</v>
      </c>
      <c r="D668" t="s">
        <v>18</v>
      </c>
      <c r="E668">
        <v>16.6732779886724</v>
      </c>
      <c r="G668">
        <v>0.89200000000000002</v>
      </c>
      <c r="H668">
        <v>4.0330000000000004</v>
      </c>
      <c r="K668">
        <v>0.21</v>
      </c>
      <c r="L668">
        <v>0.68200000000000005</v>
      </c>
      <c r="M668">
        <v>2.2770999999999999</v>
      </c>
      <c r="N668">
        <v>4.7759999999999998</v>
      </c>
      <c r="O668">
        <v>0.31080000000000002</v>
      </c>
      <c r="P668">
        <v>8.3999999999999995E-3</v>
      </c>
      <c r="Q668">
        <v>1.8E-3</v>
      </c>
      <c r="R668">
        <v>0</v>
      </c>
      <c r="S668">
        <v>0</v>
      </c>
      <c r="T668">
        <v>0</v>
      </c>
      <c r="U668">
        <v>0.49299999999999999</v>
      </c>
    </row>
    <row r="669" spans="1:21" x14ac:dyDescent="0.25">
      <c r="A669" t="s">
        <v>971</v>
      </c>
      <c r="B669" t="s">
        <v>3</v>
      </c>
      <c r="C669">
        <v>32</v>
      </c>
      <c r="D669" t="s">
        <v>21</v>
      </c>
      <c r="E669">
        <v>14.185874935840801</v>
      </c>
      <c r="G669">
        <v>0.67490000000000006</v>
      </c>
      <c r="H669">
        <v>2.7469999999999999</v>
      </c>
      <c r="K669">
        <v>9.1899999999999996E-2</v>
      </c>
      <c r="L669">
        <v>0.58299999999999996</v>
      </c>
      <c r="M669">
        <v>11.190099999999999</v>
      </c>
      <c r="N669">
        <v>5.7759999999999998</v>
      </c>
      <c r="O669">
        <v>0.99009999999999998</v>
      </c>
      <c r="P669">
        <v>0.28010000000000002</v>
      </c>
      <c r="Q669">
        <v>3.7000000000000002E-3</v>
      </c>
      <c r="R669">
        <v>0</v>
      </c>
      <c r="S669">
        <v>0</v>
      </c>
      <c r="T669">
        <v>0.49</v>
      </c>
      <c r="U669">
        <v>0.94099999999999995</v>
      </c>
    </row>
    <row r="670" spans="1:21" x14ac:dyDescent="0.25">
      <c r="A670" t="s">
        <v>910</v>
      </c>
      <c r="B670" t="s">
        <v>3</v>
      </c>
      <c r="C670">
        <v>32</v>
      </c>
      <c r="D670" t="s">
        <v>21</v>
      </c>
      <c r="E670">
        <v>15.9687102457472</v>
      </c>
      <c r="G670">
        <v>0.49299999999999999</v>
      </c>
      <c r="H670">
        <v>2.8490000000000002</v>
      </c>
      <c r="K670">
        <v>8.2000000000000003E-2</v>
      </c>
      <c r="L670">
        <v>0.41099999999999998</v>
      </c>
      <c r="M670">
        <v>4.7607999999999997</v>
      </c>
      <c r="N670">
        <v>5.9610000000000003</v>
      </c>
      <c r="O670">
        <v>0.71189999999999998</v>
      </c>
      <c r="P670">
        <v>2.4899999999999999E-2</v>
      </c>
      <c r="Q670">
        <v>2E-3</v>
      </c>
      <c r="R670">
        <v>0</v>
      </c>
      <c r="S670">
        <v>0</v>
      </c>
      <c r="T670">
        <v>0</v>
      </c>
      <c r="U670">
        <v>0.39700000000000002</v>
      </c>
    </row>
    <row r="671" spans="1:21" x14ac:dyDescent="0.25">
      <c r="A671" t="s">
        <v>1184</v>
      </c>
      <c r="B671" t="s">
        <v>3</v>
      </c>
      <c r="C671">
        <v>23</v>
      </c>
      <c r="D671" t="s">
        <v>6</v>
      </c>
      <c r="E671">
        <v>15.7505517158981</v>
      </c>
      <c r="G671">
        <v>0.76900000000000002</v>
      </c>
      <c r="H671">
        <v>3.5049999999999999</v>
      </c>
      <c r="K671">
        <v>0.188</v>
      </c>
      <c r="L671">
        <v>0.58099999999999996</v>
      </c>
      <c r="M671">
        <v>7.4912000000000001</v>
      </c>
      <c r="N671">
        <v>3.9249999999999998</v>
      </c>
      <c r="O671">
        <v>0.88629999999999998</v>
      </c>
      <c r="P671">
        <v>6.3100000000000003E-2</v>
      </c>
      <c r="Q671">
        <v>5.3499999999999999E-2</v>
      </c>
      <c r="R671">
        <v>0</v>
      </c>
      <c r="S671">
        <v>0</v>
      </c>
      <c r="T671">
        <v>0.42</v>
      </c>
      <c r="U671">
        <v>0.76900000000000002</v>
      </c>
    </row>
    <row r="672" spans="1:21" x14ac:dyDescent="0.25">
      <c r="A672" t="s">
        <v>349</v>
      </c>
      <c r="B672" t="s">
        <v>3</v>
      </c>
      <c r="C672">
        <v>37</v>
      </c>
      <c r="D672" t="s">
        <v>2</v>
      </c>
      <c r="E672">
        <v>17.004686740081802</v>
      </c>
      <c r="G672">
        <v>1.0898000000000001</v>
      </c>
      <c r="H672">
        <v>4.2869999999999999</v>
      </c>
      <c r="K672">
        <v>0.18279999999999999</v>
      </c>
      <c r="L672">
        <v>0.90700000000000003</v>
      </c>
      <c r="M672">
        <v>6.0819000000000001</v>
      </c>
      <c r="N672">
        <v>5.3789999999999996</v>
      </c>
      <c r="O672">
        <v>0.68440000000000001</v>
      </c>
      <c r="P672">
        <v>2.23E-2</v>
      </c>
      <c r="Q672" s="1">
        <v>1.4E-3</v>
      </c>
      <c r="R672">
        <v>0</v>
      </c>
      <c r="S672">
        <v>0</v>
      </c>
      <c r="T672">
        <v>0.55000000000000004</v>
      </c>
      <c r="U672">
        <v>0.64200000000000002</v>
      </c>
    </row>
    <row r="673" spans="1:21" x14ac:dyDescent="0.25">
      <c r="A673" t="s">
        <v>379</v>
      </c>
      <c r="B673" t="s">
        <v>3</v>
      </c>
      <c r="C673">
        <v>27</v>
      </c>
      <c r="D673" t="s">
        <v>7</v>
      </c>
      <c r="E673">
        <v>15.9689184058391</v>
      </c>
      <c r="G673">
        <v>0.61919999999999997</v>
      </c>
      <c r="H673">
        <v>4.4320000000000004</v>
      </c>
      <c r="K673">
        <v>0.2122</v>
      </c>
      <c r="L673">
        <v>0.40699999999999997</v>
      </c>
      <c r="M673">
        <v>14.244199999999999</v>
      </c>
      <c r="N673">
        <v>3.6669999999999998</v>
      </c>
      <c r="O673">
        <v>1.1583000000000001</v>
      </c>
      <c r="P673">
        <v>0.26190000000000002</v>
      </c>
      <c r="Q673">
        <v>2.6700000000000002E-2</v>
      </c>
      <c r="R673">
        <v>0</v>
      </c>
      <c r="S673">
        <v>0</v>
      </c>
      <c r="T673">
        <v>0.43</v>
      </c>
      <c r="U673">
        <v>0.82399999999999995</v>
      </c>
    </row>
    <row r="674" spans="1:21" x14ac:dyDescent="0.25">
      <c r="A674" t="s">
        <v>912</v>
      </c>
      <c r="B674" t="s">
        <v>3</v>
      </c>
      <c r="C674">
        <v>24</v>
      </c>
      <c r="D674" t="s">
        <v>13</v>
      </c>
      <c r="E674">
        <v>17.1629883580514</v>
      </c>
      <c r="G674">
        <v>0.95250000000000001</v>
      </c>
      <c r="H674">
        <v>3.073</v>
      </c>
      <c r="K674">
        <v>0.19650000000000001</v>
      </c>
      <c r="L674">
        <v>0.75600000000000001</v>
      </c>
      <c r="M674">
        <v>3.42</v>
      </c>
      <c r="N674">
        <v>4.2089999999999996</v>
      </c>
      <c r="O674">
        <v>0.63939999999999997</v>
      </c>
      <c r="P674">
        <v>3.2300000000000002E-2</v>
      </c>
      <c r="Q674">
        <v>1.4E-3</v>
      </c>
      <c r="R674">
        <v>0</v>
      </c>
      <c r="S674">
        <v>0</v>
      </c>
      <c r="T674">
        <v>0.46</v>
      </c>
      <c r="U674">
        <v>0.79400000000000004</v>
      </c>
    </row>
    <row r="675" spans="1:21" x14ac:dyDescent="0.25">
      <c r="A675" t="s">
        <v>360</v>
      </c>
      <c r="B675" t="s">
        <v>3</v>
      </c>
      <c r="C675">
        <v>31</v>
      </c>
      <c r="D675" t="s">
        <v>937</v>
      </c>
      <c r="E675">
        <v>15.110158065070401</v>
      </c>
      <c r="G675">
        <v>0.6361</v>
      </c>
      <c r="H675">
        <v>3.41</v>
      </c>
      <c r="K675">
        <v>0.15310000000000001</v>
      </c>
      <c r="L675">
        <v>0.48299999999999998</v>
      </c>
      <c r="M675">
        <v>4.9330999999999996</v>
      </c>
      <c r="N675">
        <v>4.6630000000000003</v>
      </c>
      <c r="O675">
        <v>0.81540000000000001</v>
      </c>
      <c r="P675">
        <v>7.6799999999999993E-2</v>
      </c>
      <c r="Q675">
        <v>8.9399999999999993E-2</v>
      </c>
      <c r="R675">
        <v>0</v>
      </c>
      <c r="S675">
        <v>0</v>
      </c>
      <c r="T675">
        <v>0.46</v>
      </c>
      <c r="U675">
        <v>0.84</v>
      </c>
    </row>
    <row r="676" spans="1:21" x14ac:dyDescent="0.25">
      <c r="A676" t="s">
        <v>776</v>
      </c>
      <c r="B676" t="s">
        <v>3</v>
      </c>
      <c r="C676">
        <v>33</v>
      </c>
      <c r="D676" t="s">
        <v>1175</v>
      </c>
      <c r="E676">
        <v>13.3450602651599</v>
      </c>
      <c r="G676">
        <v>0.61839999999999995</v>
      </c>
      <c r="H676">
        <v>2.3660000000000001</v>
      </c>
      <c r="K676">
        <v>0.1144</v>
      </c>
      <c r="L676">
        <v>0.504</v>
      </c>
      <c r="M676">
        <v>4.6470000000000002</v>
      </c>
      <c r="N676">
        <v>5.1920000000000002</v>
      </c>
      <c r="O676">
        <v>0.80189999999999995</v>
      </c>
      <c r="P676">
        <v>0.1139</v>
      </c>
      <c r="Q676">
        <v>3.2000000000000002E-3</v>
      </c>
      <c r="R676">
        <v>0</v>
      </c>
      <c r="S676">
        <v>0</v>
      </c>
      <c r="T676">
        <v>0.47</v>
      </c>
      <c r="U676">
        <v>0.65200000000000002</v>
      </c>
    </row>
    <row r="677" spans="1:21" x14ac:dyDescent="0.25">
      <c r="A677" t="s">
        <v>256</v>
      </c>
      <c r="B677" t="s">
        <v>3</v>
      </c>
      <c r="C677">
        <v>35</v>
      </c>
      <c r="D677" t="s">
        <v>29</v>
      </c>
      <c r="E677">
        <v>19.486302901045701</v>
      </c>
      <c r="G677">
        <v>1.3464</v>
      </c>
      <c r="H677">
        <v>5.4569999999999999</v>
      </c>
      <c r="K677">
        <v>0.27139999999999997</v>
      </c>
      <c r="L677">
        <v>1.075</v>
      </c>
      <c r="M677">
        <v>2.2056</v>
      </c>
      <c r="N677">
        <v>5.6539999999999999</v>
      </c>
      <c r="O677">
        <v>0.42180000000000001</v>
      </c>
      <c r="P677">
        <v>6.3E-3</v>
      </c>
      <c r="Q677">
        <v>1.2999999999999999E-2</v>
      </c>
      <c r="R677">
        <v>0</v>
      </c>
      <c r="S677">
        <v>0</v>
      </c>
      <c r="T677">
        <v>0.47</v>
      </c>
      <c r="U677">
        <v>1.5580000000000001</v>
      </c>
    </row>
    <row r="678" spans="1:21" x14ac:dyDescent="0.25">
      <c r="A678" t="s">
        <v>334</v>
      </c>
      <c r="B678" t="s">
        <v>3</v>
      </c>
      <c r="C678">
        <v>32</v>
      </c>
      <c r="D678" t="s">
        <v>30</v>
      </c>
      <c r="E678">
        <v>17.2595384811247</v>
      </c>
      <c r="G678">
        <v>0.98109999999999997</v>
      </c>
      <c r="H678">
        <v>3.1469999999999998</v>
      </c>
      <c r="K678">
        <v>0.15310000000000001</v>
      </c>
      <c r="L678">
        <v>0.82799999999999996</v>
      </c>
      <c r="M678">
        <v>2.6394000000000002</v>
      </c>
      <c r="N678">
        <v>3.915</v>
      </c>
      <c r="O678">
        <v>0.84160000000000001</v>
      </c>
      <c r="P678">
        <v>8.0000000000000002E-3</v>
      </c>
      <c r="Q678">
        <v>1.6999999999999999E-3</v>
      </c>
      <c r="R678">
        <v>0</v>
      </c>
      <c r="S678">
        <v>0</v>
      </c>
      <c r="T678">
        <v>0.44</v>
      </c>
      <c r="U678">
        <v>1.373</v>
      </c>
    </row>
    <row r="679" spans="1:21" x14ac:dyDescent="0.25">
      <c r="A679" t="s">
        <v>1185</v>
      </c>
      <c r="B679" t="s">
        <v>3</v>
      </c>
      <c r="C679">
        <v>24</v>
      </c>
      <c r="D679" t="s">
        <v>25</v>
      </c>
      <c r="E679">
        <v>12.564115133851599</v>
      </c>
      <c r="G679">
        <v>0.86180000000000001</v>
      </c>
      <c r="H679">
        <v>4.0010000000000003</v>
      </c>
      <c r="K679">
        <v>0.29380000000000001</v>
      </c>
      <c r="L679">
        <v>0.56799999999999995</v>
      </c>
      <c r="M679">
        <v>8.6926000000000005</v>
      </c>
      <c r="N679">
        <v>4.601</v>
      </c>
      <c r="O679">
        <v>0.86260000000000003</v>
      </c>
      <c r="P679">
        <v>0.3821</v>
      </c>
      <c r="Q679">
        <v>9.0399999999999994E-2</v>
      </c>
      <c r="R679">
        <v>0</v>
      </c>
      <c r="S679">
        <v>0</v>
      </c>
      <c r="T679">
        <v>0.38</v>
      </c>
      <c r="U679">
        <v>1.8340000000000001</v>
      </c>
    </row>
    <row r="680" spans="1:21" x14ac:dyDescent="0.25">
      <c r="A680" t="s">
        <v>514</v>
      </c>
      <c r="B680" t="s">
        <v>3</v>
      </c>
      <c r="C680">
        <v>27</v>
      </c>
      <c r="D680" t="s">
        <v>27</v>
      </c>
      <c r="E680">
        <v>17.807603488089899</v>
      </c>
      <c r="G680">
        <v>0.99670000000000003</v>
      </c>
      <c r="H680">
        <v>2.7749999999999999</v>
      </c>
      <c r="K680">
        <v>0.17069999999999999</v>
      </c>
      <c r="L680">
        <v>0.82599999999999996</v>
      </c>
      <c r="M680">
        <v>1.6396999999999999</v>
      </c>
      <c r="N680">
        <v>3.556</v>
      </c>
      <c r="O680">
        <v>0.495</v>
      </c>
      <c r="P680">
        <v>3.0200000000000001E-2</v>
      </c>
      <c r="Q680">
        <v>1.55E-2</v>
      </c>
      <c r="R680">
        <v>0</v>
      </c>
      <c r="S680">
        <v>0</v>
      </c>
      <c r="T680">
        <v>0.43</v>
      </c>
      <c r="U680">
        <v>1.9239999999999999</v>
      </c>
    </row>
    <row r="681" spans="1:21" x14ac:dyDescent="0.25">
      <c r="A681" t="s">
        <v>943</v>
      </c>
      <c r="B681" t="s">
        <v>3</v>
      </c>
      <c r="C681">
        <v>27</v>
      </c>
      <c r="D681" t="s">
        <v>6</v>
      </c>
      <c r="E681">
        <v>14.442854160192001</v>
      </c>
      <c r="G681">
        <v>0.80630000000000002</v>
      </c>
      <c r="H681">
        <v>3.5289999999999999</v>
      </c>
      <c r="K681">
        <v>0.26329999999999998</v>
      </c>
      <c r="L681">
        <v>0.54300000000000004</v>
      </c>
      <c r="M681">
        <v>4.0719000000000003</v>
      </c>
      <c r="N681">
        <v>4.444</v>
      </c>
      <c r="O681">
        <v>0.79110000000000003</v>
      </c>
      <c r="P681">
        <v>8.14E-2</v>
      </c>
      <c r="Q681" s="1">
        <v>3.4299999999999997E-2</v>
      </c>
      <c r="R681">
        <v>0</v>
      </c>
      <c r="S681">
        <v>0</v>
      </c>
      <c r="T681">
        <v>0.44</v>
      </c>
      <c r="U681">
        <v>1.452</v>
      </c>
    </row>
    <row r="682" spans="1:21" x14ac:dyDescent="0.25">
      <c r="A682" t="s">
        <v>659</v>
      </c>
      <c r="B682" t="s">
        <v>3</v>
      </c>
      <c r="C682">
        <v>32</v>
      </c>
      <c r="D682" t="s">
        <v>18</v>
      </c>
      <c r="E682">
        <v>12.6446918817979</v>
      </c>
      <c r="G682">
        <v>0.7782</v>
      </c>
      <c r="H682">
        <v>2.899</v>
      </c>
      <c r="K682">
        <v>0.19320000000000001</v>
      </c>
      <c r="L682">
        <v>0.58499999999999996</v>
      </c>
      <c r="M682">
        <v>2.6198000000000001</v>
      </c>
      <c r="N682">
        <v>4.9249999999999998</v>
      </c>
      <c r="O682">
        <v>0.95250000000000001</v>
      </c>
      <c r="P682">
        <v>8.0000000000000002E-3</v>
      </c>
      <c r="Q682" s="1">
        <v>1.6999999999999999E-3</v>
      </c>
      <c r="R682">
        <v>0</v>
      </c>
      <c r="S682">
        <v>0</v>
      </c>
      <c r="T682">
        <v>0.54</v>
      </c>
      <c r="U682">
        <v>0.91200000000000003</v>
      </c>
    </row>
    <row r="683" spans="1:21" x14ac:dyDescent="0.25">
      <c r="A683" t="s">
        <v>480</v>
      </c>
      <c r="B683" t="s">
        <v>3</v>
      </c>
      <c r="C683">
        <v>31</v>
      </c>
      <c r="D683" t="s">
        <v>18</v>
      </c>
      <c r="E683">
        <v>19.6393147793525</v>
      </c>
      <c r="G683">
        <v>0.93089999999999995</v>
      </c>
      <c r="H683">
        <v>4.6130000000000004</v>
      </c>
      <c r="K683">
        <v>0.23089999999999999</v>
      </c>
      <c r="L683">
        <v>0.7</v>
      </c>
      <c r="M683">
        <v>1.0548</v>
      </c>
      <c r="N683">
        <v>5.2489999999999997</v>
      </c>
      <c r="O683">
        <v>0.51449999999999996</v>
      </c>
      <c r="P683">
        <v>6.3E-3</v>
      </c>
      <c r="Q683">
        <v>1.2999999999999999E-3</v>
      </c>
      <c r="R683">
        <v>0</v>
      </c>
      <c r="S683">
        <v>0</v>
      </c>
      <c r="T683">
        <v>0.32</v>
      </c>
      <c r="U683">
        <v>1.097</v>
      </c>
    </row>
    <row r="684" spans="1:21" x14ac:dyDescent="0.25">
      <c r="A684" t="s">
        <v>462</v>
      </c>
      <c r="B684" t="s">
        <v>3</v>
      </c>
      <c r="C684">
        <v>27</v>
      </c>
      <c r="D684" t="s">
        <v>27</v>
      </c>
      <c r="E684">
        <v>17.401156541633199</v>
      </c>
      <c r="G684">
        <v>0.67849999999999999</v>
      </c>
      <c r="H684">
        <v>3.4980000000000002</v>
      </c>
      <c r="K684">
        <v>0.10150000000000001</v>
      </c>
      <c r="L684">
        <v>0.57699999999999996</v>
      </c>
      <c r="M684">
        <v>3.9373</v>
      </c>
      <c r="N684">
        <v>4.9429999999999996</v>
      </c>
      <c r="O684">
        <v>0.73519999999999996</v>
      </c>
      <c r="P684">
        <v>2.7199999999999998E-2</v>
      </c>
      <c r="Q684">
        <v>1.2999999999999999E-3</v>
      </c>
      <c r="R684">
        <v>0</v>
      </c>
      <c r="S684">
        <v>0</v>
      </c>
      <c r="T684">
        <v>0.56000000000000005</v>
      </c>
      <c r="U684">
        <v>1.04</v>
      </c>
    </row>
    <row r="685" spans="1:21" x14ac:dyDescent="0.25">
      <c r="A685" t="s">
        <v>1023</v>
      </c>
      <c r="B685" t="s">
        <v>3</v>
      </c>
      <c r="C685">
        <v>29</v>
      </c>
      <c r="D685" t="s">
        <v>7</v>
      </c>
      <c r="E685">
        <v>16.3291194361537</v>
      </c>
      <c r="G685">
        <v>0.81340000000000001</v>
      </c>
      <c r="H685">
        <v>4.2270000000000003</v>
      </c>
      <c r="K685">
        <v>0.25740000000000002</v>
      </c>
      <c r="L685">
        <v>0.55600000000000005</v>
      </c>
      <c r="M685">
        <v>2.6880999999999999</v>
      </c>
      <c r="N685">
        <v>4.6070000000000002</v>
      </c>
      <c r="O685">
        <v>0.56999999999999995</v>
      </c>
      <c r="P685">
        <v>3.5999999999999997E-2</v>
      </c>
      <c r="Q685">
        <v>1.3899999999999999E-2</v>
      </c>
      <c r="R685">
        <v>0</v>
      </c>
      <c r="S685">
        <v>0</v>
      </c>
      <c r="T685">
        <v>0.42</v>
      </c>
      <c r="U685">
        <v>1.3160000000000001</v>
      </c>
    </row>
    <row r="686" spans="1:21" x14ac:dyDescent="0.25">
      <c r="A686" t="s">
        <v>944</v>
      </c>
      <c r="B686" t="s">
        <v>3</v>
      </c>
      <c r="C686">
        <v>24</v>
      </c>
      <c r="D686" t="s">
        <v>6</v>
      </c>
      <c r="E686">
        <v>15.957924516273801</v>
      </c>
      <c r="G686">
        <v>0.77749999999999997</v>
      </c>
      <c r="H686">
        <v>3.2069999999999999</v>
      </c>
      <c r="K686">
        <v>0.19550000000000001</v>
      </c>
      <c r="L686">
        <v>0.58199999999999996</v>
      </c>
      <c r="M686">
        <v>1.9690000000000001</v>
      </c>
      <c r="N686">
        <v>4.8689999999999998</v>
      </c>
      <c r="O686">
        <v>0.83069999999999999</v>
      </c>
      <c r="P686">
        <v>1.01E-2</v>
      </c>
      <c r="Q686">
        <v>2.2000000000000001E-3</v>
      </c>
      <c r="R686">
        <v>0</v>
      </c>
      <c r="S686">
        <v>0</v>
      </c>
      <c r="T686">
        <v>0.46</v>
      </c>
      <c r="U686">
        <v>1.093</v>
      </c>
    </row>
    <row r="687" spans="1:21" x14ac:dyDescent="0.25">
      <c r="A687" t="s">
        <v>881</v>
      </c>
      <c r="B687" t="s">
        <v>3</v>
      </c>
      <c r="C687">
        <v>32</v>
      </c>
      <c r="D687" t="s">
        <v>22</v>
      </c>
      <c r="E687">
        <v>13.590650124058699</v>
      </c>
      <c r="G687">
        <v>0.62949999999999995</v>
      </c>
      <c r="H687">
        <v>3.8250000000000002</v>
      </c>
      <c r="K687">
        <v>0.1215</v>
      </c>
      <c r="L687">
        <v>0.50800000000000001</v>
      </c>
      <c r="M687">
        <v>3.2096</v>
      </c>
      <c r="N687">
        <v>5.7359999999999998</v>
      </c>
      <c r="O687">
        <v>0.42149999999999999</v>
      </c>
      <c r="P687">
        <v>2.8500000000000001E-2</v>
      </c>
      <c r="Q687">
        <v>2.5000000000000001E-3</v>
      </c>
      <c r="R687">
        <v>0</v>
      </c>
      <c r="S687">
        <v>0</v>
      </c>
      <c r="T687">
        <v>0.37</v>
      </c>
      <c r="U687">
        <v>1.0569999999999999</v>
      </c>
    </row>
    <row r="688" spans="1:21" x14ac:dyDescent="0.25">
      <c r="A688" t="s">
        <v>702</v>
      </c>
      <c r="B688" t="s">
        <v>3</v>
      </c>
      <c r="C688">
        <v>23</v>
      </c>
      <c r="D688" t="s">
        <v>26</v>
      </c>
      <c r="E688">
        <v>13.599511951483001</v>
      </c>
      <c r="G688">
        <v>1.0429999999999999</v>
      </c>
      <c r="H688">
        <v>4.3090000000000002</v>
      </c>
      <c r="K688">
        <v>0.17100000000000001</v>
      </c>
      <c r="L688">
        <v>0.872</v>
      </c>
      <c r="M688">
        <v>3.7675000000000001</v>
      </c>
      <c r="N688">
        <v>4.0880000000000001</v>
      </c>
      <c r="O688">
        <v>0.3493</v>
      </c>
      <c r="P688">
        <v>1.46E-2</v>
      </c>
      <c r="Q688" s="1">
        <v>4.3E-3</v>
      </c>
      <c r="R688">
        <v>0</v>
      </c>
      <c r="S688">
        <v>0</v>
      </c>
      <c r="T688">
        <v>0.35</v>
      </c>
      <c r="U688">
        <v>1.0109999999999999</v>
      </c>
    </row>
    <row r="689" spans="1:21" x14ac:dyDescent="0.25">
      <c r="A689" t="s">
        <v>882</v>
      </c>
      <c r="B689" t="s">
        <v>3</v>
      </c>
      <c r="C689">
        <v>37</v>
      </c>
      <c r="D689" t="s">
        <v>30</v>
      </c>
      <c r="E689">
        <v>14.618883575502201</v>
      </c>
      <c r="G689">
        <v>0.747</v>
      </c>
      <c r="H689">
        <v>3.581</v>
      </c>
      <c r="K689">
        <v>0.188</v>
      </c>
      <c r="L689">
        <v>0.55900000000000005</v>
      </c>
      <c r="M689">
        <v>6.8422000000000001</v>
      </c>
      <c r="N689">
        <v>7.0830000000000002</v>
      </c>
      <c r="O689">
        <v>1.0730999999999999</v>
      </c>
      <c r="P689">
        <v>2.2100000000000002E-2</v>
      </c>
      <c r="Q689">
        <v>7.4000000000000003E-3</v>
      </c>
      <c r="R689">
        <v>0</v>
      </c>
      <c r="S689">
        <v>0</v>
      </c>
      <c r="T689">
        <v>0</v>
      </c>
      <c r="U689">
        <v>0.93300000000000005</v>
      </c>
    </row>
    <row r="690" spans="1:21" x14ac:dyDescent="0.25">
      <c r="A690" t="s">
        <v>620</v>
      </c>
      <c r="B690" t="s">
        <v>3</v>
      </c>
      <c r="C690">
        <v>31</v>
      </c>
      <c r="D690" t="s">
        <v>13</v>
      </c>
      <c r="E690">
        <v>12.8427936940355</v>
      </c>
      <c r="G690">
        <v>0.69140000000000001</v>
      </c>
      <c r="H690">
        <v>4.0010000000000003</v>
      </c>
      <c r="K690">
        <v>0.2054</v>
      </c>
      <c r="L690">
        <v>0.48599999999999999</v>
      </c>
      <c r="M690">
        <v>9.3238000000000003</v>
      </c>
      <c r="N690">
        <v>5.3360000000000003</v>
      </c>
      <c r="O690">
        <v>0.99970000000000003</v>
      </c>
      <c r="P690">
        <v>0.3553</v>
      </c>
      <c r="Q690">
        <v>0.1162</v>
      </c>
      <c r="R690">
        <v>0</v>
      </c>
      <c r="S690">
        <v>0</v>
      </c>
      <c r="T690">
        <v>0</v>
      </c>
      <c r="U690">
        <v>0.25700000000000001</v>
      </c>
    </row>
    <row r="691" spans="1:21" x14ac:dyDescent="0.25">
      <c r="A691" t="s">
        <v>754</v>
      </c>
      <c r="B691" t="s">
        <v>3</v>
      </c>
      <c r="C691">
        <v>26</v>
      </c>
      <c r="D691" t="s">
        <v>31</v>
      </c>
      <c r="E691">
        <v>12.2759626946981</v>
      </c>
      <c r="G691">
        <v>0.97929999999999995</v>
      </c>
      <c r="H691">
        <v>3.9660000000000002</v>
      </c>
      <c r="K691">
        <v>0.15429999999999999</v>
      </c>
      <c r="L691">
        <v>0.82499999999999996</v>
      </c>
      <c r="M691">
        <v>5.3581000000000003</v>
      </c>
      <c r="N691">
        <v>4.8289999999999997</v>
      </c>
      <c r="O691">
        <v>1.0367999999999999</v>
      </c>
      <c r="P691">
        <v>1.0800000000000001E-2</v>
      </c>
      <c r="Q691">
        <v>4.7899999999999998E-2</v>
      </c>
      <c r="R691">
        <v>0</v>
      </c>
      <c r="S691">
        <v>0</v>
      </c>
      <c r="T691">
        <v>0.47</v>
      </c>
      <c r="U691">
        <v>0.54</v>
      </c>
    </row>
    <row r="692" spans="1:21" x14ac:dyDescent="0.25">
      <c r="A692" t="s">
        <v>394</v>
      </c>
      <c r="B692" t="s">
        <v>3</v>
      </c>
      <c r="C692">
        <v>33</v>
      </c>
      <c r="D692" t="s">
        <v>11</v>
      </c>
      <c r="E692">
        <v>15.7517094851189</v>
      </c>
      <c r="G692">
        <v>1.0942000000000001</v>
      </c>
      <c r="H692">
        <v>5.399</v>
      </c>
      <c r="K692">
        <v>0.29320000000000002</v>
      </c>
      <c r="L692">
        <v>0.80100000000000005</v>
      </c>
      <c r="M692">
        <v>8.0876999999999999</v>
      </c>
      <c r="N692">
        <v>4.5640000000000001</v>
      </c>
      <c r="O692">
        <v>1.5023</v>
      </c>
      <c r="P692">
        <v>0.16309999999999999</v>
      </c>
      <c r="Q692">
        <v>1.7299999999999999E-2</v>
      </c>
      <c r="R692">
        <v>0</v>
      </c>
      <c r="S692">
        <v>0</v>
      </c>
      <c r="T692">
        <v>0</v>
      </c>
      <c r="U692">
        <v>0.42099999999999999</v>
      </c>
    </row>
    <row r="693" spans="1:21" x14ac:dyDescent="0.25">
      <c r="A693" t="s">
        <v>299</v>
      </c>
      <c r="B693" t="s">
        <v>3</v>
      </c>
      <c r="C693">
        <v>29</v>
      </c>
      <c r="D693" t="s">
        <v>9</v>
      </c>
      <c r="E693">
        <v>20.662641522924901</v>
      </c>
      <c r="G693">
        <v>1.4734</v>
      </c>
      <c r="H693">
        <v>5.2359999999999998</v>
      </c>
      <c r="K693">
        <v>0.32640000000000002</v>
      </c>
      <c r="L693">
        <v>1.147</v>
      </c>
      <c r="M693">
        <v>3.0026999999999999</v>
      </c>
      <c r="N693">
        <v>3.9430000000000001</v>
      </c>
      <c r="O693">
        <v>0.77190000000000003</v>
      </c>
      <c r="P693">
        <v>1.4999999999999999E-2</v>
      </c>
      <c r="Q693">
        <v>1E-3</v>
      </c>
      <c r="R693">
        <v>0</v>
      </c>
      <c r="S693">
        <v>0</v>
      </c>
      <c r="T693">
        <v>0.47</v>
      </c>
      <c r="U693">
        <v>0.65500000000000003</v>
      </c>
    </row>
    <row r="694" spans="1:21" x14ac:dyDescent="0.25">
      <c r="A694" t="s">
        <v>945</v>
      </c>
      <c r="B694" t="s">
        <v>3</v>
      </c>
      <c r="C694">
        <v>23</v>
      </c>
      <c r="D694" t="s">
        <v>6</v>
      </c>
      <c r="E694">
        <v>16.470878336275</v>
      </c>
      <c r="G694">
        <v>0.91559999999999997</v>
      </c>
      <c r="H694">
        <v>3.8340000000000001</v>
      </c>
      <c r="K694">
        <v>0.26960000000000001</v>
      </c>
      <c r="L694">
        <v>0.64600000000000002</v>
      </c>
      <c r="M694">
        <v>3.4786999999999999</v>
      </c>
      <c r="N694">
        <v>4.4089999999999998</v>
      </c>
      <c r="O694">
        <v>0.7923</v>
      </c>
      <c r="P694">
        <v>1.43E-2</v>
      </c>
      <c r="Q694">
        <v>3.7000000000000002E-3</v>
      </c>
      <c r="R694">
        <v>0</v>
      </c>
      <c r="S694">
        <v>0</v>
      </c>
      <c r="T694">
        <v>0.46</v>
      </c>
      <c r="U694">
        <v>1.1419999999999999</v>
      </c>
    </row>
    <row r="695" spans="1:21" x14ac:dyDescent="0.25">
      <c r="A695" t="s">
        <v>578</v>
      </c>
      <c r="B695" t="s">
        <v>3</v>
      </c>
      <c r="C695">
        <v>37</v>
      </c>
      <c r="D695" t="s">
        <v>32</v>
      </c>
      <c r="E695">
        <v>13.898302584972001</v>
      </c>
      <c r="G695">
        <v>0.58499999999999996</v>
      </c>
      <c r="H695">
        <v>3.472</v>
      </c>
      <c r="K695">
        <v>0.13</v>
      </c>
      <c r="L695">
        <v>0.45500000000000002</v>
      </c>
      <c r="M695">
        <v>3.3887999999999998</v>
      </c>
      <c r="N695">
        <v>4.7770000000000001</v>
      </c>
      <c r="O695">
        <v>0.73089999999999999</v>
      </c>
      <c r="P695">
        <v>4.0399999999999998E-2</v>
      </c>
      <c r="Q695">
        <v>3.5999999999999999E-3</v>
      </c>
      <c r="R695">
        <v>0</v>
      </c>
      <c r="S695">
        <v>0</v>
      </c>
      <c r="T695">
        <v>0.26</v>
      </c>
      <c r="U695">
        <v>0.84</v>
      </c>
    </row>
    <row r="696" spans="1:21" x14ac:dyDescent="0.25">
      <c r="A696" t="s">
        <v>296</v>
      </c>
      <c r="B696" t="s">
        <v>3</v>
      </c>
      <c r="C696">
        <v>32</v>
      </c>
      <c r="D696" t="s">
        <v>14</v>
      </c>
      <c r="E696">
        <v>18.645981037614298</v>
      </c>
      <c r="G696">
        <v>1.3173999999999999</v>
      </c>
      <c r="H696">
        <v>5.62</v>
      </c>
      <c r="K696">
        <v>0.26040000000000002</v>
      </c>
      <c r="L696">
        <v>1.0569999999999999</v>
      </c>
      <c r="M696">
        <v>4.0130999999999997</v>
      </c>
      <c r="N696">
        <v>4.7990000000000004</v>
      </c>
      <c r="O696">
        <v>0.56889999999999996</v>
      </c>
      <c r="P696">
        <v>3.2300000000000002E-2</v>
      </c>
      <c r="Q696">
        <v>3.5900000000000001E-2</v>
      </c>
      <c r="R696">
        <v>0</v>
      </c>
      <c r="S696">
        <v>0</v>
      </c>
      <c r="T696">
        <v>0</v>
      </c>
      <c r="U696">
        <v>0.437</v>
      </c>
    </row>
    <row r="697" spans="1:21" x14ac:dyDescent="0.25">
      <c r="A697" t="s">
        <v>477</v>
      </c>
      <c r="B697" t="s">
        <v>3</v>
      </c>
      <c r="C697">
        <v>33</v>
      </c>
      <c r="D697" t="s">
        <v>2</v>
      </c>
      <c r="E697">
        <v>14.441869813534501</v>
      </c>
      <c r="G697">
        <v>0.72030000000000005</v>
      </c>
      <c r="H697">
        <v>2.0430000000000001</v>
      </c>
      <c r="K697">
        <v>7.2300000000000003E-2</v>
      </c>
      <c r="L697">
        <v>0.64800000000000002</v>
      </c>
      <c r="M697">
        <v>5.0076000000000001</v>
      </c>
      <c r="N697">
        <v>4.3109999999999999</v>
      </c>
      <c r="O697">
        <v>0.95950000000000002</v>
      </c>
      <c r="P697">
        <v>2.8899999999999999E-2</v>
      </c>
      <c r="Q697">
        <v>1.5E-3</v>
      </c>
      <c r="R697">
        <v>0</v>
      </c>
      <c r="S697">
        <v>0</v>
      </c>
      <c r="T697">
        <v>0</v>
      </c>
      <c r="U697">
        <v>0.6</v>
      </c>
    </row>
    <row r="698" spans="1:21" x14ac:dyDescent="0.25">
      <c r="A698" t="s">
        <v>639</v>
      </c>
      <c r="B698" t="s">
        <v>3</v>
      </c>
      <c r="C698">
        <v>34</v>
      </c>
      <c r="D698" t="s">
        <v>87</v>
      </c>
      <c r="E698">
        <v>14.2951095724766</v>
      </c>
      <c r="G698">
        <v>0.93430000000000002</v>
      </c>
      <c r="H698">
        <v>4.4870000000000001</v>
      </c>
      <c r="K698">
        <v>0.26429999999999998</v>
      </c>
      <c r="L698">
        <v>0.67</v>
      </c>
      <c r="M698">
        <v>1.3939999999999999</v>
      </c>
      <c r="N698">
        <v>4.2859999999999996</v>
      </c>
      <c r="O698">
        <v>0.68869999999999998</v>
      </c>
      <c r="P698">
        <v>7.1000000000000004E-3</v>
      </c>
      <c r="Q698">
        <v>1.5E-3</v>
      </c>
      <c r="R698">
        <v>0</v>
      </c>
      <c r="S698">
        <v>0</v>
      </c>
      <c r="T698">
        <v>0.44</v>
      </c>
      <c r="U698">
        <v>0.63</v>
      </c>
    </row>
    <row r="699" spans="1:21" x14ac:dyDescent="0.25">
      <c r="A699" t="s">
        <v>972</v>
      </c>
      <c r="B699" t="s">
        <v>3</v>
      </c>
      <c r="C699">
        <v>26</v>
      </c>
      <c r="D699" t="s">
        <v>13</v>
      </c>
      <c r="E699">
        <v>17.078915879804299</v>
      </c>
      <c r="G699">
        <v>0.83040000000000003</v>
      </c>
      <c r="H699">
        <v>3.5289999999999999</v>
      </c>
      <c r="K699">
        <v>0.15540000000000001</v>
      </c>
      <c r="L699">
        <v>0.67500000000000004</v>
      </c>
      <c r="M699">
        <v>2.7343999999999999</v>
      </c>
      <c r="N699">
        <v>4.4889999999999999</v>
      </c>
      <c r="O699">
        <v>0.65410000000000001</v>
      </c>
      <c r="P699">
        <v>2.7E-2</v>
      </c>
      <c r="Q699">
        <v>3.3300000000000003E-2</v>
      </c>
      <c r="R699">
        <v>0</v>
      </c>
      <c r="S699">
        <v>0</v>
      </c>
      <c r="T699">
        <v>0</v>
      </c>
      <c r="U699">
        <v>0.34300000000000003</v>
      </c>
    </row>
    <row r="700" spans="1:21" x14ac:dyDescent="0.25">
      <c r="A700" t="s">
        <v>454</v>
      </c>
      <c r="B700" t="s">
        <v>3</v>
      </c>
      <c r="C700">
        <v>25</v>
      </c>
      <c r="D700" t="s">
        <v>10</v>
      </c>
      <c r="E700">
        <v>19.294015242055899</v>
      </c>
      <c r="G700">
        <v>1.0455000000000001</v>
      </c>
      <c r="H700">
        <v>3.6269999999999998</v>
      </c>
      <c r="K700">
        <v>0.26650000000000001</v>
      </c>
      <c r="L700">
        <v>0.77900000000000003</v>
      </c>
      <c r="M700">
        <v>4.8216999999999999</v>
      </c>
      <c r="N700">
        <v>4.0529999999999999</v>
      </c>
      <c r="O700">
        <v>0.57840000000000003</v>
      </c>
      <c r="P700">
        <v>2.8299999999999999E-2</v>
      </c>
      <c r="Q700">
        <v>1.35E-2</v>
      </c>
      <c r="R700">
        <v>0</v>
      </c>
      <c r="S700">
        <v>0</v>
      </c>
      <c r="T700">
        <v>0</v>
      </c>
      <c r="U700">
        <v>0.55600000000000005</v>
      </c>
    </row>
    <row r="701" spans="1:21" x14ac:dyDescent="0.25">
      <c r="A701" t="s">
        <v>1062</v>
      </c>
      <c r="B701" t="s">
        <v>3</v>
      </c>
      <c r="C701">
        <v>24</v>
      </c>
      <c r="D701" t="s">
        <v>28</v>
      </c>
      <c r="E701">
        <v>16.126436555582501</v>
      </c>
      <c r="G701">
        <v>0.94899999999999995</v>
      </c>
      <c r="H701">
        <v>4.4790000000000001</v>
      </c>
      <c r="K701">
        <v>0.159</v>
      </c>
      <c r="L701">
        <v>0.79</v>
      </c>
      <c r="M701">
        <v>5.5907</v>
      </c>
      <c r="N701">
        <v>4.2</v>
      </c>
      <c r="O701">
        <v>0.44729999999999998</v>
      </c>
      <c r="P701">
        <v>2.47E-2</v>
      </c>
      <c r="Q701">
        <v>7.0000000000000001E-3</v>
      </c>
      <c r="R701">
        <v>0</v>
      </c>
      <c r="S701">
        <v>0</v>
      </c>
      <c r="T701">
        <v>0.54</v>
      </c>
      <c r="U701">
        <v>0.74</v>
      </c>
    </row>
    <row r="702" spans="1:21" x14ac:dyDescent="0.25">
      <c r="A702" t="s">
        <v>946</v>
      </c>
      <c r="B702" t="s">
        <v>3</v>
      </c>
      <c r="C702">
        <v>23</v>
      </c>
      <c r="D702" t="s">
        <v>6</v>
      </c>
      <c r="E702">
        <v>19</v>
      </c>
      <c r="G702">
        <v>1.0445</v>
      </c>
      <c r="H702">
        <v>3.83</v>
      </c>
      <c r="K702">
        <v>0.2465</v>
      </c>
      <c r="L702">
        <v>0.79800000000000004</v>
      </c>
      <c r="M702">
        <v>4.5601000000000003</v>
      </c>
      <c r="N702">
        <v>5.9530000000000003</v>
      </c>
      <c r="O702">
        <v>0.8649</v>
      </c>
      <c r="P702">
        <v>3.7600000000000001E-2</v>
      </c>
      <c r="Q702">
        <v>2.5999999999999999E-3</v>
      </c>
      <c r="R702">
        <v>0</v>
      </c>
      <c r="S702">
        <v>0</v>
      </c>
      <c r="T702">
        <v>0</v>
      </c>
      <c r="U702">
        <v>0.40500000000000003</v>
      </c>
    </row>
    <row r="703" spans="1:21" x14ac:dyDescent="0.25">
      <c r="A703" t="s">
        <v>981</v>
      </c>
      <c r="B703" t="s">
        <v>3</v>
      </c>
      <c r="C703">
        <v>26</v>
      </c>
      <c r="D703" t="s">
        <v>4</v>
      </c>
      <c r="E703">
        <v>15.299460933696301</v>
      </c>
      <c r="G703">
        <v>0.79879999999999995</v>
      </c>
      <c r="H703">
        <v>3.008</v>
      </c>
      <c r="K703">
        <v>0.1318</v>
      </c>
      <c r="L703">
        <v>0.66700000000000004</v>
      </c>
      <c r="M703">
        <v>2.3155999999999999</v>
      </c>
      <c r="N703">
        <v>3.5710000000000002</v>
      </c>
      <c r="O703">
        <v>0.92330000000000001</v>
      </c>
      <c r="P703">
        <v>1.77E-2</v>
      </c>
      <c r="Q703">
        <v>6.9699999999999998E-2</v>
      </c>
      <c r="R703">
        <v>0</v>
      </c>
      <c r="S703">
        <v>0</v>
      </c>
      <c r="T703">
        <v>0.5</v>
      </c>
      <c r="U703">
        <v>1.2350000000000001</v>
      </c>
    </row>
    <row r="704" spans="1:21" x14ac:dyDescent="0.25">
      <c r="A704" t="s">
        <v>779</v>
      </c>
      <c r="B704" t="s">
        <v>3</v>
      </c>
      <c r="C704">
        <v>24</v>
      </c>
      <c r="D704" t="s">
        <v>27</v>
      </c>
      <c r="E704">
        <v>17</v>
      </c>
      <c r="G704">
        <v>0.76</v>
      </c>
      <c r="H704">
        <v>3.0289999999999999</v>
      </c>
      <c r="K704">
        <v>0.13400000000000001</v>
      </c>
      <c r="L704">
        <v>0.626</v>
      </c>
      <c r="M704">
        <v>5.6874000000000002</v>
      </c>
      <c r="N704">
        <v>4.085</v>
      </c>
      <c r="O704">
        <v>1.141</v>
      </c>
      <c r="P704">
        <v>6.3700000000000007E-2</v>
      </c>
      <c r="Q704">
        <v>6.2300000000000001E-2</v>
      </c>
      <c r="R704">
        <v>0</v>
      </c>
      <c r="S704">
        <v>0</v>
      </c>
      <c r="T704">
        <v>0.39</v>
      </c>
      <c r="U704">
        <v>1.218</v>
      </c>
    </row>
    <row r="705" spans="1:21" x14ac:dyDescent="0.25">
      <c r="A705" t="s">
        <v>947</v>
      </c>
      <c r="B705" t="s">
        <v>3</v>
      </c>
      <c r="C705">
        <v>32</v>
      </c>
      <c r="D705" t="s">
        <v>7</v>
      </c>
      <c r="E705">
        <v>14.621881222460599</v>
      </c>
      <c r="G705">
        <v>0.65820000000000001</v>
      </c>
      <c r="H705">
        <v>3.78</v>
      </c>
      <c r="K705">
        <v>0.13519999999999999</v>
      </c>
      <c r="L705">
        <v>0.52300000000000002</v>
      </c>
      <c r="M705">
        <v>3.6812999999999998</v>
      </c>
      <c r="N705">
        <v>5.67</v>
      </c>
      <c r="O705">
        <v>0.60219999999999996</v>
      </c>
      <c r="P705">
        <v>3.3399999999999999E-2</v>
      </c>
      <c r="Q705">
        <v>1.29E-2</v>
      </c>
      <c r="R705">
        <v>0</v>
      </c>
      <c r="S705">
        <v>0</v>
      </c>
      <c r="T705">
        <v>0.49</v>
      </c>
      <c r="U705">
        <v>1.1679999999999999</v>
      </c>
    </row>
    <row r="706" spans="1:21" x14ac:dyDescent="0.25">
      <c r="A706" t="s">
        <v>1186</v>
      </c>
      <c r="B706" t="s">
        <v>3</v>
      </c>
      <c r="C706">
        <v>20</v>
      </c>
      <c r="D706" t="s">
        <v>21</v>
      </c>
      <c r="E706">
        <v>17.4623882445443</v>
      </c>
      <c r="G706">
        <v>0.65680000000000005</v>
      </c>
      <c r="H706">
        <v>4.0270000000000001</v>
      </c>
      <c r="K706">
        <v>0.1888</v>
      </c>
      <c r="L706">
        <v>0.46800000000000003</v>
      </c>
      <c r="M706">
        <v>1.2488999999999999</v>
      </c>
      <c r="N706">
        <v>3.8149999999999999</v>
      </c>
      <c r="O706">
        <v>0.47810000000000002</v>
      </c>
      <c r="P706">
        <v>1.46E-2</v>
      </c>
      <c r="Q706">
        <v>4.7999999999999996E-3</v>
      </c>
      <c r="R706">
        <v>0</v>
      </c>
      <c r="S706">
        <v>0</v>
      </c>
      <c r="T706">
        <v>0.56000000000000005</v>
      </c>
      <c r="U706">
        <v>0.79500000000000004</v>
      </c>
    </row>
    <row r="707" spans="1:21" x14ac:dyDescent="0.25">
      <c r="A707" t="s">
        <v>369</v>
      </c>
      <c r="B707" t="s">
        <v>3</v>
      </c>
      <c r="C707">
        <v>36</v>
      </c>
      <c r="D707" t="s">
        <v>12</v>
      </c>
      <c r="E707">
        <v>14.5205120043574</v>
      </c>
      <c r="G707">
        <v>0.8841</v>
      </c>
      <c r="H707">
        <v>4.6040000000000001</v>
      </c>
      <c r="K707">
        <v>0.21310000000000001</v>
      </c>
      <c r="L707">
        <v>0.67100000000000004</v>
      </c>
      <c r="M707">
        <v>3.6724999999999999</v>
      </c>
      <c r="N707">
        <v>5.4349999999999996</v>
      </c>
      <c r="O707">
        <v>0.81759999999999999</v>
      </c>
      <c r="P707">
        <v>6.7000000000000002E-3</v>
      </c>
      <c r="Q707">
        <v>2.3199999999999998E-2</v>
      </c>
      <c r="R707">
        <v>0</v>
      </c>
      <c r="S707">
        <v>0</v>
      </c>
      <c r="T707">
        <v>0.42</v>
      </c>
      <c r="U707">
        <v>0.85899999999999999</v>
      </c>
    </row>
    <row r="708" spans="1:21" x14ac:dyDescent="0.25">
      <c r="A708" t="s">
        <v>244</v>
      </c>
      <c r="B708" t="s">
        <v>3</v>
      </c>
      <c r="C708">
        <v>37</v>
      </c>
      <c r="D708" t="s">
        <v>25</v>
      </c>
      <c r="E708">
        <v>20.083518031966701</v>
      </c>
      <c r="G708">
        <v>1.3814</v>
      </c>
      <c r="H708">
        <v>5.2779999999999996</v>
      </c>
      <c r="K708">
        <v>0.27539999999999998</v>
      </c>
      <c r="L708">
        <v>1.1060000000000001</v>
      </c>
      <c r="M708">
        <v>4.3727</v>
      </c>
      <c r="N708">
        <v>4.3550000000000004</v>
      </c>
      <c r="O708">
        <v>0.73429999999999995</v>
      </c>
      <c r="P708">
        <v>1.3599999999999999E-2</v>
      </c>
      <c r="Q708">
        <v>1.2699999999999999E-2</v>
      </c>
      <c r="R708">
        <v>0</v>
      </c>
      <c r="S708">
        <v>0</v>
      </c>
      <c r="T708">
        <v>0</v>
      </c>
      <c r="U708">
        <v>0.43099999999999999</v>
      </c>
    </row>
    <row r="709" spans="1:21" x14ac:dyDescent="0.25">
      <c r="A709" t="s">
        <v>973</v>
      </c>
      <c r="B709" t="s">
        <v>3</v>
      </c>
      <c r="C709">
        <v>30</v>
      </c>
      <c r="D709" t="s">
        <v>11</v>
      </c>
      <c r="E709">
        <v>9.8024970279969192</v>
      </c>
      <c r="G709">
        <v>0.87909999999999999</v>
      </c>
      <c r="H709">
        <v>4.016</v>
      </c>
      <c r="K709">
        <v>0.20610000000000001</v>
      </c>
      <c r="L709">
        <v>0.67300000000000004</v>
      </c>
      <c r="M709">
        <v>11.514200000000001</v>
      </c>
      <c r="N709">
        <v>4.827</v>
      </c>
      <c r="O709">
        <v>1.7088000000000001</v>
      </c>
      <c r="P709">
        <v>0.49659999999999999</v>
      </c>
      <c r="Q709">
        <v>0.20100000000000001</v>
      </c>
      <c r="R709">
        <v>0</v>
      </c>
      <c r="S709">
        <v>0</v>
      </c>
      <c r="T709">
        <v>0</v>
      </c>
      <c r="U709">
        <v>0.629</v>
      </c>
    </row>
    <row r="710" spans="1:21" x14ac:dyDescent="0.25">
      <c r="A710" t="s">
        <v>624</v>
      </c>
      <c r="B710" t="s">
        <v>3</v>
      </c>
      <c r="C710">
        <v>29</v>
      </c>
      <c r="D710" t="s">
        <v>33</v>
      </c>
      <c r="E710">
        <v>17.401871923671202</v>
      </c>
      <c r="G710">
        <v>0.48509999999999998</v>
      </c>
      <c r="H710">
        <v>3.5419999999999998</v>
      </c>
      <c r="K710">
        <v>0.1341</v>
      </c>
      <c r="L710">
        <v>0.35099999999999998</v>
      </c>
      <c r="M710">
        <v>9.8094000000000001</v>
      </c>
      <c r="N710">
        <v>5.6630000000000003</v>
      </c>
      <c r="O710">
        <v>1.1013999999999999</v>
      </c>
      <c r="P710">
        <v>0.27960000000000002</v>
      </c>
      <c r="Q710">
        <v>1.8E-3</v>
      </c>
      <c r="R710">
        <v>0</v>
      </c>
      <c r="S710">
        <v>0</v>
      </c>
      <c r="T710" t="s">
        <v>1054</v>
      </c>
      <c r="U710">
        <v>0.36799999999999999</v>
      </c>
    </row>
    <row r="711" spans="1:21" x14ac:dyDescent="0.25">
      <c r="A711" t="s">
        <v>632</v>
      </c>
      <c r="B711" t="s">
        <v>3</v>
      </c>
      <c r="C711">
        <v>27</v>
      </c>
      <c r="D711" t="s">
        <v>9</v>
      </c>
      <c r="E711">
        <v>12.4259555825672</v>
      </c>
      <c r="G711">
        <v>0.6905</v>
      </c>
      <c r="H711">
        <v>3.8780000000000001</v>
      </c>
      <c r="K711">
        <v>0.30249999999999999</v>
      </c>
      <c r="L711">
        <v>0.38800000000000001</v>
      </c>
      <c r="M711">
        <v>3.6892999999999998</v>
      </c>
      <c r="N711">
        <v>3.8069999999999999</v>
      </c>
      <c r="O711">
        <v>1.1492</v>
      </c>
      <c r="P711">
        <v>1.9900000000000001E-2</v>
      </c>
      <c r="Q711">
        <v>6.7000000000000002E-3</v>
      </c>
      <c r="R711">
        <v>0</v>
      </c>
      <c r="S711">
        <v>0</v>
      </c>
      <c r="T711">
        <v>0.47</v>
      </c>
      <c r="U711">
        <v>0.58499999999999996</v>
      </c>
    </row>
    <row r="712" spans="1:21" x14ac:dyDescent="0.25">
      <c r="A712" t="s">
        <v>948</v>
      </c>
      <c r="B712" t="s">
        <v>3</v>
      </c>
      <c r="C712">
        <v>29</v>
      </c>
      <c r="D712" t="s">
        <v>4</v>
      </c>
      <c r="E712">
        <v>14.2889770804261</v>
      </c>
      <c r="G712">
        <v>0.878</v>
      </c>
      <c r="H712">
        <v>4.0199999999999996</v>
      </c>
      <c r="K712">
        <v>0.20300000000000001</v>
      </c>
      <c r="L712">
        <v>0.67500000000000004</v>
      </c>
      <c r="M712">
        <v>2.238</v>
      </c>
      <c r="N712">
        <v>4.9640000000000004</v>
      </c>
      <c r="O712">
        <v>0.52059999999999995</v>
      </c>
      <c r="P712">
        <v>3.8300000000000001E-2</v>
      </c>
      <c r="Q712" s="1">
        <v>1.4800000000000001E-2</v>
      </c>
      <c r="R712">
        <v>0</v>
      </c>
      <c r="S712">
        <v>0</v>
      </c>
      <c r="T712">
        <v>0.48</v>
      </c>
      <c r="U712">
        <v>0.73599999999999999</v>
      </c>
    </row>
    <row r="713" spans="1:21" x14ac:dyDescent="0.25">
      <c r="A713" t="s">
        <v>1052</v>
      </c>
      <c r="B713" t="s">
        <v>3</v>
      </c>
      <c r="C713">
        <v>26</v>
      </c>
      <c r="D713" t="s">
        <v>10</v>
      </c>
      <c r="E713">
        <v>14.2127148246714</v>
      </c>
      <c r="G713">
        <v>0.57389999999999997</v>
      </c>
      <c r="H713">
        <v>3.6440000000000001</v>
      </c>
      <c r="K713">
        <v>0.15790000000000001</v>
      </c>
      <c r="L713">
        <v>0.41599999999999998</v>
      </c>
      <c r="M713">
        <v>3.4502000000000002</v>
      </c>
      <c r="N713">
        <v>5.9930000000000003</v>
      </c>
      <c r="O713">
        <v>0.77629999999999999</v>
      </c>
      <c r="P713">
        <v>2.8899999999999999E-2</v>
      </c>
      <c r="Q713">
        <v>0.01</v>
      </c>
      <c r="R713">
        <v>0</v>
      </c>
      <c r="S713">
        <v>0</v>
      </c>
      <c r="T713">
        <v>0.56000000000000005</v>
      </c>
      <c r="U713">
        <v>0.71699999999999997</v>
      </c>
    </row>
    <row r="714" spans="1:21" x14ac:dyDescent="0.25">
      <c r="A714" t="s">
        <v>552</v>
      </c>
      <c r="B714" t="s">
        <v>3</v>
      </c>
      <c r="C714">
        <v>26</v>
      </c>
      <c r="D714" t="s">
        <v>9</v>
      </c>
      <c r="E714">
        <v>12.8470726841096</v>
      </c>
      <c r="G714">
        <v>0.70279999999999998</v>
      </c>
      <c r="H714">
        <v>4.3099999999999996</v>
      </c>
      <c r="K714">
        <v>0.1928</v>
      </c>
      <c r="L714">
        <v>0.51</v>
      </c>
      <c r="M714">
        <v>7.7732999999999999</v>
      </c>
      <c r="N714">
        <v>5.88</v>
      </c>
      <c r="O714">
        <v>1.3022</v>
      </c>
      <c r="P714">
        <v>0.32700000000000001</v>
      </c>
      <c r="Q714">
        <v>3.3E-3</v>
      </c>
      <c r="R714">
        <v>0</v>
      </c>
      <c r="S714">
        <v>0</v>
      </c>
      <c r="T714">
        <v>0</v>
      </c>
      <c r="U714">
        <v>0.60799999999999998</v>
      </c>
    </row>
    <row r="715" spans="1:21" x14ac:dyDescent="0.25">
      <c r="A715" t="s">
        <v>1187</v>
      </c>
      <c r="B715" t="s">
        <v>3</v>
      </c>
      <c r="C715">
        <v>28</v>
      </c>
      <c r="D715" t="s">
        <v>32</v>
      </c>
      <c r="E715">
        <v>14.502859200593001</v>
      </c>
      <c r="G715">
        <v>0.98140000000000005</v>
      </c>
      <c r="H715">
        <v>4.1559999999999997</v>
      </c>
      <c r="K715">
        <v>0.30740000000000001</v>
      </c>
      <c r="L715">
        <v>0.67400000000000004</v>
      </c>
      <c r="M715">
        <v>5.0292000000000003</v>
      </c>
      <c r="N715">
        <v>5.2809999999999997</v>
      </c>
      <c r="O715">
        <v>0.53010000000000002</v>
      </c>
      <c r="P715">
        <v>4.1200000000000001E-2</v>
      </c>
      <c r="Q715">
        <v>1.5100000000000001E-2</v>
      </c>
      <c r="R715">
        <v>0</v>
      </c>
      <c r="S715">
        <v>0</v>
      </c>
      <c r="T715">
        <v>0.47</v>
      </c>
      <c r="U715">
        <v>1.3140000000000001</v>
      </c>
    </row>
    <row r="716" spans="1:21" x14ac:dyDescent="0.25">
      <c r="A716" t="s">
        <v>1188</v>
      </c>
      <c r="B716" t="s">
        <v>3</v>
      </c>
      <c r="C716">
        <v>23</v>
      </c>
      <c r="D716" t="s">
        <v>21</v>
      </c>
      <c r="E716">
        <v>15.0943809651517</v>
      </c>
      <c r="G716">
        <v>0.68700000000000006</v>
      </c>
      <c r="H716">
        <v>3.645</v>
      </c>
      <c r="K716">
        <v>0.109</v>
      </c>
      <c r="L716">
        <v>0.57799999999999996</v>
      </c>
      <c r="M716">
        <v>4.8080999999999996</v>
      </c>
      <c r="N716">
        <v>6.5330000000000004</v>
      </c>
      <c r="O716">
        <v>0.46949999999999997</v>
      </c>
      <c r="P716">
        <v>3.1600000000000003E-2</v>
      </c>
      <c r="Q716" s="1">
        <v>1.11E-2</v>
      </c>
      <c r="R716">
        <v>0</v>
      </c>
      <c r="S716">
        <v>0</v>
      </c>
      <c r="T716">
        <v>0.48</v>
      </c>
      <c r="U716">
        <v>0.82899999999999996</v>
      </c>
    </row>
    <row r="717" spans="1:21" x14ac:dyDescent="0.25">
      <c r="A717" t="s">
        <v>1073</v>
      </c>
      <c r="B717" t="s">
        <v>3</v>
      </c>
      <c r="C717">
        <v>21</v>
      </c>
      <c r="D717" t="s">
        <v>27</v>
      </c>
      <c r="E717">
        <v>17.737678791826401</v>
      </c>
      <c r="G717">
        <v>1.0196000000000001</v>
      </c>
      <c r="H717">
        <v>4.09</v>
      </c>
      <c r="K717">
        <v>0.1966</v>
      </c>
      <c r="L717">
        <v>0.82299999999999995</v>
      </c>
      <c r="M717">
        <v>0.95440000000000003</v>
      </c>
      <c r="N717">
        <v>2.72</v>
      </c>
      <c r="O717">
        <v>0.57330000000000003</v>
      </c>
      <c r="P717">
        <v>1.3599999999999999E-2</v>
      </c>
      <c r="Q717">
        <v>4.4000000000000003E-3</v>
      </c>
      <c r="R717">
        <v>0</v>
      </c>
      <c r="S717">
        <v>0</v>
      </c>
      <c r="T717">
        <v>0</v>
      </c>
      <c r="U717">
        <v>0.28999999999999998</v>
      </c>
    </row>
    <row r="718" spans="1:21" x14ac:dyDescent="0.25">
      <c r="A718" t="s">
        <v>357</v>
      </c>
      <c r="B718" t="s">
        <v>3</v>
      </c>
      <c r="C718">
        <v>35</v>
      </c>
      <c r="D718" t="s">
        <v>7</v>
      </c>
      <c r="E718">
        <v>13.7926744392168</v>
      </c>
      <c r="G718">
        <v>0.83760000000000001</v>
      </c>
      <c r="H718">
        <v>4.9429999999999996</v>
      </c>
      <c r="K718">
        <v>0.1666</v>
      </c>
      <c r="L718">
        <v>0.67100000000000004</v>
      </c>
      <c r="M718">
        <v>12.941800000000001</v>
      </c>
      <c r="N718">
        <v>4.8280000000000003</v>
      </c>
      <c r="O718">
        <v>0.86370000000000002</v>
      </c>
      <c r="P718">
        <v>0.2928</v>
      </c>
      <c r="Q718">
        <v>2.7E-2</v>
      </c>
      <c r="R718">
        <v>0</v>
      </c>
      <c r="S718">
        <v>0</v>
      </c>
      <c r="T718">
        <v>0</v>
      </c>
      <c r="U718">
        <v>0.54300000000000004</v>
      </c>
    </row>
    <row r="719" spans="1:21" x14ac:dyDescent="0.25">
      <c r="A719" t="s">
        <v>885</v>
      </c>
      <c r="B719" t="s">
        <v>3</v>
      </c>
      <c r="C719">
        <v>31</v>
      </c>
      <c r="D719" t="s">
        <v>22</v>
      </c>
      <c r="E719">
        <v>18.7310581646271</v>
      </c>
      <c r="G719">
        <v>1.2615000000000001</v>
      </c>
      <c r="H719">
        <v>6.1550000000000002</v>
      </c>
      <c r="K719">
        <v>0.36249999999999999</v>
      </c>
      <c r="L719">
        <v>0.89900000000000002</v>
      </c>
      <c r="M719">
        <v>5.9707999999999997</v>
      </c>
      <c r="N719">
        <v>5.3369999999999997</v>
      </c>
      <c r="O719">
        <v>0.66339999999999999</v>
      </c>
      <c r="P719">
        <v>2.86E-2</v>
      </c>
      <c r="Q719">
        <v>1.77E-2</v>
      </c>
      <c r="R719">
        <v>0</v>
      </c>
      <c r="S719">
        <v>0</v>
      </c>
      <c r="T719">
        <v>0</v>
      </c>
      <c r="U719">
        <v>0.45600000000000002</v>
      </c>
    </row>
    <row r="720" spans="1:21" x14ac:dyDescent="0.25">
      <c r="A720" t="s">
        <v>721</v>
      </c>
      <c r="B720" t="s">
        <v>3</v>
      </c>
      <c r="C720">
        <v>37</v>
      </c>
      <c r="D720" t="s">
        <v>33</v>
      </c>
      <c r="E720">
        <v>14.745831723830801</v>
      </c>
      <c r="G720">
        <v>0.8256</v>
      </c>
      <c r="H720">
        <v>3.9569999999999999</v>
      </c>
      <c r="K720">
        <v>0.22259999999999999</v>
      </c>
      <c r="L720">
        <v>0.60299999999999998</v>
      </c>
      <c r="M720">
        <v>2.1606000000000001</v>
      </c>
      <c r="N720">
        <v>5.7649999999999997</v>
      </c>
      <c r="O720">
        <v>0.44790000000000002</v>
      </c>
      <c r="P720">
        <v>7.4999999999999997E-3</v>
      </c>
      <c r="Q720">
        <v>4.6699999999999998E-2</v>
      </c>
      <c r="R720">
        <v>0</v>
      </c>
      <c r="S720">
        <v>0</v>
      </c>
      <c r="T720">
        <v>0.51</v>
      </c>
      <c r="U720">
        <v>0.94</v>
      </c>
    </row>
    <row r="721" spans="1:21" x14ac:dyDescent="0.25">
      <c r="A721" t="s">
        <v>635</v>
      </c>
      <c r="B721" t="s">
        <v>3</v>
      </c>
      <c r="C721">
        <v>38</v>
      </c>
      <c r="D721" t="s">
        <v>32</v>
      </c>
      <c r="E721">
        <v>13.2441315583315</v>
      </c>
      <c r="G721">
        <v>0.74529999999999996</v>
      </c>
      <c r="H721">
        <v>2.7669999999999999</v>
      </c>
      <c r="K721">
        <v>0.15629999999999999</v>
      </c>
      <c r="L721">
        <v>0.58899999999999997</v>
      </c>
      <c r="M721">
        <v>4.0644999999999998</v>
      </c>
      <c r="N721">
        <v>4.9980000000000002</v>
      </c>
      <c r="O721">
        <v>0.76200000000000001</v>
      </c>
      <c r="P721">
        <v>1.9699999999999999E-2</v>
      </c>
      <c r="Q721">
        <v>2.2100000000000002E-2</v>
      </c>
      <c r="R721">
        <v>0</v>
      </c>
      <c r="S721">
        <v>0</v>
      </c>
      <c r="T721">
        <v>0</v>
      </c>
      <c r="U721">
        <v>0.51100000000000001</v>
      </c>
    </row>
    <row r="722" spans="1:21" x14ac:dyDescent="0.25">
      <c r="A722" t="s">
        <v>651</v>
      </c>
      <c r="B722" t="s">
        <v>3</v>
      </c>
      <c r="C722">
        <v>34</v>
      </c>
      <c r="D722" t="s">
        <v>14</v>
      </c>
      <c r="E722">
        <v>12.057124818791101</v>
      </c>
      <c r="G722">
        <v>0.5262</v>
      </c>
      <c r="H722">
        <v>3.23</v>
      </c>
      <c r="K722">
        <v>0.14019999999999999</v>
      </c>
      <c r="L722">
        <v>0.38600000000000001</v>
      </c>
      <c r="M722">
        <v>4.899</v>
      </c>
      <c r="N722">
        <v>3.93</v>
      </c>
      <c r="O722">
        <v>0.5181</v>
      </c>
      <c r="P722">
        <v>3.4299999999999997E-2</v>
      </c>
      <c r="Q722">
        <v>2.2000000000000001E-3</v>
      </c>
      <c r="R722">
        <v>0</v>
      </c>
      <c r="S722">
        <v>0</v>
      </c>
      <c r="T722">
        <v>0.56999999999999995</v>
      </c>
      <c r="U722">
        <v>0.78200000000000003</v>
      </c>
    </row>
    <row r="723" spans="1:21" x14ac:dyDescent="0.25">
      <c r="A723" t="s">
        <v>950</v>
      </c>
      <c r="B723" t="s">
        <v>3</v>
      </c>
      <c r="C723">
        <v>27</v>
      </c>
      <c r="D723" t="s">
        <v>23</v>
      </c>
      <c r="E723">
        <v>15.8636038655396</v>
      </c>
      <c r="G723">
        <v>0.82199999999999995</v>
      </c>
      <c r="H723">
        <v>3.5110000000000001</v>
      </c>
      <c r="K723">
        <v>0.184</v>
      </c>
      <c r="L723">
        <v>0.63800000000000001</v>
      </c>
      <c r="M723">
        <v>4.2446999999999999</v>
      </c>
      <c r="N723">
        <v>5.1449999999999996</v>
      </c>
      <c r="O723">
        <v>1.1836</v>
      </c>
      <c r="P723">
        <v>2.6499999999999999E-2</v>
      </c>
      <c r="Q723">
        <v>9.7000000000000003E-2</v>
      </c>
      <c r="R723">
        <v>0</v>
      </c>
      <c r="S723">
        <v>0</v>
      </c>
      <c r="T723">
        <v>0.39</v>
      </c>
      <c r="U723">
        <v>0.71599999999999997</v>
      </c>
    </row>
    <row r="724" spans="1:21" x14ac:dyDescent="0.25">
      <c r="A724" t="s">
        <v>610</v>
      </c>
      <c r="B724" t="s">
        <v>3</v>
      </c>
      <c r="C724">
        <v>28</v>
      </c>
      <c r="D724" t="s">
        <v>25</v>
      </c>
      <c r="E724">
        <v>19.465444153977899</v>
      </c>
      <c r="G724">
        <v>1.145</v>
      </c>
      <c r="H724">
        <v>3.8119999999999998</v>
      </c>
      <c r="K724">
        <v>0.14399999999999999</v>
      </c>
      <c r="L724">
        <v>1.0009999999999999</v>
      </c>
      <c r="M724">
        <v>4.0803000000000003</v>
      </c>
      <c r="N724">
        <v>5.0309999999999997</v>
      </c>
      <c r="O724">
        <v>0.80120000000000002</v>
      </c>
      <c r="P724">
        <v>5.4600000000000003E-2</v>
      </c>
      <c r="Q724">
        <v>2.2100000000000002E-2</v>
      </c>
      <c r="R724">
        <v>0</v>
      </c>
      <c r="S724">
        <v>0</v>
      </c>
      <c r="T724">
        <v>0</v>
      </c>
      <c r="U724">
        <v>0.193</v>
      </c>
    </row>
    <row r="725" spans="1:21" x14ac:dyDescent="0.25">
      <c r="A725" t="s">
        <v>390</v>
      </c>
      <c r="B725" t="s">
        <v>3</v>
      </c>
      <c r="C725">
        <v>26</v>
      </c>
      <c r="D725" t="s">
        <v>33</v>
      </c>
      <c r="E725">
        <v>19.186466139035002</v>
      </c>
      <c r="G725">
        <v>0.69079999999999997</v>
      </c>
      <c r="H725">
        <v>3.68</v>
      </c>
      <c r="K725">
        <v>0.17380000000000001</v>
      </c>
      <c r="L725">
        <v>0.51700000000000002</v>
      </c>
      <c r="M725">
        <v>4.0628000000000002</v>
      </c>
      <c r="N725">
        <v>5.766</v>
      </c>
      <c r="O725">
        <v>0.55720000000000003</v>
      </c>
      <c r="P725">
        <v>5.8999999999999999E-3</v>
      </c>
      <c r="Q725">
        <v>1.1999999999999999E-3</v>
      </c>
      <c r="R725">
        <v>0</v>
      </c>
      <c r="S725">
        <v>0</v>
      </c>
      <c r="T725">
        <v>0</v>
      </c>
      <c r="U725">
        <v>1.1020000000000001</v>
      </c>
    </row>
    <row r="726" spans="1:21" x14ac:dyDescent="0.25">
      <c r="A726" t="s">
        <v>782</v>
      </c>
      <c r="B726" t="s">
        <v>3</v>
      </c>
      <c r="C726">
        <v>29</v>
      </c>
      <c r="D726" t="s">
        <v>8</v>
      </c>
      <c r="E726">
        <v>12.5136054668518</v>
      </c>
      <c r="G726">
        <v>0.66259999999999997</v>
      </c>
      <c r="H726">
        <v>4.3319999999999999</v>
      </c>
      <c r="K726">
        <v>0.15759999999999999</v>
      </c>
      <c r="L726">
        <v>0.505</v>
      </c>
      <c r="M726">
        <v>5.8845999999999998</v>
      </c>
      <c r="N726">
        <v>5.5979999999999999</v>
      </c>
      <c r="O726">
        <v>0.95340000000000003</v>
      </c>
      <c r="P726">
        <v>0.13700000000000001</v>
      </c>
      <c r="Q726" s="1">
        <v>6.1899999999999997E-2</v>
      </c>
      <c r="R726">
        <v>0</v>
      </c>
      <c r="S726">
        <v>0</v>
      </c>
      <c r="T726">
        <v>0.39</v>
      </c>
      <c r="U726">
        <v>1.5329999999999999</v>
      </c>
    </row>
    <row r="727" spans="1:21" x14ac:dyDescent="0.25">
      <c r="A727" t="s">
        <v>316</v>
      </c>
      <c r="B727" t="s">
        <v>3</v>
      </c>
      <c r="C727">
        <v>41</v>
      </c>
      <c r="D727" t="s">
        <v>30</v>
      </c>
      <c r="E727">
        <v>14.268669945826201</v>
      </c>
      <c r="G727">
        <v>0.96689999999999998</v>
      </c>
      <c r="H727">
        <v>4.6929999999999996</v>
      </c>
      <c r="K727">
        <v>0.22789999999999999</v>
      </c>
      <c r="L727">
        <v>0.73899999999999999</v>
      </c>
      <c r="M727">
        <v>3.8047</v>
      </c>
      <c r="N727">
        <v>5.8920000000000003</v>
      </c>
      <c r="O727">
        <v>0.91110000000000002</v>
      </c>
      <c r="P727">
        <v>5.9299999999999999E-2</v>
      </c>
      <c r="Q727">
        <v>8.09E-2</v>
      </c>
      <c r="R727">
        <v>0</v>
      </c>
      <c r="S727">
        <v>0</v>
      </c>
      <c r="T727">
        <v>0.53</v>
      </c>
      <c r="U727">
        <v>0.73299999999999998</v>
      </c>
    </row>
    <row r="728" spans="1:21" x14ac:dyDescent="0.25">
      <c r="A728" t="s">
        <v>913</v>
      </c>
      <c r="B728" t="s">
        <v>3</v>
      </c>
      <c r="C728">
        <v>26</v>
      </c>
      <c r="D728" t="s">
        <v>16</v>
      </c>
      <c r="E728">
        <v>11.456316263672999</v>
      </c>
      <c r="G728">
        <v>0.54990000000000006</v>
      </c>
      <c r="H728">
        <v>3.7789999999999999</v>
      </c>
      <c r="K728">
        <v>0.1069</v>
      </c>
      <c r="L728">
        <v>0.443</v>
      </c>
      <c r="M728">
        <v>12.4047</v>
      </c>
      <c r="N728">
        <v>4.3259999999999996</v>
      </c>
      <c r="O728">
        <v>0.6361</v>
      </c>
      <c r="P728">
        <v>2.8299999999999999E-2</v>
      </c>
      <c r="Q728">
        <v>9.7999999999999997E-3</v>
      </c>
      <c r="R728">
        <v>0</v>
      </c>
      <c r="S728">
        <v>0</v>
      </c>
      <c r="T728">
        <v>0.56000000000000005</v>
      </c>
      <c r="U728">
        <v>1.1299999999999999</v>
      </c>
    </row>
    <row r="729" spans="1:21" x14ac:dyDescent="0.25">
      <c r="A729" t="s">
        <v>392</v>
      </c>
      <c r="B729" t="s">
        <v>3</v>
      </c>
      <c r="C729">
        <v>25</v>
      </c>
      <c r="D729" t="s">
        <v>29</v>
      </c>
      <c r="E729">
        <v>17.9320355095984</v>
      </c>
      <c r="G729">
        <v>0.72760000000000002</v>
      </c>
      <c r="H729">
        <v>3.4580000000000002</v>
      </c>
      <c r="K729">
        <v>0.2056</v>
      </c>
      <c r="L729">
        <v>0.52200000000000002</v>
      </c>
      <c r="M729">
        <v>8.4594000000000005</v>
      </c>
      <c r="N729">
        <v>4.8140000000000001</v>
      </c>
      <c r="O729">
        <v>0.5716</v>
      </c>
      <c r="P729">
        <v>1.8700000000000001E-2</v>
      </c>
      <c r="Q729">
        <v>1.2999999999999999E-3</v>
      </c>
      <c r="R729">
        <v>0</v>
      </c>
      <c r="S729">
        <v>0</v>
      </c>
      <c r="T729">
        <v>0</v>
      </c>
      <c r="U729">
        <v>0.41199999999999998</v>
      </c>
    </row>
    <row r="730" spans="1:21" x14ac:dyDescent="0.25">
      <c r="A730" t="s">
        <v>1189</v>
      </c>
      <c r="B730" t="s">
        <v>3</v>
      </c>
      <c r="C730">
        <v>24</v>
      </c>
      <c r="D730" t="s">
        <v>12</v>
      </c>
      <c r="E730">
        <v>16.5</v>
      </c>
      <c r="G730">
        <v>0.86819999999999997</v>
      </c>
      <c r="H730">
        <v>3.9060000000000001</v>
      </c>
      <c r="K730">
        <v>0.23219999999999999</v>
      </c>
      <c r="L730">
        <v>0.63600000000000001</v>
      </c>
      <c r="M730">
        <v>2.7953999999999999</v>
      </c>
      <c r="N730">
        <v>5.2889999999999997</v>
      </c>
      <c r="O730">
        <v>0.79169999999999996</v>
      </c>
      <c r="P730">
        <v>2.3300000000000001E-2</v>
      </c>
      <c r="Q730" s="1">
        <v>7.9000000000000008E-3</v>
      </c>
      <c r="R730">
        <v>0</v>
      </c>
      <c r="S730">
        <v>0</v>
      </c>
      <c r="T730" t="s">
        <v>1054</v>
      </c>
      <c r="U730">
        <v>0.36199999999999999</v>
      </c>
    </row>
    <row r="731" spans="1:21" x14ac:dyDescent="0.25">
      <c r="A731" t="s">
        <v>342</v>
      </c>
      <c r="B731" t="s">
        <v>3</v>
      </c>
      <c r="C731">
        <v>30</v>
      </c>
      <c r="D731" t="s">
        <v>1190</v>
      </c>
      <c r="E731">
        <v>17.098023990024402</v>
      </c>
      <c r="G731">
        <v>0.7208</v>
      </c>
      <c r="H731">
        <v>3.7160000000000002</v>
      </c>
      <c r="K731">
        <v>0.21079999999999999</v>
      </c>
      <c r="L731">
        <v>0.51</v>
      </c>
      <c r="M731">
        <v>6.2291999999999996</v>
      </c>
      <c r="N731">
        <v>4.0730000000000004</v>
      </c>
      <c r="O731">
        <v>1.0709</v>
      </c>
      <c r="P731">
        <v>7.9100000000000004E-2</v>
      </c>
      <c r="Q731">
        <v>3.3599999999999998E-2</v>
      </c>
      <c r="R731">
        <v>0</v>
      </c>
      <c r="S731">
        <v>0</v>
      </c>
      <c r="T731">
        <v>0</v>
      </c>
      <c r="U731">
        <v>0.56000000000000005</v>
      </c>
    </row>
    <row r="732" spans="1:21" x14ac:dyDescent="0.25">
      <c r="A732" t="s">
        <v>516</v>
      </c>
      <c r="B732" t="s">
        <v>3</v>
      </c>
      <c r="C732">
        <v>31</v>
      </c>
      <c r="D732" t="s">
        <v>12</v>
      </c>
      <c r="E732">
        <v>16.5785872213525</v>
      </c>
      <c r="G732">
        <v>0.86499999999999999</v>
      </c>
      <c r="H732">
        <v>3.7909999999999999</v>
      </c>
      <c r="K732">
        <v>0.155</v>
      </c>
      <c r="L732">
        <v>0.71</v>
      </c>
      <c r="M732">
        <v>2.3727999999999998</v>
      </c>
      <c r="N732">
        <v>4.3010000000000002</v>
      </c>
      <c r="O732">
        <v>0.61019999999999996</v>
      </c>
      <c r="P732">
        <v>2.52E-2</v>
      </c>
      <c r="Q732">
        <v>1.4E-3</v>
      </c>
      <c r="R732">
        <v>0</v>
      </c>
      <c r="S732">
        <v>0</v>
      </c>
      <c r="T732">
        <v>0</v>
      </c>
      <c r="U732">
        <v>0.495</v>
      </c>
    </row>
    <row r="733" spans="1:21" x14ac:dyDescent="0.25">
      <c r="A733" t="s">
        <v>975</v>
      </c>
      <c r="B733" t="s">
        <v>3</v>
      </c>
      <c r="C733">
        <v>37</v>
      </c>
      <c r="D733" t="s">
        <v>29</v>
      </c>
      <c r="E733">
        <v>12.9159114573153</v>
      </c>
      <c r="G733">
        <v>0.71840000000000004</v>
      </c>
      <c r="H733">
        <v>5.7649999999999997</v>
      </c>
      <c r="K733">
        <v>0.2104</v>
      </c>
      <c r="L733">
        <v>0.50800000000000001</v>
      </c>
      <c r="M733">
        <v>7.7633000000000001</v>
      </c>
      <c r="N733">
        <v>5.6920000000000002</v>
      </c>
      <c r="O733">
        <v>0.755</v>
      </c>
      <c r="P733">
        <v>0.10879999999999999</v>
      </c>
      <c r="Q733" s="1">
        <v>6.1999999999999998E-3</v>
      </c>
      <c r="R733">
        <v>0</v>
      </c>
      <c r="S733">
        <v>0</v>
      </c>
      <c r="T733">
        <v>0</v>
      </c>
      <c r="U733">
        <v>0.26900000000000002</v>
      </c>
    </row>
    <row r="734" spans="1:21" x14ac:dyDescent="0.25">
      <c r="A734" t="s">
        <v>1063</v>
      </c>
      <c r="B734" t="s">
        <v>3</v>
      </c>
      <c r="C734">
        <v>26</v>
      </c>
      <c r="D734" t="s">
        <v>31</v>
      </c>
      <c r="E734">
        <v>13.3362955210269</v>
      </c>
      <c r="G734">
        <v>0.98819999999999997</v>
      </c>
      <c r="H734">
        <v>4.1020000000000003</v>
      </c>
      <c r="K734">
        <v>0.22320000000000001</v>
      </c>
      <c r="L734">
        <v>0.76500000000000001</v>
      </c>
      <c r="M734">
        <v>3.5579000000000001</v>
      </c>
      <c r="N734">
        <v>4</v>
      </c>
      <c r="O734">
        <v>0.70250000000000001</v>
      </c>
      <c r="P734">
        <v>3.8899999999999997E-2</v>
      </c>
      <c r="Q734">
        <v>1.4999999999999999E-2</v>
      </c>
      <c r="R734">
        <v>0</v>
      </c>
      <c r="S734">
        <v>0</v>
      </c>
      <c r="T734">
        <v>0.41</v>
      </c>
      <c r="U734">
        <v>0.61</v>
      </c>
    </row>
    <row r="735" spans="1:21" x14ac:dyDescent="0.25">
      <c r="A735" t="s">
        <v>428</v>
      </c>
      <c r="B735" t="s">
        <v>3</v>
      </c>
      <c r="C735">
        <v>29</v>
      </c>
      <c r="D735" t="s">
        <v>26</v>
      </c>
      <c r="E735">
        <v>17.694654163799498</v>
      </c>
      <c r="G735">
        <v>0.94679999999999997</v>
      </c>
      <c r="H735">
        <v>5.3860000000000001</v>
      </c>
      <c r="K735">
        <v>0.24279999999999999</v>
      </c>
      <c r="L735">
        <v>0.70399999999999996</v>
      </c>
      <c r="M735">
        <v>4.7727000000000004</v>
      </c>
      <c r="N735">
        <v>5.8369999999999997</v>
      </c>
      <c r="O735">
        <v>0.55610000000000004</v>
      </c>
      <c r="P735">
        <v>5.8999999999999999E-3</v>
      </c>
      <c r="Q735">
        <v>1.44E-2</v>
      </c>
      <c r="R735">
        <v>0</v>
      </c>
      <c r="S735">
        <v>0</v>
      </c>
      <c r="T735" t="s">
        <v>1054</v>
      </c>
      <c r="U735">
        <v>0.19800000000000001</v>
      </c>
    </row>
    <row r="736" spans="1:21" x14ac:dyDescent="0.25">
      <c r="A736" t="s">
        <v>693</v>
      </c>
      <c r="B736" t="s">
        <v>3</v>
      </c>
      <c r="C736">
        <v>30</v>
      </c>
      <c r="D736" t="s">
        <v>33</v>
      </c>
      <c r="E736">
        <v>15.6841897768113</v>
      </c>
      <c r="G736">
        <v>0.80330000000000001</v>
      </c>
      <c r="H736">
        <v>3.2650000000000001</v>
      </c>
      <c r="K736">
        <v>6.6299999999999998E-2</v>
      </c>
      <c r="L736">
        <v>0.73699999999999999</v>
      </c>
      <c r="M736">
        <v>3.6896</v>
      </c>
      <c r="N736">
        <v>4.2359999999999998</v>
      </c>
      <c r="O736">
        <v>1.0920000000000001</v>
      </c>
      <c r="P736">
        <v>2.29E-2</v>
      </c>
      <c r="Q736">
        <v>2E-3</v>
      </c>
      <c r="R736">
        <v>0</v>
      </c>
      <c r="S736">
        <v>0</v>
      </c>
      <c r="T736">
        <v>0.53</v>
      </c>
      <c r="U736">
        <v>0.55600000000000005</v>
      </c>
    </row>
    <row r="737" spans="1:21" x14ac:dyDescent="0.25">
      <c r="A737" t="s">
        <v>1191</v>
      </c>
      <c r="B737" t="s">
        <v>3</v>
      </c>
      <c r="C737">
        <v>24</v>
      </c>
      <c r="D737" t="s">
        <v>14</v>
      </c>
      <c r="E737">
        <v>16.1883551423055</v>
      </c>
      <c r="G737">
        <v>0.75009999999999999</v>
      </c>
      <c r="H737">
        <v>3.2229999999999999</v>
      </c>
      <c r="K737">
        <v>0.1321</v>
      </c>
      <c r="L737">
        <v>0.61799999999999999</v>
      </c>
      <c r="M737">
        <v>3.6903000000000001</v>
      </c>
      <c r="N737">
        <v>5.3929999999999998</v>
      </c>
      <c r="O737">
        <v>0.63200000000000001</v>
      </c>
      <c r="P737">
        <v>2.3699999999999999E-2</v>
      </c>
      <c r="Q737">
        <v>8.0000000000000002E-3</v>
      </c>
      <c r="R737">
        <v>0</v>
      </c>
      <c r="S737">
        <v>0</v>
      </c>
      <c r="T737">
        <v>0.5</v>
      </c>
      <c r="U737">
        <v>1.0349999999999999</v>
      </c>
    </row>
    <row r="738" spans="1:21" x14ac:dyDescent="0.25">
      <c r="A738" t="s">
        <v>433</v>
      </c>
      <c r="B738" t="s">
        <v>3</v>
      </c>
      <c r="C738">
        <v>34</v>
      </c>
      <c r="D738" t="s">
        <v>16</v>
      </c>
      <c r="E738">
        <v>18.049477177301299</v>
      </c>
      <c r="G738">
        <v>1.3962000000000001</v>
      </c>
      <c r="H738">
        <v>5.8390000000000004</v>
      </c>
      <c r="K738">
        <v>0.3382</v>
      </c>
      <c r="L738">
        <v>1.0580000000000001</v>
      </c>
      <c r="M738">
        <v>4.3514999999999997</v>
      </c>
      <c r="N738">
        <v>3.6440000000000001</v>
      </c>
      <c r="O738">
        <v>0.73780000000000001</v>
      </c>
      <c r="P738">
        <v>1.95E-2</v>
      </c>
      <c r="Q738">
        <v>1.1999999999999999E-3</v>
      </c>
      <c r="R738">
        <v>0</v>
      </c>
      <c r="S738">
        <v>0</v>
      </c>
      <c r="T738">
        <v>0</v>
      </c>
      <c r="U738">
        <v>0.49399999999999999</v>
      </c>
    </row>
    <row r="739" spans="1:21" x14ac:dyDescent="0.25">
      <c r="A739" t="s">
        <v>498</v>
      </c>
      <c r="B739" t="s">
        <v>3</v>
      </c>
      <c r="C739">
        <v>24</v>
      </c>
      <c r="D739" t="s">
        <v>4</v>
      </c>
      <c r="E739">
        <v>17.7969900984702</v>
      </c>
      <c r="G739">
        <v>0.66539999999999999</v>
      </c>
      <c r="H739">
        <v>3.5790000000000002</v>
      </c>
      <c r="K739">
        <v>0.10639999999999999</v>
      </c>
      <c r="L739">
        <v>0.55900000000000005</v>
      </c>
      <c r="M739">
        <v>5.4943</v>
      </c>
      <c r="N739">
        <v>4.609</v>
      </c>
      <c r="O739">
        <v>0.70809999999999995</v>
      </c>
      <c r="P739">
        <v>8.8999999999999999E-3</v>
      </c>
      <c r="Q739">
        <v>1.9E-3</v>
      </c>
      <c r="R739">
        <v>0</v>
      </c>
      <c r="S739">
        <v>0</v>
      </c>
      <c r="T739">
        <v>0</v>
      </c>
      <c r="U739">
        <v>0.51</v>
      </c>
    </row>
    <row r="740" spans="1:21" x14ac:dyDescent="0.25">
      <c r="A740" t="s">
        <v>1192</v>
      </c>
      <c r="B740" t="s">
        <v>3</v>
      </c>
      <c r="C740">
        <v>24</v>
      </c>
      <c r="D740" t="s">
        <v>19</v>
      </c>
      <c r="E740">
        <v>14.5839554165747</v>
      </c>
      <c r="G740">
        <v>0.8427</v>
      </c>
      <c r="H740">
        <v>4.2670000000000003</v>
      </c>
      <c r="K740">
        <v>0.15970000000000001</v>
      </c>
      <c r="L740">
        <v>0.68300000000000005</v>
      </c>
      <c r="M740">
        <v>5.1516000000000002</v>
      </c>
      <c r="N740">
        <v>4.524</v>
      </c>
      <c r="O740">
        <v>0.61970000000000003</v>
      </c>
      <c r="P740">
        <v>0.13009999999999999</v>
      </c>
      <c r="Q740">
        <v>1.46E-2</v>
      </c>
      <c r="R740">
        <v>0</v>
      </c>
      <c r="S740">
        <v>0</v>
      </c>
      <c r="T740" t="s">
        <v>1054</v>
      </c>
      <c r="U740">
        <v>0.58299999999999996</v>
      </c>
    </row>
    <row r="741" spans="1:21" x14ac:dyDescent="0.25">
      <c r="A741" t="s">
        <v>954</v>
      </c>
      <c r="B741" t="s">
        <v>3</v>
      </c>
      <c r="C741">
        <v>25</v>
      </c>
      <c r="D741" t="s">
        <v>13</v>
      </c>
      <c r="E741">
        <v>15.5785667593801</v>
      </c>
      <c r="G741">
        <v>1.0156000000000001</v>
      </c>
      <c r="H741">
        <v>4.4039999999999999</v>
      </c>
      <c r="K741">
        <v>0.24460000000000001</v>
      </c>
      <c r="L741">
        <v>0.77100000000000002</v>
      </c>
      <c r="M741">
        <v>5.86</v>
      </c>
      <c r="N741">
        <v>3.7759999999999998</v>
      </c>
      <c r="O741">
        <v>1.1892</v>
      </c>
      <c r="P741">
        <v>9.7500000000000003E-2</v>
      </c>
      <c r="Q741">
        <v>4.8599999999999997E-2</v>
      </c>
      <c r="R741">
        <v>0</v>
      </c>
      <c r="S741">
        <v>0</v>
      </c>
      <c r="T741">
        <v>0</v>
      </c>
      <c r="U741">
        <v>0.38700000000000001</v>
      </c>
    </row>
    <row r="742" spans="1:21" x14ac:dyDescent="0.25">
      <c r="A742" t="s">
        <v>889</v>
      </c>
      <c r="B742" t="s">
        <v>3</v>
      </c>
      <c r="C742">
        <v>34</v>
      </c>
      <c r="D742" t="s">
        <v>22</v>
      </c>
      <c r="E742">
        <v>13.3262941052214</v>
      </c>
      <c r="G742">
        <v>0.96040000000000003</v>
      </c>
      <c r="H742">
        <v>6.1420000000000003</v>
      </c>
      <c r="K742">
        <v>0.33139999999999997</v>
      </c>
      <c r="L742">
        <v>0.629</v>
      </c>
      <c r="M742">
        <v>5.2134999999999998</v>
      </c>
      <c r="N742">
        <v>5.9539999999999997</v>
      </c>
      <c r="O742">
        <v>1.0236000000000001</v>
      </c>
      <c r="P742">
        <v>4.7E-2</v>
      </c>
      <c r="Q742" s="1">
        <v>7.1000000000000004E-3</v>
      </c>
      <c r="R742">
        <v>0</v>
      </c>
      <c r="S742">
        <v>0</v>
      </c>
      <c r="T742">
        <v>0.57999999999999996</v>
      </c>
      <c r="U742">
        <v>0.76400000000000001</v>
      </c>
    </row>
    <row r="743" spans="1:21" x14ac:dyDescent="0.25">
      <c r="A743" t="s">
        <v>478</v>
      </c>
      <c r="B743" t="s">
        <v>3</v>
      </c>
      <c r="C743">
        <v>30</v>
      </c>
      <c r="D743" t="s">
        <v>6</v>
      </c>
      <c r="E743">
        <v>18.849555599309401</v>
      </c>
      <c r="G743">
        <v>1.2257</v>
      </c>
      <c r="H743">
        <v>4.9790000000000001</v>
      </c>
      <c r="K743">
        <v>0.28270000000000001</v>
      </c>
      <c r="L743">
        <v>0.94299999999999995</v>
      </c>
      <c r="M743">
        <v>2.0777999999999999</v>
      </c>
      <c r="N743">
        <v>4.9189999999999996</v>
      </c>
      <c r="O743">
        <v>0.71870000000000001</v>
      </c>
      <c r="P743">
        <v>3.3099999999999997E-2</v>
      </c>
      <c r="Q743">
        <v>1.2999999999999999E-3</v>
      </c>
      <c r="R743">
        <v>0</v>
      </c>
      <c r="S743">
        <v>0</v>
      </c>
      <c r="T743">
        <v>0.25</v>
      </c>
      <c r="U743">
        <v>0.55000000000000004</v>
      </c>
    </row>
    <row r="744" spans="1:21" x14ac:dyDescent="0.25">
      <c r="A744" t="s">
        <v>513</v>
      </c>
      <c r="B744" t="s">
        <v>3</v>
      </c>
      <c r="C744">
        <v>31</v>
      </c>
      <c r="D744" t="s">
        <v>1193</v>
      </c>
      <c r="E744">
        <v>15.454657810383001</v>
      </c>
      <c r="G744">
        <v>0.83199999999999996</v>
      </c>
      <c r="H744">
        <v>5.431</v>
      </c>
      <c r="K744">
        <v>0.19700000000000001</v>
      </c>
      <c r="L744">
        <v>0.63500000000000001</v>
      </c>
      <c r="M744">
        <v>3.5764999999999998</v>
      </c>
      <c r="N744">
        <v>3.778</v>
      </c>
      <c r="O744">
        <v>0.6986</v>
      </c>
      <c r="P744">
        <v>9.4999999999999998E-3</v>
      </c>
      <c r="Q744">
        <v>2E-3</v>
      </c>
      <c r="R744">
        <v>0</v>
      </c>
      <c r="S744">
        <v>0</v>
      </c>
      <c r="T744">
        <v>0</v>
      </c>
      <c r="U744">
        <v>0.48799999999999999</v>
      </c>
    </row>
    <row r="745" spans="1:21" x14ac:dyDescent="0.25">
      <c r="A745" t="s">
        <v>557</v>
      </c>
      <c r="B745" t="s">
        <v>3</v>
      </c>
      <c r="C745">
        <v>25</v>
      </c>
      <c r="D745" t="s">
        <v>26</v>
      </c>
      <c r="E745">
        <v>18.371852907412201</v>
      </c>
      <c r="G745">
        <v>0.68240000000000001</v>
      </c>
      <c r="H745">
        <v>3.5489999999999999</v>
      </c>
      <c r="K745">
        <v>0.1444</v>
      </c>
      <c r="L745">
        <v>0.53800000000000003</v>
      </c>
      <c r="M745">
        <v>5.2586000000000004</v>
      </c>
      <c r="N745">
        <v>4.1509999999999998</v>
      </c>
      <c r="O745">
        <v>0.43020000000000003</v>
      </c>
      <c r="P745">
        <v>6.1999999999999998E-3</v>
      </c>
      <c r="Q745">
        <v>1.9300000000000001E-2</v>
      </c>
      <c r="R745">
        <v>0</v>
      </c>
      <c r="S745">
        <v>0</v>
      </c>
      <c r="T745">
        <v>0</v>
      </c>
      <c r="U745">
        <v>0.157</v>
      </c>
    </row>
    <row r="746" spans="1:21" x14ac:dyDescent="0.25">
      <c r="A746" t="s">
        <v>297</v>
      </c>
      <c r="B746" t="s">
        <v>3</v>
      </c>
      <c r="C746">
        <v>26</v>
      </c>
      <c r="D746" t="s">
        <v>19</v>
      </c>
      <c r="E746">
        <v>18.476536077324599</v>
      </c>
      <c r="G746">
        <v>1.2382</v>
      </c>
      <c r="H746">
        <v>4.3010000000000002</v>
      </c>
      <c r="K746">
        <v>0.2172</v>
      </c>
      <c r="L746">
        <v>1.0209999999999999</v>
      </c>
      <c r="M746">
        <v>3.0388999999999999</v>
      </c>
      <c r="N746">
        <v>4.8369999999999997</v>
      </c>
      <c r="O746">
        <v>0.82269999999999999</v>
      </c>
      <c r="P746">
        <v>4.36E-2</v>
      </c>
      <c r="Q746">
        <v>1.2999999999999999E-3</v>
      </c>
      <c r="R746">
        <v>0</v>
      </c>
      <c r="S746">
        <v>0</v>
      </c>
      <c r="T746">
        <v>0.51</v>
      </c>
      <c r="U746">
        <v>0.64900000000000002</v>
      </c>
    </row>
    <row r="747" spans="1:21" x14ac:dyDescent="0.25">
      <c r="A747" t="s">
        <v>350</v>
      </c>
      <c r="B747" t="s">
        <v>3</v>
      </c>
      <c r="C747">
        <v>25</v>
      </c>
      <c r="D747" t="s">
        <v>17</v>
      </c>
      <c r="E747">
        <v>20.459467948825498</v>
      </c>
      <c r="G747">
        <v>1.2943</v>
      </c>
      <c r="H747">
        <v>5.1260000000000003</v>
      </c>
      <c r="K747">
        <v>0.26529999999999998</v>
      </c>
      <c r="L747">
        <v>1.0289999999999999</v>
      </c>
      <c r="M747">
        <v>1.9240999999999999</v>
      </c>
      <c r="N747">
        <v>3.7879999999999998</v>
      </c>
      <c r="O747">
        <v>0.51890000000000003</v>
      </c>
      <c r="P747">
        <v>5.3E-3</v>
      </c>
      <c r="Q747">
        <v>1.43E-2</v>
      </c>
      <c r="R747">
        <v>0</v>
      </c>
      <c r="S747">
        <v>0</v>
      </c>
      <c r="T747">
        <v>0.55000000000000004</v>
      </c>
      <c r="U747">
        <v>0.55200000000000005</v>
      </c>
    </row>
    <row r="748" spans="1:21" x14ac:dyDescent="0.25">
      <c r="A748" t="s">
        <v>275</v>
      </c>
      <c r="B748" t="s">
        <v>3</v>
      </c>
      <c r="C748">
        <v>30</v>
      </c>
      <c r="D748" t="s">
        <v>30</v>
      </c>
      <c r="E748">
        <v>20.084870852525</v>
      </c>
      <c r="G748">
        <v>1.4191</v>
      </c>
      <c r="H748">
        <v>5.6660000000000004</v>
      </c>
      <c r="K748">
        <v>0.24310000000000001</v>
      </c>
      <c r="L748">
        <v>1.1759999999999999</v>
      </c>
      <c r="M748">
        <v>2.9546999999999999</v>
      </c>
      <c r="N748">
        <v>4.53</v>
      </c>
      <c r="O748">
        <v>0.37830000000000003</v>
      </c>
      <c r="P748">
        <v>3.2599999999999997E-2</v>
      </c>
      <c r="Q748">
        <v>1.41E-2</v>
      </c>
      <c r="R748">
        <v>0</v>
      </c>
      <c r="S748">
        <v>0</v>
      </c>
      <c r="T748">
        <v>0.55000000000000004</v>
      </c>
      <c r="U748">
        <v>0.77800000000000002</v>
      </c>
    </row>
    <row r="749" spans="1:21" x14ac:dyDescent="0.25">
      <c r="A749" t="s">
        <v>251</v>
      </c>
      <c r="B749" t="s">
        <v>3</v>
      </c>
      <c r="C749">
        <v>23</v>
      </c>
      <c r="D749" t="s">
        <v>2</v>
      </c>
      <c r="E749">
        <v>17.5138592557959</v>
      </c>
      <c r="G749">
        <v>1.0017</v>
      </c>
      <c r="H749">
        <v>4.383</v>
      </c>
      <c r="K749">
        <v>0.19470000000000001</v>
      </c>
      <c r="L749">
        <v>0.80700000000000005</v>
      </c>
      <c r="M749">
        <v>5.9943</v>
      </c>
      <c r="N749">
        <v>6.2969999999999997</v>
      </c>
      <c r="O749">
        <v>0.72060000000000002</v>
      </c>
      <c r="P749">
        <v>1.9300000000000001E-2</v>
      </c>
      <c r="Q749">
        <v>1.1000000000000001E-3</v>
      </c>
      <c r="R749">
        <v>0</v>
      </c>
      <c r="S749">
        <v>0</v>
      </c>
      <c r="T749">
        <v>0.47</v>
      </c>
      <c r="U749">
        <v>1.869</v>
      </c>
    </row>
    <row r="750" spans="1:21" x14ac:dyDescent="0.25">
      <c r="A750" t="s">
        <v>544</v>
      </c>
      <c r="B750" t="s">
        <v>3</v>
      </c>
      <c r="C750">
        <v>33</v>
      </c>
      <c r="D750" t="s">
        <v>9</v>
      </c>
      <c r="E750">
        <v>14.735886384513201</v>
      </c>
      <c r="G750">
        <v>0.77980000000000005</v>
      </c>
      <c r="H750">
        <v>4.1230000000000002</v>
      </c>
      <c r="K750">
        <v>0.14879999999999999</v>
      </c>
      <c r="L750">
        <v>0.63100000000000001</v>
      </c>
      <c r="M750">
        <v>3.4142000000000001</v>
      </c>
      <c r="N750">
        <v>4.5449999999999999</v>
      </c>
      <c r="O750">
        <v>0.36680000000000001</v>
      </c>
      <c r="P750">
        <v>6.8999999999999999E-3</v>
      </c>
      <c r="Q750">
        <v>1.4E-3</v>
      </c>
      <c r="R750">
        <v>0</v>
      </c>
      <c r="S750">
        <v>0</v>
      </c>
      <c r="T750">
        <v>0</v>
      </c>
      <c r="U750">
        <v>0.63700000000000001</v>
      </c>
    </row>
    <row r="751" spans="1:21" x14ac:dyDescent="0.25">
      <c r="A751" t="s">
        <v>890</v>
      </c>
      <c r="B751" t="s">
        <v>3</v>
      </c>
      <c r="C751">
        <v>32</v>
      </c>
      <c r="D751" t="s">
        <v>5</v>
      </c>
      <c r="E751">
        <v>13.645894638305</v>
      </c>
      <c r="G751">
        <v>0.68279999999999996</v>
      </c>
      <c r="H751">
        <v>3.6659999999999999</v>
      </c>
      <c r="K751">
        <v>9.3799999999999994E-2</v>
      </c>
      <c r="L751">
        <v>0.58899999999999997</v>
      </c>
      <c r="M751">
        <v>3.8191000000000002</v>
      </c>
      <c r="N751">
        <v>5.1539999999999999</v>
      </c>
      <c r="O751">
        <v>0.88139999999999996</v>
      </c>
      <c r="P751">
        <v>0.37430000000000002</v>
      </c>
      <c r="Q751">
        <v>6.4999999999999997E-3</v>
      </c>
      <c r="R751">
        <v>0</v>
      </c>
      <c r="S751">
        <v>0</v>
      </c>
      <c r="T751">
        <v>0</v>
      </c>
      <c r="U751">
        <v>0.38</v>
      </c>
    </row>
    <row r="752" spans="1:21" x14ac:dyDescent="0.25">
      <c r="A752" t="s">
        <v>323</v>
      </c>
      <c r="B752" t="s">
        <v>3</v>
      </c>
      <c r="C752">
        <v>29</v>
      </c>
      <c r="D752" t="s">
        <v>9</v>
      </c>
      <c r="E752">
        <v>17.5114533255928</v>
      </c>
      <c r="G752">
        <v>1.0649999999999999</v>
      </c>
      <c r="H752">
        <v>4.7290000000000001</v>
      </c>
      <c r="K752">
        <v>0.21</v>
      </c>
      <c r="L752">
        <v>0.85499999999999998</v>
      </c>
      <c r="M752">
        <v>6.9419000000000004</v>
      </c>
      <c r="N752">
        <v>4.4290000000000003</v>
      </c>
      <c r="O752">
        <v>0.88900000000000001</v>
      </c>
      <c r="P752">
        <v>4.02E-2</v>
      </c>
      <c r="Q752">
        <v>1.1000000000000001E-3</v>
      </c>
      <c r="R752">
        <v>0</v>
      </c>
      <c r="S752">
        <v>0</v>
      </c>
      <c r="T752">
        <v>0.41</v>
      </c>
      <c r="U752">
        <v>0.72099999999999997</v>
      </c>
    </row>
    <row r="753" spans="1:21" x14ac:dyDescent="0.25">
      <c r="A753" t="s">
        <v>956</v>
      </c>
      <c r="B753" t="s">
        <v>3</v>
      </c>
      <c r="C753">
        <v>26</v>
      </c>
      <c r="D753" t="s">
        <v>23</v>
      </c>
      <c r="E753">
        <v>15.9900833311989</v>
      </c>
      <c r="G753">
        <v>0.746</v>
      </c>
      <c r="H753">
        <v>3.63</v>
      </c>
      <c r="K753">
        <v>0.25600000000000001</v>
      </c>
      <c r="L753">
        <v>0.49</v>
      </c>
      <c r="M753">
        <v>5.6677</v>
      </c>
      <c r="N753">
        <v>4.734</v>
      </c>
      <c r="O753">
        <v>0.55979999999999996</v>
      </c>
      <c r="P753">
        <v>2.07E-2</v>
      </c>
      <c r="Q753">
        <v>5.7000000000000002E-3</v>
      </c>
      <c r="R753">
        <v>0</v>
      </c>
      <c r="S753">
        <v>0</v>
      </c>
      <c r="T753">
        <v>0.51</v>
      </c>
      <c r="U753">
        <v>0.74</v>
      </c>
    </row>
    <row r="754" spans="1:21" x14ac:dyDescent="0.25">
      <c r="A754" t="s">
        <v>957</v>
      </c>
      <c r="B754" t="s">
        <v>3</v>
      </c>
      <c r="C754">
        <v>24</v>
      </c>
      <c r="D754" t="s">
        <v>33</v>
      </c>
      <c r="E754">
        <v>15.096536171172501</v>
      </c>
      <c r="G754">
        <v>0.84250000000000003</v>
      </c>
      <c r="H754">
        <v>3.1080000000000001</v>
      </c>
      <c r="K754">
        <v>0.11849999999999999</v>
      </c>
      <c r="L754">
        <v>0.72399999999999998</v>
      </c>
      <c r="M754">
        <v>5.7668999999999997</v>
      </c>
      <c r="N754">
        <v>4.9160000000000004</v>
      </c>
      <c r="O754">
        <v>0.92179999999999995</v>
      </c>
      <c r="P754">
        <v>0.1082</v>
      </c>
      <c r="Q754">
        <v>1.44E-2</v>
      </c>
      <c r="R754">
        <v>0</v>
      </c>
      <c r="S754">
        <v>0</v>
      </c>
      <c r="T754">
        <v>0</v>
      </c>
      <c r="U754">
        <v>0.318</v>
      </c>
    </row>
    <row r="755" spans="1:21" x14ac:dyDescent="0.25">
      <c r="A755" t="s">
        <v>1194</v>
      </c>
      <c r="B755" t="s">
        <v>3</v>
      </c>
      <c r="C755">
        <v>30</v>
      </c>
      <c r="D755" t="s">
        <v>1195</v>
      </c>
      <c r="E755">
        <v>13.9118575193938</v>
      </c>
      <c r="G755">
        <v>0.93759999999999999</v>
      </c>
      <c r="H755">
        <v>3.91</v>
      </c>
      <c r="K755">
        <v>0.20960000000000001</v>
      </c>
      <c r="L755">
        <v>0.72799999999999998</v>
      </c>
      <c r="M755">
        <v>3.5383</v>
      </c>
      <c r="N755">
        <v>5.0090000000000003</v>
      </c>
      <c r="O755">
        <v>0.4889</v>
      </c>
      <c r="P755">
        <v>2.8500000000000001E-2</v>
      </c>
      <c r="Q755">
        <v>9.7999999999999997E-3</v>
      </c>
      <c r="R755">
        <v>0</v>
      </c>
      <c r="S755">
        <v>0</v>
      </c>
      <c r="T755">
        <v>0.42</v>
      </c>
      <c r="U755">
        <v>0.58699999999999997</v>
      </c>
    </row>
    <row r="756" spans="1:21" x14ac:dyDescent="0.25">
      <c r="A756" t="s">
        <v>602</v>
      </c>
      <c r="B756" t="s">
        <v>3</v>
      </c>
      <c r="C756">
        <v>37</v>
      </c>
      <c r="D756" t="s">
        <v>15</v>
      </c>
      <c r="E756">
        <v>14.230696553719</v>
      </c>
      <c r="G756">
        <v>0.94550000000000001</v>
      </c>
      <c r="H756">
        <v>3.8380000000000001</v>
      </c>
      <c r="K756">
        <v>0.1825</v>
      </c>
      <c r="L756">
        <v>0.76300000000000001</v>
      </c>
      <c r="M756">
        <v>4.2009999999999996</v>
      </c>
      <c r="N756">
        <v>4.3479999999999999</v>
      </c>
      <c r="O756">
        <v>0.35010000000000002</v>
      </c>
      <c r="P756">
        <v>1.01E-2</v>
      </c>
      <c r="Q756">
        <v>3.2000000000000002E-3</v>
      </c>
      <c r="R756">
        <v>0</v>
      </c>
      <c r="S756">
        <v>0</v>
      </c>
      <c r="T756">
        <v>0</v>
      </c>
      <c r="U756">
        <v>0.50600000000000001</v>
      </c>
    </row>
    <row r="757" spans="1:21" x14ac:dyDescent="0.25">
      <c r="A757" t="s">
        <v>606</v>
      </c>
      <c r="B757" t="s">
        <v>3</v>
      </c>
      <c r="C757">
        <v>34</v>
      </c>
      <c r="D757" t="s">
        <v>29</v>
      </c>
      <c r="E757">
        <v>16.958166389172199</v>
      </c>
      <c r="G757">
        <v>0.88770000000000004</v>
      </c>
      <c r="H757">
        <v>3.4550000000000001</v>
      </c>
      <c r="K757">
        <v>0.1457</v>
      </c>
      <c r="L757">
        <v>0.74199999999999999</v>
      </c>
      <c r="M757">
        <v>2.8672</v>
      </c>
      <c r="N757">
        <v>4.399</v>
      </c>
      <c r="O757">
        <v>0.35089999999999999</v>
      </c>
      <c r="P757">
        <v>1.6400000000000001E-2</v>
      </c>
      <c r="Q757">
        <v>1.1999999999999999E-3</v>
      </c>
      <c r="R757">
        <v>0</v>
      </c>
      <c r="S757">
        <v>0</v>
      </c>
      <c r="T757" t="s">
        <v>1054</v>
      </c>
      <c r="U757">
        <v>0.40200000000000002</v>
      </c>
    </row>
    <row r="758" spans="1:21" x14ac:dyDescent="0.25">
      <c r="A758" t="s">
        <v>608</v>
      </c>
      <c r="B758" t="s">
        <v>3</v>
      </c>
      <c r="C758">
        <v>33</v>
      </c>
      <c r="D758" t="s">
        <v>14</v>
      </c>
      <c r="E758">
        <v>19.491695924304299</v>
      </c>
      <c r="G758">
        <v>0.89080000000000004</v>
      </c>
      <c r="H758">
        <v>2.7970000000000002</v>
      </c>
      <c r="K758">
        <v>0.10580000000000001</v>
      </c>
      <c r="L758">
        <v>0.78500000000000003</v>
      </c>
      <c r="M758">
        <v>1.5452999999999999</v>
      </c>
      <c r="N758">
        <v>3.9119999999999999</v>
      </c>
      <c r="O758">
        <v>0.376</v>
      </c>
      <c r="P758">
        <v>5.3E-3</v>
      </c>
      <c r="Q758">
        <v>1.1000000000000001E-3</v>
      </c>
      <c r="R758">
        <v>0</v>
      </c>
      <c r="S758">
        <v>0</v>
      </c>
      <c r="T758">
        <v>0.54</v>
      </c>
      <c r="U758">
        <v>0.496</v>
      </c>
    </row>
    <row r="759" spans="1:21" x14ac:dyDescent="0.25">
      <c r="A759" t="s">
        <v>1064</v>
      </c>
      <c r="B759" t="s">
        <v>3</v>
      </c>
      <c r="C759">
        <v>26</v>
      </c>
      <c r="D759" t="s">
        <v>19</v>
      </c>
      <c r="E759">
        <v>16.2794486737168</v>
      </c>
      <c r="G759">
        <v>1.0406</v>
      </c>
      <c r="H759">
        <v>3.8610000000000002</v>
      </c>
      <c r="K759">
        <v>0.1636</v>
      </c>
      <c r="L759">
        <v>0.877</v>
      </c>
      <c r="M759">
        <v>3.3967000000000001</v>
      </c>
      <c r="N759">
        <v>4.8819999999999997</v>
      </c>
      <c r="O759">
        <v>0.43480000000000002</v>
      </c>
      <c r="P759">
        <v>9.4999999999999998E-3</v>
      </c>
      <c r="Q759" s="1">
        <v>2.3999999999999998E-3</v>
      </c>
      <c r="R759">
        <v>0</v>
      </c>
      <c r="S759">
        <v>0</v>
      </c>
      <c r="T759" t="s">
        <v>1054</v>
      </c>
      <c r="U759">
        <v>0.185</v>
      </c>
    </row>
    <row r="760" spans="1:21" x14ac:dyDescent="0.25">
      <c r="A760" t="s">
        <v>915</v>
      </c>
      <c r="B760" t="s">
        <v>3</v>
      </c>
      <c r="C760">
        <v>31</v>
      </c>
      <c r="D760" t="s">
        <v>32</v>
      </c>
      <c r="E760">
        <v>14.769456202284401</v>
      </c>
      <c r="G760">
        <v>0.61350000000000005</v>
      </c>
      <c r="H760">
        <v>4.7720000000000002</v>
      </c>
      <c r="K760">
        <v>0.14649999999999999</v>
      </c>
      <c r="L760">
        <v>0.46700000000000003</v>
      </c>
      <c r="M760">
        <v>6.0888</v>
      </c>
      <c r="N760">
        <v>8.3109999999999999</v>
      </c>
      <c r="O760">
        <v>0.82210000000000005</v>
      </c>
      <c r="P760">
        <v>0.20680000000000001</v>
      </c>
      <c r="Q760">
        <v>5.4300000000000001E-2</v>
      </c>
      <c r="R760">
        <v>0</v>
      </c>
      <c r="S760">
        <v>0</v>
      </c>
      <c r="T760">
        <v>0</v>
      </c>
      <c r="U760">
        <v>0.35199999999999998</v>
      </c>
    </row>
    <row r="761" spans="1:21" x14ac:dyDescent="0.25">
      <c r="A761" t="s">
        <v>347</v>
      </c>
      <c r="B761" t="s">
        <v>3</v>
      </c>
      <c r="C761">
        <v>26</v>
      </c>
      <c r="D761" t="s">
        <v>28</v>
      </c>
      <c r="E761">
        <v>16.889235823211799</v>
      </c>
      <c r="G761">
        <v>0.74109999999999998</v>
      </c>
      <c r="H761">
        <v>4.8179999999999996</v>
      </c>
      <c r="K761">
        <v>0.1691</v>
      </c>
      <c r="L761">
        <v>0.57199999999999995</v>
      </c>
      <c r="M761">
        <v>5.4885000000000002</v>
      </c>
      <c r="N761">
        <v>5.0730000000000004</v>
      </c>
      <c r="O761">
        <v>0.7913</v>
      </c>
      <c r="P761">
        <v>6.4699999999999994E-2</v>
      </c>
      <c r="Q761">
        <v>3.9100000000000003E-2</v>
      </c>
      <c r="R761">
        <v>0</v>
      </c>
      <c r="S761">
        <v>0</v>
      </c>
      <c r="T761">
        <v>0</v>
      </c>
      <c r="U761">
        <v>0.54600000000000004</v>
      </c>
    </row>
    <row r="762" spans="1:21" x14ac:dyDescent="0.25">
      <c r="A762" t="s">
        <v>1196</v>
      </c>
      <c r="B762" t="s">
        <v>3</v>
      </c>
      <c r="C762">
        <v>24</v>
      </c>
      <c r="D762" t="s">
        <v>1197</v>
      </c>
      <c r="E762">
        <v>15.199264096534501</v>
      </c>
      <c r="G762">
        <v>0.74450000000000005</v>
      </c>
      <c r="H762">
        <v>3.9910000000000001</v>
      </c>
      <c r="K762">
        <v>0.14949999999999999</v>
      </c>
      <c r="L762">
        <v>0.59499999999999997</v>
      </c>
      <c r="M762">
        <v>8.6713000000000005</v>
      </c>
      <c r="N762">
        <v>5.2759999999999998</v>
      </c>
      <c r="O762">
        <v>0.96040000000000003</v>
      </c>
      <c r="P762">
        <v>2.1000000000000001E-2</v>
      </c>
      <c r="Q762">
        <v>0.1089</v>
      </c>
      <c r="R762">
        <v>0</v>
      </c>
      <c r="S762">
        <v>0</v>
      </c>
      <c r="T762">
        <v>0.53</v>
      </c>
      <c r="U762">
        <v>0.46700000000000003</v>
      </c>
    </row>
    <row r="763" spans="1:21" x14ac:dyDescent="0.25">
      <c r="A763" t="s">
        <v>415</v>
      </c>
      <c r="B763" t="s">
        <v>3</v>
      </c>
      <c r="C763">
        <v>29</v>
      </c>
      <c r="D763" t="s">
        <v>137</v>
      </c>
      <c r="E763">
        <v>15.8206534804011</v>
      </c>
      <c r="G763">
        <v>0.90100000000000002</v>
      </c>
      <c r="H763">
        <v>4.585</v>
      </c>
      <c r="K763">
        <v>0.29699999999999999</v>
      </c>
      <c r="L763">
        <v>0.60399999999999998</v>
      </c>
      <c r="M763">
        <v>7.3662999999999998</v>
      </c>
      <c r="N763">
        <v>3.2080000000000002</v>
      </c>
      <c r="O763">
        <v>1.3526</v>
      </c>
      <c r="P763">
        <v>0.15590000000000001</v>
      </c>
      <c r="Q763">
        <v>7.5700000000000003E-2</v>
      </c>
      <c r="R763">
        <v>0</v>
      </c>
      <c r="S763">
        <v>0</v>
      </c>
      <c r="T763">
        <v>0</v>
      </c>
      <c r="U763">
        <v>0.66300000000000003</v>
      </c>
    </row>
    <row r="764" spans="1:21" x14ac:dyDescent="0.25">
      <c r="A764" t="s">
        <v>528</v>
      </c>
      <c r="B764" t="s">
        <v>3</v>
      </c>
      <c r="C764">
        <v>33</v>
      </c>
      <c r="D764" t="s">
        <v>21</v>
      </c>
      <c r="E764">
        <v>14.7473812255721</v>
      </c>
      <c r="G764">
        <v>0.61040000000000005</v>
      </c>
      <c r="H764">
        <v>2.762</v>
      </c>
      <c r="K764">
        <v>0.1394</v>
      </c>
      <c r="L764">
        <v>0.47099999999999997</v>
      </c>
      <c r="M764">
        <v>5.8830999999999998</v>
      </c>
      <c r="N764">
        <v>6.1189999999999998</v>
      </c>
      <c r="O764">
        <v>0.77129999999999999</v>
      </c>
      <c r="P764">
        <v>9.9000000000000008E-3</v>
      </c>
      <c r="Q764">
        <v>2.0999999999999999E-3</v>
      </c>
      <c r="R764">
        <v>0</v>
      </c>
      <c r="S764">
        <v>0</v>
      </c>
      <c r="T764">
        <v>0.45</v>
      </c>
      <c r="U764">
        <v>0.61699999999999999</v>
      </c>
    </row>
    <row r="765" spans="1:21" x14ac:dyDescent="0.25">
      <c r="A765" t="s">
        <v>588</v>
      </c>
      <c r="B765" t="s">
        <v>3</v>
      </c>
      <c r="C765">
        <v>28</v>
      </c>
      <c r="D765" t="s">
        <v>31</v>
      </c>
      <c r="E765">
        <v>17.2785174980738</v>
      </c>
      <c r="G765">
        <v>0.61670000000000003</v>
      </c>
      <c r="H765">
        <v>3.395</v>
      </c>
      <c r="K765">
        <v>0.1197</v>
      </c>
      <c r="L765">
        <v>0.497</v>
      </c>
      <c r="M765">
        <v>6.2245999999999997</v>
      </c>
      <c r="N765">
        <v>4.5110000000000001</v>
      </c>
      <c r="O765">
        <v>1.2119</v>
      </c>
      <c r="P765">
        <v>5.9900000000000002E-2</v>
      </c>
      <c r="Q765">
        <v>1.4500000000000001E-2</v>
      </c>
      <c r="R765">
        <v>0</v>
      </c>
      <c r="S765">
        <v>0</v>
      </c>
      <c r="T765">
        <v>0</v>
      </c>
      <c r="U765">
        <v>0.23400000000000001</v>
      </c>
    </row>
    <row r="766" spans="1:21" x14ac:dyDescent="0.25">
      <c r="A766" t="s">
        <v>699</v>
      </c>
      <c r="B766" t="s">
        <v>3</v>
      </c>
      <c r="C766">
        <v>26</v>
      </c>
      <c r="D766" t="s">
        <v>33</v>
      </c>
      <c r="E766">
        <v>15.8241365153386</v>
      </c>
      <c r="G766">
        <v>0.66910000000000003</v>
      </c>
      <c r="H766">
        <v>3.238</v>
      </c>
      <c r="K766">
        <v>0.14610000000000001</v>
      </c>
      <c r="L766">
        <v>0.52300000000000002</v>
      </c>
      <c r="M766">
        <v>3.5451000000000001</v>
      </c>
      <c r="N766">
        <v>4.9130000000000003</v>
      </c>
      <c r="O766">
        <v>0.99629999999999996</v>
      </c>
      <c r="P766">
        <v>3.2099999999999997E-2</v>
      </c>
      <c r="Q766">
        <v>9.7999999999999997E-3</v>
      </c>
      <c r="R766">
        <v>0</v>
      </c>
      <c r="S766">
        <v>0</v>
      </c>
      <c r="T766">
        <v>0.53</v>
      </c>
      <c r="U766">
        <v>1.079</v>
      </c>
    </row>
    <row r="767" spans="1:21" x14ac:dyDescent="0.25">
      <c r="A767" t="s">
        <v>1020</v>
      </c>
      <c r="B767" t="s">
        <v>3</v>
      </c>
      <c r="C767">
        <v>24</v>
      </c>
      <c r="D767" t="s">
        <v>17</v>
      </c>
      <c r="E767">
        <v>13.510766112634</v>
      </c>
      <c r="G767">
        <v>0.92889999999999995</v>
      </c>
      <c r="H767">
        <v>4.7949999999999999</v>
      </c>
      <c r="K767">
        <v>0.16889999999999999</v>
      </c>
      <c r="L767">
        <v>0.76</v>
      </c>
      <c r="M767">
        <v>2.9399000000000002</v>
      </c>
      <c r="N767">
        <v>3.6469999999999998</v>
      </c>
      <c r="O767">
        <v>0.50329999999999997</v>
      </c>
      <c r="P767">
        <v>1.0800000000000001E-2</v>
      </c>
      <c r="Q767">
        <v>2.3E-3</v>
      </c>
      <c r="R767">
        <v>0</v>
      </c>
      <c r="S767">
        <v>0</v>
      </c>
      <c r="T767">
        <v>0.43</v>
      </c>
      <c r="U767">
        <v>0.71199999999999997</v>
      </c>
    </row>
    <row r="768" spans="1:21" x14ac:dyDescent="0.25">
      <c r="A768" t="s">
        <v>329</v>
      </c>
      <c r="B768" t="s">
        <v>3</v>
      </c>
      <c r="C768">
        <v>25</v>
      </c>
      <c r="D768" t="s">
        <v>20</v>
      </c>
      <c r="E768">
        <v>19.882841971978898</v>
      </c>
      <c r="G768">
        <v>1.3858999999999999</v>
      </c>
      <c r="H768">
        <v>5.8440000000000003</v>
      </c>
      <c r="K768">
        <v>0.3009</v>
      </c>
      <c r="L768">
        <v>1.085</v>
      </c>
      <c r="M768">
        <v>2.5385</v>
      </c>
      <c r="N768">
        <v>5.8040000000000003</v>
      </c>
      <c r="O768">
        <v>0.45600000000000002</v>
      </c>
      <c r="P768">
        <v>5.4999999999999997E-3</v>
      </c>
      <c r="Q768">
        <v>1.1000000000000001E-3</v>
      </c>
      <c r="R768">
        <v>0</v>
      </c>
      <c r="S768">
        <v>0</v>
      </c>
      <c r="T768">
        <v>0</v>
      </c>
      <c r="U768">
        <v>0.60599999999999998</v>
      </c>
    </row>
    <row r="769" spans="1:21" x14ac:dyDescent="0.25">
      <c r="A769" t="s">
        <v>391</v>
      </c>
      <c r="B769" t="s">
        <v>3</v>
      </c>
      <c r="C769">
        <v>28</v>
      </c>
      <c r="D769" t="s">
        <v>1172</v>
      </c>
      <c r="E769">
        <v>19.202819837447301</v>
      </c>
      <c r="G769">
        <v>1.2222</v>
      </c>
      <c r="H769">
        <v>5.1180000000000003</v>
      </c>
      <c r="K769">
        <v>0.28620000000000001</v>
      </c>
      <c r="L769">
        <v>0.93600000000000005</v>
      </c>
      <c r="M769">
        <v>2.0206</v>
      </c>
      <c r="N769">
        <v>4.0369999999999999</v>
      </c>
      <c r="O769">
        <v>0.40550000000000003</v>
      </c>
      <c r="P769">
        <v>2.5399999999999999E-2</v>
      </c>
      <c r="Q769">
        <v>1.1000000000000001E-3</v>
      </c>
      <c r="R769">
        <v>0</v>
      </c>
      <c r="S769">
        <v>0</v>
      </c>
      <c r="T769">
        <v>0.34</v>
      </c>
      <c r="U769">
        <v>0.56200000000000006</v>
      </c>
    </row>
    <row r="770" spans="1:21" x14ac:dyDescent="0.25">
      <c r="A770" t="s">
        <v>917</v>
      </c>
      <c r="B770" t="s">
        <v>3</v>
      </c>
      <c r="C770">
        <v>27</v>
      </c>
      <c r="D770" t="s">
        <v>8</v>
      </c>
      <c r="E770">
        <v>13.4526957673545</v>
      </c>
      <c r="G770">
        <v>0.59340000000000004</v>
      </c>
      <c r="H770">
        <v>2.5609999999999999</v>
      </c>
      <c r="K770">
        <v>9.2399999999999996E-2</v>
      </c>
      <c r="L770">
        <v>0.501</v>
      </c>
      <c r="M770">
        <v>11.632999999999999</v>
      </c>
      <c r="N770">
        <v>5.0830000000000002</v>
      </c>
      <c r="O770">
        <v>0.90490000000000004</v>
      </c>
      <c r="P770">
        <v>1.9699999999999999E-2</v>
      </c>
      <c r="Q770">
        <v>5.3E-3</v>
      </c>
      <c r="R770">
        <v>0</v>
      </c>
      <c r="S770">
        <v>0</v>
      </c>
      <c r="T770">
        <v>0.38</v>
      </c>
      <c r="U770">
        <v>1.1579999999999999</v>
      </c>
    </row>
    <row r="771" spans="1:21" x14ac:dyDescent="0.25">
      <c r="A771" t="s">
        <v>1198</v>
      </c>
      <c r="B771" t="s">
        <v>3</v>
      </c>
      <c r="C771">
        <v>21</v>
      </c>
      <c r="D771" t="s">
        <v>5</v>
      </c>
      <c r="E771">
        <v>17.035389780886099</v>
      </c>
      <c r="G771">
        <v>0.89180000000000004</v>
      </c>
      <c r="H771">
        <v>3.7250000000000001</v>
      </c>
      <c r="K771">
        <v>0.2228</v>
      </c>
      <c r="L771">
        <v>0.66900000000000004</v>
      </c>
      <c r="M771">
        <v>2.282</v>
      </c>
      <c r="N771">
        <v>4.8019999999999996</v>
      </c>
      <c r="O771">
        <v>0.48359999999999997</v>
      </c>
      <c r="P771">
        <v>2.8199999999999999E-2</v>
      </c>
      <c r="Q771">
        <v>9.7000000000000003E-3</v>
      </c>
      <c r="R771">
        <v>0</v>
      </c>
      <c r="S771">
        <v>0</v>
      </c>
      <c r="T771">
        <v>0</v>
      </c>
      <c r="U771">
        <v>0.57099999999999995</v>
      </c>
    </row>
    <row r="772" spans="1:21" x14ac:dyDescent="0.25">
      <c r="A772" t="s">
        <v>348</v>
      </c>
      <c r="B772" t="s">
        <v>3</v>
      </c>
      <c r="C772">
        <v>33</v>
      </c>
      <c r="D772" t="s">
        <v>31</v>
      </c>
      <c r="E772">
        <v>15.3302799509515</v>
      </c>
      <c r="G772">
        <v>0.98740000000000006</v>
      </c>
      <c r="H772">
        <v>4.7160000000000002</v>
      </c>
      <c r="K772">
        <v>0.22739999999999999</v>
      </c>
      <c r="L772">
        <v>0.76</v>
      </c>
      <c r="M772">
        <v>3.9586000000000001</v>
      </c>
      <c r="N772">
        <v>3.0830000000000002</v>
      </c>
      <c r="O772">
        <v>0.96389999999999998</v>
      </c>
      <c r="P772">
        <v>6.4999999999999997E-3</v>
      </c>
      <c r="Q772">
        <v>3.3000000000000002E-2</v>
      </c>
      <c r="R772">
        <v>0</v>
      </c>
      <c r="S772">
        <v>0</v>
      </c>
      <c r="T772" t="s">
        <v>1054</v>
      </c>
      <c r="U772">
        <v>1.325</v>
      </c>
    </row>
    <row r="773" spans="1:21" x14ac:dyDescent="0.25">
      <c r="A773" t="s">
        <v>559</v>
      </c>
      <c r="B773" t="s">
        <v>3</v>
      </c>
      <c r="C773">
        <v>27</v>
      </c>
      <c r="D773" t="s">
        <v>22</v>
      </c>
      <c r="E773">
        <v>16.514585258598199</v>
      </c>
      <c r="G773">
        <v>1.0176000000000001</v>
      </c>
      <c r="H773">
        <v>4.6239999999999997</v>
      </c>
      <c r="K773">
        <v>0.29559999999999997</v>
      </c>
      <c r="L773">
        <v>0.72199999999999998</v>
      </c>
      <c r="M773">
        <v>2.5240999999999998</v>
      </c>
      <c r="N773">
        <v>4.9930000000000003</v>
      </c>
      <c r="O773">
        <v>0.55900000000000005</v>
      </c>
      <c r="P773">
        <v>1.17E-2</v>
      </c>
      <c r="Q773" s="1">
        <v>3.3999999999999998E-3</v>
      </c>
      <c r="R773">
        <v>0</v>
      </c>
      <c r="S773">
        <v>0</v>
      </c>
      <c r="T773">
        <v>0.54</v>
      </c>
      <c r="U773">
        <v>0.69399999999999995</v>
      </c>
    </row>
    <row r="774" spans="1:21" x14ac:dyDescent="0.25">
      <c r="A774" t="s">
        <v>692</v>
      </c>
      <c r="B774" t="s">
        <v>3</v>
      </c>
      <c r="C774">
        <v>30</v>
      </c>
      <c r="D774" t="s">
        <v>2</v>
      </c>
      <c r="E774">
        <v>15.4974271970726</v>
      </c>
      <c r="G774">
        <v>0.81679999999999997</v>
      </c>
      <c r="H774">
        <v>2.7029999999999998</v>
      </c>
      <c r="K774">
        <v>0.17280000000000001</v>
      </c>
      <c r="L774">
        <v>0.64400000000000002</v>
      </c>
      <c r="M774">
        <v>2.6381000000000001</v>
      </c>
      <c r="N774">
        <v>4.9779999999999998</v>
      </c>
      <c r="O774">
        <v>0.3463</v>
      </c>
      <c r="P774">
        <v>6.7000000000000002E-3</v>
      </c>
      <c r="Q774">
        <v>1.4E-3</v>
      </c>
      <c r="R774">
        <v>0</v>
      </c>
      <c r="S774">
        <v>0</v>
      </c>
      <c r="T774">
        <v>0.61</v>
      </c>
      <c r="U774">
        <v>0.98299999999999998</v>
      </c>
    </row>
    <row r="775" spans="1:21" x14ac:dyDescent="0.25">
      <c r="A775" t="s">
        <v>864</v>
      </c>
      <c r="B775" t="s">
        <v>3</v>
      </c>
      <c r="C775">
        <v>22</v>
      </c>
      <c r="D775" t="s">
        <v>4</v>
      </c>
      <c r="E775">
        <v>19.495883017110501</v>
      </c>
      <c r="G775">
        <v>0.98729999999999996</v>
      </c>
      <c r="H775">
        <v>3.7690000000000001</v>
      </c>
      <c r="K775">
        <v>0.21229999999999999</v>
      </c>
      <c r="L775">
        <v>0.77500000000000002</v>
      </c>
      <c r="M775">
        <v>1.4539</v>
      </c>
      <c r="N775">
        <v>3.7130000000000001</v>
      </c>
      <c r="O775">
        <v>0.36199999999999999</v>
      </c>
      <c r="P775">
        <v>7.4000000000000003E-3</v>
      </c>
      <c r="Q775">
        <v>2.07E-2</v>
      </c>
      <c r="R775">
        <v>0</v>
      </c>
      <c r="S775">
        <v>0</v>
      </c>
      <c r="T775">
        <v>0.46</v>
      </c>
      <c r="U775">
        <v>0.82399999999999995</v>
      </c>
    </row>
    <row r="776" spans="1:21" x14ac:dyDescent="0.25">
      <c r="A776" t="s">
        <v>1065</v>
      </c>
      <c r="B776" t="s">
        <v>3</v>
      </c>
      <c r="C776">
        <v>27</v>
      </c>
      <c r="D776" t="s">
        <v>12</v>
      </c>
      <c r="E776">
        <v>15.396674740605899</v>
      </c>
      <c r="G776">
        <v>0.79800000000000004</v>
      </c>
      <c r="H776">
        <v>3.4020000000000001</v>
      </c>
      <c r="K776">
        <v>7.4999999999999997E-2</v>
      </c>
      <c r="L776">
        <v>0.72299999999999998</v>
      </c>
      <c r="M776">
        <v>5.6271000000000004</v>
      </c>
      <c r="N776">
        <v>4.3179999999999996</v>
      </c>
      <c r="O776">
        <v>0.7137</v>
      </c>
      <c r="P776">
        <v>7.6300000000000007E-2</v>
      </c>
      <c r="Q776">
        <v>5.7000000000000002E-3</v>
      </c>
      <c r="R776">
        <v>0</v>
      </c>
      <c r="S776">
        <v>0</v>
      </c>
      <c r="T776">
        <v>0.45</v>
      </c>
      <c r="U776">
        <v>1.05</v>
      </c>
    </row>
    <row r="777" spans="1:21" x14ac:dyDescent="0.25">
      <c r="A777" t="s">
        <v>658</v>
      </c>
      <c r="B777" t="s">
        <v>3</v>
      </c>
      <c r="C777">
        <v>32</v>
      </c>
      <c r="D777" t="s">
        <v>13</v>
      </c>
      <c r="E777">
        <v>14.7607722814477</v>
      </c>
      <c r="G777">
        <v>0.44090000000000001</v>
      </c>
      <c r="H777">
        <v>3.2090000000000001</v>
      </c>
      <c r="K777">
        <v>9.3899999999999997E-2</v>
      </c>
      <c r="L777">
        <v>0.34699999999999998</v>
      </c>
      <c r="M777">
        <v>4.8095999999999997</v>
      </c>
      <c r="N777">
        <v>5.21</v>
      </c>
      <c r="O777">
        <v>0.82579999999999998</v>
      </c>
      <c r="P777">
        <v>1.06E-2</v>
      </c>
      <c r="Q777">
        <v>3.3999999999999998E-3</v>
      </c>
      <c r="R777">
        <v>0</v>
      </c>
      <c r="S777">
        <v>0</v>
      </c>
      <c r="T777">
        <v>0.49</v>
      </c>
      <c r="U777">
        <v>0.75</v>
      </c>
    </row>
    <row r="778" spans="1:21" x14ac:dyDescent="0.25">
      <c r="A778" t="s">
        <v>1199</v>
      </c>
      <c r="B778" t="s">
        <v>3</v>
      </c>
      <c r="C778">
        <v>21</v>
      </c>
      <c r="D778" t="s">
        <v>5</v>
      </c>
      <c r="E778">
        <v>16.87</v>
      </c>
      <c r="G778">
        <v>1.0532999999999999</v>
      </c>
      <c r="H778">
        <v>4.33</v>
      </c>
      <c r="K778">
        <v>0.23330000000000001</v>
      </c>
      <c r="L778">
        <v>0.82</v>
      </c>
      <c r="M778">
        <v>4.0820999999999996</v>
      </c>
      <c r="N778">
        <v>3.742</v>
      </c>
      <c r="O778">
        <v>0.59319999999999995</v>
      </c>
      <c r="P778">
        <v>1.7899999999999999E-2</v>
      </c>
      <c r="Q778">
        <v>5.8999999999999999E-3</v>
      </c>
      <c r="R778">
        <v>0</v>
      </c>
      <c r="S778">
        <v>0</v>
      </c>
      <c r="T778">
        <v>0</v>
      </c>
      <c r="U778">
        <v>0.54600000000000004</v>
      </c>
    </row>
    <row r="779" spans="1:21" x14ac:dyDescent="0.25">
      <c r="A779" t="s">
        <v>801</v>
      </c>
      <c r="B779" t="s">
        <v>3</v>
      </c>
      <c r="C779">
        <v>23</v>
      </c>
      <c r="D779" t="s">
        <v>16</v>
      </c>
      <c r="E779">
        <v>16.5</v>
      </c>
      <c r="G779">
        <v>0.87719999999999998</v>
      </c>
      <c r="H779">
        <v>4.0419999999999998</v>
      </c>
      <c r="K779">
        <v>0.16819999999999999</v>
      </c>
      <c r="L779">
        <v>0.70899999999999996</v>
      </c>
      <c r="M779">
        <v>2.6122000000000001</v>
      </c>
      <c r="N779">
        <v>3.7690000000000001</v>
      </c>
      <c r="O779">
        <v>0.53790000000000004</v>
      </c>
      <c r="P779">
        <v>2.0400000000000001E-2</v>
      </c>
      <c r="Q779">
        <v>6.7999999999999996E-3</v>
      </c>
      <c r="R779">
        <v>0</v>
      </c>
      <c r="S779">
        <v>0</v>
      </c>
      <c r="T779">
        <v>0</v>
      </c>
      <c r="U779">
        <v>1.226</v>
      </c>
    </row>
    <row r="780" spans="1:21" x14ac:dyDescent="0.25">
      <c r="A780" t="s">
        <v>626</v>
      </c>
      <c r="B780" t="s">
        <v>3</v>
      </c>
      <c r="C780">
        <v>25</v>
      </c>
      <c r="D780" t="s">
        <v>25</v>
      </c>
      <c r="E780">
        <v>14.6084404388082</v>
      </c>
      <c r="G780">
        <v>0.96220000000000006</v>
      </c>
      <c r="H780">
        <v>3.9609999999999999</v>
      </c>
      <c r="K780">
        <v>0.16619999999999999</v>
      </c>
      <c r="L780">
        <v>0.79600000000000004</v>
      </c>
      <c r="M780">
        <v>3.6221999999999999</v>
      </c>
      <c r="N780">
        <v>3.3130000000000002</v>
      </c>
      <c r="O780">
        <v>0.81159999999999999</v>
      </c>
      <c r="P780">
        <v>1.1599999999999999E-2</v>
      </c>
      <c r="Q780">
        <v>2.8999999999999998E-3</v>
      </c>
      <c r="R780">
        <v>0</v>
      </c>
      <c r="S780">
        <v>0</v>
      </c>
      <c r="T780" t="s">
        <v>1054</v>
      </c>
      <c r="U780">
        <v>0.38800000000000001</v>
      </c>
    </row>
    <row r="781" spans="1:21" x14ac:dyDescent="0.25">
      <c r="A781" t="s">
        <v>289</v>
      </c>
      <c r="B781" t="s">
        <v>3</v>
      </c>
      <c r="C781">
        <v>25</v>
      </c>
      <c r="D781" t="s">
        <v>8</v>
      </c>
      <c r="E781">
        <v>20.123337234170801</v>
      </c>
      <c r="G781">
        <v>1.5966</v>
      </c>
      <c r="H781">
        <v>4.62</v>
      </c>
      <c r="K781">
        <v>0.28660000000000002</v>
      </c>
      <c r="L781">
        <v>1.31</v>
      </c>
      <c r="M781">
        <v>0.89690000000000003</v>
      </c>
      <c r="N781">
        <v>2.387</v>
      </c>
      <c r="O781">
        <v>0.55889999999999995</v>
      </c>
      <c r="P781">
        <v>5.1000000000000004E-3</v>
      </c>
      <c r="Q781" s="1">
        <v>1E-3</v>
      </c>
      <c r="R781">
        <v>0</v>
      </c>
      <c r="S781">
        <v>0</v>
      </c>
      <c r="T781">
        <v>0.56000000000000005</v>
      </c>
      <c r="U781">
        <v>0.999</v>
      </c>
    </row>
    <row r="782" spans="1:21" x14ac:dyDescent="0.25">
      <c r="A782" t="s">
        <v>319</v>
      </c>
      <c r="B782" t="s">
        <v>3</v>
      </c>
      <c r="C782">
        <v>34</v>
      </c>
      <c r="D782" t="s">
        <v>5</v>
      </c>
      <c r="E782">
        <v>16.176312291961501</v>
      </c>
      <c r="G782">
        <v>0.84540000000000004</v>
      </c>
      <c r="H782">
        <v>4.5830000000000002</v>
      </c>
      <c r="K782">
        <v>0.2034</v>
      </c>
      <c r="L782">
        <v>0.64200000000000002</v>
      </c>
      <c r="M782">
        <v>11.914099999999999</v>
      </c>
      <c r="N782">
        <v>5.6660000000000004</v>
      </c>
      <c r="O782">
        <v>1.716</v>
      </c>
      <c r="P782">
        <v>0.19550000000000001</v>
      </c>
      <c r="Q782" s="1">
        <v>7.5200000000000003E-2</v>
      </c>
      <c r="R782">
        <v>0</v>
      </c>
      <c r="S782">
        <v>0</v>
      </c>
      <c r="T782">
        <v>0.49</v>
      </c>
      <c r="U782">
        <v>0.57399999999999995</v>
      </c>
    </row>
    <row r="783" spans="1:21" x14ac:dyDescent="0.25">
      <c r="A783" t="s">
        <v>303</v>
      </c>
      <c r="B783" t="s">
        <v>3</v>
      </c>
      <c r="C783">
        <v>28</v>
      </c>
      <c r="D783" t="s">
        <v>22</v>
      </c>
      <c r="E783">
        <v>19.129707537955401</v>
      </c>
      <c r="G783">
        <v>1.1175999999999999</v>
      </c>
      <c r="H783">
        <v>4.5979999999999999</v>
      </c>
      <c r="K783">
        <v>0.25559999999999999</v>
      </c>
      <c r="L783">
        <v>0.86199999999999999</v>
      </c>
      <c r="M783">
        <v>1.4305000000000001</v>
      </c>
      <c r="N783">
        <v>5.5380000000000003</v>
      </c>
      <c r="O783">
        <v>0.51439999999999997</v>
      </c>
      <c r="P783">
        <v>1.8700000000000001E-2</v>
      </c>
      <c r="Q783" s="1">
        <v>1.3899999999999999E-2</v>
      </c>
      <c r="R783">
        <v>0</v>
      </c>
      <c r="S783">
        <v>0</v>
      </c>
      <c r="T783">
        <v>0.6</v>
      </c>
      <c r="U783">
        <v>0.95699999999999996</v>
      </c>
    </row>
    <row r="784" spans="1:21" x14ac:dyDescent="0.25">
      <c r="A784" t="s">
        <v>280</v>
      </c>
      <c r="B784" t="s">
        <v>3</v>
      </c>
      <c r="C784">
        <v>24</v>
      </c>
      <c r="D784" t="s">
        <v>4</v>
      </c>
      <c r="E784">
        <v>21.104197135481801</v>
      </c>
      <c r="G784">
        <v>1.3281000000000001</v>
      </c>
      <c r="H784">
        <v>5.6529999999999996</v>
      </c>
      <c r="K784">
        <v>0.3861</v>
      </c>
      <c r="L784">
        <v>0.94199999999999995</v>
      </c>
      <c r="M784">
        <v>4.7034000000000002</v>
      </c>
      <c r="N784">
        <v>4.7290000000000001</v>
      </c>
      <c r="O784">
        <v>1.1011</v>
      </c>
      <c r="P784">
        <v>4.8999999999999998E-3</v>
      </c>
      <c r="Q784">
        <v>2.8799999999999999E-2</v>
      </c>
      <c r="R784">
        <v>0</v>
      </c>
      <c r="S784">
        <v>0</v>
      </c>
      <c r="T784">
        <v>0.54</v>
      </c>
      <c r="U784">
        <v>0.86499999999999999</v>
      </c>
    </row>
    <row r="785" spans="1:21" x14ac:dyDescent="0.25">
      <c r="A785" t="s">
        <v>322</v>
      </c>
      <c r="B785" t="s">
        <v>3</v>
      </c>
      <c r="C785">
        <v>30</v>
      </c>
      <c r="D785" t="s">
        <v>32</v>
      </c>
      <c r="E785">
        <v>15.285490307921</v>
      </c>
      <c r="G785">
        <v>0.64139999999999997</v>
      </c>
      <c r="H785">
        <v>4.7169999999999996</v>
      </c>
      <c r="K785">
        <v>0.1424</v>
      </c>
      <c r="L785">
        <v>0.499</v>
      </c>
      <c r="M785">
        <v>6.0355999999999996</v>
      </c>
      <c r="N785">
        <v>5.4690000000000003</v>
      </c>
      <c r="O785">
        <v>0.70479999999999998</v>
      </c>
      <c r="P785">
        <v>7.9000000000000008E-3</v>
      </c>
      <c r="Q785">
        <v>1.6000000000000001E-3</v>
      </c>
      <c r="R785">
        <v>0</v>
      </c>
      <c r="S785">
        <v>0</v>
      </c>
      <c r="T785">
        <v>0</v>
      </c>
      <c r="U785">
        <v>0.252</v>
      </c>
    </row>
    <row r="786" spans="1:21" x14ac:dyDescent="0.25">
      <c r="A786" t="s">
        <v>572</v>
      </c>
      <c r="B786" t="s">
        <v>3</v>
      </c>
      <c r="C786">
        <v>24</v>
      </c>
      <c r="D786" t="s">
        <v>29</v>
      </c>
      <c r="E786">
        <v>19.1481264363733</v>
      </c>
      <c r="G786">
        <v>0.91049999999999998</v>
      </c>
      <c r="H786">
        <v>3.2719999999999998</v>
      </c>
      <c r="K786">
        <v>0.2155</v>
      </c>
      <c r="L786">
        <v>0.69499999999999995</v>
      </c>
      <c r="M786">
        <v>3.6996000000000002</v>
      </c>
      <c r="N786">
        <v>4.2640000000000002</v>
      </c>
      <c r="O786">
        <v>0.4325</v>
      </c>
      <c r="P786">
        <v>3.1600000000000003E-2</v>
      </c>
      <c r="Q786">
        <v>1.5E-3</v>
      </c>
      <c r="R786">
        <v>0</v>
      </c>
      <c r="S786">
        <v>0</v>
      </c>
      <c r="T786">
        <v>0.53</v>
      </c>
      <c r="U786">
        <v>0.91100000000000003</v>
      </c>
    </row>
    <row r="787" spans="1:21" x14ac:dyDescent="0.25">
      <c r="A787" t="s">
        <v>595</v>
      </c>
      <c r="B787" t="s">
        <v>3</v>
      </c>
      <c r="C787">
        <v>26</v>
      </c>
      <c r="D787" t="s">
        <v>896</v>
      </c>
      <c r="E787">
        <v>14.0707989968259</v>
      </c>
      <c r="G787">
        <v>0.81689999999999996</v>
      </c>
      <c r="H787">
        <v>3.4249999999999998</v>
      </c>
      <c r="K787">
        <v>0.1389</v>
      </c>
      <c r="L787">
        <v>0.67800000000000005</v>
      </c>
      <c r="M787">
        <v>6.5613000000000001</v>
      </c>
      <c r="N787">
        <v>4.6159999999999997</v>
      </c>
      <c r="O787">
        <v>0.62849999999999995</v>
      </c>
      <c r="P787">
        <v>0.22839999999999999</v>
      </c>
      <c r="Q787" s="1">
        <v>4.5999999999999999E-3</v>
      </c>
      <c r="R787">
        <v>0</v>
      </c>
      <c r="S787">
        <v>0</v>
      </c>
      <c r="T787">
        <v>0.37</v>
      </c>
      <c r="U787">
        <v>0.68</v>
      </c>
    </row>
    <row r="788" spans="1:21" x14ac:dyDescent="0.25">
      <c r="A788" t="s">
        <v>599</v>
      </c>
      <c r="B788" t="s">
        <v>3</v>
      </c>
      <c r="C788">
        <v>35</v>
      </c>
      <c r="D788" t="s">
        <v>1200</v>
      </c>
      <c r="E788">
        <v>12.2946008395111</v>
      </c>
      <c r="G788">
        <v>0.39369999999999999</v>
      </c>
      <c r="H788">
        <v>2.7759999999999998</v>
      </c>
      <c r="K788">
        <v>0.11070000000000001</v>
      </c>
      <c r="L788">
        <v>0.28299999999999997</v>
      </c>
      <c r="M788">
        <v>6.1</v>
      </c>
      <c r="N788">
        <v>6.4909999999999997</v>
      </c>
      <c r="O788">
        <v>1.3740000000000001</v>
      </c>
      <c r="P788">
        <v>0.1196</v>
      </c>
      <c r="Q788">
        <v>2.8E-3</v>
      </c>
      <c r="R788">
        <v>0</v>
      </c>
      <c r="S788">
        <v>0</v>
      </c>
      <c r="T788">
        <v>0.52</v>
      </c>
      <c r="U788">
        <v>0.60099999999999998</v>
      </c>
    </row>
    <row r="789" spans="1:21" x14ac:dyDescent="0.25">
      <c r="A789" t="s">
        <v>582</v>
      </c>
      <c r="B789" t="s">
        <v>3</v>
      </c>
      <c r="C789">
        <v>29</v>
      </c>
      <c r="D789" t="s">
        <v>2</v>
      </c>
      <c r="E789">
        <v>14.86819114497</v>
      </c>
      <c r="G789">
        <v>0.70940000000000003</v>
      </c>
      <c r="H789">
        <v>3.778</v>
      </c>
      <c r="K789">
        <v>0.16539999999999999</v>
      </c>
      <c r="L789">
        <v>0.54400000000000004</v>
      </c>
      <c r="M789">
        <v>8.875</v>
      </c>
      <c r="N789">
        <v>5.4219999999999997</v>
      </c>
      <c r="O789">
        <v>1.1426000000000001</v>
      </c>
      <c r="P789">
        <v>3.4799999999999998E-2</v>
      </c>
      <c r="Q789">
        <v>4.4999999999999997E-3</v>
      </c>
      <c r="R789">
        <v>0</v>
      </c>
      <c r="S789">
        <v>0</v>
      </c>
      <c r="T789">
        <v>0.51</v>
      </c>
      <c r="U789">
        <v>0.78100000000000003</v>
      </c>
    </row>
    <row r="790" spans="1:21" x14ac:dyDescent="0.25">
      <c r="A790" t="s">
        <v>240</v>
      </c>
      <c r="B790" t="s">
        <v>3</v>
      </c>
      <c r="C790">
        <v>34</v>
      </c>
      <c r="D790" t="s">
        <v>7</v>
      </c>
      <c r="E790">
        <v>20.302906228166002</v>
      </c>
      <c r="G790">
        <v>1.75</v>
      </c>
      <c r="H790">
        <v>7.2670000000000003</v>
      </c>
      <c r="K790">
        <v>0.42399999999999999</v>
      </c>
      <c r="L790">
        <v>1.3260000000000001</v>
      </c>
      <c r="M790">
        <v>1.5918000000000001</v>
      </c>
      <c r="N790">
        <v>5.2640000000000002</v>
      </c>
      <c r="O790">
        <v>0.72399999999999998</v>
      </c>
      <c r="P790">
        <v>1.7100000000000001E-2</v>
      </c>
      <c r="Q790">
        <v>1E-3</v>
      </c>
      <c r="R790">
        <v>0</v>
      </c>
      <c r="S790">
        <v>0</v>
      </c>
      <c r="T790">
        <v>0</v>
      </c>
      <c r="U790">
        <v>0.498</v>
      </c>
    </row>
    <row r="791" spans="1:21" x14ac:dyDescent="0.25">
      <c r="A791" t="s">
        <v>988</v>
      </c>
      <c r="B791" t="s">
        <v>3</v>
      </c>
      <c r="C791">
        <v>25</v>
      </c>
      <c r="D791" t="s">
        <v>32</v>
      </c>
      <c r="E791">
        <v>14.5951987505387</v>
      </c>
      <c r="G791">
        <v>0.91249999999999998</v>
      </c>
      <c r="H791">
        <v>4.0549999999999997</v>
      </c>
      <c r="K791">
        <v>0.24149999999999999</v>
      </c>
      <c r="L791">
        <v>0.67100000000000004</v>
      </c>
      <c r="M791">
        <v>6.5194000000000001</v>
      </c>
      <c r="N791">
        <v>4.577</v>
      </c>
      <c r="O791">
        <v>0.93320000000000003</v>
      </c>
      <c r="P791">
        <v>3.0300000000000001E-2</v>
      </c>
      <c r="Q791">
        <v>9.9000000000000008E-3</v>
      </c>
      <c r="R791">
        <v>0</v>
      </c>
      <c r="S791">
        <v>0</v>
      </c>
      <c r="T791">
        <v>0.44</v>
      </c>
      <c r="U791">
        <v>1.008</v>
      </c>
    </row>
    <row r="792" spans="1:21" x14ac:dyDescent="0.25">
      <c r="A792" t="s">
        <v>385</v>
      </c>
      <c r="B792" t="s">
        <v>3</v>
      </c>
      <c r="C792">
        <v>29</v>
      </c>
      <c r="D792" t="s">
        <v>25</v>
      </c>
      <c r="E792">
        <v>16.438089175384199</v>
      </c>
      <c r="G792">
        <v>0.95099999999999996</v>
      </c>
      <c r="H792">
        <v>4.4409999999999998</v>
      </c>
      <c r="K792">
        <v>0.21099999999999999</v>
      </c>
      <c r="L792">
        <v>0.74</v>
      </c>
      <c r="M792">
        <v>3.1537999999999999</v>
      </c>
      <c r="N792">
        <v>5.9260000000000002</v>
      </c>
      <c r="O792">
        <v>0.624</v>
      </c>
      <c r="P792">
        <v>6.1000000000000004E-3</v>
      </c>
      <c r="Q792" s="1">
        <v>1.2999999999999999E-3</v>
      </c>
      <c r="R792">
        <v>0</v>
      </c>
      <c r="S792">
        <v>0</v>
      </c>
      <c r="T792">
        <v>0</v>
      </c>
      <c r="U792">
        <v>0.372</v>
      </c>
    </row>
    <row r="793" spans="1:21" x14ac:dyDescent="0.25">
      <c r="A793" t="s">
        <v>1201</v>
      </c>
      <c r="B793" t="s">
        <v>3</v>
      </c>
      <c r="C793">
        <v>23</v>
      </c>
      <c r="D793" t="s">
        <v>4</v>
      </c>
      <c r="E793">
        <v>14.2939030862923</v>
      </c>
      <c r="G793">
        <v>0.81889999999999996</v>
      </c>
      <c r="H793">
        <v>3.9020000000000001</v>
      </c>
      <c r="K793">
        <v>0.1119</v>
      </c>
      <c r="L793">
        <v>0.70699999999999996</v>
      </c>
      <c r="M793">
        <v>1.1758999999999999</v>
      </c>
      <c r="N793">
        <v>4.3550000000000004</v>
      </c>
      <c r="O793">
        <v>0.67769999999999997</v>
      </c>
      <c r="P793">
        <v>2.53E-2</v>
      </c>
      <c r="Q793">
        <v>8.6E-3</v>
      </c>
      <c r="R793">
        <v>0</v>
      </c>
      <c r="S793">
        <v>0</v>
      </c>
      <c r="T793" t="s">
        <v>1054</v>
      </c>
      <c r="U793">
        <v>0.36299999999999999</v>
      </c>
    </row>
    <row r="794" spans="1:21" x14ac:dyDescent="0.25">
      <c r="A794" t="s">
        <v>432</v>
      </c>
      <c r="B794" t="s">
        <v>3</v>
      </c>
      <c r="C794">
        <v>26</v>
      </c>
      <c r="D794" t="s">
        <v>10</v>
      </c>
      <c r="E794">
        <v>16.602608164026002</v>
      </c>
      <c r="G794">
        <v>0.8125</v>
      </c>
      <c r="H794">
        <v>3.512</v>
      </c>
      <c r="K794">
        <v>0.13650000000000001</v>
      </c>
      <c r="L794">
        <v>0.67600000000000005</v>
      </c>
      <c r="M794">
        <v>3.7652999999999999</v>
      </c>
      <c r="N794">
        <v>4.266</v>
      </c>
      <c r="O794">
        <v>0.86660000000000004</v>
      </c>
      <c r="P794">
        <v>2.0899999999999998E-2</v>
      </c>
      <c r="Q794">
        <v>1.2999999999999999E-3</v>
      </c>
      <c r="R794">
        <v>0</v>
      </c>
      <c r="S794">
        <v>0</v>
      </c>
      <c r="T794">
        <v>0</v>
      </c>
      <c r="U794">
        <v>0.30099999999999999</v>
      </c>
    </row>
    <row r="795" spans="1:21" x14ac:dyDescent="0.25">
      <c r="A795" t="s">
        <v>897</v>
      </c>
      <c r="B795" t="s">
        <v>3</v>
      </c>
      <c r="C795">
        <v>35</v>
      </c>
      <c r="D795" t="s">
        <v>7</v>
      </c>
      <c r="E795">
        <v>17.973340569474999</v>
      </c>
      <c r="G795">
        <v>1.1299999999999999</v>
      </c>
      <c r="H795">
        <v>3.3639999999999999</v>
      </c>
      <c r="K795">
        <v>0.155</v>
      </c>
      <c r="L795">
        <v>0.97499999999999998</v>
      </c>
      <c r="M795">
        <v>1.7924</v>
      </c>
      <c r="N795">
        <v>5.3659999999999997</v>
      </c>
      <c r="O795">
        <v>0.37209999999999999</v>
      </c>
      <c r="P795">
        <v>2.0799999999999999E-2</v>
      </c>
      <c r="Q795">
        <v>1.1999999999999999E-3</v>
      </c>
      <c r="R795">
        <v>0</v>
      </c>
      <c r="S795">
        <v>0</v>
      </c>
      <c r="T795">
        <v>0</v>
      </c>
      <c r="U795">
        <v>0.63500000000000001</v>
      </c>
    </row>
    <row r="796" spans="1:21" x14ac:dyDescent="0.25">
      <c r="A796" t="s">
        <v>741</v>
      </c>
      <c r="B796" t="s">
        <v>3</v>
      </c>
      <c r="C796">
        <v>31</v>
      </c>
      <c r="D796" t="s">
        <v>16</v>
      </c>
      <c r="E796">
        <v>13.380574399095201</v>
      </c>
      <c r="G796">
        <v>0.83950000000000002</v>
      </c>
      <c r="H796">
        <v>3.298</v>
      </c>
      <c r="K796">
        <v>9.7500000000000003E-2</v>
      </c>
      <c r="L796">
        <v>0.74199999999999999</v>
      </c>
      <c r="M796">
        <v>3.5049999999999999</v>
      </c>
      <c r="N796">
        <v>4.9089999999999998</v>
      </c>
      <c r="O796">
        <v>0.57779999999999998</v>
      </c>
      <c r="P796">
        <v>2.35E-2</v>
      </c>
      <c r="Q796">
        <v>8.0000000000000002E-3</v>
      </c>
      <c r="R796">
        <v>0</v>
      </c>
      <c r="S796">
        <v>0</v>
      </c>
      <c r="T796">
        <v>0.43</v>
      </c>
      <c r="U796">
        <v>0.55300000000000005</v>
      </c>
    </row>
    <row r="797" spans="1:21" x14ac:dyDescent="0.25">
      <c r="A797" t="s">
        <v>361</v>
      </c>
      <c r="B797" t="s">
        <v>3</v>
      </c>
      <c r="C797">
        <v>30</v>
      </c>
      <c r="D797" t="s">
        <v>20</v>
      </c>
      <c r="E797">
        <v>19.042919745863099</v>
      </c>
      <c r="G797">
        <v>0.78939999999999999</v>
      </c>
      <c r="H797">
        <v>4.1719999999999997</v>
      </c>
      <c r="K797">
        <v>0.16839999999999999</v>
      </c>
      <c r="L797">
        <v>0.621</v>
      </c>
      <c r="M797">
        <v>4.4245999999999999</v>
      </c>
      <c r="N797">
        <v>6.3540000000000001</v>
      </c>
      <c r="O797">
        <v>0.26829999999999998</v>
      </c>
      <c r="P797">
        <v>6.4999999999999997E-3</v>
      </c>
      <c r="Q797">
        <v>1.2999999999999999E-3</v>
      </c>
      <c r="R797">
        <v>0</v>
      </c>
      <c r="S797">
        <v>0</v>
      </c>
      <c r="T797">
        <v>0</v>
      </c>
      <c r="U797">
        <v>0.25600000000000001</v>
      </c>
    </row>
    <row r="798" spans="1:21" x14ac:dyDescent="0.25">
      <c r="A798" t="s">
        <v>1202</v>
      </c>
      <c r="B798" t="s">
        <v>3</v>
      </c>
      <c r="C798">
        <v>27</v>
      </c>
      <c r="D798" t="s">
        <v>25</v>
      </c>
      <c r="E798">
        <v>12.9072420537043</v>
      </c>
      <c r="G798">
        <v>0.70479999999999998</v>
      </c>
      <c r="H798">
        <v>3.3719999999999999</v>
      </c>
      <c r="K798">
        <v>0.1648</v>
      </c>
      <c r="L798">
        <v>0.54</v>
      </c>
      <c r="M798">
        <v>3.2046000000000001</v>
      </c>
      <c r="N798">
        <v>4.1289999999999996</v>
      </c>
      <c r="O798">
        <v>0.46949999999999997</v>
      </c>
      <c r="P798">
        <v>3.1600000000000003E-2</v>
      </c>
      <c r="Q798">
        <v>1.11E-2</v>
      </c>
      <c r="R798">
        <v>0</v>
      </c>
      <c r="S798">
        <v>0</v>
      </c>
      <c r="T798">
        <v>0</v>
      </c>
      <c r="U798">
        <v>0.35</v>
      </c>
    </row>
    <row r="799" spans="1:21" x14ac:dyDescent="0.25">
      <c r="A799" t="s">
        <v>445</v>
      </c>
      <c r="B799" t="s">
        <v>3</v>
      </c>
      <c r="C799">
        <v>40</v>
      </c>
      <c r="D799" t="s">
        <v>17</v>
      </c>
      <c r="E799">
        <v>17.4940553159886</v>
      </c>
      <c r="G799">
        <v>0.74550000000000005</v>
      </c>
      <c r="H799">
        <v>3.7679999999999998</v>
      </c>
      <c r="K799">
        <v>0.1285</v>
      </c>
      <c r="L799">
        <v>0.61699999999999999</v>
      </c>
      <c r="M799">
        <v>2.7052</v>
      </c>
      <c r="N799">
        <v>4.1050000000000004</v>
      </c>
      <c r="O799">
        <v>0.53549999999999998</v>
      </c>
      <c r="P799">
        <v>5.4000000000000003E-3</v>
      </c>
      <c r="Q799">
        <v>1.1000000000000001E-3</v>
      </c>
      <c r="R799">
        <v>0</v>
      </c>
      <c r="S799">
        <v>0</v>
      </c>
      <c r="T799">
        <v>0.38</v>
      </c>
      <c r="U799">
        <v>0.67400000000000004</v>
      </c>
    </row>
    <row r="800" spans="1:21" x14ac:dyDescent="0.25">
      <c r="A800" t="s">
        <v>1099</v>
      </c>
      <c r="B800" t="s">
        <v>3</v>
      </c>
      <c r="C800">
        <v>23</v>
      </c>
      <c r="D800" t="s">
        <v>87</v>
      </c>
      <c r="E800">
        <v>16.730492570916901</v>
      </c>
      <c r="G800">
        <v>0.65480000000000005</v>
      </c>
      <c r="H800">
        <v>3.9620000000000002</v>
      </c>
      <c r="K800">
        <v>0.14979999999999999</v>
      </c>
      <c r="L800">
        <v>0.505</v>
      </c>
      <c r="M800">
        <v>5.4233000000000002</v>
      </c>
      <c r="N800">
        <v>3.895</v>
      </c>
      <c r="O800">
        <v>0.82530000000000003</v>
      </c>
      <c r="P800">
        <v>2.4199999999999999E-2</v>
      </c>
      <c r="Q800">
        <v>8.2000000000000007E-3</v>
      </c>
      <c r="R800">
        <v>0</v>
      </c>
      <c r="S800">
        <v>0</v>
      </c>
      <c r="T800">
        <v>0</v>
      </c>
      <c r="U800">
        <v>0.42</v>
      </c>
    </row>
    <row r="801" spans="1:21" x14ac:dyDescent="0.25">
      <c r="A801" t="s">
        <v>1203</v>
      </c>
      <c r="B801" t="s">
        <v>3</v>
      </c>
      <c r="C801">
        <v>26</v>
      </c>
      <c r="D801" t="s">
        <v>11</v>
      </c>
      <c r="E801">
        <v>14.5741306851109</v>
      </c>
      <c r="G801">
        <v>1.0229999999999999</v>
      </c>
      <c r="H801">
        <v>4.8019999999999996</v>
      </c>
      <c r="K801">
        <v>0.25600000000000001</v>
      </c>
      <c r="L801">
        <v>0.76700000000000002</v>
      </c>
      <c r="M801">
        <v>2.8919000000000001</v>
      </c>
      <c r="N801">
        <v>4.5229999999999997</v>
      </c>
      <c r="O801">
        <v>0.66039999999999999</v>
      </c>
      <c r="P801">
        <v>3.2899999999999999E-2</v>
      </c>
      <c r="Q801">
        <v>1.1599999999999999E-2</v>
      </c>
      <c r="R801">
        <v>0</v>
      </c>
      <c r="S801">
        <v>0</v>
      </c>
      <c r="T801">
        <v>0.54</v>
      </c>
      <c r="U801">
        <v>0.52900000000000003</v>
      </c>
    </row>
    <row r="802" spans="1:21" x14ac:dyDescent="0.25">
      <c r="A802" t="s">
        <v>1066</v>
      </c>
      <c r="B802" t="s">
        <v>3</v>
      </c>
      <c r="C802">
        <v>24</v>
      </c>
      <c r="D802" t="s">
        <v>20</v>
      </c>
      <c r="E802">
        <v>13.3189239767202</v>
      </c>
      <c r="G802">
        <v>0.76580000000000004</v>
      </c>
      <c r="H802">
        <v>4.125</v>
      </c>
      <c r="K802">
        <v>0.21279999999999999</v>
      </c>
      <c r="L802">
        <v>0.55300000000000005</v>
      </c>
      <c r="M802">
        <v>4.8537999999999997</v>
      </c>
      <c r="N802">
        <v>5.0049999999999999</v>
      </c>
      <c r="O802">
        <v>0.4672</v>
      </c>
      <c r="P802">
        <v>2.3300000000000001E-2</v>
      </c>
      <c r="Q802">
        <v>6.4999999999999997E-3</v>
      </c>
      <c r="R802">
        <v>0</v>
      </c>
      <c r="S802">
        <v>0</v>
      </c>
      <c r="T802">
        <v>0.42</v>
      </c>
      <c r="U802">
        <v>0.55900000000000005</v>
      </c>
    </row>
    <row r="803" spans="1:21" x14ac:dyDescent="0.25">
      <c r="A803" t="s">
        <v>439</v>
      </c>
      <c r="B803" t="s">
        <v>3</v>
      </c>
      <c r="C803">
        <v>26</v>
      </c>
      <c r="D803" t="s">
        <v>11</v>
      </c>
      <c r="E803">
        <v>16.8961395029289</v>
      </c>
      <c r="G803">
        <v>1.0895999999999999</v>
      </c>
      <c r="H803">
        <v>4.093</v>
      </c>
      <c r="K803">
        <v>0.1956</v>
      </c>
      <c r="L803">
        <v>0.89400000000000002</v>
      </c>
      <c r="M803">
        <v>3.4087000000000001</v>
      </c>
      <c r="N803">
        <v>4.8639999999999999</v>
      </c>
      <c r="O803">
        <v>0.32840000000000003</v>
      </c>
      <c r="P803">
        <v>6.4000000000000003E-3</v>
      </c>
      <c r="Q803" s="1">
        <v>1.2999999999999999E-3</v>
      </c>
      <c r="R803">
        <v>0</v>
      </c>
      <c r="S803">
        <v>0</v>
      </c>
      <c r="T803">
        <v>0.49</v>
      </c>
      <c r="U803">
        <v>0.48399999999999999</v>
      </c>
    </row>
    <row r="804" spans="1:21" x14ac:dyDescent="0.25">
      <c r="A804" t="s">
        <v>1204</v>
      </c>
      <c r="B804" t="s">
        <v>3</v>
      </c>
      <c r="C804">
        <v>24</v>
      </c>
      <c r="D804" t="s">
        <v>27</v>
      </c>
      <c r="E804">
        <v>14.6769379785636</v>
      </c>
      <c r="G804">
        <v>0.89859999999999995</v>
      </c>
      <c r="H804">
        <v>4.1440000000000001</v>
      </c>
      <c r="K804">
        <v>0.16059999999999999</v>
      </c>
      <c r="L804">
        <v>0.73799999999999999</v>
      </c>
      <c r="M804">
        <v>4.9257999999999997</v>
      </c>
      <c r="N804">
        <v>4.3949999999999996</v>
      </c>
      <c r="O804">
        <v>0.74119999999999997</v>
      </c>
      <c r="P804">
        <v>4.0899999999999999E-2</v>
      </c>
      <c r="Q804">
        <v>1.49E-2</v>
      </c>
      <c r="R804">
        <v>0</v>
      </c>
      <c r="S804">
        <v>0</v>
      </c>
      <c r="T804">
        <v>0.24</v>
      </c>
      <c r="U804">
        <v>1.323</v>
      </c>
    </row>
    <row r="805" spans="1:21" x14ac:dyDescent="0.25">
      <c r="A805" t="s">
        <v>976</v>
      </c>
      <c r="B805" t="s">
        <v>3</v>
      </c>
      <c r="C805">
        <v>31</v>
      </c>
      <c r="D805" t="s">
        <v>977</v>
      </c>
      <c r="E805">
        <v>16.030140955933302</v>
      </c>
      <c r="G805">
        <v>1.0468999999999999</v>
      </c>
      <c r="H805">
        <v>3.1589999999999998</v>
      </c>
      <c r="K805">
        <v>0.2329</v>
      </c>
      <c r="L805">
        <v>0.81399999999999995</v>
      </c>
      <c r="M805">
        <v>3.7061999999999999</v>
      </c>
      <c r="N805">
        <v>6.0739999999999998</v>
      </c>
      <c r="O805">
        <v>0.54700000000000004</v>
      </c>
      <c r="P805">
        <v>2.2100000000000002E-2</v>
      </c>
      <c r="Q805">
        <v>8.6E-3</v>
      </c>
      <c r="R805">
        <v>0</v>
      </c>
      <c r="S805">
        <v>0</v>
      </c>
      <c r="T805">
        <v>0.32</v>
      </c>
      <c r="U805">
        <v>0.55300000000000005</v>
      </c>
    </row>
    <row r="806" spans="1:21" x14ac:dyDescent="0.25">
      <c r="A806" t="s">
        <v>424</v>
      </c>
      <c r="B806" t="s">
        <v>3</v>
      </c>
      <c r="C806">
        <v>32</v>
      </c>
      <c r="D806" t="s">
        <v>20</v>
      </c>
      <c r="E806">
        <v>16.4422172108486</v>
      </c>
      <c r="G806">
        <v>0.74260000000000004</v>
      </c>
      <c r="H806">
        <v>3.706</v>
      </c>
      <c r="K806">
        <v>0.1196</v>
      </c>
      <c r="L806">
        <v>0.623</v>
      </c>
      <c r="M806">
        <v>4.5960999999999999</v>
      </c>
      <c r="N806">
        <v>6.3</v>
      </c>
      <c r="O806">
        <v>1.0522</v>
      </c>
      <c r="P806">
        <v>7.2700000000000001E-2</v>
      </c>
      <c r="Q806">
        <v>3.6700000000000003E-2</v>
      </c>
      <c r="R806">
        <v>0</v>
      </c>
      <c r="S806">
        <v>0</v>
      </c>
      <c r="T806">
        <v>0.43</v>
      </c>
      <c r="U806">
        <v>0.19900000000000001</v>
      </c>
    </row>
    <row r="807" spans="1:21" x14ac:dyDescent="0.25">
      <c r="A807" t="s">
        <v>643</v>
      </c>
      <c r="B807" t="s">
        <v>3</v>
      </c>
      <c r="C807">
        <v>26</v>
      </c>
      <c r="D807" t="s">
        <v>14</v>
      </c>
      <c r="E807">
        <v>13.5491321374432</v>
      </c>
      <c r="G807">
        <v>0.80630000000000002</v>
      </c>
      <c r="H807">
        <v>2.8210000000000002</v>
      </c>
      <c r="K807">
        <v>6.5299999999999997E-2</v>
      </c>
      <c r="L807">
        <v>0.74099999999999999</v>
      </c>
      <c r="M807">
        <v>1.9006000000000001</v>
      </c>
      <c r="N807">
        <v>4.2610000000000001</v>
      </c>
      <c r="O807">
        <v>0.73070000000000002</v>
      </c>
      <c r="P807">
        <v>1.84E-2</v>
      </c>
      <c r="Q807">
        <v>5.5999999999999999E-3</v>
      </c>
      <c r="R807">
        <v>0</v>
      </c>
      <c r="S807">
        <v>0</v>
      </c>
      <c r="T807">
        <v>0.45</v>
      </c>
      <c r="U807">
        <v>0.66300000000000003</v>
      </c>
    </row>
    <row r="808" spans="1:21" x14ac:dyDescent="0.25">
      <c r="A808" t="s">
        <v>380</v>
      </c>
      <c r="B808" t="s">
        <v>3</v>
      </c>
      <c r="C808">
        <v>26</v>
      </c>
      <c r="D808" t="s">
        <v>13</v>
      </c>
      <c r="E808">
        <v>17.930999113855201</v>
      </c>
      <c r="G808">
        <v>0.97989999999999999</v>
      </c>
      <c r="H808">
        <v>4.4429999999999996</v>
      </c>
      <c r="K808">
        <v>0.24590000000000001</v>
      </c>
      <c r="L808">
        <v>0.73399999999999999</v>
      </c>
      <c r="M808">
        <v>2.0611000000000002</v>
      </c>
      <c r="N808">
        <v>6.1429999999999998</v>
      </c>
      <c r="O808">
        <v>0.94140000000000001</v>
      </c>
      <c r="P808">
        <v>7.1499999999999994E-2</v>
      </c>
      <c r="Q808">
        <v>1.4E-3</v>
      </c>
      <c r="R808">
        <v>0</v>
      </c>
      <c r="S808">
        <v>0</v>
      </c>
      <c r="T808">
        <v>0.4</v>
      </c>
      <c r="U808">
        <v>1.4279999999999999</v>
      </c>
    </row>
    <row r="809" spans="1:21" x14ac:dyDescent="0.25">
      <c r="A809" t="s">
        <v>408</v>
      </c>
      <c r="B809" t="s">
        <v>3</v>
      </c>
      <c r="C809">
        <v>30</v>
      </c>
      <c r="D809" t="s">
        <v>140</v>
      </c>
      <c r="E809">
        <v>16.2937349837472</v>
      </c>
      <c r="G809">
        <v>1.0261</v>
      </c>
      <c r="H809">
        <v>5.4470000000000001</v>
      </c>
      <c r="K809">
        <v>0.27110000000000001</v>
      </c>
      <c r="L809">
        <v>0.755</v>
      </c>
      <c r="M809">
        <v>3.8803000000000001</v>
      </c>
      <c r="N809">
        <v>5.2830000000000004</v>
      </c>
      <c r="O809">
        <v>1.0111000000000001</v>
      </c>
      <c r="P809">
        <v>9.5999999999999992E-3</v>
      </c>
      <c r="Q809">
        <v>2.3999999999999998E-3</v>
      </c>
      <c r="R809">
        <v>0</v>
      </c>
      <c r="S809">
        <v>0</v>
      </c>
      <c r="T809">
        <v>0.34</v>
      </c>
      <c r="U809">
        <v>1.339</v>
      </c>
    </row>
    <row r="810" spans="1:21" x14ac:dyDescent="0.25">
      <c r="A810" t="s">
        <v>746</v>
      </c>
      <c r="B810" t="s">
        <v>3</v>
      </c>
      <c r="C810">
        <v>28</v>
      </c>
      <c r="D810" t="s">
        <v>20</v>
      </c>
      <c r="E810">
        <v>15.131247143909</v>
      </c>
      <c r="G810">
        <v>0.86319999999999997</v>
      </c>
      <c r="H810">
        <v>3.4369999999999998</v>
      </c>
      <c r="K810">
        <v>0.17319999999999999</v>
      </c>
      <c r="L810">
        <v>0.69</v>
      </c>
      <c r="M810">
        <v>2.4329999999999998</v>
      </c>
      <c r="N810">
        <v>4.5670000000000002</v>
      </c>
      <c r="O810">
        <v>0.53390000000000004</v>
      </c>
      <c r="P810">
        <v>8.8000000000000005E-3</v>
      </c>
      <c r="Q810">
        <v>1.9E-3</v>
      </c>
      <c r="R810">
        <v>0</v>
      </c>
      <c r="S810">
        <v>0</v>
      </c>
      <c r="T810">
        <v>0.56999999999999995</v>
      </c>
      <c r="U810">
        <v>0.60799999999999998</v>
      </c>
    </row>
    <row r="811" spans="1:21" x14ac:dyDescent="0.25">
      <c r="A811" t="s">
        <v>265</v>
      </c>
      <c r="B811" t="s">
        <v>3</v>
      </c>
      <c r="C811">
        <v>30</v>
      </c>
      <c r="D811" t="s">
        <v>21</v>
      </c>
      <c r="E811">
        <v>19.945505674079399</v>
      </c>
      <c r="G811">
        <v>1.0251999999999999</v>
      </c>
      <c r="H811">
        <v>5.2910000000000004</v>
      </c>
      <c r="K811">
        <v>0.26219999999999999</v>
      </c>
      <c r="L811">
        <v>0.76300000000000001</v>
      </c>
      <c r="M811">
        <v>3.0705</v>
      </c>
      <c r="N811">
        <v>5.0119999999999996</v>
      </c>
      <c r="O811">
        <v>0.53410000000000002</v>
      </c>
      <c r="P811">
        <v>5.4999999999999997E-3</v>
      </c>
      <c r="Q811">
        <v>1.1000000000000001E-3</v>
      </c>
      <c r="R811">
        <v>0</v>
      </c>
      <c r="S811">
        <v>0</v>
      </c>
      <c r="T811">
        <v>0.51</v>
      </c>
      <c r="U811">
        <v>1.121</v>
      </c>
    </row>
    <row r="812" spans="1:21" x14ac:dyDescent="0.25">
      <c r="A812" t="s">
        <v>367</v>
      </c>
      <c r="B812" t="s">
        <v>3</v>
      </c>
      <c r="C812">
        <v>31</v>
      </c>
      <c r="D812" t="s">
        <v>2</v>
      </c>
      <c r="E812">
        <v>15.693235373034</v>
      </c>
      <c r="G812">
        <v>1.1352</v>
      </c>
      <c r="H812">
        <v>4.3559999999999999</v>
      </c>
      <c r="K812">
        <v>0.30620000000000003</v>
      </c>
      <c r="L812">
        <v>0.82899999999999996</v>
      </c>
      <c r="M812">
        <v>1.4444999999999999</v>
      </c>
      <c r="N812">
        <v>3.82</v>
      </c>
      <c r="O812">
        <v>0.4078</v>
      </c>
      <c r="P812">
        <v>5.8999999999999999E-3</v>
      </c>
      <c r="Q812">
        <v>2.1600000000000001E-2</v>
      </c>
      <c r="R812">
        <v>0</v>
      </c>
      <c r="S812">
        <v>0</v>
      </c>
      <c r="T812">
        <v>0</v>
      </c>
      <c r="U812">
        <v>0.186</v>
      </c>
    </row>
    <row r="813" spans="1:21" x14ac:dyDescent="0.25">
      <c r="A813" t="s">
        <v>315</v>
      </c>
      <c r="B813" t="s">
        <v>3</v>
      </c>
      <c r="C813">
        <v>29</v>
      </c>
      <c r="D813" t="s">
        <v>28</v>
      </c>
      <c r="E813">
        <v>18.692544409163499</v>
      </c>
      <c r="G813">
        <v>1.6451</v>
      </c>
      <c r="H813">
        <v>5.9130000000000003</v>
      </c>
      <c r="K813">
        <v>0.29310000000000003</v>
      </c>
      <c r="L813">
        <v>1.3520000000000001</v>
      </c>
      <c r="M813">
        <v>0.75139999999999996</v>
      </c>
      <c r="N813">
        <v>4.9939999999999998</v>
      </c>
      <c r="O813">
        <v>0.33100000000000002</v>
      </c>
      <c r="P813">
        <v>6.7000000000000002E-3</v>
      </c>
      <c r="Q813">
        <v>1.4E-3</v>
      </c>
      <c r="R813">
        <v>0</v>
      </c>
      <c r="S813">
        <v>0</v>
      </c>
      <c r="T813">
        <v>0.38</v>
      </c>
      <c r="U813">
        <v>1.169</v>
      </c>
    </row>
    <row r="814" spans="1:21" x14ac:dyDescent="0.25">
      <c r="A814" t="s">
        <v>920</v>
      </c>
      <c r="B814" t="s">
        <v>3</v>
      </c>
      <c r="C814">
        <v>26</v>
      </c>
      <c r="D814" t="s">
        <v>30</v>
      </c>
      <c r="E814">
        <v>15.703157999453801</v>
      </c>
      <c r="G814">
        <v>0.45879999999999999</v>
      </c>
      <c r="H814">
        <v>3.2040000000000002</v>
      </c>
      <c r="K814">
        <v>0.1148</v>
      </c>
      <c r="L814">
        <v>0.34399999999999997</v>
      </c>
      <c r="M814">
        <v>11.8644</v>
      </c>
      <c r="N814">
        <v>4.7240000000000002</v>
      </c>
      <c r="O814">
        <v>0.84340000000000004</v>
      </c>
      <c r="P814">
        <v>0.1242</v>
      </c>
      <c r="Q814">
        <v>2.2200000000000001E-2</v>
      </c>
      <c r="R814">
        <v>0</v>
      </c>
      <c r="S814">
        <v>0</v>
      </c>
      <c r="T814">
        <v>0.48</v>
      </c>
      <c r="U814">
        <v>0.86399999999999999</v>
      </c>
    </row>
    <row r="815" spans="1:21" x14ac:dyDescent="0.25">
      <c r="A815" t="s">
        <v>861</v>
      </c>
      <c r="B815" t="s">
        <v>3</v>
      </c>
      <c r="C815">
        <v>21</v>
      </c>
      <c r="D815" t="s">
        <v>2</v>
      </c>
      <c r="E815">
        <v>18.25</v>
      </c>
      <c r="G815">
        <v>0.83460000000000001</v>
      </c>
      <c r="H815">
        <v>3.206</v>
      </c>
      <c r="K815">
        <v>0.3286</v>
      </c>
      <c r="L815">
        <v>0.50600000000000001</v>
      </c>
      <c r="M815">
        <v>4.7824</v>
      </c>
      <c r="N815">
        <v>4.5839999999999996</v>
      </c>
      <c r="O815">
        <v>1.1015999999999999</v>
      </c>
      <c r="P815">
        <v>2.9100000000000001E-2</v>
      </c>
      <c r="Q815">
        <v>8.6E-3</v>
      </c>
      <c r="R815">
        <v>0</v>
      </c>
      <c r="S815">
        <v>0</v>
      </c>
      <c r="T815">
        <v>0.34</v>
      </c>
      <c r="U815">
        <v>1.8120000000000001</v>
      </c>
    </row>
    <row r="816" spans="1:21" x14ac:dyDescent="0.25">
      <c r="A816" t="s">
        <v>1205</v>
      </c>
      <c r="B816" t="s">
        <v>3</v>
      </c>
      <c r="C816">
        <v>20</v>
      </c>
      <c r="D816" t="s">
        <v>27</v>
      </c>
      <c r="E816">
        <v>17.495129632574798</v>
      </c>
      <c r="G816">
        <v>1.0536000000000001</v>
      </c>
      <c r="H816">
        <v>3.427</v>
      </c>
      <c r="K816">
        <v>0.18759999999999999</v>
      </c>
      <c r="L816">
        <v>0.86599999999999999</v>
      </c>
      <c r="M816">
        <v>1.2370000000000001</v>
      </c>
      <c r="N816">
        <v>5.282</v>
      </c>
      <c r="O816">
        <v>0.69179999999999997</v>
      </c>
      <c r="P816">
        <v>5.5599999999999997E-2</v>
      </c>
      <c r="Q816" s="1">
        <v>5.7000000000000002E-3</v>
      </c>
      <c r="R816">
        <v>0</v>
      </c>
      <c r="S816">
        <v>0</v>
      </c>
      <c r="T816">
        <v>0</v>
      </c>
      <c r="U816">
        <v>0.312</v>
      </c>
    </row>
    <row r="817" spans="1:21" x14ac:dyDescent="0.25">
      <c r="A817" t="s">
        <v>962</v>
      </c>
      <c r="B817" t="s">
        <v>3</v>
      </c>
      <c r="C817">
        <v>25</v>
      </c>
      <c r="D817" t="s">
        <v>7</v>
      </c>
      <c r="E817">
        <v>14.9148120797896</v>
      </c>
      <c r="G817">
        <v>1.0128999999999999</v>
      </c>
      <c r="H817">
        <v>3.2759999999999998</v>
      </c>
      <c r="K817">
        <v>0.25990000000000002</v>
      </c>
      <c r="L817">
        <v>0.753</v>
      </c>
      <c r="M817">
        <v>1.4073</v>
      </c>
      <c r="N817">
        <v>4.9409999999999998</v>
      </c>
      <c r="O817">
        <v>0.60329999999999995</v>
      </c>
      <c r="P817">
        <v>3.4299999999999997E-2</v>
      </c>
      <c r="Q817">
        <v>1.21E-2</v>
      </c>
      <c r="R817">
        <v>0</v>
      </c>
      <c r="S817">
        <v>0</v>
      </c>
      <c r="T817">
        <v>0.35</v>
      </c>
      <c r="U817">
        <v>0.80100000000000005</v>
      </c>
    </row>
    <row r="818" spans="1:21" x14ac:dyDescent="0.25">
      <c r="A818" t="s">
        <v>284</v>
      </c>
      <c r="B818" t="s">
        <v>3</v>
      </c>
      <c r="C818">
        <v>28</v>
      </c>
      <c r="D818" t="s">
        <v>15</v>
      </c>
      <c r="E818">
        <v>19.949462471099199</v>
      </c>
      <c r="G818">
        <v>1.1476</v>
      </c>
      <c r="H818">
        <v>5.5039999999999996</v>
      </c>
      <c r="K818">
        <v>0.3216</v>
      </c>
      <c r="L818">
        <v>0.82599999999999996</v>
      </c>
      <c r="M818">
        <v>2.4432999999999998</v>
      </c>
      <c r="N818">
        <v>4.931</v>
      </c>
      <c r="O818">
        <v>0.69950000000000001</v>
      </c>
      <c r="P818">
        <v>6.3E-3</v>
      </c>
      <c r="Q818">
        <v>1.2999999999999999E-3</v>
      </c>
      <c r="R818">
        <v>0</v>
      </c>
      <c r="S818">
        <v>0</v>
      </c>
      <c r="T818">
        <v>0.28999999999999998</v>
      </c>
      <c r="U818">
        <v>0.67400000000000004</v>
      </c>
    </row>
    <row r="819" spans="1:21" x14ac:dyDescent="0.25">
      <c r="A819" t="s">
        <v>777</v>
      </c>
      <c r="B819" t="s">
        <v>3</v>
      </c>
      <c r="C819">
        <v>23</v>
      </c>
      <c r="D819" t="s">
        <v>17</v>
      </c>
      <c r="E819">
        <v>18.132777654887299</v>
      </c>
      <c r="G819">
        <v>1.0385</v>
      </c>
      <c r="H819">
        <v>4.6230000000000002</v>
      </c>
      <c r="K819">
        <v>0.30549999999999999</v>
      </c>
      <c r="L819">
        <v>0.73299999999999998</v>
      </c>
      <c r="M819">
        <v>2.6259999999999999</v>
      </c>
      <c r="N819">
        <v>4.7610000000000001</v>
      </c>
      <c r="O819">
        <v>0.38059999999999999</v>
      </c>
      <c r="P819">
        <v>1.0999999999999999E-2</v>
      </c>
      <c r="Q819" s="1">
        <v>3.2000000000000002E-3</v>
      </c>
      <c r="R819">
        <v>0</v>
      </c>
      <c r="S819">
        <v>0</v>
      </c>
      <c r="T819">
        <v>0</v>
      </c>
      <c r="U819">
        <v>0.26100000000000001</v>
      </c>
    </row>
    <row r="820" spans="1:21" x14ac:dyDescent="0.25">
      <c r="A820" t="s">
        <v>963</v>
      </c>
      <c r="B820" t="s">
        <v>3</v>
      </c>
      <c r="C820">
        <v>24</v>
      </c>
      <c r="D820" t="s">
        <v>23</v>
      </c>
      <c r="E820">
        <v>16.524878987508998</v>
      </c>
      <c r="G820">
        <v>0.5746</v>
      </c>
      <c r="H820">
        <v>3.6190000000000002</v>
      </c>
      <c r="K820">
        <v>0.1336</v>
      </c>
      <c r="L820">
        <v>0.441</v>
      </c>
      <c r="M820">
        <v>5.9420000000000002</v>
      </c>
      <c r="N820">
        <v>4.7709999999999999</v>
      </c>
      <c r="O820">
        <v>0.93730000000000002</v>
      </c>
      <c r="P820">
        <v>1.8200000000000001E-2</v>
      </c>
      <c r="Q820">
        <v>7.0000000000000001E-3</v>
      </c>
      <c r="R820">
        <v>0</v>
      </c>
      <c r="S820">
        <v>0</v>
      </c>
      <c r="T820">
        <v>0.5</v>
      </c>
      <c r="U820">
        <v>0.42699999999999999</v>
      </c>
    </row>
    <row r="821" spans="1:21" x14ac:dyDescent="0.25">
      <c r="A821" t="s">
        <v>560</v>
      </c>
      <c r="B821" t="s">
        <v>3</v>
      </c>
      <c r="C821">
        <v>25</v>
      </c>
      <c r="D821" t="s">
        <v>30</v>
      </c>
      <c r="E821">
        <v>16.784993693523901</v>
      </c>
      <c r="G821">
        <v>0.99209999999999998</v>
      </c>
      <c r="H821">
        <v>3.794</v>
      </c>
      <c r="K821">
        <v>0.2011</v>
      </c>
      <c r="L821">
        <v>0.79100000000000004</v>
      </c>
      <c r="M821">
        <v>4.7377000000000002</v>
      </c>
      <c r="N821">
        <v>5.7619999999999996</v>
      </c>
      <c r="O821">
        <v>0.58660000000000001</v>
      </c>
      <c r="P821">
        <v>7.9000000000000008E-3</v>
      </c>
      <c r="Q821">
        <v>1.6000000000000001E-3</v>
      </c>
      <c r="R821">
        <v>0</v>
      </c>
      <c r="S821">
        <v>0</v>
      </c>
      <c r="T821">
        <v>0.61</v>
      </c>
      <c r="U821">
        <v>0.88</v>
      </c>
    </row>
    <row r="822" spans="1:21" x14ac:dyDescent="0.25">
      <c r="A822" t="s">
        <v>899</v>
      </c>
      <c r="B822" t="s">
        <v>3</v>
      </c>
      <c r="C822">
        <v>34</v>
      </c>
      <c r="D822" t="s">
        <v>30</v>
      </c>
      <c r="E822">
        <v>18.793201428222801</v>
      </c>
      <c r="G822">
        <v>0.91</v>
      </c>
      <c r="H822">
        <v>2.3570000000000002</v>
      </c>
      <c r="K822">
        <v>9.7000000000000003E-2</v>
      </c>
      <c r="L822">
        <v>0.81299999999999994</v>
      </c>
      <c r="M822">
        <v>1.6192</v>
      </c>
      <c r="N822">
        <v>5.1829999999999998</v>
      </c>
      <c r="O822">
        <v>0.52639999999999998</v>
      </c>
      <c r="P822">
        <v>5.8999999999999999E-3</v>
      </c>
      <c r="Q822">
        <v>1.4200000000000001E-2</v>
      </c>
      <c r="R822">
        <v>0</v>
      </c>
      <c r="S822">
        <v>0</v>
      </c>
      <c r="T822">
        <v>0.48</v>
      </c>
      <c r="U822">
        <v>0.51</v>
      </c>
    </row>
    <row r="823" spans="1:21" x14ac:dyDescent="0.25">
      <c r="A823" t="s">
        <v>964</v>
      </c>
      <c r="B823" t="s">
        <v>3</v>
      </c>
      <c r="C823">
        <v>29</v>
      </c>
      <c r="D823" t="s">
        <v>34</v>
      </c>
      <c r="E823">
        <v>12.5873557985721</v>
      </c>
      <c r="G823">
        <v>1.0911999999999999</v>
      </c>
      <c r="H823">
        <v>5.5730000000000004</v>
      </c>
      <c r="K823">
        <v>0.25419999999999998</v>
      </c>
      <c r="L823">
        <v>0.83699999999999997</v>
      </c>
      <c r="M823">
        <v>1.1193</v>
      </c>
      <c r="N823">
        <v>3.43</v>
      </c>
      <c r="O823">
        <v>0.50580000000000003</v>
      </c>
      <c r="P823">
        <v>6.7299999999999999E-2</v>
      </c>
      <c r="Q823">
        <v>0.16339999999999999</v>
      </c>
      <c r="R823">
        <v>0</v>
      </c>
      <c r="S823">
        <v>0</v>
      </c>
      <c r="T823">
        <v>0.46</v>
      </c>
      <c r="U823">
        <v>0.73</v>
      </c>
    </row>
    <row r="824" spans="1:21" x14ac:dyDescent="0.25">
      <c r="A824" t="s">
        <v>304</v>
      </c>
      <c r="B824" t="s">
        <v>3</v>
      </c>
      <c r="C824">
        <v>33</v>
      </c>
      <c r="D824" t="s">
        <v>14</v>
      </c>
      <c r="E824">
        <v>17.580969931046099</v>
      </c>
      <c r="G824">
        <v>1.1155999999999999</v>
      </c>
      <c r="H824">
        <v>5.2469999999999999</v>
      </c>
      <c r="K824">
        <v>0.2286</v>
      </c>
      <c r="L824">
        <v>0.88700000000000001</v>
      </c>
      <c r="M824">
        <v>2.3256999999999999</v>
      </c>
      <c r="N824">
        <v>4.5330000000000004</v>
      </c>
      <c r="O824">
        <v>0.82889999999999997</v>
      </c>
      <c r="P824">
        <v>2.1999999999999999E-2</v>
      </c>
      <c r="Q824">
        <v>5.4699999999999999E-2</v>
      </c>
      <c r="R824">
        <v>0</v>
      </c>
      <c r="S824">
        <v>0</v>
      </c>
      <c r="T824">
        <v>0.48</v>
      </c>
      <c r="U824">
        <v>1.3080000000000001</v>
      </c>
    </row>
    <row r="825" spans="1:21" x14ac:dyDescent="0.25">
      <c r="A825" t="s">
        <v>758</v>
      </c>
      <c r="B825" t="s">
        <v>3</v>
      </c>
      <c r="C825">
        <v>28</v>
      </c>
      <c r="D825" t="s">
        <v>13</v>
      </c>
      <c r="E825">
        <v>14.8057648750582</v>
      </c>
      <c r="G825">
        <v>0.65490000000000004</v>
      </c>
      <c r="H825">
        <v>3.1309999999999998</v>
      </c>
      <c r="K825">
        <v>0.15390000000000001</v>
      </c>
      <c r="L825">
        <v>0.501</v>
      </c>
      <c r="M825">
        <v>3.2965</v>
      </c>
      <c r="N825">
        <v>3.5870000000000002</v>
      </c>
      <c r="O825">
        <v>0.79900000000000004</v>
      </c>
      <c r="P825">
        <v>1.2699999999999999E-2</v>
      </c>
      <c r="Q825">
        <v>3.7000000000000002E-3</v>
      </c>
      <c r="R825">
        <v>0</v>
      </c>
      <c r="S825">
        <v>0</v>
      </c>
      <c r="T825">
        <v>0</v>
      </c>
      <c r="U825">
        <v>0.63200000000000001</v>
      </c>
    </row>
    <row r="826" spans="1:21" x14ac:dyDescent="0.25">
      <c r="A826" t="s">
        <v>405</v>
      </c>
      <c r="B826" t="s">
        <v>3</v>
      </c>
      <c r="C826">
        <v>34</v>
      </c>
      <c r="D826" t="s">
        <v>15</v>
      </c>
      <c r="E826">
        <v>13.585602430403901</v>
      </c>
      <c r="G826">
        <v>0.72889999999999999</v>
      </c>
      <c r="H826">
        <v>5.0750000000000002</v>
      </c>
      <c r="K826">
        <v>0.21790000000000001</v>
      </c>
      <c r="L826">
        <v>0.51100000000000001</v>
      </c>
      <c r="M826">
        <v>4.3661000000000003</v>
      </c>
      <c r="N826">
        <v>6.4429999999999996</v>
      </c>
      <c r="O826">
        <v>1.0827</v>
      </c>
      <c r="P826">
        <v>2.1600000000000001E-2</v>
      </c>
      <c r="Q826">
        <v>5.3499999999999999E-2</v>
      </c>
      <c r="R826">
        <v>0</v>
      </c>
      <c r="S826">
        <v>0</v>
      </c>
      <c r="T826">
        <v>0.51</v>
      </c>
      <c r="U826">
        <v>0.69599999999999995</v>
      </c>
    </row>
    <row r="827" spans="1:21" x14ac:dyDescent="0.25">
      <c r="A827" t="s">
        <v>411</v>
      </c>
      <c r="B827" t="s">
        <v>3</v>
      </c>
      <c r="C827">
        <v>28</v>
      </c>
      <c r="D827" t="s">
        <v>32</v>
      </c>
      <c r="E827">
        <v>19.3369499909601</v>
      </c>
      <c r="G827">
        <v>1.1008</v>
      </c>
      <c r="H827">
        <v>4.1420000000000003</v>
      </c>
      <c r="K827">
        <v>0.27179999999999999</v>
      </c>
      <c r="L827">
        <v>0.82899999999999996</v>
      </c>
      <c r="M827">
        <v>2.5436999999999999</v>
      </c>
      <c r="N827">
        <v>4.7240000000000002</v>
      </c>
      <c r="O827">
        <v>0.72750000000000004</v>
      </c>
      <c r="P827">
        <v>5.1999999999999998E-3</v>
      </c>
      <c r="Q827" s="1">
        <v>1.1000000000000001E-3</v>
      </c>
      <c r="R827">
        <v>0</v>
      </c>
      <c r="S827">
        <v>0</v>
      </c>
      <c r="T827">
        <v>0.52</v>
      </c>
      <c r="U827">
        <v>1.23</v>
      </c>
    </row>
    <row r="828" spans="1:21" x14ac:dyDescent="0.25">
      <c r="A828" t="s">
        <v>900</v>
      </c>
      <c r="B828" t="s">
        <v>3</v>
      </c>
      <c r="C828">
        <v>33</v>
      </c>
      <c r="D828" t="s">
        <v>29</v>
      </c>
      <c r="E828">
        <v>16.876852344536001</v>
      </c>
      <c r="G828">
        <v>0.82479999999999998</v>
      </c>
      <c r="H828">
        <v>3.7349999999999999</v>
      </c>
      <c r="K828">
        <v>0.12379999999999999</v>
      </c>
      <c r="L828">
        <v>0.70099999999999996</v>
      </c>
      <c r="M828">
        <v>1.109</v>
      </c>
      <c r="N828">
        <v>5.415</v>
      </c>
      <c r="O828">
        <v>0.44679999999999997</v>
      </c>
      <c r="P828">
        <v>4.41E-2</v>
      </c>
      <c r="Q828">
        <v>2.6200000000000001E-2</v>
      </c>
      <c r="R828">
        <v>0</v>
      </c>
      <c r="S828">
        <v>0</v>
      </c>
      <c r="T828">
        <v>0</v>
      </c>
      <c r="U828">
        <v>0.41099999999999998</v>
      </c>
    </row>
    <row r="829" spans="1:21" x14ac:dyDescent="0.25">
      <c r="A829" t="s">
        <v>661</v>
      </c>
      <c r="B829" t="s">
        <v>3</v>
      </c>
      <c r="C829">
        <v>30</v>
      </c>
      <c r="D829" t="s">
        <v>955</v>
      </c>
      <c r="E829">
        <v>15.8601883286192</v>
      </c>
      <c r="G829">
        <v>0.63300000000000001</v>
      </c>
      <c r="H829">
        <v>3.85</v>
      </c>
      <c r="K829">
        <v>0.14499999999999999</v>
      </c>
      <c r="L829">
        <v>0.48799999999999999</v>
      </c>
      <c r="M829">
        <v>3.8658000000000001</v>
      </c>
      <c r="N829">
        <v>4.492</v>
      </c>
      <c r="O829">
        <v>0.8115</v>
      </c>
      <c r="P829">
        <v>6.1699999999999998E-2</v>
      </c>
      <c r="Q829" s="1">
        <v>1.9E-3</v>
      </c>
      <c r="R829">
        <v>0</v>
      </c>
      <c r="S829">
        <v>0</v>
      </c>
      <c r="T829">
        <v>0</v>
      </c>
      <c r="U829">
        <v>0.32600000000000001</v>
      </c>
    </row>
    <row r="830" spans="1:21" x14ac:dyDescent="0.25">
      <c r="A830" t="s">
        <v>1206</v>
      </c>
      <c r="B830" t="s">
        <v>3</v>
      </c>
      <c r="C830">
        <v>24</v>
      </c>
      <c r="D830" t="s">
        <v>33</v>
      </c>
      <c r="E830">
        <v>17.5</v>
      </c>
      <c r="G830">
        <v>0.87670000000000003</v>
      </c>
      <c r="H830">
        <v>3.819</v>
      </c>
      <c r="K830">
        <v>0.1477</v>
      </c>
      <c r="L830">
        <v>0.72899999999999998</v>
      </c>
      <c r="M830">
        <v>6.9</v>
      </c>
      <c r="N830">
        <v>4.923</v>
      </c>
      <c r="O830">
        <v>0.51419999999999999</v>
      </c>
      <c r="P830">
        <v>2.64E-2</v>
      </c>
      <c r="Q830">
        <v>8.9999999999999993E-3</v>
      </c>
      <c r="R830">
        <v>0</v>
      </c>
      <c r="S830">
        <v>0</v>
      </c>
      <c r="T830">
        <v>0</v>
      </c>
      <c r="U830">
        <v>0.436</v>
      </c>
    </row>
    <row r="831" spans="1:21" x14ac:dyDescent="0.25">
      <c r="A831" t="s">
        <v>332</v>
      </c>
      <c r="B831" t="s">
        <v>3</v>
      </c>
      <c r="C831">
        <v>34</v>
      </c>
      <c r="D831" t="s">
        <v>8</v>
      </c>
      <c r="E831">
        <v>16.719670970073</v>
      </c>
      <c r="G831">
        <v>0.93910000000000005</v>
      </c>
      <c r="H831">
        <v>3.9889999999999999</v>
      </c>
      <c r="K831">
        <v>0.1351</v>
      </c>
      <c r="L831">
        <v>0.80400000000000005</v>
      </c>
      <c r="M831">
        <v>3.6993</v>
      </c>
      <c r="N831">
        <v>5.26</v>
      </c>
      <c r="O831">
        <v>1.0472999999999999</v>
      </c>
      <c r="P831">
        <v>5.9799999999999999E-2</v>
      </c>
      <c r="Q831" s="1">
        <v>3.32E-2</v>
      </c>
      <c r="R831">
        <v>0</v>
      </c>
      <c r="S831">
        <v>0</v>
      </c>
      <c r="T831">
        <v>0</v>
      </c>
      <c r="U831">
        <v>0.26200000000000001</v>
      </c>
    </row>
    <row r="832" spans="1:21" x14ac:dyDescent="0.25">
      <c r="A832" t="s">
        <v>965</v>
      </c>
      <c r="B832" t="s">
        <v>3</v>
      </c>
      <c r="C832">
        <v>24</v>
      </c>
      <c r="D832" t="s">
        <v>14</v>
      </c>
      <c r="E832">
        <v>12.9166339605221</v>
      </c>
      <c r="G832">
        <v>0.60319999999999996</v>
      </c>
      <c r="H832">
        <v>3.51</v>
      </c>
      <c r="K832">
        <v>0.15820000000000001</v>
      </c>
      <c r="L832">
        <v>0.44500000000000001</v>
      </c>
      <c r="M832">
        <v>9.3880999999999997</v>
      </c>
      <c r="N832">
        <v>4.6950000000000003</v>
      </c>
      <c r="O832">
        <v>1.1497999999999999</v>
      </c>
      <c r="P832">
        <v>0.36</v>
      </c>
      <c r="Q832">
        <v>8.7499999999999994E-2</v>
      </c>
      <c r="R832">
        <v>0</v>
      </c>
      <c r="S832">
        <v>0</v>
      </c>
      <c r="T832">
        <v>0.35</v>
      </c>
      <c r="U832">
        <v>0.72199999999999998</v>
      </c>
    </row>
    <row r="833" spans="1:21" x14ac:dyDescent="0.25">
      <c r="A833" t="s">
        <v>381</v>
      </c>
      <c r="B833" t="s">
        <v>3</v>
      </c>
      <c r="C833">
        <v>33</v>
      </c>
      <c r="D833" t="s">
        <v>7</v>
      </c>
      <c r="E833">
        <v>15.5268853104157</v>
      </c>
      <c r="G833">
        <v>0.91969999999999996</v>
      </c>
      <c r="H833">
        <v>4.6509999999999998</v>
      </c>
      <c r="K833">
        <v>0.2167</v>
      </c>
      <c r="L833">
        <v>0.70299999999999996</v>
      </c>
      <c r="M833">
        <v>1.3604000000000001</v>
      </c>
      <c r="N833">
        <v>4.2220000000000004</v>
      </c>
      <c r="O833">
        <v>0.4713</v>
      </c>
      <c r="P833">
        <v>7.4000000000000003E-3</v>
      </c>
      <c r="Q833">
        <v>1.5E-3</v>
      </c>
      <c r="R833">
        <v>0</v>
      </c>
      <c r="S833">
        <v>0</v>
      </c>
      <c r="T833">
        <v>0.46</v>
      </c>
      <c r="U833">
        <v>0.98499999999999999</v>
      </c>
    </row>
    <row r="834" spans="1:21" x14ac:dyDescent="0.25">
      <c r="A834" t="s">
        <v>642</v>
      </c>
      <c r="B834" t="s">
        <v>3</v>
      </c>
      <c r="C834">
        <v>26</v>
      </c>
      <c r="D834" t="s">
        <v>5</v>
      </c>
      <c r="E834">
        <v>15.588735553760101</v>
      </c>
      <c r="G834">
        <v>0.62309999999999999</v>
      </c>
      <c r="H834">
        <v>3.71</v>
      </c>
      <c r="K834">
        <v>7.4099999999999999E-2</v>
      </c>
      <c r="L834">
        <v>0.54900000000000004</v>
      </c>
      <c r="M834">
        <v>2.8763000000000001</v>
      </c>
      <c r="N834">
        <v>3.802</v>
      </c>
      <c r="O834">
        <v>0.49519999999999997</v>
      </c>
      <c r="P834">
        <v>1.0999999999999999E-2</v>
      </c>
      <c r="Q834" s="1">
        <v>2.3999999999999998E-3</v>
      </c>
      <c r="R834">
        <v>0</v>
      </c>
      <c r="S834">
        <v>0</v>
      </c>
      <c r="T834" t="s">
        <v>1054</v>
      </c>
      <c r="U834">
        <v>0.42799999999999999</v>
      </c>
    </row>
    <row r="835" spans="1:21" x14ac:dyDescent="0.25">
      <c r="A835" t="s">
        <v>1207</v>
      </c>
      <c r="B835" t="s">
        <v>3</v>
      </c>
      <c r="C835">
        <v>28</v>
      </c>
      <c r="D835" t="s">
        <v>31</v>
      </c>
      <c r="E835">
        <v>14.416065302632999</v>
      </c>
      <c r="G835">
        <v>0.7238</v>
      </c>
      <c r="H835">
        <v>3.9129999999999998</v>
      </c>
      <c r="K835">
        <v>0.1988</v>
      </c>
      <c r="L835">
        <v>0.52500000000000002</v>
      </c>
      <c r="M835">
        <v>4.3800999999999997</v>
      </c>
      <c r="N835">
        <v>3.5990000000000002</v>
      </c>
      <c r="O835">
        <v>0.70740000000000003</v>
      </c>
      <c r="P835">
        <v>3.15E-2</v>
      </c>
      <c r="Q835" s="1">
        <v>1.0999999999999999E-2</v>
      </c>
      <c r="R835">
        <v>0</v>
      </c>
      <c r="S835">
        <v>0</v>
      </c>
      <c r="T835">
        <v>0</v>
      </c>
      <c r="U835">
        <v>0.33100000000000002</v>
      </c>
    </row>
    <row r="836" spans="1:21" x14ac:dyDescent="0.25">
      <c r="A836" t="s">
        <v>241</v>
      </c>
      <c r="B836" t="s">
        <v>3</v>
      </c>
      <c r="C836">
        <v>34</v>
      </c>
      <c r="D836" t="s">
        <v>19</v>
      </c>
      <c r="E836">
        <v>18.892042736246399</v>
      </c>
      <c r="G836">
        <v>1.5535000000000001</v>
      </c>
      <c r="H836">
        <v>5.1639999999999997</v>
      </c>
      <c r="K836">
        <v>0.33350000000000002</v>
      </c>
      <c r="L836">
        <v>1.22</v>
      </c>
      <c r="M836">
        <v>2.3456000000000001</v>
      </c>
      <c r="N836">
        <v>4.234</v>
      </c>
      <c r="O836">
        <v>0.68420000000000003</v>
      </c>
      <c r="P836">
        <v>5.3E-3</v>
      </c>
      <c r="Q836">
        <v>4.5499999999999999E-2</v>
      </c>
      <c r="R836">
        <v>0</v>
      </c>
      <c r="S836">
        <v>0</v>
      </c>
      <c r="T836">
        <v>0.59</v>
      </c>
      <c r="U836">
        <v>1.1240000000000001</v>
      </c>
    </row>
    <row r="837" spans="1:21" x14ac:dyDescent="0.25">
      <c r="A837" t="s">
        <v>1024</v>
      </c>
      <c r="B837" t="s">
        <v>3</v>
      </c>
      <c r="C837">
        <v>23</v>
      </c>
      <c r="D837" t="s">
        <v>13</v>
      </c>
      <c r="E837">
        <v>15.279276209943101</v>
      </c>
      <c r="G837">
        <v>0.6472</v>
      </c>
      <c r="H837">
        <v>3.585</v>
      </c>
      <c r="K837">
        <v>9.7199999999999995E-2</v>
      </c>
      <c r="L837">
        <v>0.55000000000000004</v>
      </c>
      <c r="M837">
        <v>2.4561999999999999</v>
      </c>
      <c r="N837">
        <v>5.3849999999999998</v>
      </c>
      <c r="O837">
        <v>0.96819999999999995</v>
      </c>
      <c r="P837">
        <v>2.2599999999999999E-2</v>
      </c>
      <c r="Q837">
        <v>7.6E-3</v>
      </c>
      <c r="R837">
        <v>0</v>
      </c>
      <c r="S837">
        <v>0</v>
      </c>
      <c r="T837">
        <v>0.52</v>
      </c>
      <c r="U837">
        <v>0.90200000000000002</v>
      </c>
    </row>
    <row r="838" spans="1:21" x14ac:dyDescent="0.25">
      <c r="A838" t="s">
        <v>393</v>
      </c>
      <c r="B838" t="s">
        <v>3</v>
      </c>
      <c r="C838">
        <v>28</v>
      </c>
      <c r="D838" t="s">
        <v>87</v>
      </c>
      <c r="E838">
        <v>20.039663908273202</v>
      </c>
      <c r="G838">
        <v>1.385</v>
      </c>
      <c r="H838">
        <v>4.7089999999999996</v>
      </c>
      <c r="K838">
        <v>0.32700000000000001</v>
      </c>
      <c r="L838">
        <v>1.0580000000000001</v>
      </c>
      <c r="M838">
        <v>2.0535999999999999</v>
      </c>
      <c r="N838">
        <v>3.4350000000000001</v>
      </c>
      <c r="O838">
        <v>0.90990000000000004</v>
      </c>
      <c r="P838">
        <v>7.8700000000000006E-2</v>
      </c>
      <c r="Q838" s="1">
        <v>4.9599999999999998E-2</v>
      </c>
      <c r="R838">
        <v>0</v>
      </c>
      <c r="S838">
        <v>0</v>
      </c>
      <c r="T838">
        <v>0.56000000000000005</v>
      </c>
      <c r="U838">
        <v>0.64100000000000001</v>
      </c>
    </row>
    <row r="839" spans="1:21" x14ac:dyDescent="0.25">
      <c r="A839" t="s">
        <v>966</v>
      </c>
      <c r="B839" t="s">
        <v>3</v>
      </c>
      <c r="C839">
        <v>28</v>
      </c>
      <c r="D839" t="s">
        <v>16</v>
      </c>
      <c r="E839">
        <v>14.25</v>
      </c>
      <c r="G839">
        <v>0.71709999999999996</v>
      </c>
      <c r="H839">
        <v>2.58</v>
      </c>
      <c r="K839">
        <v>7.0099999999999996E-2</v>
      </c>
      <c r="L839">
        <v>0.64700000000000002</v>
      </c>
      <c r="M839">
        <v>5.8007999999999997</v>
      </c>
      <c r="N839">
        <v>4.7510000000000003</v>
      </c>
      <c r="O839">
        <v>1.1631</v>
      </c>
      <c r="P839">
        <v>0.14319999999999999</v>
      </c>
      <c r="Q839">
        <v>3.5000000000000001E-3</v>
      </c>
      <c r="R839">
        <v>0</v>
      </c>
      <c r="S839">
        <v>0</v>
      </c>
      <c r="T839">
        <v>0</v>
      </c>
      <c r="U839">
        <v>0.27300000000000002</v>
      </c>
    </row>
    <row r="840" spans="1:21" x14ac:dyDescent="0.25">
      <c r="A840" t="s">
        <v>443</v>
      </c>
      <c r="B840" t="s">
        <v>3</v>
      </c>
      <c r="C840">
        <v>29</v>
      </c>
      <c r="D840" t="s">
        <v>26</v>
      </c>
      <c r="E840">
        <v>17.942771932391199</v>
      </c>
      <c r="G840">
        <v>0.98580000000000001</v>
      </c>
      <c r="H840">
        <v>4.1479999999999997</v>
      </c>
      <c r="K840">
        <v>0.23580000000000001</v>
      </c>
      <c r="L840">
        <v>0.75</v>
      </c>
      <c r="M840">
        <v>2.2755999999999998</v>
      </c>
      <c r="N840">
        <v>4.1849999999999996</v>
      </c>
      <c r="O840">
        <v>0.74680000000000002</v>
      </c>
      <c r="P840">
        <v>5.7000000000000002E-3</v>
      </c>
      <c r="Q840">
        <v>1.5100000000000001E-2</v>
      </c>
      <c r="R840">
        <v>0</v>
      </c>
      <c r="S840">
        <v>0</v>
      </c>
      <c r="T840">
        <v>0</v>
      </c>
      <c r="U840">
        <v>0.255</v>
      </c>
    </row>
    <row r="841" spans="1:21" x14ac:dyDescent="0.25">
      <c r="A841" t="s">
        <v>753</v>
      </c>
      <c r="B841" t="s">
        <v>3</v>
      </c>
      <c r="C841">
        <v>28</v>
      </c>
      <c r="D841" t="s">
        <v>87</v>
      </c>
      <c r="E841">
        <v>15.9716576303141</v>
      </c>
      <c r="G841">
        <v>1.0187999999999999</v>
      </c>
      <c r="H841">
        <v>3.972</v>
      </c>
      <c r="K841">
        <v>0.15379999999999999</v>
      </c>
      <c r="L841">
        <v>0.86499999999999999</v>
      </c>
      <c r="M841">
        <v>7.4816000000000003</v>
      </c>
      <c r="N841">
        <v>4.4420000000000002</v>
      </c>
      <c r="O841">
        <v>0.86399999999999999</v>
      </c>
      <c r="P841">
        <v>0.13769999999999999</v>
      </c>
      <c r="Q841">
        <v>1.5699999999999999E-2</v>
      </c>
      <c r="R841">
        <v>0</v>
      </c>
      <c r="S841">
        <v>0</v>
      </c>
      <c r="T841">
        <v>0.5</v>
      </c>
      <c r="U841">
        <v>0.44900000000000001</v>
      </c>
    </row>
    <row r="842" spans="1:21" x14ac:dyDescent="0.25">
      <c r="A842" t="s">
        <v>983</v>
      </c>
      <c r="B842" t="s">
        <v>3</v>
      </c>
      <c r="C842">
        <v>28</v>
      </c>
      <c r="D842" t="s">
        <v>1181</v>
      </c>
      <c r="E842">
        <v>13.7269664833471</v>
      </c>
      <c r="G842">
        <v>0.67079999999999995</v>
      </c>
      <c r="H842">
        <v>3.1360000000000001</v>
      </c>
      <c r="K842">
        <v>7.0800000000000002E-2</v>
      </c>
      <c r="L842">
        <v>0.6</v>
      </c>
      <c r="M842">
        <v>6.3886000000000003</v>
      </c>
      <c r="N842">
        <v>4.7949999999999999</v>
      </c>
      <c r="O842">
        <v>0.80930000000000002</v>
      </c>
      <c r="P842">
        <v>0.13800000000000001</v>
      </c>
      <c r="Q842">
        <v>5.7000000000000002E-3</v>
      </c>
      <c r="R842">
        <v>0</v>
      </c>
      <c r="S842">
        <v>0</v>
      </c>
      <c r="T842">
        <v>0.42</v>
      </c>
      <c r="U842">
        <v>0.93700000000000006</v>
      </c>
    </row>
    <row r="843" spans="1:21" x14ac:dyDescent="0.25">
      <c r="A843" t="s">
        <v>968</v>
      </c>
      <c r="B843" t="s">
        <v>3</v>
      </c>
      <c r="C843">
        <v>22</v>
      </c>
      <c r="D843" t="s">
        <v>21</v>
      </c>
      <c r="E843">
        <v>15.7520229287392</v>
      </c>
      <c r="G843">
        <v>0.89839999999999998</v>
      </c>
      <c r="H843">
        <v>3.38</v>
      </c>
      <c r="K843">
        <v>0.1074</v>
      </c>
      <c r="L843">
        <v>0.79100000000000004</v>
      </c>
      <c r="M843">
        <v>2.3761000000000001</v>
      </c>
      <c r="N843">
        <v>4.085</v>
      </c>
      <c r="O843">
        <v>0.96319999999999995</v>
      </c>
      <c r="P843">
        <v>2.3400000000000001E-2</v>
      </c>
      <c r="Q843">
        <v>6.6E-3</v>
      </c>
      <c r="R843">
        <v>0</v>
      </c>
      <c r="S843">
        <v>0</v>
      </c>
      <c r="T843">
        <v>0.44</v>
      </c>
      <c r="U843">
        <v>0.33200000000000002</v>
      </c>
    </row>
    <row r="844" spans="1:21" x14ac:dyDescent="0.25">
      <c r="A844" t="s">
        <v>668</v>
      </c>
      <c r="B844" t="s">
        <v>3</v>
      </c>
      <c r="C844">
        <v>24</v>
      </c>
      <c r="D844" t="s">
        <v>10</v>
      </c>
      <c r="E844">
        <v>14.640401365152099</v>
      </c>
      <c r="G844">
        <v>0.86439999999999995</v>
      </c>
      <c r="H844">
        <v>4.3209999999999997</v>
      </c>
      <c r="K844">
        <v>0.2034</v>
      </c>
      <c r="L844">
        <v>0.66100000000000003</v>
      </c>
      <c r="M844">
        <v>2.2690999999999999</v>
      </c>
      <c r="N844">
        <v>4.1580000000000004</v>
      </c>
      <c r="O844">
        <v>0.45739999999999997</v>
      </c>
      <c r="P844">
        <v>1.9800000000000002E-2</v>
      </c>
      <c r="Q844">
        <v>4.7000000000000002E-3</v>
      </c>
      <c r="R844">
        <v>0</v>
      </c>
      <c r="S844">
        <v>0</v>
      </c>
      <c r="T844">
        <v>0.37</v>
      </c>
      <c r="U844">
        <v>0.98299999999999998</v>
      </c>
    </row>
    <row r="845" spans="1:21" x14ac:dyDescent="0.25">
      <c r="A845" t="s">
        <v>537</v>
      </c>
      <c r="B845" t="s">
        <v>3</v>
      </c>
      <c r="C845">
        <v>34</v>
      </c>
      <c r="D845" t="s">
        <v>1208</v>
      </c>
      <c r="E845">
        <v>16.033714356221001</v>
      </c>
      <c r="G845">
        <v>0.63219999999999998</v>
      </c>
      <c r="H845">
        <v>4.4569999999999999</v>
      </c>
      <c r="K845">
        <v>0.16520000000000001</v>
      </c>
      <c r="L845">
        <v>0.46700000000000003</v>
      </c>
      <c r="M845">
        <v>5.91</v>
      </c>
      <c r="N845">
        <v>4.0990000000000002</v>
      </c>
      <c r="O845">
        <v>1.0219</v>
      </c>
      <c r="P845">
        <v>7.8600000000000003E-2</v>
      </c>
      <c r="Q845" s="1">
        <v>0.1114</v>
      </c>
      <c r="R845">
        <v>0</v>
      </c>
      <c r="S845">
        <v>0</v>
      </c>
      <c r="T845">
        <v>0.43</v>
      </c>
      <c r="U845">
        <v>0.54300000000000004</v>
      </c>
    </row>
    <row r="846" spans="1:21" x14ac:dyDescent="0.25">
      <c r="A846" t="s">
        <v>326</v>
      </c>
      <c r="B846" t="s">
        <v>3</v>
      </c>
      <c r="C846">
        <v>27</v>
      </c>
      <c r="D846" t="s">
        <v>23</v>
      </c>
      <c r="E846">
        <v>20.1886299582848</v>
      </c>
      <c r="G846">
        <v>1.5192000000000001</v>
      </c>
      <c r="H846">
        <v>6.8010000000000002</v>
      </c>
      <c r="K846">
        <v>0.4002</v>
      </c>
      <c r="L846">
        <v>1.119</v>
      </c>
      <c r="M846">
        <v>0.92989999999999995</v>
      </c>
      <c r="N846">
        <v>5.0629999999999997</v>
      </c>
      <c r="O846">
        <v>0.26919999999999999</v>
      </c>
      <c r="P846">
        <v>7.4999999999999997E-3</v>
      </c>
      <c r="Q846">
        <v>1.6000000000000001E-3</v>
      </c>
      <c r="R846">
        <v>0</v>
      </c>
      <c r="S846">
        <v>0</v>
      </c>
      <c r="T846">
        <v>0.49</v>
      </c>
      <c r="U846">
        <v>0.748</v>
      </c>
    </row>
    <row r="847" spans="1:21" x14ac:dyDescent="0.25">
      <c r="A847" t="s">
        <v>524</v>
      </c>
      <c r="B847" t="s">
        <v>3</v>
      </c>
      <c r="C847">
        <v>28</v>
      </c>
      <c r="D847" t="s">
        <v>28</v>
      </c>
      <c r="E847">
        <v>15.9433012745508</v>
      </c>
      <c r="G847">
        <v>0.81369999999999998</v>
      </c>
      <c r="H847">
        <v>3.6309999999999998</v>
      </c>
      <c r="K847">
        <v>0.19869999999999999</v>
      </c>
      <c r="L847">
        <v>0.61499999999999999</v>
      </c>
      <c r="M847">
        <v>6.3047000000000004</v>
      </c>
      <c r="N847">
        <v>5.61</v>
      </c>
      <c r="O847">
        <v>0.79</v>
      </c>
      <c r="P847">
        <v>2.3800000000000002E-2</v>
      </c>
      <c r="Q847" s="1">
        <v>2.9700000000000001E-2</v>
      </c>
      <c r="R847">
        <v>0</v>
      </c>
      <c r="S847">
        <v>0</v>
      </c>
      <c r="T847">
        <v>0.46</v>
      </c>
      <c r="U847">
        <v>1.7130000000000001</v>
      </c>
    </row>
    <row r="848" spans="1:21" x14ac:dyDescent="0.25">
      <c r="A848" t="s">
        <v>1209</v>
      </c>
      <c r="B848" t="s">
        <v>24</v>
      </c>
      <c r="D848" t="s">
        <v>10</v>
      </c>
      <c r="E848">
        <v>7.5</v>
      </c>
      <c r="H848">
        <v>7.5</v>
      </c>
      <c r="K848">
        <v>0.75</v>
      </c>
      <c r="L848">
        <v>0.7</v>
      </c>
      <c r="M848">
        <v>25</v>
      </c>
      <c r="N848">
        <v>2.65</v>
      </c>
      <c r="O848">
        <v>1.35</v>
      </c>
      <c r="P848">
        <v>1.35</v>
      </c>
      <c r="Q848">
        <v>0.35</v>
      </c>
      <c r="R848">
        <v>1.75</v>
      </c>
      <c r="S848">
        <v>1.75</v>
      </c>
      <c r="T848">
        <v>0</v>
      </c>
      <c r="U848">
        <v>0.52900000000000003</v>
      </c>
    </row>
    <row r="849" spans="1:24" x14ac:dyDescent="0.25">
      <c r="A849" t="s">
        <v>1210</v>
      </c>
      <c r="B849" t="s">
        <v>24</v>
      </c>
      <c r="D849" t="s">
        <v>13</v>
      </c>
      <c r="E849">
        <v>12.303187829633421</v>
      </c>
      <c r="F849" t="e">
        <v>#DIV/0!</v>
      </c>
      <c r="G849">
        <v>1.6876727356746759</v>
      </c>
      <c r="H849">
        <v>6.6964040590405904</v>
      </c>
      <c r="K849">
        <v>0.72384302029520331</v>
      </c>
      <c r="L849">
        <v>0.9635639298892994</v>
      </c>
      <c r="M849">
        <v>5.5468560885608849</v>
      </c>
      <c r="N849">
        <v>2.2782066420664218</v>
      </c>
      <c r="O849">
        <v>0.73726383763837677</v>
      </c>
      <c r="P849">
        <v>9.2527675276752916E-2</v>
      </c>
      <c r="Q849">
        <v>2.8046125461254602E-2</v>
      </c>
      <c r="R849">
        <v>1.75</v>
      </c>
      <c r="S849">
        <v>1.75</v>
      </c>
      <c r="T849">
        <v>0.23</v>
      </c>
      <c r="U849">
        <v>1.863</v>
      </c>
    </row>
    <row r="850" spans="1:24" x14ac:dyDescent="0.25">
      <c r="A850" t="s">
        <v>1211</v>
      </c>
      <c r="B850" t="s">
        <v>24</v>
      </c>
      <c r="D850" t="s">
        <v>20</v>
      </c>
      <c r="E850">
        <v>12.5</v>
      </c>
      <c r="F850" t="e">
        <v>#DIV/0!</v>
      </c>
      <c r="G850">
        <v>1.6876727356746759</v>
      </c>
      <c r="H850">
        <v>6.6964040590405904</v>
      </c>
      <c r="K850">
        <v>0.72384302029520331</v>
      </c>
      <c r="L850">
        <v>0.96356392988929951</v>
      </c>
      <c r="M850">
        <v>7.2</v>
      </c>
      <c r="N850">
        <v>2.2782066420664218</v>
      </c>
      <c r="O850">
        <v>0.73726383763837677</v>
      </c>
      <c r="P850">
        <v>9.252767527675293E-2</v>
      </c>
      <c r="Q850">
        <v>2.8046125461254602E-2</v>
      </c>
      <c r="R850">
        <v>4.2</v>
      </c>
      <c r="S850">
        <v>4.75</v>
      </c>
      <c r="T850">
        <v>0</v>
      </c>
      <c r="U850">
        <v>0.52600000000000002</v>
      </c>
      <c r="X850">
        <f>50/169*60</f>
        <v>17.751479289940828</v>
      </c>
    </row>
    <row r="851" spans="1:24" x14ac:dyDescent="0.25">
      <c r="A851" t="s">
        <v>1212</v>
      </c>
      <c r="B851" t="s">
        <v>3</v>
      </c>
      <c r="E851">
        <v>20.25</v>
      </c>
      <c r="F851" t="e">
        <v>#DIV/0!</v>
      </c>
      <c r="G851">
        <v>0.90005114754098325</v>
      </c>
      <c r="H851">
        <v>4.8499999999999996</v>
      </c>
      <c r="K851">
        <v>0.25</v>
      </c>
      <c r="L851">
        <v>1.1000000000000001</v>
      </c>
      <c r="M851">
        <v>1.8</v>
      </c>
      <c r="N851">
        <v>2.1</v>
      </c>
      <c r="O851">
        <v>0.6</v>
      </c>
      <c r="P851">
        <v>2.5000000000000001E-2</v>
      </c>
      <c r="Q851" s="1">
        <v>1.8654426229508199E-2</v>
      </c>
      <c r="R851">
        <v>0</v>
      </c>
      <c r="S851">
        <v>0</v>
      </c>
      <c r="T851">
        <v>0</v>
      </c>
      <c r="U851">
        <v>0.35</v>
      </c>
    </row>
    <row r="852" spans="1:24" x14ac:dyDescent="0.25">
      <c r="A852" t="s">
        <v>1213</v>
      </c>
      <c r="B852" t="s">
        <v>24</v>
      </c>
      <c r="E852">
        <v>13.75</v>
      </c>
      <c r="F852" t="e">
        <v>#DIV/0!</v>
      </c>
      <c r="G852">
        <v>1.6862249018729596</v>
      </c>
      <c r="H852">
        <v>8.5</v>
      </c>
      <c r="K852">
        <v>1.25</v>
      </c>
      <c r="L852">
        <v>1.35</v>
      </c>
      <c r="M852">
        <v>2.1</v>
      </c>
      <c r="N852">
        <v>2.25</v>
      </c>
      <c r="O852">
        <v>0.45</v>
      </c>
      <c r="P852">
        <v>9.2403771285419434E-2</v>
      </c>
      <c r="Q852">
        <v>2.8028892985600021E-2</v>
      </c>
      <c r="R852">
        <v>2.5</v>
      </c>
      <c r="S852">
        <v>3.25</v>
      </c>
      <c r="T852" t="s">
        <v>1054</v>
      </c>
      <c r="U852">
        <v>0.375</v>
      </c>
    </row>
    <row r="853" spans="1:24" x14ac:dyDescent="0.25">
      <c r="A853" t="s">
        <v>1214</v>
      </c>
      <c r="B853" t="s">
        <v>24</v>
      </c>
      <c r="E853">
        <v>13.75</v>
      </c>
      <c r="F853" t="e">
        <v>#DIV/0!</v>
      </c>
      <c r="G853">
        <v>1.6876700742154815</v>
      </c>
      <c r="H853">
        <v>7.5</v>
      </c>
      <c r="I853" t="e">
        <v>#DIV/0!</v>
      </c>
      <c r="J853" t="e">
        <v>#DIV/0!</v>
      </c>
      <c r="K853">
        <v>0.72502138172585429</v>
      </c>
      <c r="L853">
        <v>0.96427298689867702</v>
      </c>
      <c r="M853">
        <v>6.2</v>
      </c>
      <c r="N853">
        <v>2.2781548867598778</v>
      </c>
      <c r="O853">
        <v>0.73673674802803102</v>
      </c>
      <c r="P853">
        <v>9.2527447929979842E-2</v>
      </c>
      <c r="Q853">
        <v>2.8046093842033219E-2</v>
      </c>
      <c r="R853">
        <v>4.2</v>
      </c>
      <c r="S853">
        <v>4.75</v>
      </c>
      <c r="T853">
        <v>0.52</v>
      </c>
      <c r="U853">
        <v>0.85699999999999998</v>
      </c>
    </row>
    <row r="854" spans="1:24" x14ac:dyDescent="0.25">
      <c r="A854" t="s">
        <v>1215</v>
      </c>
      <c r="E854">
        <v>13.5</v>
      </c>
      <c r="F854" t="e">
        <v>#DIV/0!</v>
      </c>
      <c r="G854">
        <v>1.6876700742154815</v>
      </c>
      <c r="H854">
        <v>6.9</v>
      </c>
      <c r="I854" t="e">
        <v>#DIV/0!</v>
      </c>
      <c r="J854" t="e">
        <v>#DIV/0!</v>
      </c>
      <c r="K854">
        <v>0.72502138172585429</v>
      </c>
      <c r="L854">
        <v>1.3</v>
      </c>
      <c r="M854">
        <v>6.5</v>
      </c>
      <c r="N854">
        <v>1.7</v>
      </c>
      <c r="O854">
        <v>0.73673674802803102</v>
      </c>
      <c r="P854">
        <v>9.2527447929979842E-2</v>
      </c>
      <c r="Q854">
        <v>2.8046093842033215E-2</v>
      </c>
      <c r="R854">
        <v>1.75</v>
      </c>
      <c r="S854">
        <v>2</v>
      </c>
      <c r="T854">
        <v>0.52</v>
      </c>
      <c r="U854">
        <v>0.71699999999999997</v>
      </c>
    </row>
    <row r="855" spans="1:24" x14ac:dyDescent="0.25">
      <c r="A855" t="s">
        <v>262</v>
      </c>
      <c r="E855">
        <v>14.75</v>
      </c>
      <c r="F855" t="e">
        <v>#DIV/0!</v>
      </c>
      <c r="G855">
        <v>1.6876700742154815</v>
      </c>
      <c r="H855">
        <v>7.5</v>
      </c>
      <c r="I855" t="e">
        <v>#DIV/0!</v>
      </c>
      <c r="J855" t="e">
        <v>#DIV/0!</v>
      </c>
      <c r="K855">
        <v>1</v>
      </c>
      <c r="L855">
        <v>1.1000000000000001</v>
      </c>
      <c r="M855">
        <v>5.5468333749333834</v>
      </c>
      <c r="N855">
        <v>2.2770979308425838</v>
      </c>
      <c r="O855">
        <v>0.95</v>
      </c>
      <c r="P855">
        <v>9.2527447929979856E-2</v>
      </c>
      <c r="Q855" s="1">
        <v>2.8046093842033215E-2</v>
      </c>
      <c r="R855">
        <v>12</v>
      </c>
      <c r="S855">
        <v>10.35</v>
      </c>
      <c r="T855" t="s">
        <v>1054</v>
      </c>
      <c r="U855">
        <v>0.26600000000000001</v>
      </c>
    </row>
    <row r="856" spans="1:24" x14ac:dyDescent="0.25">
      <c r="A856" t="s">
        <v>1216</v>
      </c>
      <c r="E856">
        <v>12.31365120294979</v>
      </c>
      <c r="F856" t="e">
        <v>#DIV/0!</v>
      </c>
      <c r="G856">
        <v>1.6876700742154815</v>
      </c>
      <c r="H856">
        <v>6.7029284819673007</v>
      </c>
      <c r="I856" t="e">
        <v>#DIV/0!</v>
      </c>
      <c r="J856" t="e">
        <v>#DIV/0!</v>
      </c>
      <c r="K856">
        <v>0.72552316752562473</v>
      </c>
      <c r="L856">
        <v>0.96513330446474022</v>
      </c>
      <c r="M856">
        <v>5</v>
      </c>
      <c r="N856">
        <v>2.2770979308425838</v>
      </c>
      <c r="O856">
        <v>0.6</v>
      </c>
      <c r="P856">
        <v>9.2527447929979856E-2</v>
      </c>
      <c r="Q856">
        <v>2.8046093842033215E-2</v>
      </c>
      <c r="R856">
        <v>1</v>
      </c>
      <c r="S856">
        <v>1</v>
      </c>
      <c r="T856">
        <v>0.5</v>
      </c>
      <c r="U856">
        <v>0.70099999999999996</v>
      </c>
    </row>
    <row r="857" spans="1:24" x14ac:dyDescent="0.25">
      <c r="A857" t="s">
        <v>1217</v>
      </c>
      <c r="E857">
        <v>14</v>
      </c>
      <c r="F857" t="e">
        <v>#DIV/0!</v>
      </c>
      <c r="G857">
        <v>1.6876700742154815</v>
      </c>
      <c r="H857">
        <v>8.35</v>
      </c>
      <c r="I857" t="e">
        <v>#DIV/0!</v>
      </c>
      <c r="J857" t="e">
        <v>#DIV/0!</v>
      </c>
      <c r="K857">
        <v>0.95</v>
      </c>
      <c r="L857">
        <v>1.05</v>
      </c>
      <c r="M857">
        <v>5.75</v>
      </c>
      <c r="N857">
        <v>2.2781548867598778</v>
      </c>
      <c r="O857">
        <v>0.95</v>
      </c>
      <c r="P857">
        <v>9.2527447929979842E-2</v>
      </c>
      <c r="Q857">
        <v>2.8046093842033219E-2</v>
      </c>
      <c r="R857">
        <v>8.5</v>
      </c>
      <c r="S857">
        <v>9</v>
      </c>
      <c r="T857">
        <v>0.44</v>
      </c>
      <c r="U857">
        <v>1.0860000000000001</v>
      </c>
    </row>
    <row r="858" spans="1:24" x14ac:dyDescent="0.25">
      <c r="A858" t="s">
        <v>1218</v>
      </c>
      <c r="E858">
        <v>13.75</v>
      </c>
      <c r="F858" t="e">
        <v>#DIV/0!</v>
      </c>
      <c r="G858">
        <v>1.6876700742154815</v>
      </c>
      <c r="H858">
        <v>6.7059231574546327</v>
      </c>
      <c r="I858" t="e">
        <v>#DIV/0!</v>
      </c>
      <c r="J858" t="e">
        <v>#DIV/0!</v>
      </c>
      <c r="K858">
        <v>0.72593130722103261</v>
      </c>
      <c r="L858">
        <v>0.96528760754753151</v>
      </c>
      <c r="M858">
        <v>4</v>
      </c>
      <c r="N858">
        <v>2.2770998525806152</v>
      </c>
      <c r="O858">
        <v>0.73726363849333265</v>
      </c>
      <c r="P858">
        <v>9.2527447929979856E-2</v>
      </c>
      <c r="Q858">
        <v>2.8046093842033212E-2</v>
      </c>
      <c r="R858">
        <v>13</v>
      </c>
      <c r="S858">
        <v>16</v>
      </c>
      <c r="T858">
        <v>0.49</v>
      </c>
      <c r="U858">
        <v>0.625</v>
      </c>
    </row>
    <row r="859" spans="1:24" x14ac:dyDescent="0.25">
      <c r="A859" t="s">
        <v>1219</v>
      </c>
      <c r="E859">
        <v>12.320437232275163</v>
      </c>
      <c r="F859" t="e">
        <v>#DIV/0!</v>
      </c>
      <c r="G859">
        <v>1.6876700742154815</v>
      </c>
      <c r="H859">
        <v>6.7059231574546327</v>
      </c>
      <c r="I859" t="e">
        <v>#DIV/0!</v>
      </c>
      <c r="J859" t="e">
        <v>#DIV/0!</v>
      </c>
      <c r="K859">
        <v>0.72593130722103272</v>
      </c>
      <c r="L859">
        <v>0.96528760754753162</v>
      </c>
      <c r="M859">
        <v>4</v>
      </c>
      <c r="N859">
        <v>2.2770998525806152</v>
      </c>
      <c r="O859">
        <v>0.73726363849333265</v>
      </c>
      <c r="P859">
        <v>9.2527447929979856E-2</v>
      </c>
      <c r="Q859">
        <v>2.8046093842033212E-2</v>
      </c>
      <c r="R859">
        <v>14</v>
      </c>
      <c r="S859">
        <v>16</v>
      </c>
      <c r="T859">
        <v>0.48</v>
      </c>
      <c r="U859">
        <v>1.171</v>
      </c>
    </row>
    <row r="860" spans="1:24" x14ac:dyDescent="0.25">
      <c r="A860" t="s">
        <v>1068</v>
      </c>
      <c r="E860">
        <v>12.320437232275163</v>
      </c>
      <c r="F860" t="e">
        <v>#DIV/0!</v>
      </c>
      <c r="G860">
        <v>1.6876700742154815</v>
      </c>
      <c r="H860">
        <v>6.7059231574546327</v>
      </c>
      <c r="I860" t="e">
        <v>#DIV/0!</v>
      </c>
      <c r="J860" t="e">
        <v>#DIV/0!</v>
      </c>
      <c r="K860">
        <v>0.72593130722103272</v>
      </c>
      <c r="L860">
        <v>0.96528760754753162</v>
      </c>
      <c r="M860">
        <v>4.5</v>
      </c>
      <c r="N860">
        <v>2.2770998525806152</v>
      </c>
      <c r="O860">
        <v>0.73726363849333265</v>
      </c>
      <c r="P860">
        <v>9.2527447929979856E-2</v>
      </c>
      <c r="Q860">
        <v>2.8046093842033212E-2</v>
      </c>
      <c r="R860">
        <v>13</v>
      </c>
      <c r="S860">
        <v>15</v>
      </c>
      <c r="T860" t="s">
        <v>1054</v>
      </c>
      <c r="U860">
        <v>0.38900000000000001</v>
      </c>
    </row>
    <row r="861" spans="1:24" x14ac:dyDescent="0.25">
      <c r="A861" t="s">
        <v>1220</v>
      </c>
      <c r="E861">
        <v>14.5</v>
      </c>
      <c r="F861" t="e">
        <v>#DIV/0!</v>
      </c>
      <c r="G861">
        <v>1.6862249018729596</v>
      </c>
      <c r="H861">
        <v>10</v>
      </c>
      <c r="K861">
        <v>1</v>
      </c>
      <c r="L861">
        <v>1.1000000000000001</v>
      </c>
      <c r="M861">
        <v>4.5</v>
      </c>
      <c r="N861">
        <v>2.25</v>
      </c>
      <c r="O861">
        <v>0.73674511207005955</v>
      </c>
      <c r="P861">
        <v>9.2403771285419434E-2</v>
      </c>
      <c r="Q861" s="1">
        <v>2.8028892985600021E-2</v>
      </c>
      <c r="R861">
        <v>14</v>
      </c>
      <c r="S861">
        <v>15</v>
      </c>
      <c r="T861">
        <v>0.45</v>
      </c>
      <c r="U861">
        <v>0.74199999999999999</v>
      </c>
    </row>
    <row r="862" spans="1:24" x14ac:dyDescent="0.25">
      <c r="A862" t="s">
        <v>1221</v>
      </c>
      <c r="E862">
        <v>13.75</v>
      </c>
      <c r="F862" t="e">
        <v>#DIV/0!</v>
      </c>
      <c r="G862">
        <v>1.6876700742154815</v>
      </c>
      <c r="H862">
        <v>6.7059231574546327</v>
      </c>
      <c r="I862" t="e">
        <v>#DIV/0!</v>
      </c>
      <c r="J862" t="e">
        <v>#DIV/0!</v>
      </c>
      <c r="K862">
        <v>0.9</v>
      </c>
      <c r="L862">
        <v>1</v>
      </c>
      <c r="M862">
        <v>3.5</v>
      </c>
      <c r="N862">
        <v>2.2770998525806152</v>
      </c>
      <c r="O862">
        <v>0.73726363849333265</v>
      </c>
      <c r="P862">
        <v>9.2527447929979856E-2</v>
      </c>
      <c r="Q862">
        <v>2.8046093842033212E-2</v>
      </c>
      <c r="R862">
        <v>13</v>
      </c>
      <c r="S862">
        <v>16</v>
      </c>
      <c r="T862">
        <v>0.59</v>
      </c>
      <c r="U862">
        <v>0.76300000000000001</v>
      </c>
    </row>
    <row r="863" spans="1:24" x14ac:dyDescent="0.25">
      <c r="A863" t="s">
        <v>468</v>
      </c>
      <c r="E863">
        <v>15.25</v>
      </c>
      <c r="H863">
        <v>3.45</v>
      </c>
      <c r="K863">
        <v>0.2</v>
      </c>
      <c r="L863">
        <v>0.5</v>
      </c>
      <c r="M863">
        <v>9.15</v>
      </c>
      <c r="N863">
        <v>4.6714000000000002</v>
      </c>
      <c r="O863">
        <v>0.9</v>
      </c>
      <c r="P863">
        <v>9.2527447929979856E-2</v>
      </c>
      <c r="Q863">
        <v>2.8046093842033212E-2</v>
      </c>
      <c r="R863">
        <v>0</v>
      </c>
      <c r="S863">
        <v>0</v>
      </c>
      <c r="T863">
        <v>0.57999999999999996</v>
      </c>
      <c r="U863">
        <v>0.996</v>
      </c>
    </row>
    <row r="864" spans="1:24" x14ac:dyDescent="0.25">
      <c r="A864" t="s">
        <v>1222</v>
      </c>
      <c r="E864">
        <v>12</v>
      </c>
      <c r="F864" t="e">
        <v>#DIV/0!</v>
      </c>
      <c r="G864">
        <v>1.6876700742154815</v>
      </c>
      <c r="H864">
        <v>6.7059231574546327</v>
      </c>
      <c r="I864" t="e">
        <v>#DIV/0!</v>
      </c>
      <c r="J864" t="e">
        <v>#DIV/0!</v>
      </c>
      <c r="K864">
        <v>0.72593130722103261</v>
      </c>
      <c r="L864">
        <v>0.96528760754753151</v>
      </c>
      <c r="M864">
        <v>4</v>
      </c>
      <c r="N864">
        <v>2.2770998525806152</v>
      </c>
      <c r="O864">
        <v>0.73726363849333265</v>
      </c>
      <c r="P864">
        <v>9.2527447929979856E-2</v>
      </c>
      <c r="Q864">
        <v>2.8046093842033212E-2</v>
      </c>
      <c r="R864">
        <v>17</v>
      </c>
      <c r="S864">
        <v>16</v>
      </c>
      <c r="T864">
        <v>0.47</v>
      </c>
      <c r="U864">
        <v>0.54800000000000004</v>
      </c>
    </row>
    <row r="865" spans="1:25" x14ac:dyDescent="0.25">
      <c r="A865" t="s">
        <v>1223</v>
      </c>
      <c r="E865">
        <v>16.086468587003544</v>
      </c>
      <c r="F865" t="e">
        <v>#DIV/0!</v>
      </c>
      <c r="G865">
        <v>0.90005114754098325</v>
      </c>
      <c r="H865">
        <v>4.0821078431372548</v>
      </c>
      <c r="I865" t="e">
        <v>#DIV/0!</v>
      </c>
      <c r="J865" t="e">
        <v>#DIV/0!</v>
      </c>
      <c r="K865">
        <v>0.19868823529411761</v>
      </c>
      <c r="L865">
        <v>0.70321241830065362</v>
      </c>
      <c r="M865">
        <v>4.2045483660130749</v>
      </c>
      <c r="N865">
        <v>4.7761993464052246</v>
      </c>
      <c r="O865">
        <v>0.72709771241830012</v>
      </c>
      <c r="P865">
        <v>5.2587581699346429E-2</v>
      </c>
      <c r="Q865">
        <v>1.8654426229508199E-2</v>
      </c>
      <c r="R865">
        <v>0</v>
      </c>
      <c r="S865">
        <v>0</v>
      </c>
      <c r="T865">
        <v>0.53</v>
      </c>
      <c r="U865">
        <v>0.753</v>
      </c>
    </row>
    <row r="866" spans="1:25" x14ac:dyDescent="0.25">
      <c r="A866" t="s">
        <v>1224</v>
      </c>
      <c r="E866">
        <v>17</v>
      </c>
      <c r="F866" t="e">
        <v>#DIV/0!</v>
      </c>
      <c r="G866">
        <v>0.90005114754098325</v>
      </c>
      <c r="H866">
        <v>5</v>
      </c>
      <c r="I866" t="e">
        <v>#DIV/0!</v>
      </c>
      <c r="J866" t="e">
        <v>#DIV/0!</v>
      </c>
      <c r="K866">
        <v>0.19868823529411761</v>
      </c>
      <c r="L866">
        <v>0.70321241830065362</v>
      </c>
      <c r="M866">
        <v>5</v>
      </c>
      <c r="N866">
        <v>5.5</v>
      </c>
      <c r="O866">
        <v>0.72709771241830012</v>
      </c>
      <c r="P866">
        <v>5.2587581699346429E-2</v>
      </c>
      <c r="Q866">
        <v>1.8654426229508199E-2</v>
      </c>
      <c r="R866">
        <v>0</v>
      </c>
      <c r="S866">
        <v>0</v>
      </c>
      <c r="T866">
        <v>0.55000000000000004</v>
      </c>
      <c r="U866">
        <v>0.68400000000000005</v>
      </c>
    </row>
    <row r="867" spans="1:25" x14ac:dyDescent="0.25">
      <c r="A867" t="s">
        <v>1225</v>
      </c>
      <c r="E867">
        <v>16.086468587003544</v>
      </c>
      <c r="F867" t="e">
        <v>#DIV/0!</v>
      </c>
      <c r="G867">
        <v>0.90005114754098325</v>
      </c>
      <c r="H867">
        <v>4.0821078431372548</v>
      </c>
      <c r="I867" t="e">
        <v>#DIV/0!</v>
      </c>
      <c r="J867" t="e">
        <v>#DIV/0!</v>
      </c>
      <c r="K867">
        <v>0.19868823529411761</v>
      </c>
      <c r="L867">
        <v>0.70321241830065362</v>
      </c>
      <c r="M867">
        <v>4.2045483660130749</v>
      </c>
      <c r="N867">
        <v>4.7761993464052246</v>
      </c>
      <c r="O867">
        <v>0.72709771241830012</v>
      </c>
      <c r="P867">
        <v>5.2587581699346429E-2</v>
      </c>
      <c r="Q867">
        <v>1.8654426229508199E-2</v>
      </c>
      <c r="R867">
        <v>0</v>
      </c>
      <c r="S867">
        <v>0</v>
      </c>
      <c r="T867">
        <v>0.43</v>
      </c>
      <c r="U867">
        <v>1.7649999999999999</v>
      </c>
    </row>
    <row r="868" spans="1:25" x14ac:dyDescent="0.25">
      <c r="A868" t="s">
        <v>674</v>
      </c>
      <c r="E868">
        <v>11</v>
      </c>
      <c r="F868" t="e">
        <v>#DIV/0!</v>
      </c>
      <c r="G868">
        <v>1.6876700742154815</v>
      </c>
      <c r="H868">
        <v>6.7029284819673007</v>
      </c>
      <c r="I868" t="e">
        <v>#DIV/0!</v>
      </c>
      <c r="J868" t="e">
        <v>#DIV/0!</v>
      </c>
      <c r="K868">
        <v>0.72552316752562473</v>
      </c>
      <c r="L868">
        <v>0.96513330446474022</v>
      </c>
      <c r="M868">
        <v>5</v>
      </c>
      <c r="N868">
        <v>2.2770979308425838</v>
      </c>
      <c r="O868">
        <v>0.6</v>
      </c>
      <c r="P868">
        <v>9.2527447929979856E-2</v>
      </c>
      <c r="Q868" s="1">
        <v>2.8046093842033215E-2</v>
      </c>
      <c r="R868">
        <v>1</v>
      </c>
      <c r="S868">
        <v>1</v>
      </c>
      <c r="T868">
        <v>0.62</v>
      </c>
      <c r="U868">
        <v>0.60899999999999999</v>
      </c>
    </row>
    <row r="869" spans="1:25" x14ac:dyDescent="0.25">
      <c r="A869" t="s">
        <v>1263</v>
      </c>
      <c r="E869">
        <v>16.75</v>
      </c>
      <c r="F869" t="e">
        <v>#DIV/0!</v>
      </c>
      <c r="G869">
        <v>0.90083369656059109</v>
      </c>
      <c r="H869">
        <v>5.2480000000000002</v>
      </c>
      <c r="I869" t="e">
        <v>#DIV/0!</v>
      </c>
      <c r="J869" t="e">
        <v>#DIV/0!</v>
      </c>
      <c r="K869">
        <v>0.22345000000000001</v>
      </c>
      <c r="L869">
        <v>0.77214000000000005</v>
      </c>
      <c r="M869">
        <v>3.4569999999999999</v>
      </c>
      <c r="N869">
        <v>3.5127999999999999</v>
      </c>
      <c r="O869">
        <v>0.88129999999999997</v>
      </c>
      <c r="P869">
        <v>5.2587581699346429E-2</v>
      </c>
      <c r="Q869" s="1">
        <v>1.8654426229508199E-2</v>
      </c>
      <c r="R869">
        <v>0</v>
      </c>
      <c r="S869">
        <v>0</v>
      </c>
      <c r="T869">
        <v>0.30623287671232879</v>
      </c>
    </row>
    <row r="870" spans="1:25" x14ac:dyDescent="0.25">
      <c r="Q870" s="1"/>
    </row>
    <row r="871" spans="1:25" x14ac:dyDescent="0.25">
      <c r="Q871" s="1"/>
    </row>
    <row r="872" spans="1:25" x14ac:dyDescent="0.25">
      <c r="E872" s="15" t="s">
        <v>52</v>
      </c>
      <c r="F872" s="15" t="s">
        <v>51</v>
      </c>
      <c r="G872" s="15" t="s">
        <v>50</v>
      </c>
      <c r="H872" s="15" t="s">
        <v>49</v>
      </c>
      <c r="I872" s="15" t="s">
        <v>48</v>
      </c>
      <c r="J872" s="15" t="s">
        <v>47</v>
      </c>
      <c r="K872" s="15" t="s">
        <v>46</v>
      </c>
      <c r="L872" s="15" t="s">
        <v>45</v>
      </c>
      <c r="M872" s="15" t="s">
        <v>44</v>
      </c>
      <c r="N872" s="15" t="s">
        <v>43</v>
      </c>
      <c r="O872" s="15" t="s">
        <v>42</v>
      </c>
      <c r="P872" s="15" t="s">
        <v>41</v>
      </c>
      <c r="Q872" s="15" t="s">
        <v>40</v>
      </c>
      <c r="R872" s="15" t="s">
        <v>39</v>
      </c>
      <c r="S872" s="15" t="s">
        <v>38</v>
      </c>
      <c r="T872" s="16" t="s">
        <v>37</v>
      </c>
    </row>
    <row r="873" spans="1:25" x14ac:dyDescent="0.25">
      <c r="D873" t="s">
        <v>24</v>
      </c>
      <c r="E873">
        <f>AVERAGEIF(Table1[Pos], "&lt;&gt;D",Table1[Toi])</f>
        <v>12.412746570875074</v>
      </c>
      <c r="F873" t="e">
        <f>AVERAGEIF(Table1[Pos], "&lt;&gt;D",Table1[Goals])</f>
        <v>#DIV/0!</v>
      </c>
      <c r="G873">
        <f>AVERAGEIF(Table1[Pos], "&lt;&gt;D",Table1[Points])</f>
        <v>1.6820430414833014</v>
      </c>
      <c r="H873">
        <f>AVERAGEIF(Table1[Pos], "&lt;&gt;D",Table1[sog])</f>
        <v>6.6929047981415692</v>
      </c>
      <c r="I873" t="e">
        <f>AVERAGEIF(Table1[Pos], "&lt;&gt;D",Table1[sh.p])</f>
        <v>#DIV/0!</v>
      </c>
      <c r="J873" t="e">
        <f>AVERAGEIF(Table1[Pos], "&lt;&gt;D",Table1[G2])</f>
        <v>#DIV/0!</v>
      </c>
      <c r="K873">
        <f>AVERAGEIF(Table1[Pos], "&lt;&gt;D",Table1[G3])</f>
        <v>0.72461121365455539</v>
      </c>
      <c r="L873">
        <f>AVERAGEIF(Table1[Pos], "&lt;&gt;D",Table1[Assists])</f>
        <v>0.9652824290759775</v>
      </c>
      <c r="M873">
        <f>AVERAGEIF(Table1[Pos], "&lt;&gt;D",Table1[Hit])</f>
        <v>5.5272789789955867</v>
      </c>
      <c r="N873">
        <f>AVERAGEIF(Table1[Pos], "&lt;&gt;D",Table1[Blk])</f>
        <v>2.2981389943165391</v>
      </c>
      <c r="O873">
        <f>AVERAGEIF(Table1[Pos], "&lt;&gt;D",Table1[Minor])</f>
        <v>0.73751006692726806</v>
      </c>
      <c r="P873">
        <f>AVERAGEIF(Table1[Pos], "&lt;&gt;D",Table1[Major])</f>
        <v>9.2202033087333823E-2</v>
      </c>
      <c r="Q873">
        <f>AVERAGEIF(Table1[Pos], "&lt;&gt;D",Table1[Mis])</f>
        <v>2.7860001544334746E-2</v>
      </c>
      <c r="R873">
        <f>AVERAGEIF(Table1[Pos], "&lt;&gt;D",Table1[fow])</f>
        <v>8.3247564056939538</v>
      </c>
      <c r="S873">
        <f>AVERAGEIF(Table1[Pos], "&lt;&gt;D",Table1[fol])</f>
        <v>8.4810873665480404</v>
      </c>
      <c r="T873">
        <f>AVERAGEIF(Table1[Pos], "&lt;&gt;D",Table1[fo.p])</f>
        <v>0.31524654858732881</v>
      </c>
    </row>
    <row r="874" spans="1:25" x14ac:dyDescent="0.25">
      <c r="D874" t="s">
        <v>3</v>
      </c>
      <c r="E874">
        <f>AVERAGEIF(Table1[Pos], "=D",Table1[Toi])</f>
        <v>16.11024442143697</v>
      </c>
      <c r="F874" t="e">
        <f>AVERAGEIF(Table1[Pos], "=D",Table1[Goals])</f>
        <v>#DIV/0!</v>
      </c>
      <c r="G874">
        <f>AVERAGEIF(Table1[Pos], "=D",Table1[Points])</f>
        <v>0.90083369656059109</v>
      </c>
      <c r="H874">
        <f>AVERAGEIF(Table1[Pos], "=D",Table1[sog])</f>
        <v>4.0853725490196089</v>
      </c>
      <c r="I874" t="e">
        <f>AVERAGEIF(Table1[Pos], "=D",Table1[sh.p])</f>
        <v>#DIV/0!</v>
      </c>
      <c r="J874" t="e">
        <f>AVERAGEIF(Table1[Pos], "=D",Table1[G2])</f>
        <v>#DIV/0!</v>
      </c>
      <c r="K874">
        <f>AVERAGEIF(Table1[Pos], "=D",Table1[G3])</f>
        <v>0.19882679738562087</v>
      </c>
      <c r="L874">
        <f>AVERAGEIF(Table1[Pos], "=D",Table1[Assists])</f>
        <v>0.70419104575163405</v>
      </c>
      <c r="M874">
        <f>AVERAGEIF(Table1[Pos], "=D",Table1[Hit])</f>
        <v>4.2032709150326824</v>
      </c>
      <c r="N874">
        <f>AVERAGEIF(Table1[Pos], "=D",Table1[Blk])</f>
        <v>4.7798496732026097</v>
      </c>
      <c r="O874">
        <f>AVERAGEIF(Table1[Pos], "=D",Table1[Minor])</f>
        <v>0.72709771241830012</v>
      </c>
      <c r="P874">
        <f>AVERAGEIF(Table1[Pos], "=D",Table1[Major])</f>
        <v>5.2587581699346429E-2</v>
      </c>
      <c r="Q874">
        <f>AVERAGEIF(Table1[Pos], "=D",Table1[Mis])</f>
        <v>1.8654426229508199E-2</v>
      </c>
      <c r="R874">
        <f>AVERAGEIF(Table1[Pos], "=D",Table1[fow])</f>
        <v>0</v>
      </c>
      <c r="S874">
        <f>AVERAGEIF(Table1[Pos], "=D",Table1[fol])</f>
        <v>0</v>
      </c>
      <c r="T874">
        <f>AVERAGEIF(Table1[Pos], "=D",Table1[fo.p])</f>
        <v>0.30623287671232879</v>
      </c>
    </row>
    <row r="877" spans="1:25" x14ac:dyDescent="0.25">
      <c r="Y877">
        <f>693/1294</f>
        <v>0.53554868624420404</v>
      </c>
    </row>
  </sheetData>
  <phoneticPr fontId="18" type="noConversion"/>
  <conditionalFormatting sqref="A872:A1048576 A1">
    <cfRule type="duplicateValues" dxfId="11" priority="2"/>
  </conditionalFormatting>
  <conditionalFormatting sqref="A829:A841">
    <cfRule type="duplicateValues" dxfId="10" priority="130"/>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E756"/>
  <sheetViews>
    <sheetView tabSelected="1" workbookViewId="0">
      <pane xSplit="1" topLeftCell="B1" activePane="topRight" state="frozen"/>
      <selection pane="topRight" activeCell="K13" sqref="K13"/>
    </sheetView>
  </sheetViews>
  <sheetFormatPr defaultRowHeight="15" x14ac:dyDescent="0.25"/>
  <cols>
    <col min="1" max="1" width="24.5703125" bestFit="1" customWidth="1"/>
    <col min="5" max="5" width="12.28515625" customWidth="1"/>
    <col min="6" max="7" width="12.5703125" customWidth="1"/>
    <col min="8" max="9" width="12.42578125" customWidth="1"/>
    <col min="13" max="13" width="11" customWidth="1"/>
    <col min="19" max="20" width="11.42578125" customWidth="1"/>
    <col min="27" max="27" width="10" bestFit="1" customWidth="1"/>
    <col min="28" max="28" width="11.7109375" customWidth="1"/>
    <col min="29" max="29" width="13" customWidth="1"/>
    <col min="30" max="30" width="15.140625" customWidth="1"/>
    <col min="31" max="31" width="15.42578125" bestFit="1" customWidth="1"/>
  </cols>
  <sheetData>
    <row r="1" spans="1:31" ht="17.25" customHeight="1" x14ac:dyDescent="0.25">
      <c r="A1" s="3" t="s">
        <v>0</v>
      </c>
      <c r="B1" s="3" t="s">
        <v>54</v>
      </c>
      <c r="C1" s="3" t="s">
        <v>55</v>
      </c>
      <c r="D1" s="3" t="s">
        <v>53</v>
      </c>
      <c r="E1" s="4" t="s">
        <v>57</v>
      </c>
      <c r="F1" s="4" t="s">
        <v>58</v>
      </c>
      <c r="G1" s="4" t="s">
        <v>59</v>
      </c>
      <c r="H1" s="4" t="s">
        <v>124</v>
      </c>
      <c r="I1" s="30" t="s">
        <v>1</v>
      </c>
      <c r="J1" s="4" t="s">
        <v>60</v>
      </c>
      <c r="K1" s="4" t="s">
        <v>61</v>
      </c>
      <c r="L1" s="4" t="s">
        <v>62</v>
      </c>
      <c r="M1" s="4" t="s">
        <v>63</v>
      </c>
      <c r="N1" s="4" t="s">
        <v>51</v>
      </c>
      <c r="O1" s="4" t="s">
        <v>45</v>
      </c>
      <c r="P1" s="4" t="s">
        <v>50</v>
      </c>
      <c r="Q1" s="4" t="s">
        <v>844</v>
      </c>
      <c r="R1" s="4" t="s">
        <v>845</v>
      </c>
      <c r="S1" s="4" t="s">
        <v>64</v>
      </c>
      <c r="T1" s="4" t="s">
        <v>846</v>
      </c>
      <c r="U1" s="4" t="s">
        <v>65</v>
      </c>
      <c r="V1" s="4" t="s">
        <v>66</v>
      </c>
      <c r="W1" s="4" t="s">
        <v>56</v>
      </c>
      <c r="X1" s="4" t="s">
        <v>67</v>
      </c>
      <c r="Y1" s="4" t="s">
        <v>68</v>
      </c>
      <c r="Z1" s="5" t="s">
        <v>69</v>
      </c>
      <c r="AA1" s="5" t="s">
        <v>149</v>
      </c>
      <c r="AB1" s="5" t="s">
        <v>152</v>
      </c>
      <c r="AC1" s="5" t="s">
        <v>1105</v>
      </c>
      <c r="AD1" s="5" t="s">
        <v>127</v>
      </c>
      <c r="AE1" s="7" t="s">
        <v>72</v>
      </c>
    </row>
    <row r="2" spans="1:31" x14ac:dyDescent="0.25">
      <c r="A2" t="s">
        <v>906</v>
      </c>
      <c r="B2">
        <v>28</v>
      </c>
      <c r="C2" t="s">
        <v>74</v>
      </c>
      <c r="D2" t="s">
        <v>16</v>
      </c>
      <c r="E2" s="9">
        <f>INDEX(Table1[],MATCH(Proj[[#This Row],[Player]],Table1[Player],0),5)</f>
        <v>17.430340303407199</v>
      </c>
      <c r="F2" s="9">
        <f>_xlfn.IFNA(INDEX(Table2[],MATCH(Proj[[#This Row],[Player]],Table2[Player],0),5),0)</f>
        <v>3.65</v>
      </c>
      <c r="G2" s="9">
        <f>_xlfn.IFNA(INDEX(Table3[],MATCH(Proj[[#This Row],[Player]],Table3[Player],0),5),0)</f>
        <v>0.65</v>
      </c>
      <c r="H2" s="10">
        <v>79</v>
      </c>
      <c r="I2">
        <v>79</v>
      </c>
      <c r="J2" s="9">
        <v>17.430340303407199</v>
      </c>
      <c r="K2" s="9">
        <v>3.65</v>
      </c>
      <c r="L2" s="9">
        <v>0.65</v>
      </c>
      <c r="M2" s="9">
        <f>Proj[[#This Row],[TOI ES]]+Proj[[#This Row],[TOI PP]]+Proj[[#This Row],[TOI PK]]</f>
        <v>21.730340303407196</v>
      </c>
      <c r="N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42</v>
      </c>
      <c r="O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91</v>
      </c>
      <c r="P2" s="10">
        <f>Proj[[#This Row],[Goals]]+Proj[[#This Row],[Assists]]</f>
        <v>133</v>
      </c>
      <c r="Q2" s="10">
        <f>ROUND(_xlfn.IFNA(INDEX(Table2[],MATCH(Proj[[#This Row],[Player]],Table2[Player],0),11)/60,IF(Proj[[#This Row],[Pos]] = "D", 'Per 60 PP'!$K$527,'Per 60 PP'!$K$526)/60)*Proj[[#This Row],[TOI PP]]*Proj[[#This Row],[GP]],0)</f>
        <v>11</v>
      </c>
      <c r="R2" s="10">
        <f>ROUND(_xlfn.IFNA(INDEX(Table2[],MATCH(Proj[[#This Row],[Player]],Table2[Player],0),7)/60,IF(Proj[[#This Row],[Pos]] = "D", 'Per 60 PP'!$G$527,'Per 60 PP'!$G$526)/60)*Proj[[#This Row],[TOI PP]]*Proj[[#This Row],[GP]],0)</f>
        <v>39</v>
      </c>
      <c r="S2" s="10">
        <f>Proj[[#This Row],[PPG]]+Proj[[#This Row],[PPA]]</f>
        <v>50</v>
      </c>
      <c r="T2">
        <f>ROUND((_xlfn.IFNA(INDEX(Table3[],MATCH(Proj[[#This Row],[Player]],Table3[Player],0),6)/60,IF(Proj[[#This Row],[Pos]] ="D", 'Per 60 PK'!$F$623, 'Per 60 PK'!$F$622)/60)+_xlfn.IFNA(INDEX(Table3[],MATCH(Proj[[#This Row],[Player]],Table3[Player],0),8)/60,IF(Proj[[#This Row],[Pos]] ="D", 'Per 60 PK'!$H$623, 'Per 60 PK'!$H$622)/60))*Proj[[#This Row],[TOI PK]]*Proj[[#This Row],[GP]],0)</f>
        <v>2</v>
      </c>
      <c r="U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99</v>
      </c>
      <c r="V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467</v>
      </c>
      <c r="Y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445</v>
      </c>
      <c r="Z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289</v>
      </c>
      <c r="AA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1483.246805398049</v>
      </c>
      <c r="AB2" s="10">
        <f>_xlfn.RANK.EQ(Proj[[#This Row],[VOR]],Proj[VOR])</f>
        <v>1</v>
      </c>
      <c r="AC2" s="10">
        <f>INDEX(Std[],MATCH(Proj[[#This Row],[Player]],Std[Player],0),20)</f>
        <v>2217.8806597083476</v>
      </c>
      <c r="AD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958.15000000000009</v>
      </c>
    </row>
    <row r="3" spans="1:31" x14ac:dyDescent="0.25">
      <c r="A3" t="s">
        <v>243</v>
      </c>
      <c r="B3">
        <v>31</v>
      </c>
      <c r="C3" t="s">
        <v>103</v>
      </c>
      <c r="D3" t="s">
        <v>153</v>
      </c>
      <c r="E3" s="9">
        <f>INDEX(Table1[],MATCH(Proj[[#This Row],[Player]],Table1[Player],0),5)</f>
        <v>17.156754893102299</v>
      </c>
      <c r="F3" s="9">
        <f>_xlfn.IFNA(INDEX(Table2[],MATCH(Proj[[#This Row],[Player]],Table2[Player],0),5),0)</f>
        <v>3.87</v>
      </c>
      <c r="G3" s="9">
        <f>_xlfn.IFNA(INDEX(Table3[],MATCH(Proj[[#This Row],[Player]],Table3[Player],0),5),0)</f>
        <v>0</v>
      </c>
      <c r="H3" s="10">
        <v>81</v>
      </c>
      <c r="I3">
        <v>81</v>
      </c>
      <c r="J3" s="9">
        <v>17.156754893102299</v>
      </c>
      <c r="K3" s="9">
        <v>3.87</v>
      </c>
      <c r="L3" s="9">
        <v>0</v>
      </c>
      <c r="M3" s="9">
        <f>Proj[[#This Row],[TOI ES]]+Proj[[#This Row],[TOI PP]]+Proj[[#This Row],[TOI PK]]</f>
        <v>21.0267548931023</v>
      </c>
      <c r="N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37</v>
      </c>
      <c r="O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81</v>
      </c>
      <c r="P3" s="10">
        <f>Proj[[#This Row],[Goals]]+Proj[[#This Row],[Assists]]</f>
        <v>118</v>
      </c>
      <c r="Q3" s="10">
        <f>ROUND(_xlfn.IFNA(INDEX(Table2[],MATCH(Proj[[#This Row],[Player]],Table2[Player],0),11)/60,IF(Proj[[#This Row],[Pos]] = "D", 'Per 60 PP'!$K$527,'Per 60 PP'!$K$526)/60)*Proj[[#This Row],[TOI PP]]*Proj[[#This Row],[GP]],0)</f>
        <v>11</v>
      </c>
      <c r="R3" s="10">
        <f>ROUND(_xlfn.IFNA(INDEX(Table2[],MATCH(Proj[[#This Row],[Player]],Table2[Player],0),7)/60,IF(Proj[[#This Row],[Pos]] = "D", 'Per 60 PP'!$G$527,'Per 60 PP'!$G$526)/60)*Proj[[#This Row],[TOI PP]]*Proj[[#This Row],[GP]],0)</f>
        <v>35</v>
      </c>
      <c r="S3" s="10">
        <f>Proj[[#This Row],[PPG]]+Proj[[#This Row],[PPA]]</f>
        <v>46</v>
      </c>
      <c r="T3">
        <f>ROUND((_xlfn.IFNA(INDEX(Table3[],MATCH(Proj[[#This Row],[Player]],Table3[Player],0),6)/60,IF(Proj[[#This Row],[Pos]] ="D", 'Per 60 PK'!$F$623, 'Per 60 PK'!$F$622)/60)+_xlfn.IFNA(INDEX(Table3[],MATCH(Proj[[#This Row],[Player]],Table3[Player],0),8)/60,IF(Proj[[#This Row],[Pos]] ="D", 'Per 60 PK'!$H$623, 'Per 60 PK'!$H$622)/60))*Proj[[#This Row],[TOI PK]]*Proj[[#This Row],[GP]],0)</f>
        <v>0</v>
      </c>
      <c r="U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v>
      </c>
      <c r="Z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284</v>
      </c>
      <c r="AA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1129.4448692338308</v>
      </c>
      <c r="AB3" s="10">
        <f>_xlfn.RANK.EQ(Proj[[#This Row],[VOR]],Proj[VOR])</f>
        <v>9</v>
      </c>
      <c r="AC3" s="10">
        <f>INDEX(Std[],MATCH(Proj[[#This Row],[Player]],Std[Player],0),20)</f>
        <v>1575.9895936240796</v>
      </c>
      <c r="AD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796.45000000000016</v>
      </c>
    </row>
    <row r="4" spans="1:31" x14ac:dyDescent="0.25">
      <c r="A4" t="s">
        <v>993</v>
      </c>
      <c r="B4">
        <v>29</v>
      </c>
      <c r="C4" t="s">
        <v>74</v>
      </c>
      <c r="D4" t="s">
        <v>11</v>
      </c>
      <c r="E4" s="9">
        <f>INDEX(Table1[],MATCH(Proj[[#This Row],[Player]],Table1[Player],0),5)</f>
        <v>18.016633253439899</v>
      </c>
      <c r="F4" s="9">
        <f>_xlfn.IFNA(INDEX(Table2[],MATCH(Proj[[#This Row],[Player]],Table2[Player],0),5),0)</f>
        <v>4.29</v>
      </c>
      <c r="G4" s="9">
        <f>_xlfn.IFNA(INDEX(Table3[],MATCH(Proj[[#This Row],[Player]],Table3[Player],0),5),0)</f>
        <v>0</v>
      </c>
      <c r="H4" s="10">
        <v>78</v>
      </c>
      <c r="I4">
        <v>78</v>
      </c>
      <c r="J4" s="9">
        <v>18.016633253439899</v>
      </c>
      <c r="K4" s="9">
        <v>4.29</v>
      </c>
      <c r="L4" s="9">
        <v>0</v>
      </c>
      <c r="M4" s="9">
        <f>Proj[[#This Row],[TOI ES]]+Proj[[#This Row],[TOI PP]]+Proj[[#This Row],[TOI PK]]</f>
        <v>22.306633253439898</v>
      </c>
      <c r="N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43</v>
      </c>
      <c r="O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73</v>
      </c>
      <c r="P4" s="10">
        <f>Proj[[#This Row],[Goals]]+Proj[[#This Row],[Assists]]</f>
        <v>116</v>
      </c>
      <c r="Q4" s="10">
        <f>ROUND(_xlfn.IFNA(INDEX(Table2[],MATCH(Proj[[#This Row],[Player]],Table2[Player],0),11)/60,IF(Proj[[#This Row],[Pos]] = "D", 'Per 60 PP'!$K$527,'Per 60 PP'!$K$526)/60)*Proj[[#This Row],[TOI PP]]*Proj[[#This Row],[GP]],0)</f>
        <v>11</v>
      </c>
      <c r="R4" s="10">
        <f>ROUND(_xlfn.IFNA(INDEX(Table2[],MATCH(Proj[[#This Row],[Player]],Table2[Player],0),7)/60,IF(Proj[[#This Row],[Pos]] = "D", 'Per 60 PP'!$G$527,'Per 60 PP'!$G$526)/60)*Proj[[#This Row],[TOI PP]]*Proj[[#This Row],[GP]],0)</f>
        <v>29</v>
      </c>
      <c r="S4" s="10">
        <f>Proj[[#This Row],[PPG]]+Proj[[#This Row],[PPA]]</f>
        <v>40</v>
      </c>
      <c r="T4">
        <f>ROUND((_xlfn.IFNA(INDEX(Table3[],MATCH(Proj[[#This Row],[Player]],Table3[Player],0),6)/60,IF(Proj[[#This Row],[Pos]] ="D", 'Per 60 PK'!$F$623, 'Per 60 PK'!$F$622)/60)+_xlfn.IFNA(INDEX(Table3[],MATCH(Proj[[#This Row],[Player]],Table3[Player],0),8)/60,IF(Proj[[#This Row],[Pos]] ="D", 'Per 60 PK'!$H$623, 'Per 60 PK'!$H$622)/60))*Proj[[#This Row],[TOI PK]]*Proj[[#This Row],[GP]],0)</f>
        <v>0</v>
      </c>
      <c r="U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544</v>
      </c>
      <c r="Y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651</v>
      </c>
      <c r="Z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379</v>
      </c>
      <c r="AA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1331.5929614355412</v>
      </c>
      <c r="AB4" s="10">
        <f>_xlfn.RANK.EQ(Proj[[#This Row],[VOR]],Proj[VOR])</f>
        <v>5</v>
      </c>
      <c r="AC4" s="10">
        <f>INDEX(Std[],MATCH(Proj[[#This Row],[Player]],Std[Player],0),20)</f>
        <v>2066.2268157458398</v>
      </c>
      <c r="AD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914.45</v>
      </c>
    </row>
    <row r="5" spans="1:31" x14ac:dyDescent="0.25">
      <c r="A5" t="s">
        <v>239</v>
      </c>
      <c r="B5">
        <v>29</v>
      </c>
      <c r="C5" t="s">
        <v>101</v>
      </c>
      <c r="D5" t="s">
        <v>16</v>
      </c>
      <c r="E5" s="9">
        <f>INDEX(Table1[],MATCH(Proj[[#This Row],[Player]],Table1[Player],0),5)</f>
        <v>16.751482799196602</v>
      </c>
      <c r="F5" s="9">
        <f>_xlfn.IFNA(INDEX(Table2[],MATCH(Proj[[#This Row],[Player]],Table2[Player],0),5),0)</f>
        <v>3.6</v>
      </c>
      <c r="G5" s="9">
        <f>_xlfn.IFNA(INDEX(Table3[],MATCH(Proj[[#This Row],[Player]],Table3[Player],0),5),0)</f>
        <v>0.6</v>
      </c>
      <c r="H5" s="10">
        <v>80</v>
      </c>
      <c r="I5">
        <v>80</v>
      </c>
      <c r="J5" s="9">
        <v>16.751482799196602</v>
      </c>
      <c r="K5" s="9">
        <v>3.6</v>
      </c>
      <c r="L5" s="9">
        <v>0.6</v>
      </c>
      <c r="M5" s="9">
        <f>Proj[[#This Row],[TOI ES]]+Proj[[#This Row],[TOI PP]]+Proj[[#This Row],[TOI PK]]</f>
        <v>20.951482799196604</v>
      </c>
      <c r="N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41</v>
      </c>
      <c r="O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67</v>
      </c>
      <c r="P5" s="10">
        <f>Proj[[#This Row],[Goals]]+Proj[[#This Row],[Assists]]</f>
        <v>108</v>
      </c>
      <c r="Q5" s="10">
        <f>ROUND(_xlfn.IFNA(INDEX(Table2[],MATCH(Proj[[#This Row],[Player]],Table2[Player],0),11)/60,IF(Proj[[#This Row],[Pos]] = "D", 'Per 60 PP'!$K$527,'Per 60 PP'!$K$526)/60)*Proj[[#This Row],[TOI PP]]*Proj[[#This Row],[GP]],0)</f>
        <v>21</v>
      </c>
      <c r="R5" s="10">
        <f>ROUND(_xlfn.IFNA(INDEX(Table2[],MATCH(Proj[[#This Row],[Player]],Table2[Player],0),7)/60,IF(Proj[[#This Row],[Pos]] = "D", 'Per 60 PP'!$G$527,'Per 60 PP'!$G$526)/60)*Proj[[#This Row],[TOI PP]]*Proj[[#This Row],[GP]],0)</f>
        <v>23</v>
      </c>
      <c r="S5" s="10">
        <f>Proj[[#This Row],[PPG]]+Proj[[#This Row],[PPA]]</f>
        <v>44</v>
      </c>
      <c r="T5">
        <f>ROUND((_xlfn.IFNA(INDEX(Table3[],MATCH(Proj[[#This Row],[Player]],Table3[Player],0),6)/60,IF(Proj[[#This Row],[Pos]] ="D", 'Per 60 PK'!$F$623, 'Per 60 PK'!$F$622)/60)+_xlfn.IFNA(INDEX(Table3[],MATCH(Proj[[#This Row],[Player]],Table3[Player],0),8)/60,IF(Proj[[#This Row],[Pos]] ="D", 'Per 60 PK'!$H$623, 'Per 60 PK'!$H$622)/60))*Proj[[#This Row],[TOI PK]]*Proj[[#This Row],[GP]],0)</f>
        <v>2</v>
      </c>
      <c r="U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53</v>
      </c>
      <c r="V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798</v>
      </c>
      <c r="Y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627</v>
      </c>
      <c r="Z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228</v>
      </c>
      <c r="AA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1380.5678646821236</v>
      </c>
      <c r="AB5" s="10">
        <f>_xlfn.RANK.EQ(Proj[[#This Row],[VOR]],Proj[VOR])</f>
        <v>4</v>
      </c>
      <c r="AC5" s="10">
        <f>INDEX(Std[],MATCH(Proj[[#This Row],[Player]],Std[Player],0),20)</f>
        <v>1852.1125890723724</v>
      </c>
      <c r="AD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818.05</v>
      </c>
    </row>
    <row r="6" spans="1:31" x14ac:dyDescent="0.25">
      <c r="A6" t="s">
        <v>285</v>
      </c>
      <c r="B6">
        <v>33</v>
      </c>
      <c r="C6" t="s">
        <v>102</v>
      </c>
      <c r="D6" t="s">
        <v>10</v>
      </c>
      <c r="E6" s="9">
        <f>INDEX(Table1[],MATCH(Proj[[#This Row],[Player]],Table1[Player],0),5)</f>
        <v>16.323027022106199</v>
      </c>
      <c r="F6" s="9">
        <f>_xlfn.IFNA(INDEX(Table2[],MATCH(Proj[[#This Row],[Player]],Table2[Player],0),5),0)</f>
        <v>3.39</v>
      </c>
      <c r="G6" s="9">
        <f>_xlfn.IFNA(INDEX(Table3[],MATCH(Proj[[#This Row],[Player]],Table3[Player],0),5),0)</f>
        <v>0</v>
      </c>
      <c r="H6" s="10">
        <v>82</v>
      </c>
      <c r="I6">
        <v>82</v>
      </c>
      <c r="J6" s="9">
        <v>16.323027022106199</v>
      </c>
      <c r="K6" s="9">
        <v>3.39</v>
      </c>
      <c r="L6" s="9">
        <v>0</v>
      </c>
      <c r="M6" s="9">
        <f>Proj[[#This Row],[TOI ES]]+Proj[[#This Row],[TOI PP]]+Proj[[#This Row],[TOI PK]]</f>
        <v>19.7130270221062</v>
      </c>
      <c r="N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34</v>
      </c>
      <c r="O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72</v>
      </c>
      <c r="P6" s="10">
        <f>Proj[[#This Row],[Goals]]+Proj[[#This Row],[Assists]]</f>
        <v>106</v>
      </c>
      <c r="Q6" s="10">
        <f>ROUND(_xlfn.IFNA(INDEX(Table2[],MATCH(Proj[[#This Row],[Player]],Table2[Player],0),11)/60,IF(Proj[[#This Row],[Pos]] = "D", 'Per 60 PP'!$K$527,'Per 60 PP'!$K$526)/60)*Proj[[#This Row],[TOI PP]]*Proj[[#This Row],[GP]],0)</f>
        <v>9</v>
      </c>
      <c r="R6" s="10">
        <f>ROUND(_xlfn.IFNA(INDEX(Table2[],MATCH(Proj[[#This Row],[Player]],Table2[Player],0),7)/60,IF(Proj[[#This Row],[Pos]] = "D", 'Per 60 PP'!$G$527,'Per 60 PP'!$G$526)/60)*Proj[[#This Row],[TOI PP]]*Proj[[#This Row],[GP]],0)</f>
        <v>33</v>
      </c>
      <c r="S6" s="10">
        <f>Proj[[#This Row],[PPG]]+Proj[[#This Row],[PPA]]</f>
        <v>42</v>
      </c>
      <c r="T6">
        <f>ROUND((_xlfn.IFNA(INDEX(Table3[],MATCH(Proj[[#This Row],[Player]],Table3[Player],0),6)/60,IF(Proj[[#This Row],[Pos]] ="D", 'Per 60 PK'!$F$623, 'Per 60 PK'!$F$622)/60)+_xlfn.IFNA(INDEX(Table3[],MATCH(Proj[[#This Row],[Player]],Table3[Player],0),8)/60,IF(Proj[[#This Row],[Pos]] ="D", 'Per 60 PK'!$H$623, 'Per 60 PK'!$H$622)/60))*Proj[[#This Row],[TOI PK]]*Proj[[#This Row],[GP]],0)</f>
        <v>0</v>
      </c>
      <c r="U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v>
      </c>
      <c r="V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251</v>
      </c>
      <c r="AA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740.39103995334904</v>
      </c>
      <c r="AB6" s="10">
        <f>_xlfn.RANK.EQ(Proj[[#This Row],[VOR]],Proj[VOR])</f>
        <v>19</v>
      </c>
      <c r="AC6" s="10">
        <f>INDEX(Std[],MATCH(Proj[[#This Row],[Player]],Std[Player],0),20)</f>
        <v>1211.9357643435978</v>
      </c>
      <c r="AD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692.60000000000014</v>
      </c>
    </row>
    <row r="7" spans="1:31" x14ac:dyDescent="0.25">
      <c r="A7" t="s">
        <v>268</v>
      </c>
      <c r="B7">
        <v>27</v>
      </c>
      <c r="C7" t="s">
        <v>102</v>
      </c>
      <c r="D7" t="s">
        <v>18</v>
      </c>
      <c r="E7" s="9">
        <f>INDEX(Table1[],MATCH(Proj[[#This Row],[Player]],Table1[Player],0),5)</f>
        <v>17.090409950879099</v>
      </c>
      <c r="F7" s="9">
        <f>_xlfn.IFNA(INDEX(Table2[],MATCH(Proj[[#This Row],[Player]],Table2[Player],0),5),0)</f>
        <v>4.03</v>
      </c>
      <c r="G7" s="9">
        <f>_xlfn.IFNA(INDEX(Table3[],MATCH(Proj[[#This Row],[Player]],Table3[Player],0),5),0)</f>
        <v>0</v>
      </c>
      <c r="H7" s="10">
        <v>79</v>
      </c>
      <c r="I7">
        <v>79</v>
      </c>
      <c r="J7" s="9">
        <v>17.090409950879099</v>
      </c>
      <c r="K7" s="9">
        <v>4.03</v>
      </c>
      <c r="L7" s="9">
        <v>0</v>
      </c>
      <c r="M7" s="9">
        <f>Proj[[#This Row],[TOI ES]]+Proj[[#This Row],[TOI PP]]+Proj[[#This Row],[TOI PK]]</f>
        <v>21.1204099508791</v>
      </c>
      <c r="N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45</v>
      </c>
      <c r="O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60</v>
      </c>
      <c r="P7" s="10">
        <f>Proj[[#This Row],[Goals]]+Proj[[#This Row],[Assists]]</f>
        <v>105</v>
      </c>
      <c r="Q7" s="10">
        <f>ROUND(_xlfn.IFNA(INDEX(Table2[],MATCH(Proj[[#This Row],[Player]],Table2[Player],0),11)/60,IF(Proj[[#This Row],[Pos]] = "D", 'Per 60 PP'!$K$527,'Per 60 PP'!$K$526)/60)*Proj[[#This Row],[TOI PP]]*Proj[[#This Row],[GP]],0)</f>
        <v>18</v>
      </c>
      <c r="R7" s="10">
        <f>ROUND(_xlfn.IFNA(INDEX(Table2[],MATCH(Proj[[#This Row],[Player]],Table2[Player],0),7)/60,IF(Proj[[#This Row],[Pos]] = "D", 'Per 60 PP'!$G$527,'Per 60 PP'!$G$526)/60)*Proj[[#This Row],[TOI PP]]*Proj[[#This Row],[GP]],0)</f>
        <v>29</v>
      </c>
      <c r="S7" s="10">
        <f>Proj[[#This Row],[PPG]]+Proj[[#This Row],[PPA]]</f>
        <v>47</v>
      </c>
      <c r="T7">
        <f>ROUND((_xlfn.IFNA(INDEX(Table3[],MATCH(Proj[[#This Row],[Player]],Table3[Player],0),6)/60,IF(Proj[[#This Row],[Pos]] ="D", 'Per 60 PK'!$F$623, 'Per 60 PK'!$F$622)/60)+_xlfn.IFNA(INDEX(Table3[],MATCH(Proj[[#This Row],[Player]],Table3[Player],0),8)/60,IF(Proj[[#This Row],[Pos]] ="D", 'Per 60 PK'!$H$623, 'Per 60 PK'!$H$622)/60))*Proj[[#This Row],[TOI PK]]*Proj[[#This Row],[GP]],0)</f>
        <v>0</v>
      </c>
      <c r="U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v>
      </c>
      <c r="Z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296</v>
      </c>
      <c r="AA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1068.2591777462303</v>
      </c>
      <c r="AB7" s="10">
        <f>_xlfn.RANK.EQ(Proj[[#This Row],[VOR]],Proj[VOR])</f>
        <v>11</v>
      </c>
      <c r="AC7" s="10">
        <f>INDEX(Std[],MATCH(Proj[[#This Row],[Player]],Std[Player],0),20)</f>
        <v>1539.8039021364791</v>
      </c>
      <c r="AD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771.9</v>
      </c>
    </row>
    <row r="8" spans="1:31" x14ac:dyDescent="0.25">
      <c r="A8" t="s">
        <v>247</v>
      </c>
      <c r="B8">
        <v>27</v>
      </c>
      <c r="C8" t="s">
        <v>74</v>
      </c>
      <c r="D8" t="s">
        <v>30</v>
      </c>
      <c r="E8" s="9">
        <f>INDEX(Table1[],MATCH(Proj[[#This Row],[Player]],Table1[Player],0),5)</f>
        <v>16.747908659301899</v>
      </c>
      <c r="F8" s="9">
        <f>_xlfn.IFNA(INDEX(Table2[],MATCH(Proj[[#This Row],[Player]],Table2[Player],0),5),0)</f>
        <v>3.39</v>
      </c>
      <c r="G8" s="9">
        <f>_xlfn.IFNA(INDEX(Table3[],MATCH(Proj[[#This Row],[Player]],Table3[Player],0),5),0)</f>
        <v>0.78</v>
      </c>
      <c r="H8" s="10">
        <v>80</v>
      </c>
      <c r="I8">
        <v>80</v>
      </c>
      <c r="J8" s="9">
        <v>16.747908659301899</v>
      </c>
      <c r="K8" s="9">
        <v>3.39</v>
      </c>
      <c r="L8" s="9">
        <v>0.78</v>
      </c>
      <c r="M8" s="9">
        <f>Proj[[#This Row],[TOI ES]]+Proj[[#This Row],[TOI PP]]+Proj[[#This Row],[TOI PK]]</f>
        <v>20.917908659301901</v>
      </c>
      <c r="N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56</v>
      </c>
      <c r="O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45</v>
      </c>
      <c r="P8" s="10">
        <f>Proj[[#This Row],[Goals]]+Proj[[#This Row],[Assists]]</f>
        <v>101</v>
      </c>
      <c r="Q8" s="10">
        <f>ROUND(_xlfn.IFNA(INDEX(Table2[],MATCH(Proj[[#This Row],[Player]],Table2[Player],0),11)/60,IF(Proj[[#This Row],[Pos]] = "D", 'Per 60 PP'!$K$527,'Per 60 PP'!$K$526)/60)*Proj[[#This Row],[TOI PP]]*Proj[[#This Row],[GP]],0)</f>
        <v>15</v>
      </c>
      <c r="R8" s="10">
        <f>ROUND(_xlfn.IFNA(INDEX(Table2[],MATCH(Proj[[#This Row],[Player]],Table2[Player],0),7)/60,IF(Proj[[#This Row],[Pos]] = "D", 'Per 60 PP'!$G$527,'Per 60 PP'!$G$526)/60)*Proj[[#This Row],[TOI PP]]*Proj[[#This Row],[GP]],0)</f>
        <v>16</v>
      </c>
      <c r="S8" s="10">
        <f>Proj[[#This Row],[PPG]]+Proj[[#This Row],[PPA]]</f>
        <v>31</v>
      </c>
      <c r="T8">
        <f>ROUND((_xlfn.IFNA(INDEX(Table3[],MATCH(Proj[[#This Row],[Player]],Table3[Player],0),6)/60,IF(Proj[[#This Row],[Pos]] ="D", 'Per 60 PK'!$F$623, 'Per 60 PK'!$F$622)/60)+_xlfn.IFNA(INDEX(Table3[],MATCH(Proj[[#This Row],[Player]],Table3[Player],0),8)/60,IF(Proj[[#This Row],[Pos]] ="D", 'Per 60 PK'!$H$623, 'Per 60 PK'!$H$622)/60))*Proj[[#This Row],[TOI PK]]*Proj[[#This Row],[GP]],0)</f>
        <v>1</v>
      </c>
      <c r="U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80</v>
      </c>
      <c r="V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94</v>
      </c>
      <c r="W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673</v>
      </c>
      <c r="Y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591</v>
      </c>
      <c r="Z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361</v>
      </c>
      <c r="AA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1168.860952614674</v>
      </c>
      <c r="AB8" s="10">
        <f>_xlfn.RANK.EQ(Proj[[#This Row],[VOR]],Proj[VOR])</f>
        <v>6</v>
      </c>
      <c r="AC8" s="10">
        <f>INDEX(Std[],MATCH(Proj[[#This Row],[Player]],Std[Player],0),20)</f>
        <v>1903.4948069249726</v>
      </c>
      <c r="AD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891.24999999999989</v>
      </c>
    </row>
    <row r="9" spans="1:31" x14ac:dyDescent="0.25">
      <c r="A9" t="s">
        <v>245</v>
      </c>
      <c r="B9">
        <v>28</v>
      </c>
      <c r="C9" t="s">
        <v>103</v>
      </c>
      <c r="D9" t="s">
        <v>11</v>
      </c>
      <c r="E9" s="9">
        <f>INDEX(Table1[],MATCH(Proj[[#This Row],[Player]],Table1[Player],0),5)</f>
        <v>18.006250511485501</v>
      </c>
      <c r="F9" s="9">
        <f>_xlfn.IFNA(INDEX(Table2[],MATCH(Proj[[#This Row],[Player]],Table2[Player],0),5),0)</f>
        <v>4.41</v>
      </c>
      <c r="G9" s="9">
        <f>_xlfn.IFNA(INDEX(Table3[],MATCH(Proj[[#This Row],[Player]],Table3[Player],0),5),0)</f>
        <v>0</v>
      </c>
      <c r="H9" s="10">
        <v>81</v>
      </c>
      <c r="I9">
        <v>81</v>
      </c>
      <c r="J9" s="9">
        <v>18.006250511485501</v>
      </c>
      <c r="K9" s="9">
        <v>4.41</v>
      </c>
      <c r="L9" s="9">
        <v>0</v>
      </c>
      <c r="M9" s="9">
        <f>Proj[[#This Row],[TOI ES]]+Proj[[#This Row],[TOI PP]]+Proj[[#This Row],[TOI PK]]</f>
        <v>22.416250511485501</v>
      </c>
      <c r="N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42</v>
      </c>
      <c r="O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57</v>
      </c>
      <c r="P9" s="10">
        <f>Proj[[#This Row],[Goals]]+Proj[[#This Row],[Assists]]</f>
        <v>99</v>
      </c>
      <c r="Q9" s="10">
        <f>ROUND(_xlfn.IFNA(INDEX(Table2[],MATCH(Proj[[#This Row],[Player]],Table2[Player],0),11)/60,IF(Proj[[#This Row],[Pos]] = "D", 'Per 60 PP'!$K$527,'Per 60 PP'!$K$526)/60)*Proj[[#This Row],[TOI PP]]*Proj[[#This Row],[GP]],0)</f>
        <v>13</v>
      </c>
      <c r="R9" s="10">
        <f>ROUND(_xlfn.IFNA(INDEX(Table2[],MATCH(Proj[[#This Row],[Player]],Table2[Player],0),7)/60,IF(Proj[[#This Row],[Pos]] = "D", 'Per 60 PP'!$G$527,'Per 60 PP'!$G$526)/60)*Proj[[#This Row],[TOI PP]]*Proj[[#This Row],[GP]],0)</f>
        <v>25</v>
      </c>
      <c r="S9" s="10">
        <f>Proj[[#This Row],[PPG]]+Proj[[#This Row],[PPA]]</f>
        <v>38</v>
      </c>
      <c r="T9">
        <f>ROUND((_xlfn.IFNA(INDEX(Table3[],MATCH(Proj[[#This Row],[Player]],Table3[Player],0),6)/60,IF(Proj[[#This Row],[Pos]] ="D", 'Per 60 PK'!$F$623, 'Per 60 PK'!$F$622)/60)+_xlfn.IFNA(INDEX(Table3[],MATCH(Proj[[#This Row],[Player]],Table3[Player],0),8)/60,IF(Proj[[#This Row],[Pos]] ="D", 'Per 60 PK'!$H$623, 'Per 60 PK'!$H$622)/60))*Proj[[#This Row],[TOI PK]]*Proj[[#This Row],[GP]],0)</f>
        <v>0</v>
      </c>
      <c r="U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67</v>
      </c>
      <c r="X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252</v>
      </c>
      <c r="Y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230</v>
      </c>
      <c r="Z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275</v>
      </c>
      <c r="AA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1148.4762354759816</v>
      </c>
      <c r="AB9" s="10">
        <f>_xlfn.RANK.EQ(Proj[[#This Row],[VOR]],Proj[VOR])</f>
        <v>8</v>
      </c>
      <c r="AC9" s="10">
        <f>INDEX(Std[],MATCH(Proj[[#This Row],[Player]],Std[Player],0),20)</f>
        <v>1595.0209598662304</v>
      </c>
      <c r="AD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760.15</v>
      </c>
    </row>
    <row r="10" spans="1:31" x14ac:dyDescent="0.25">
      <c r="A10" t="s">
        <v>249</v>
      </c>
      <c r="B10">
        <v>28</v>
      </c>
      <c r="C10" t="s">
        <v>103</v>
      </c>
      <c r="D10" t="s">
        <v>12</v>
      </c>
      <c r="E10" s="9">
        <f>INDEX(Table1[],MATCH(Proj[[#This Row],[Player]],Table1[Player],0),5)</f>
        <v>15.834471207741901</v>
      </c>
      <c r="F10" s="9">
        <f>_xlfn.IFNA(INDEX(Table2[],MATCH(Proj[[#This Row],[Player]],Table2[Player],0),5),0)</f>
        <v>3.71</v>
      </c>
      <c r="G10" s="9">
        <f>_xlfn.IFNA(INDEX(Table3[],MATCH(Proj[[#This Row],[Player]],Table3[Player],0),5),0)</f>
        <v>0</v>
      </c>
      <c r="H10" s="10">
        <v>82</v>
      </c>
      <c r="I10">
        <v>82</v>
      </c>
      <c r="J10" s="9">
        <v>15.834471207741901</v>
      </c>
      <c r="K10" s="9">
        <v>3.71</v>
      </c>
      <c r="L10" s="9">
        <v>0</v>
      </c>
      <c r="M10" s="9">
        <f>Proj[[#This Row],[TOI ES]]+Proj[[#This Row],[TOI PP]]+Proj[[#This Row],[TOI PK]]</f>
        <v>19.5444712077419</v>
      </c>
      <c r="N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47</v>
      </c>
      <c r="O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52</v>
      </c>
      <c r="P10" s="10">
        <f>Proj[[#This Row],[Goals]]+Proj[[#This Row],[Assists]]</f>
        <v>99</v>
      </c>
      <c r="Q10" s="10">
        <f>ROUND(_xlfn.IFNA(INDEX(Table2[],MATCH(Proj[[#This Row],[Player]],Table2[Player],0),11)/60,IF(Proj[[#This Row],[Pos]] = "D", 'Per 60 PP'!$K$527,'Per 60 PP'!$K$526)/60)*Proj[[#This Row],[TOI PP]]*Proj[[#This Row],[GP]],0)</f>
        <v>14</v>
      </c>
      <c r="R10" s="10">
        <f>ROUND(_xlfn.IFNA(INDEX(Table2[],MATCH(Proj[[#This Row],[Player]],Table2[Player],0),7)/60,IF(Proj[[#This Row],[Pos]] = "D", 'Per 60 PP'!$G$527,'Per 60 PP'!$G$526)/60)*Proj[[#This Row],[TOI PP]]*Proj[[#This Row],[GP]],0)</f>
        <v>20</v>
      </c>
      <c r="S10" s="10">
        <f>Proj[[#This Row],[PPG]]+Proj[[#This Row],[PPA]]</f>
        <v>34</v>
      </c>
      <c r="T10">
        <f>ROUND((_xlfn.IFNA(INDEX(Table3[],MATCH(Proj[[#This Row],[Player]],Table3[Player],0),6)/60,IF(Proj[[#This Row],[Pos]] ="D", 'Per 60 PK'!$F$623, 'Per 60 PK'!$F$622)/60)+_xlfn.IFNA(INDEX(Table3[],MATCH(Proj[[#This Row],[Player]],Table3[Player],0),8)/60,IF(Proj[[#This Row],[Pos]] ="D", 'Per 60 PK'!$H$623, 'Per 60 PK'!$H$622)/60))*Proj[[#This Row],[TOI PK]]*Proj[[#This Row],[GP]],0)</f>
        <v>0</v>
      </c>
      <c r="U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65</v>
      </c>
      <c r="V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37</v>
      </c>
      <c r="X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v>
      </c>
      <c r="Z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376</v>
      </c>
      <c r="AA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990.29308190049051</v>
      </c>
      <c r="AB10" s="10">
        <f>_xlfn.RANK.EQ(Proj[[#This Row],[VOR]],Proj[VOR])</f>
        <v>13</v>
      </c>
      <c r="AC10" s="10">
        <f>INDEX(Std[],MATCH(Proj[[#This Row],[Player]],Std[Player],0),20)</f>
        <v>1436.8378062907393</v>
      </c>
      <c r="AD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771.59999999999991</v>
      </c>
    </row>
    <row r="11" spans="1:31" x14ac:dyDescent="0.25">
      <c r="A11" t="s">
        <v>263</v>
      </c>
      <c r="B11">
        <v>27</v>
      </c>
      <c r="C11" t="s">
        <v>103</v>
      </c>
      <c r="D11" t="s">
        <v>30</v>
      </c>
      <c r="E11" s="9">
        <f>INDEX(Table1[],MATCH(Proj[[#This Row],[Player]],Table1[Player],0),5)</f>
        <v>15.8226897604809</v>
      </c>
      <c r="F11" s="9">
        <f>_xlfn.IFNA(INDEX(Table2[],MATCH(Proj[[#This Row],[Player]],Table2[Player],0),5),0)</f>
        <v>3.22</v>
      </c>
      <c r="G11" s="9">
        <f>_xlfn.IFNA(INDEX(Table3[],MATCH(Proj[[#This Row],[Player]],Table3[Player],0),5),0)</f>
        <v>2.11</v>
      </c>
      <c r="H11" s="10">
        <v>80</v>
      </c>
      <c r="I11">
        <v>80</v>
      </c>
      <c r="J11" s="9">
        <v>15.8226897604809</v>
      </c>
      <c r="K11" s="9">
        <v>3.22</v>
      </c>
      <c r="L11" s="9">
        <v>2.11</v>
      </c>
      <c r="M11" s="9">
        <f>Proj[[#This Row],[TOI ES]]+Proj[[#This Row],[TOI PP]]+Proj[[#This Row],[TOI PK]]</f>
        <v>21.1526897604809</v>
      </c>
      <c r="N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68</v>
      </c>
      <c r="P11" s="10">
        <f>Proj[[#This Row],[Goals]]+Proj[[#This Row],[Assists]]</f>
        <v>97</v>
      </c>
      <c r="Q11" s="10">
        <f>ROUND(_xlfn.IFNA(INDEX(Table2[],MATCH(Proj[[#This Row],[Player]],Table2[Player],0),11)/60,IF(Proj[[#This Row],[Pos]] = "D", 'Per 60 PP'!$K$527,'Per 60 PP'!$K$526)/60)*Proj[[#This Row],[TOI PP]]*Proj[[#This Row],[GP]],0)</f>
        <v>8</v>
      </c>
      <c r="R11" s="10">
        <f>ROUND(_xlfn.IFNA(INDEX(Table2[],MATCH(Proj[[#This Row],[Player]],Table2[Player],0),7)/60,IF(Proj[[#This Row],[Pos]] = "D", 'Per 60 PP'!$G$527,'Per 60 PP'!$G$526)/60)*Proj[[#This Row],[TOI PP]]*Proj[[#This Row],[GP]],0)</f>
        <v>25</v>
      </c>
      <c r="S11" s="10">
        <f>Proj[[#This Row],[PPG]]+Proj[[#This Row],[PPA]]</f>
        <v>33</v>
      </c>
      <c r="T11">
        <f>ROUND((_xlfn.IFNA(INDEX(Table3[],MATCH(Proj[[#This Row],[Player]],Table3[Player],0),6)/60,IF(Proj[[#This Row],[Pos]] ="D", 'Per 60 PK'!$F$623, 'Per 60 PK'!$F$622)/60)+_xlfn.IFNA(INDEX(Table3[],MATCH(Proj[[#This Row],[Player]],Table3[Player],0),8)/60,IF(Proj[[#This Row],[Pos]] ="D", 'Per 60 PK'!$H$623, 'Per 60 PK'!$H$622)/60))*Proj[[#This Row],[TOI PK]]*Proj[[#This Row],[GP]],0)</f>
        <v>3</v>
      </c>
      <c r="U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54</v>
      </c>
      <c r="W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194</v>
      </c>
      <c r="AA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600.74312245589954</v>
      </c>
      <c r="AB11" s="10">
        <f>_xlfn.RANK.EQ(Proj[[#This Row],[VOR]],Proj[VOR])</f>
        <v>34</v>
      </c>
      <c r="AC11" s="10">
        <f>INDEX(Std[],MATCH(Proj[[#This Row],[Player]],Std[Player],0),20)</f>
        <v>1047.2878468461483</v>
      </c>
      <c r="AD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656.8</v>
      </c>
    </row>
    <row r="12" spans="1:31" x14ac:dyDescent="0.25">
      <c r="A12" t="s">
        <v>273</v>
      </c>
      <c r="B12">
        <v>37</v>
      </c>
      <c r="C12" t="s">
        <v>74</v>
      </c>
      <c r="D12" t="s">
        <v>25</v>
      </c>
      <c r="E12" s="9">
        <f>INDEX(Table1[],MATCH(Proj[[#This Row],[Player]],Table1[Player],0),5)</f>
        <v>16.202031730756499</v>
      </c>
      <c r="F12" s="9">
        <f>_xlfn.IFNA(INDEX(Table2[],MATCH(Proj[[#This Row],[Player]],Table2[Player],0),5),0)</f>
        <v>3.45</v>
      </c>
      <c r="G12" s="9">
        <f>_xlfn.IFNA(INDEX(Table3[],MATCH(Proj[[#This Row],[Player]],Table3[Player],0),5),0)</f>
        <v>0</v>
      </c>
      <c r="H12" s="10">
        <v>82</v>
      </c>
      <c r="I12">
        <v>82</v>
      </c>
      <c r="J12" s="9">
        <v>16.202031730756499</v>
      </c>
      <c r="K12" s="9">
        <v>3.45</v>
      </c>
      <c r="L12" s="9">
        <v>0</v>
      </c>
      <c r="M12" s="9">
        <f>Proj[[#This Row],[TOI ES]]+Proj[[#This Row],[TOI PP]]+Proj[[#This Row],[TOI PK]]</f>
        <v>19.652031730756498</v>
      </c>
      <c r="N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37</v>
      </c>
      <c r="O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59</v>
      </c>
      <c r="P12" s="10">
        <f>Proj[[#This Row],[Goals]]+Proj[[#This Row],[Assists]]</f>
        <v>96</v>
      </c>
      <c r="Q12" s="10">
        <f>ROUND(_xlfn.IFNA(INDEX(Table2[],MATCH(Proj[[#This Row],[Player]],Table2[Player],0),11)/60,IF(Proj[[#This Row],[Pos]] = "D", 'Per 60 PP'!$K$527,'Per 60 PP'!$K$526)/60)*Proj[[#This Row],[TOI PP]]*Proj[[#This Row],[GP]],0)</f>
        <v>10</v>
      </c>
      <c r="R12" s="10">
        <f>ROUND(_xlfn.IFNA(INDEX(Table2[],MATCH(Proj[[#This Row],[Player]],Table2[Player],0),7)/60,IF(Proj[[#This Row],[Pos]] = "D", 'Per 60 PP'!$G$527,'Per 60 PP'!$G$526)/60)*Proj[[#This Row],[TOI PP]]*Proj[[#This Row],[GP]],0)</f>
        <v>20</v>
      </c>
      <c r="S12" s="10">
        <f>Proj[[#This Row],[PPG]]+Proj[[#This Row],[PPA]]</f>
        <v>30</v>
      </c>
      <c r="T12">
        <f>ROUND((_xlfn.IFNA(INDEX(Table3[],MATCH(Proj[[#This Row],[Player]],Table3[Player],0),6)/60,IF(Proj[[#This Row],[Pos]] ="D", 'Per 60 PK'!$F$623, 'Per 60 PK'!$F$622)/60)+_xlfn.IFNA(INDEX(Table3[],MATCH(Proj[[#This Row],[Player]],Table3[Player],0),8)/60,IF(Proj[[#This Row],[Pos]] ="D", 'Per 60 PK'!$H$623, 'Per 60 PK'!$H$622)/60))*Proj[[#This Row],[TOI PK]]*Proj[[#This Row],[GP]],0)</f>
        <v>0</v>
      </c>
      <c r="U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44</v>
      </c>
      <c r="W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997</v>
      </c>
      <c r="Y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763</v>
      </c>
      <c r="Z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256</v>
      </c>
      <c r="AA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1032.1512699421037</v>
      </c>
      <c r="AB12" s="10">
        <f>_xlfn.RANK.EQ(Proj[[#This Row],[VOR]],Proj[VOR])</f>
        <v>12</v>
      </c>
      <c r="AC12" s="10">
        <f>INDEX(Std[],MATCH(Proj[[#This Row],[Player]],Std[Player],0),20)</f>
        <v>1766.7851242524023</v>
      </c>
      <c r="AD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803.55</v>
      </c>
    </row>
    <row r="13" spans="1:31" x14ac:dyDescent="0.25">
      <c r="A13" t="s">
        <v>422</v>
      </c>
      <c r="B13">
        <v>23</v>
      </c>
      <c r="C13" t="s">
        <v>101</v>
      </c>
      <c r="D13" t="s">
        <v>156</v>
      </c>
      <c r="E13" s="9">
        <f>INDEX(Table1[],MATCH(Proj[[#This Row],[Player]],Table1[Player],0),5)</f>
        <v>16.891062681768101</v>
      </c>
      <c r="F13" s="9">
        <f>_xlfn.IFNA(INDEX(Table2[],MATCH(Proj[[#This Row],[Player]],Table2[Player],0),5),0)</f>
        <v>3.8</v>
      </c>
      <c r="G13" s="9">
        <f>_xlfn.IFNA(INDEX(Table3[],MATCH(Proj[[#This Row],[Player]],Table3[Player],0),5),0)</f>
        <v>0</v>
      </c>
      <c r="H13" s="10">
        <v>79</v>
      </c>
      <c r="I13">
        <v>79</v>
      </c>
      <c r="J13" s="9">
        <v>16.891062681768101</v>
      </c>
      <c r="K13" s="9">
        <v>3.8</v>
      </c>
      <c r="L13" s="9">
        <v>0</v>
      </c>
      <c r="M13" s="9">
        <f>Proj[[#This Row],[TOI ES]]+Proj[[#This Row],[TOI PP]]+Proj[[#This Row],[TOI PK]]</f>
        <v>20.691062681768102</v>
      </c>
      <c r="N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40</v>
      </c>
      <c r="O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55</v>
      </c>
      <c r="P13" s="10">
        <f>Proj[[#This Row],[Goals]]+Proj[[#This Row],[Assists]]</f>
        <v>95</v>
      </c>
      <c r="Q13" s="10">
        <f>ROUND(_xlfn.IFNA(INDEX(Table2[],MATCH(Proj[[#This Row],[Player]],Table2[Player],0),11)/60,IF(Proj[[#This Row],[Pos]] = "D", 'Per 60 PP'!$K$527,'Per 60 PP'!$K$526)/60)*Proj[[#This Row],[TOI PP]]*Proj[[#This Row],[GP]],0)</f>
        <v>12</v>
      </c>
      <c r="R13" s="10">
        <f>ROUND(_xlfn.IFNA(INDEX(Table2[],MATCH(Proj[[#This Row],[Player]],Table2[Player],0),7)/60,IF(Proj[[#This Row],[Pos]] = "D", 'Per 60 PP'!$G$527,'Per 60 PP'!$G$526)/60)*Proj[[#This Row],[TOI PP]]*Proj[[#This Row],[GP]],0)</f>
        <v>24</v>
      </c>
      <c r="S13" s="10">
        <f>Proj[[#This Row],[PPG]]+Proj[[#This Row],[PPA]]</f>
        <v>36</v>
      </c>
      <c r="T13">
        <f>ROUND((_xlfn.IFNA(INDEX(Table3[],MATCH(Proj[[#This Row],[Player]],Table3[Player],0),6)/60,IF(Proj[[#This Row],[Pos]] ="D", 'Per 60 PK'!$F$623, 'Per 60 PK'!$F$622)/60)+_xlfn.IFNA(INDEX(Table3[],MATCH(Proj[[#This Row],[Player]],Table3[Player],0),8)/60,IF(Proj[[#This Row],[Pos]] ="D", 'Per 60 PK'!$H$623, 'Per 60 PK'!$H$622)/60))*Proj[[#This Row],[TOI PK]]*Proj[[#This Row],[GP]],0)</f>
        <v>0</v>
      </c>
      <c r="U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v>
      </c>
      <c r="V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157</v>
      </c>
      <c r="Y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271</v>
      </c>
      <c r="Z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335</v>
      </c>
      <c r="AA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717.80112454280038</v>
      </c>
      <c r="AB13" s="10">
        <f>_xlfn.RANK.EQ(Proj[[#This Row],[VOR]],Proj[VOR])</f>
        <v>22</v>
      </c>
      <c r="AC13" s="10">
        <f>INDEX(Std[],MATCH(Proj[[#This Row],[Player]],Std[Player],0),20)</f>
        <v>1189.3458489330492</v>
      </c>
      <c r="AD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703.15</v>
      </c>
    </row>
    <row r="14" spans="1:31" x14ac:dyDescent="0.25">
      <c r="A14" t="s">
        <v>242</v>
      </c>
      <c r="B14">
        <v>27</v>
      </c>
      <c r="C14" t="s">
        <v>104</v>
      </c>
      <c r="D14" t="s">
        <v>31</v>
      </c>
      <c r="E14" s="9">
        <f>INDEX(Table1[],MATCH(Proj[[#This Row],[Player]],Table1[Player],0),5)</f>
        <v>14.400054030996101</v>
      </c>
      <c r="F14" s="9">
        <f>_xlfn.IFNA(INDEX(Table2[],MATCH(Proj[[#This Row],[Player]],Table2[Player],0),5),0)</f>
        <v>4.03</v>
      </c>
      <c r="G14" s="9">
        <f>_xlfn.IFNA(INDEX(Table3[],MATCH(Proj[[#This Row],[Player]],Table3[Player],0),5),0)</f>
        <v>0.45</v>
      </c>
      <c r="H14" s="10">
        <v>80</v>
      </c>
      <c r="I14">
        <v>80</v>
      </c>
      <c r="J14" s="9">
        <v>14.400054030996101</v>
      </c>
      <c r="K14" s="9">
        <v>4.03</v>
      </c>
      <c r="L14" s="9">
        <v>0.45</v>
      </c>
      <c r="M14" s="9">
        <f>Proj[[#This Row],[TOI ES]]+Proj[[#This Row],[TOI PP]]+Proj[[#This Row],[TOI PK]]</f>
        <v>18.880054030996099</v>
      </c>
      <c r="N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60</v>
      </c>
      <c r="P14" s="10">
        <f>Proj[[#This Row],[Goals]]+Proj[[#This Row],[Assists]]</f>
        <v>95</v>
      </c>
      <c r="Q14" s="10">
        <f>ROUND(_xlfn.IFNA(INDEX(Table2[],MATCH(Proj[[#This Row],[Player]],Table2[Player],0),11)/60,IF(Proj[[#This Row],[Pos]] = "D", 'Per 60 PP'!$K$527,'Per 60 PP'!$K$526)/60)*Proj[[#This Row],[TOI PP]]*Proj[[#This Row],[GP]],0)</f>
        <v>13</v>
      </c>
      <c r="R14" s="10">
        <f>ROUND(_xlfn.IFNA(INDEX(Table2[],MATCH(Proj[[#This Row],[Player]],Table2[Player],0),7)/60,IF(Proj[[#This Row],[Pos]] = "D", 'Per 60 PP'!$G$527,'Per 60 PP'!$G$526)/60)*Proj[[#This Row],[TOI PP]]*Proj[[#This Row],[GP]],0)</f>
        <v>23</v>
      </c>
      <c r="S14" s="10">
        <f>Proj[[#This Row],[PPG]]+Proj[[#This Row],[PPA]]</f>
        <v>36</v>
      </c>
      <c r="T14">
        <f>ROUND((_xlfn.IFNA(INDEX(Table3[],MATCH(Proj[[#This Row],[Player]],Table3[Player],0),6)/60,IF(Proj[[#This Row],[Pos]] ="D", 'Per 60 PK'!$F$623, 'Per 60 PK'!$F$622)/60)+_xlfn.IFNA(INDEX(Table3[],MATCH(Proj[[#This Row],[Player]],Table3[Player],0),8)/60,IF(Proj[[#This Row],[Pos]] ="D", 'Per 60 PK'!$H$623, 'Per 60 PK'!$H$622)/60))*Proj[[#This Row],[TOI PK]]*Proj[[#This Row],[GP]],0)</f>
        <v>1</v>
      </c>
      <c r="U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95</v>
      </c>
      <c r="X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280</v>
      </c>
      <c r="AA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1152.0873571563445</v>
      </c>
      <c r="AB14" s="10">
        <f>_xlfn.RANK.EQ(Proj[[#This Row],[VOR]],Proj[VOR])</f>
        <v>7</v>
      </c>
      <c r="AC14" s="10">
        <f>INDEX(Std[],MATCH(Proj[[#This Row],[Player]],Std[Player],0),20)</f>
        <v>1598.6320815465933</v>
      </c>
      <c r="AD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750.90000000000009</v>
      </c>
    </row>
    <row r="15" spans="1:31" x14ac:dyDescent="0.25">
      <c r="A15" t="s">
        <v>884</v>
      </c>
      <c r="B15">
        <v>31</v>
      </c>
      <c r="C15" t="s">
        <v>105</v>
      </c>
      <c r="D15" t="s">
        <v>8</v>
      </c>
      <c r="E15" s="9">
        <f>INDEX(Table1[],MATCH(Proj[[#This Row],[Player]],Table1[Player],0),5)</f>
        <v>14.6382805777125</v>
      </c>
      <c r="F15" s="9">
        <f>_xlfn.IFNA(INDEX(Table2[],MATCH(Proj[[#This Row],[Player]],Table2[Player],0),5),0)</f>
        <v>3.6</v>
      </c>
      <c r="G15" s="9">
        <f>_xlfn.IFNA(INDEX(Table3[],MATCH(Proj[[#This Row],[Player]],Table3[Player],0),5),0)</f>
        <v>1.31</v>
      </c>
      <c r="H15" s="10">
        <v>82</v>
      </c>
      <c r="I15">
        <v>82</v>
      </c>
      <c r="J15" s="9">
        <v>14.6382805777125</v>
      </c>
      <c r="K15" s="9">
        <v>3.6</v>
      </c>
      <c r="L15" s="9">
        <v>1.31</v>
      </c>
      <c r="M15" s="9">
        <f>Proj[[#This Row],[TOI ES]]+Proj[[#This Row],[TOI PP]]+Proj[[#This Row],[TOI PK]]</f>
        <v>19.5482805777125</v>
      </c>
      <c r="N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31</v>
      </c>
      <c r="O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60</v>
      </c>
      <c r="P15" s="10">
        <f>Proj[[#This Row],[Goals]]+Proj[[#This Row],[Assists]]</f>
        <v>91</v>
      </c>
      <c r="Q15" s="10">
        <f>ROUND(_xlfn.IFNA(INDEX(Table2[],MATCH(Proj[[#This Row],[Player]],Table2[Player],0),11)/60,IF(Proj[[#This Row],[Pos]] = "D", 'Per 60 PP'!$K$527,'Per 60 PP'!$K$526)/60)*Proj[[#This Row],[TOI PP]]*Proj[[#This Row],[GP]],0)</f>
        <v>10</v>
      </c>
      <c r="R15" s="10">
        <f>ROUND(_xlfn.IFNA(INDEX(Table2[],MATCH(Proj[[#This Row],[Player]],Table2[Player],0),7)/60,IF(Proj[[#This Row],[Pos]] = "D", 'Per 60 PP'!$G$527,'Per 60 PP'!$G$526)/60)*Proj[[#This Row],[TOI PP]]*Proj[[#This Row],[GP]],0)</f>
        <v>27</v>
      </c>
      <c r="S15" s="10">
        <f>Proj[[#This Row],[PPG]]+Proj[[#This Row],[PPA]]</f>
        <v>37</v>
      </c>
      <c r="T15">
        <f>ROUND((_xlfn.IFNA(INDEX(Table3[],MATCH(Proj[[#This Row],[Player]],Table3[Player],0),6)/60,IF(Proj[[#This Row],[Pos]] ="D", 'Per 60 PK'!$F$623, 'Per 60 PK'!$F$622)/60)+_xlfn.IFNA(INDEX(Table3[],MATCH(Proj[[#This Row],[Player]],Table3[Player],0),8)/60,IF(Proj[[#This Row],[Pos]] ="D", 'Per 60 PK'!$H$623, 'Per 60 PK'!$H$622)/60))*Proj[[#This Row],[TOI PK]]*Proj[[#This Row],[GP]],0)</f>
        <v>3</v>
      </c>
      <c r="U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191</v>
      </c>
      <c r="V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60</v>
      </c>
      <c r="W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738</v>
      </c>
      <c r="Y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587</v>
      </c>
      <c r="Z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197</v>
      </c>
      <c r="AA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1390.3909223780315</v>
      </c>
      <c r="AB15" s="10">
        <f>_xlfn.RANK.EQ(Proj[[#This Row],[VOR]],Proj[VOR])</f>
        <v>3</v>
      </c>
      <c r="AC15" s="10">
        <f>INDEX(Std[],MATCH(Proj[[#This Row],[Player]],Std[Player],0),20)</f>
        <v>1836.9356467682803</v>
      </c>
      <c r="AD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808.19999999999993</v>
      </c>
    </row>
    <row r="16" spans="1:31" x14ac:dyDescent="0.25">
      <c r="A16" t="s">
        <v>290</v>
      </c>
      <c r="B16">
        <v>28</v>
      </c>
      <c r="C16" t="s">
        <v>103</v>
      </c>
      <c r="D16" t="s">
        <v>30</v>
      </c>
      <c r="E16" s="9">
        <f>INDEX(Table1[],MATCH(Proj[[#This Row],[Player]],Table1[Player],0),5)</f>
        <v>15.3129723623766</v>
      </c>
      <c r="F16" s="9">
        <f>_xlfn.IFNA(INDEX(Table2[],MATCH(Proj[[#This Row],[Player]],Table2[Player],0),5),0)</f>
        <v>3.32</v>
      </c>
      <c r="G16" s="9">
        <f>_xlfn.IFNA(INDEX(Table3[],MATCH(Proj[[#This Row],[Player]],Table3[Player],0),5),0)</f>
        <v>0.84</v>
      </c>
      <c r="H16" s="10">
        <v>82</v>
      </c>
      <c r="I16">
        <v>82</v>
      </c>
      <c r="J16" s="9">
        <v>15.3129723623766</v>
      </c>
      <c r="K16" s="9">
        <v>3.32</v>
      </c>
      <c r="L16" s="9">
        <v>0.84</v>
      </c>
      <c r="M16" s="9">
        <f>Proj[[#This Row],[TOI ES]]+Proj[[#This Row],[TOI PP]]+Proj[[#This Row],[TOI PK]]</f>
        <v>19.472972362376598</v>
      </c>
      <c r="N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37</v>
      </c>
      <c r="O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52</v>
      </c>
      <c r="P16" s="10">
        <f>Proj[[#This Row],[Goals]]+Proj[[#This Row],[Assists]]</f>
        <v>89</v>
      </c>
      <c r="Q16" s="10">
        <f>ROUND(_xlfn.IFNA(INDEX(Table2[],MATCH(Proj[[#This Row],[Player]],Table2[Player],0),11)/60,IF(Proj[[#This Row],[Pos]] = "D", 'Per 60 PP'!$K$527,'Per 60 PP'!$K$526)/60)*Proj[[#This Row],[TOI PP]]*Proj[[#This Row],[GP]],0)</f>
        <v>11</v>
      </c>
      <c r="R16" s="10">
        <f>ROUND(_xlfn.IFNA(INDEX(Table2[],MATCH(Proj[[#This Row],[Player]],Table2[Player],0),7)/60,IF(Proj[[#This Row],[Pos]] = "D", 'Per 60 PP'!$G$527,'Per 60 PP'!$G$526)/60)*Proj[[#This Row],[TOI PP]]*Proj[[#This Row],[GP]],0)</f>
        <v>21</v>
      </c>
      <c r="S16" s="10">
        <f>Proj[[#This Row],[PPG]]+Proj[[#This Row],[PPA]]</f>
        <v>32</v>
      </c>
      <c r="T16">
        <f>ROUND((_xlfn.IFNA(INDEX(Table3[],MATCH(Proj[[#This Row],[Player]],Table3[Player],0),6)/60,IF(Proj[[#This Row],[Pos]] ="D", 'Per 60 PK'!$F$623, 'Per 60 PK'!$F$622)/60)+_xlfn.IFNA(INDEX(Table3[],MATCH(Proj[[#This Row],[Player]],Table3[Player],0),8)/60,IF(Proj[[#This Row],[Pos]] ="D", 'Per 60 PK'!$H$623, 'Per 60 PK'!$H$622)/60))*Proj[[#This Row],[TOI PK]]*Proj[[#This Row],[GP]],0)</f>
        <v>1</v>
      </c>
      <c r="U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24</v>
      </c>
      <c r="V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52</v>
      </c>
      <c r="Y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60</v>
      </c>
      <c r="Z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295</v>
      </c>
      <c r="AA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586.03271337678348</v>
      </c>
      <c r="AB16" s="10">
        <f>_xlfn.RANK.EQ(Proj[[#This Row],[VOR]],Proj[VOR])</f>
        <v>35</v>
      </c>
      <c r="AC16" s="10">
        <f>INDEX(Std[],MATCH(Proj[[#This Row],[Player]],Std[Player],0),20)</f>
        <v>1032.5774377670323</v>
      </c>
      <c r="AD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652.80000000000007</v>
      </c>
    </row>
    <row r="17" spans="1:30" x14ac:dyDescent="0.25">
      <c r="A17" t="s">
        <v>336</v>
      </c>
      <c r="B17">
        <v>25</v>
      </c>
      <c r="C17" t="s">
        <v>102</v>
      </c>
      <c r="D17" t="s">
        <v>17</v>
      </c>
      <c r="E17" s="9">
        <f>INDEX(Table1[],MATCH(Proj[[#This Row],[Player]],Table1[Player],0),5)</f>
        <v>15.4060335888572</v>
      </c>
      <c r="F17" s="9">
        <f>_xlfn.IFNA(INDEX(Table2[],MATCH(Proj[[#This Row],[Player]],Table2[Player],0),5),0)</f>
        <v>2.93</v>
      </c>
      <c r="G17" s="9">
        <f>_xlfn.IFNA(INDEX(Table3[],MATCH(Proj[[#This Row],[Player]],Table3[Player],0),5),0)</f>
        <v>0</v>
      </c>
      <c r="H17" s="10">
        <v>82</v>
      </c>
      <c r="I17">
        <v>82</v>
      </c>
      <c r="J17" s="9">
        <v>15.4060335888572</v>
      </c>
      <c r="K17" s="9">
        <v>2.93</v>
      </c>
      <c r="L17" s="9">
        <v>0</v>
      </c>
      <c r="M17" s="9">
        <f>Proj[[#This Row],[TOI ES]]+Proj[[#This Row],[TOI PP]]+Proj[[#This Row],[TOI PK]]</f>
        <v>18.336033588857202</v>
      </c>
      <c r="N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52</v>
      </c>
      <c r="P17" s="10">
        <f>Proj[[#This Row],[Goals]]+Proj[[#This Row],[Assists]]</f>
        <v>87</v>
      </c>
      <c r="Q17" s="10">
        <f>ROUND(_xlfn.IFNA(INDEX(Table2[],MATCH(Proj[[#This Row],[Player]],Table2[Player],0),11)/60,IF(Proj[[#This Row],[Pos]] = "D", 'Per 60 PP'!$K$527,'Per 60 PP'!$K$526)/60)*Proj[[#This Row],[TOI PP]]*Proj[[#This Row],[GP]],0)</f>
        <v>11</v>
      </c>
      <c r="R17" s="10">
        <f>ROUND(_xlfn.IFNA(INDEX(Table2[],MATCH(Proj[[#This Row],[Player]],Table2[Player],0),7)/60,IF(Proj[[#This Row],[Pos]] = "D", 'Per 60 PP'!$G$527,'Per 60 PP'!$G$526)/60)*Proj[[#This Row],[TOI PP]]*Proj[[#This Row],[GP]],0)</f>
        <v>19</v>
      </c>
      <c r="S17" s="10">
        <f>Proj[[#This Row],[PPG]]+Proj[[#This Row],[PPA]]</f>
        <v>30</v>
      </c>
      <c r="T17">
        <f>ROUND((_xlfn.IFNA(INDEX(Table3[],MATCH(Proj[[#This Row],[Player]],Table3[Player],0),6)/60,IF(Proj[[#This Row],[Pos]] ="D", 'Per 60 PK'!$F$623, 'Per 60 PK'!$F$622)/60)+_xlfn.IFNA(INDEX(Table3[],MATCH(Proj[[#This Row],[Player]],Table3[Player],0),8)/60,IF(Proj[[#This Row],[Pos]] ="D", 'Per 60 PK'!$H$623, 'Per 60 PK'!$H$622)/60))*Proj[[#This Row],[TOI PK]]*Proj[[#This Row],[GP]],0)</f>
        <v>0</v>
      </c>
      <c r="U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v>
      </c>
      <c r="Z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250</v>
      </c>
      <c r="AA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478.89435674277007</v>
      </c>
      <c r="AB17" s="10">
        <f>_xlfn.RANK.EQ(Proj[[#This Row],[VOR]],Proj[VOR])</f>
        <v>46</v>
      </c>
      <c r="AC17" s="10">
        <f>INDEX(Std[],MATCH(Proj[[#This Row],[Player]],Std[Player],0),20)</f>
        <v>950.43908113301893</v>
      </c>
      <c r="AD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635</v>
      </c>
    </row>
    <row r="18" spans="1:30" x14ac:dyDescent="0.25">
      <c r="A18" t="s">
        <v>255</v>
      </c>
      <c r="B18">
        <v>30</v>
      </c>
      <c r="C18" t="s">
        <v>102</v>
      </c>
      <c r="D18" t="s">
        <v>153</v>
      </c>
      <c r="E18" s="9">
        <f>INDEX(Table1[],MATCH(Proj[[#This Row],[Player]],Table1[Player],0),5)</f>
        <v>16.1252090405833</v>
      </c>
      <c r="F18" s="9">
        <f>_xlfn.IFNA(INDEX(Table2[],MATCH(Proj[[#This Row],[Player]],Table2[Player],0),5),0)</f>
        <v>3.48</v>
      </c>
      <c r="G18" s="9">
        <f>_xlfn.IFNA(INDEX(Table3[],MATCH(Proj[[#This Row],[Player]],Table3[Player],0),5),0)</f>
        <v>0</v>
      </c>
      <c r="H18" s="10">
        <v>78</v>
      </c>
      <c r="I18">
        <v>78</v>
      </c>
      <c r="J18" s="9">
        <v>16.1252090405833</v>
      </c>
      <c r="K18" s="9">
        <v>3.48</v>
      </c>
      <c r="L18" s="9">
        <v>0</v>
      </c>
      <c r="M18" s="9">
        <f>Proj[[#This Row],[TOI ES]]+Proj[[#This Row],[TOI PP]]+Proj[[#This Row],[TOI PK]]</f>
        <v>19.605209040583301</v>
      </c>
      <c r="N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37</v>
      </c>
      <c r="O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46</v>
      </c>
      <c r="P18" s="10">
        <f>Proj[[#This Row],[Goals]]+Proj[[#This Row],[Assists]]</f>
        <v>83</v>
      </c>
      <c r="Q18" s="10">
        <f>ROUND(_xlfn.IFNA(INDEX(Table2[],MATCH(Proj[[#This Row],[Player]],Table2[Player],0),11)/60,IF(Proj[[#This Row],[Pos]] = "D", 'Per 60 PP'!$K$527,'Per 60 PP'!$K$526)/60)*Proj[[#This Row],[TOI PP]]*Proj[[#This Row],[GP]],0)</f>
        <v>9</v>
      </c>
      <c r="R18" s="10">
        <f>ROUND(_xlfn.IFNA(INDEX(Table2[],MATCH(Proj[[#This Row],[Player]],Table2[Player],0),7)/60,IF(Proj[[#This Row],[Pos]] = "D", 'Per 60 PP'!$G$527,'Per 60 PP'!$G$526)/60)*Proj[[#This Row],[TOI PP]]*Proj[[#This Row],[GP]],0)</f>
        <v>16</v>
      </c>
      <c r="S18" s="10">
        <f>Proj[[#This Row],[PPG]]+Proj[[#This Row],[PPA]]</f>
        <v>25</v>
      </c>
      <c r="T18">
        <f>ROUND((_xlfn.IFNA(INDEX(Table3[],MATCH(Proj[[#This Row],[Player]],Table3[Player],0),6)/60,IF(Proj[[#This Row],[Pos]] ="D", 'Per 60 PK'!$F$623, 'Per 60 PK'!$F$622)/60)+_xlfn.IFNA(INDEX(Table3[],MATCH(Proj[[#This Row],[Player]],Table3[Player],0),8)/60,IF(Proj[[#This Row],[Pos]] ="D", 'Per 60 PK'!$H$623, 'Per 60 PK'!$H$622)/60))*Proj[[#This Row],[TOI PK]]*Proj[[#This Row],[GP]],0)</f>
        <v>0</v>
      </c>
      <c r="U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37</v>
      </c>
      <c r="X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257</v>
      </c>
      <c r="AA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465.33553446799198</v>
      </c>
      <c r="AB18" s="10">
        <f>_xlfn.RANK.EQ(Proj[[#This Row],[VOR]],Proj[VOR])</f>
        <v>49</v>
      </c>
      <c r="AC18" s="10">
        <f>INDEX(Std[],MATCH(Proj[[#This Row],[Player]],Std[Player],0),20)</f>
        <v>936.88025885824084</v>
      </c>
      <c r="AD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626.1</v>
      </c>
    </row>
    <row r="19" spans="1:30" x14ac:dyDescent="0.25">
      <c r="A19" t="s">
        <v>341</v>
      </c>
      <c r="B19">
        <v>29</v>
      </c>
      <c r="C19" t="s">
        <v>105</v>
      </c>
      <c r="D19" t="s">
        <v>31</v>
      </c>
      <c r="E19" s="9">
        <f>INDEX(Table1[],MATCH(Proj[[#This Row],[Player]],Table1[Player],0),5)</f>
        <v>14.2454132737263</v>
      </c>
      <c r="F19" s="9">
        <f>_xlfn.IFNA(INDEX(Table2[],MATCH(Proj[[#This Row],[Player]],Table2[Player],0),5),0)</f>
        <v>3.67</v>
      </c>
      <c r="G19" s="9">
        <f>_xlfn.IFNA(INDEX(Table3[],MATCH(Proj[[#This Row],[Player]],Table3[Player],0),5),0)</f>
        <v>1.99</v>
      </c>
      <c r="H19" s="10">
        <v>82</v>
      </c>
      <c r="I19">
        <v>82</v>
      </c>
      <c r="J19" s="9">
        <v>14.2454132737263</v>
      </c>
      <c r="K19" s="9">
        <v>3.67</v>
      </c>
      <c r="L19" s="9">
        <v>1.99</v>
      </c>
      <c r="M19" s="9">
        <f>Proj[[#This Row],[TOI ES]]+Proj[[#This Row],[TOI PP]]+Proj[[#This Row],[TOI PK]]</f>
        <v>19.9054132737263</v>
      </c>
      <c r="N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41</v>
      </c>
      <c r="O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19" s="10">
        <f>Proj[[#This Row],[Goals]]+Proj[[#This Row],[Assists]]</f>
        <v>83</v>
      </c>
      <c r="Q19" s="10">
        <f>ROUND(_xlfn.IFNA(INDEX(Table2[],MATCH(Proj[[#This Row],[Player]],Table2[Player],0),11)/60,IF(Proj[[#This Row],[Pos]] = "D", 'Per 60 PP'!$K$527,'Per 60 PP'!$K$526)/60)*Proj[[#This Row],[TOI PP]]*Proj[[#This Row],[GP]],0)</f>
        <v>20</v>
      </c>
      <c r="R19" s="10">
        <f>ROUND(_xlfn.IFNA(INDEX(Table2[],MATCH(Proj[[#This Row],[Player]],Table2[Player],0),7)/60,IF(Proj[[#This Row],[Pos]] = "D", 'Per 60 PP'!$G$527,'Per 60 PP'!$G$526)/60)*Proj[[#This Row],[TOI PP]]*Proj[[#This Row],[GP]],0)</f>
        <v>13</v>
      </c>
      <c r="S19" s="10">
        <f>Proj[[#This Row],[PPG]]+Proj[[#This Row],[PPA]]</f>
        <v>33</v>
      </c>
      <c r="T19">
        <f>ROUND((_xlfn.IFNA(INDEX(Table3[],MATCH(Proj[[#This Row],[Player]],Table3[Player],0),6)/60,IF(Proj[[#This Row],[Pos]] ="D", 'Per 60 PK'!$F$623, 'Per 60 PK'!$F$622)/60)+_xlfn.IFNA(INDEX(Table3[],MATCH(Proj[[#This Row],[Player]],Table3[Player],0),8)/60,IF(Proj[[#This Row],[Pos]] ="D", 'Per 60 PK'!$H$623, 'Per 60 PK'!$H$622)/60))*Proj[[#This Row],[TOI PK]]*Proj[[#This Row],[GP]],0)</f>
        <v>4</v>
      </c>
      <c r="U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230</v>
      </c>
      <c r="Y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275</v>
      </c>
      <c r="Z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220</v>
      </c>
      <c r="AA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630.33480604223882</v>
      </c>
      <c r="AB19" s="10">
        <f>_xlfn.RANK.EQ(Proj[[#This Row],[VOR]],Proj[VOR])</f>
        <v>30</v>
      </c>
      <c r="AC19" s="10">
        <f>INDEX(Std[],MATCH(Proj[[#This Row],[Player]],Std[Player],0),20)</f>
        <v>1076.8795304324876</v>
      </c>
      <c r="AD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653</v>
      </c>
    </row>
    <row r="20" spans="1:30" x14ac:dyDescent="0.25">
      <c r="A20" t="s">
        <v>269</v>
      </c>
      <c r="B20">
        <v>30</v>
      </c>
      <c r="C20" t="s">
        <v>102</v>
      </c>
      <c r="D20" t="s">
        <v>7</v>
      </c>
      <c r="E20" s="9">
        <f>INDEX(Table1[],MATCH(Proj[[#This Row],[Player]],Table1[Player],0),5)</f>
        <v>15.1021007726223</v>
      </c>
      <c r="F20" s="9">
        <f>_xlfn.IFNA(INDEX(Table2[],MATCH(Proj[[#This Row],[Player]],Table2[Player],0),5),0)</f>
        <v>3.32</v>
      </c>
      <c r="G20" s="9">
        <f>_xlfn.IFNA(INDEX(Table3[],MATCH(Proj[[#This Row],[Player]],Table3[Player],0),5),0)</f>
        <v>0</v>
      </c>
      <c r="H20" s="10">
        <v>79</v>
      </c>
      <c r="I20">
        <v>79</v>
      </c>
      <c r="J20" s="9">
        <v>15.1021007726223</v>
      </c>
      <c r="K20" s="9">
        <v>3.32</v>
      </c>
      <c r="L20" s="9">
        <v>0</v>
      </c>
      <c r="M20" s="9">
        <f>Proj[[#This Row],[TOI ES]]+Proj[[#This Row],[TOI PP]]+Proj[[#This Row],[TOI PK]]</f>
        <v>18.422100772622301</v>
      </c>
      <c r="N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40</v>
      </c>
      <c r="O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43</v>
      </c>
      <c r="P20" s="10">
        <f>Proj[[#This Row],[Goals]]+Proj[[#This Row],[Assists]]</f>
        <v>83</v>
      </c>
      <c r="Q20" s="10">
        <f>ROUND(_xlfn.IFNA(INDEX(Table2[],MATCH(Proj[[#This Row],[Player]],Table2[Player],0),11)/60,IF(Proj[[#This Row],[Pos]] = "D", 'Per 60 PP'!$K$527,'Per 60 PP'!$K$526)/60)*Proj[[#This Row],[TOI PP]]*Proj[[#This Row],[GP]],0)</f>
        <v>10</v>
      </c>
      <c r="R20" s="10">
        <f>ROUND(_xlfn.IFNA(INDEX(Table2[],MATCH(Proj[[#This Row],[Player]],Table2[Player],0),7)/60,IF(Proj[[#This Row],[Pos]] = "D", 'Per 60 PP'!$G$527,'Per 60 PP'!$G$526)/60)*Proj[[#This Row],[TOI PP]]*Proj[[#This Row],[GP]],0)</f>
        <v>17</v>
      </c>
      <c r="S20" s="10">
        <f>Proj[[#This Row],[PPG]]+Proj[[#This Row],[PPA]]</f>
        <v>27</v>
      </c>
      <c r="T20">
        <f>ROUND((_xlfn.IFNA(INDEX(Table3[],MATCH(Proj[[#This Row],[Player]],Table3[Player],0),6)/60,IF(Proj[[#This Row],[Pos]] ="D", 'Per 60 PK'!$F$623, 'Per 60 PK'!$F$622)/60)+_xlfn.IFNA(INDEX(Table3[],MATCH(Proj[[#This Row],[Player]],Table3[Player],0),8)/60,IF(Proj[[#This Row],[Pos]] ="D", 'Per 60 PK'!$H$623, 'Per 60 PK'!$H$622)/60))*Proj[[#This Row],[TOI PK]]*Proj[[#This Row],[GP]],0)</f>
        <v>0</v>
      </c>
      <c r="U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293</v>
      </c>
      <c r="AA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689.80084237759911</v>
      </c>
      <c r="AB20" s="10">
        <f>_xlfn.RANK.EQ(Proj[[#This Row],[VOR]],Proj[VOR])</f>
        <v>25</v>
      </c>
      <c r="AC20" s="10">
        <f>INDEX(Std[],MATCH(Proj[[#This Row],[Player]],Std[Player],0),20)</f>
        <v>1161.3455667678479</v>
      </c>
      <c r="AD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692.94999999999993</v>
      </c>
    </row>
    <row r="21" spans="1:30" x14ac:dyDescent="0.25">
      <c r="A21" t="s">
        <v>289</v>
      </c>
      <c r="B21">
        <v>25</v>
      </c>
      <c r="C21" t="s">
        <v>3</v>
      </c>
      <c r="D21" t="s">
        <v>8</v>
      </c>
      <c r="E21" s="9">
        <f>INDEX(Table1[],MATCH(Proj[[#This Row],[Player]],Table1[Player],0),5)</f>
        <v>20.123337234170801</v>
      </c>
      <c r="F21" s="9">
        <f>_xlfn.IFNA(INDEX(Table2[],MATCH(Proj[[#This Row],[Player]],Table2[Player],0),5),0)</f>
        <v>3.85</v>
      </c>
      <c r="G21" s="9">
        <f>_xlfn.IFNA(INDEX(Table3[],MATCH(Proj[[#This Row],[Player]],Table3[Player],0),5),0)</f>
        <v>0.8</v>
      </c>
      <c r="H21" s="10">
        <v>81</v>
      </c>
      <c r="I21">
        <v>81</v>
      </c>
      <c r="J21" s="9">
        <v>20.123337234170801</v>
      </c>
      <c r="K21" s="9">
        <v>3.85</v>
      </c>
      <c r="L21" s="9">
        <v>0.8</v>
      </c>
      <c r="M21" s="9">
        <f>Proj[[#This Row],[TOI ES]]+Proj[[#This Row],[TOI PP]]+Proj[[#This Row],[TOI PK]]</f>
        <v>24.773337234170803</v>
      </c>
      <c r="N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71</v>
      </c>
      <c r="P21" s="10">
        <f>Proj[[#This Row],[Goals]]+Proj[[#This Row],[Assists]]</f>
        <v>82</v>
      </c>
      <c r="Q21" s="10">
        <f>ROUND(_xlfn.IFNA(INDEX(Table2[],MATCH(Proj[[#This Row],[Player]],Table2[Player],0),11)/60,IF(Proj[[#This Row],[Pos]] = "D", 'Per 60 PP'!$K$527,'Per 60 PP'!$K$526)/60)*Proj[[#This Row],[TOI PP]]*Proj[[#This Row],[GP]],0)</f>
        <v>3</v>
      </c>
      <c r="R21" s="10">
        <f>ROUND(_xlfn.IFNA(INDEX(Table2[],MATCH(Proj[[#This Row],[Player]],Table2[Player],0),7)/60,IF(Proj[[#This Row],[Pos]] = "D", 'Per 60 PP'!$G$527,'Per 60 PP'!$G$526)/60)*Proj[[#This Row],[TOI PP]]*Proj[[#This Row],[GP]],0)</f>
        <v>35</v>
      </c>
      <c r="S21" s="10">
        <f>Proj[[#This Row],[PPG]]+Proj[[#This Row],[PPA]]</f>
        <v>38</v>
      </c>
      <c r="T21">
        <f>ROUND((_xlfn.IFNA(INDEX(Table3[],MATCH(Proj[[#This Row],[Player]],Table3[Player],0),6)/60,IF(Proj[[#This Row],[Pos]] ="D", 'Per 60 PK'!$F$623, 'Per 60 PK'!$F$622)/60)+_xlfn.IFNA(INDEX(Table3[],MATCH(Proj[[#This Row],[Player]],Table3[Player],0),8)/60,IF(Proj[[#This Row],[Pos]] ="D", 'Per 60 PK'!$H$623, 'Per 60 PK'!$H$622)/60))*Proj[[#This Row],[TOI PK]]*Proj[[#This Row],[GP]],0)</f>
        <v>0</v>
      </c>
      <c r="U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174</v>
      </c>
      <c r="AA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745.60770573295406</v>
      </c>
      <c r="AB21" s="10">
        <f>_xlfn.RANK.EQ(Proj[[#This Row],[VOR]],Proj[VOR])</f>
        <v>18</v>
      </c>
      <c r="AC21" s="10">
        <f>INDEX(Std[],MATCH(Proj[[#This Row],[Player]],Std[Player],0),20)</f>
        <v>852.97247345241851</v>
      </c>
      <c r="AD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559.85</v>
      </c>
    </row>
    <row r="22" spans="1:30" x14ac:dyDescent="0.25">
      <c r="A22" t="s">
        <v>419</v>
      </c>
      <c r="B22">
        <v>26</v>
      </c>
      <c r="C22" t="s">
        <v>104</v>
      </c>
      <c r="D22" t="s">
        <v>156</v>
      </c>
      <c r="E22" s="9">
        <f>INDEX(Table1[],MATCH(Proj[[#This Row],[Player]],Table1[Player],0),5)</f>
        <v>14.8011645471347</v>
      </c>
      <c r="F22" s="9">
        <f>_xlfn.IFNA(INDEX(Table2[],MATCH(Proj[[#This Row],[Player]],Table2[Player],0),5),0)</f>
        <v>3.24</v>
      </c>
      <c r="G22" s="9">
        <f>_xlfn.IFNA(INDEX(Table3[],MATCH(Proj[[#This Row],[Player]],Table3[Player],0),5),0)</f>
        <v>1.02</v>
      </c>
      <c r="H22" s="10">
        <v>82</v>
      </c>
      <c r="I22">
        <v>82</v>
      </c>
      <c r="J22" s="9">
        <v>14.8011645471347</v>
      </c>
      <c r="K22" s="9">
        <v>3.24</v>
      </c>
      <c r="L22" s="9">
        <v>1.02</v>
      </c>
      <c r="M22" s="9">
        <f>Proj[[#This Row],[TOI ES]]+Proj[[#This Row],[TOI PP]]+Proj[[#This Row],[TOI PK]]</f>
        <v>19.061164547134698</v>
      </c>
      <c r="N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53</v>
      </c>
      <c r="P22" s="10">
        <f>Proj[[#This Row],[Goals]]+Proj[[#This Row],[Assists]]</f>
        <v>82</v>
      </c>
      <c r="Q22" s="10">
        <f>ROUND(_xlfn.IFNA(INDEX(Table2[],MATCH(Proj[[#This Row],[Player]],Table2[Player],0),11)/60,IF(Proj[[#This Row],[Pos]] = "D", 'Per 60 PP'!$K$527,'Per 60 PP'!$K$526)/60)*Proj[[#This Row],[TOI PP]]*Proj[[#This Row],[GP]],0)</f>
        <v>7</v>
      </c>
      <c r="R22" s="10">
        <f>ROUND(_xlfn.IFNA(INDEX(Table2[],MATCH(Proj[[#This Row],[Player]],Table2[Player],0),7)/60,IF(Proj[[#This Row],[Pos]] = "D", 'Per 60 PP'!$G$527,'Per 60 PP'!$G$526)/60)*Proj[[#This Row],[TOI PP]]*Proj[[#This Row],[GP]],0)</f>
        <v>19</v>
      </c>
      <c r="S22" s="10">
        <f>Proj[[#This Row],[PPG]]+Proj[[#This Row],[PPA]]</f>
        <v>26</v>
      </c>
      <c r="T22">
        <f>ROUND((_xlfn.IFNA(INDEX(Table3[],MATCH(Proj[[#This Row],[Player]],Table3[Player],0),6)/60,IF(Proj[[#This Row],[Pos]] ="D", 'Per 60 PK'!$F$623, 'Per 60 PK'!$F$622)/60)+_xlfn.IFNA(INDEX(Table3[],MATCH(Proj[[#This Row],[Player]],Table3[Player],0),8)/60,IF(Proj[[#This Row],[Pos]] ="D", 'Per 60 PK'!$H$623, 'Per 60 PK'!$H$622)/60))*Proj[[#This Row],[TOI PK]]*Proj[[#This Row],[GP]],0)</f>
        <v>1</v>
      </c>
      <c r="U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44</v>
      </c>
      <c r="V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234</v>
      </c>
      <c r="AA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291.91595257700425</v>
      </c>
      <c r="AB22" s="10">
        <f>_xlfn.RANK.EQ(Proj[[#This Row],[VOR]],Proj[VOR])</f>
        <v>80</v>
      </c>
      <c r="AC22" s="10">
        <f>INDEX(Std[],MATCH(Proj[[#This Row],[Player]],Std[Player],0),20)</f>
        <v>738.46067696725311</v>
      </c>
      <c r="AD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582.95000000000005</v>
      </c>
    </row>
    <row r="23" spans="1:30" x14ac:dyDescent="0.25">
      <c r="A23" t="s">
        <v>266</v>
      </c>
      <c r="B23">
        <v>27</v>
      </c>
      <c r="C23" t="s">
        <v>74</v>
      </c>
      <c r="D23" t="s">
        <v>34</v>
      </c>
      <c r="E23" s="9">
        <f>INDEX(Table1[],MATCH(Proj[[#This Row],[Player]],Table1[Player],0),5)</f>
        <v>14.7409070337337</v>
      </c>
      <c r="F23" s="9">
        <f>_xlfn.IFNA(INDEX(Table2[],MATCH(Proj[[#This Row],[Player]],Table2[Player],0),5),0)</f>
        <v>2.93</v>
      </c>
      <c r="G23" s="9">
        <f>_xlfn.IFNA(INDEX(Table3[],MATCH(Proj[[#This Row],[Player]],Table3[Player],0),5),0)</f>
        <v>1.77</v>
      </c>
      <c r="H23" s="10">
        <v>80</v>
      </c>
      <c r="I23">
        <v>80</v>
      </c>
      <c r="J23" s="9">
        <v>14.7409070337337</v>
      </c>
      <c r="K23" s="9">
        <v>2.93</v>
      </c>
      <c r="L23" s="9">
        <v>1.77</v>
      </c>
      <c r="M23" s="9">
        <f>Proj[[#This Row],[TOI ES]]+Proj[[#This Row],[TOI PP]]+Proj[[#This Row],[TOI PK]]</f>
        <v>19.440907033733701</v>
      </c>
      <c r="N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47</v>
      </c>
      <c r="P23" s="10">
        <f>Proj[[#This Row],[Goals]]+Proj[[#This Row],[Assists]]</f>
        <v>82</v>
      </c>
      <c r="Q23" s="10">
        <f>ROUND(_xlfn.IFNA(INDEX(Table2[],MATCH(Proj[[#This Row],[Player]],Table2[Player],0),11)/60,IF(Proj[[#This Row],[Pos]] = "D", 'Per 60 PP'!$K$527,'Per 60 PP'!$K$526)/60)*Proj[[#This Row],[TOI PP]]*Proj[[#This Row],[GP]],0)</f>
        <v>9</v>
      </c>
      <c r="R23" s="10">
        <f>ROUND(_xlfn.IFNA(INDEX(Table2[],MATCH(Proj[[#This Row],[Player]],Table2[Player],0),7)/60,IF(Proj[[#This Row],[Pos]] = "D", 'Per 60 PP'!$G$527,'Per 60 PP'!$G$526)/60)*Proj[[#This Row],[TOI PP]]*Proj[[#This Row],[GP]],0)</f>
        <v>17</v>
      </c>
      <c r="S23" s="10">
        <f>Proj[[#This Row],[PPG]]+Proj[[#This Row],[PPA]]</f>
        <v>26</v>
      </c>
      <c r="T23">
        <f>ROUND((_xlfn.IFNA(INDEX(Table3[],MATCH(Proj[[#This Row],[Player]],Table3[Player],0),6)/60,IF(Proj[[#This Row],[Pos]] ="D", 'Per 60 PK'!$F$623, 'Per 60 PK'!$F$622)/60)+_xlfn.IFNA(INDEX(Table3[],MATCH(Proj[[#This Row],[Player]],Table3[Player],0),8)/60,IF(Proj[[#This Row],[Pos]] ="D", 'Per 60 PK'!$H$623, 'Per 60 PK'!$H$622)/60))*Proj[[#This Row],[TOI PK]]*Proj[[#This Row],[GP]],0)</f>
        <v>3</v>
      </c>
      <c r="U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54</v>
      </c>
      <c r="V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26</v>
      </c>
      <c r="W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564</v>
      </c>
      <c r="Y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495</v>
      </c>
      <c r="Z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219</v>
      </c>
      <c r="AA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404.91392817583915</v>
      </c>
      <c r="AB23" s="10">
        <f>_xlfn.RANK.EQ(Proj[[#This Row],[VOR]],Proj[VOR])</f>
        <v>64</v>
      </c>
      <c r="AC23" s="10">
        <f>INDEX(Std[],MATCH(Proj[[#This Row],[Player]],Std[Player],0),20)</f>
        <v>1139.5477824861377</v>
      </c>
      <c r="AD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648.15</v>
      </c>
    </row>
    <row r="24" spans="1:30" x14ac:dyDescent="0.25">
      <c r="A24" t="s">
        <v>278</v>
      </c>
      <c r="B24">
        <v>29</v>
      </c>
      <c r="C24" t="s">
        <v>74</v>
      </c>
      <c r="D24" t="s">
        <v>31</v>
      </c>
      <c r="E24" s="9">
        <f>INDEX(Table1[],MATCH(Proj[[#This Row],[Player]],Table1[Player],0),5)</f>
        <v>14.188090876478</v>
      </c>
      <c r="F24" s="9">
        <f>_xlfn.IFNA(INDEX(Table2[],MATCH(Proj[[#This Row],[Player]],Table2[Player],0),5),0)</f>
        <v>3.49</v>
      </c>
      <c r="G24" s="9">
        <f>_xlfn.IFNA(INDEX(Table3[],MATCH(Proj[[#This Row],[Player]],Table3[Player],0),5),0)</f>
        <v>2.0299999999999998</v>
      </c>
      <c r="H24" s="10">
        <v>74</v>
      </c>
      <c r="I24">
        <v>74</v>
      </c>
      <c r="J24" s="9">
        <v>14.188090876478</v>
      </c>
      <c r="K24" s="9">
        <v>3.49</v>
      </c>
      <c r="L24" s="9">
        <v>2.0299999999999998</v>
      </c>
      <c r="M24" s="9">
        <f>Proj[[#This Row],[TOI ES]]+Proj[[#This Row],[TOI PP]]+Proj[[#This Row],[TOI PK]]</f>
        <v>19.708090876478003</v>
      </c>
      <c r="N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27</v>
      </c>
      <c r="O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55</v>
      </c>
      <c r="P24" s="10">
        <f>Proj[[#This Row],[Goals]]+Proj[[#This Row],[Assists]]</f>
        <v>82</v>
      </c>
      <c r="Q24" s="10">
        <f>ROUND(_xlfn.IFNA(INDEX(Table2[],MATCH(Proj[[#This Row],[Player]],Table2[Player],0),11)/60,IF(Proj[[#This Row],[Pos]] = "D", 'Per 60 PP'!$K$527,'Per 60 PP'!$K$526)/60)*Proj[[#This Row],[TOI PP]]*Proj[[#This Row],[GP]],0)</f>
        <v>8</v>
      </c>
      <c r="R24" s="10">
        <f>ROUND(_xlfn.IFNA(INDEX(Table2[],MATCH(Proj[[#This Row],[Player]],Table2[Player],0),7)/60,IF(Proj[[#This Row],[Pos]] = "D", 'Per 60 PP'!$G$527,'Per 60 PP'!$G$526)/60)*Proj[[#This Row],[TOI PP]]*Proj[[#This Row],[GP]],0)</f>
        <v>22</v>
      </c>
      <c r="S24" s="10">
        <f>Proj[[#This Row],[PPG]]+Proj[[#This Row],[PPA]]</f>
        <v>30</v>
      </c>
      <c r="T24">
        <f>ROUND((_xlfn.IFNA(INDEX(Table3[],MATCH(Proj[[#This Row],[Player]],Table3[Player],0),6)/60,IF(Proj[[#This Row],[Pos]] ="D", 'Per 60 PK'!$F$623, 'Per 60 PK'!$F$622)/60)+_xlfn.IFNA(INDEX(Table3[],MATCH(Proj[[#This Row],[Player]],Table3[Player],0),8)/60,IF(Proj[[#This Row],[Pos]] ="D", 'Per 60 PK'!$H$623, 'Per 60 PK'!$H$622)/60))*Proj[[#This Row],[TOI PK]]*Proj[[#This Row],[GP]],0)</f>
        <v>3</v>
      </c>
      <c r="U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76</v>
      </c>
      <c r="V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655</v>
      </c>
      <c r="Y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499</v>
      </c>
      <c r="Z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203</v>
      </c>
      <c r="AA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453.66771319396548</v>
      </c>
      <c r="AB24" s="10">
        <f>_xlfn.RANK.EQ(Proj[[#This Row],[VOR]],Proj[VOR])</f>
        <v>51</v>
      </c>
      <c r="AC24" s="10">
        <f>INDEX(Std[],MATCH(Proj[[#This Row],[Player]],Std[Player],0),20)</f>
        <v>1188.3015675042641</v>
      </c>
      <c r="AD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664.25</v>
      </c>
    </row>
    <row r="25" spans="1:30" x14ac:dyDescent="0.25">
      <c r="A25" t="s">
        <v>312</v>
      </c>
      <c r="B25">
        <v>26</v>
      </c>
      <c r="C25" t="s">
        <v>101</v>
      </c>
      <c r="D25" t="s">
        <v>8</v>
      </c>
      <c r="E25" s="9">
        <f>INDEX(Table1[],MATCH(Proj[[#This Row],[Player]],Table1[Player],0),5)</f>
        <v>14.4903459596504</v>
      </c>
      <c r="F25" s="9">
        <f>_xlfn.IFNA(INDEX(Table2[],MATCH(Proj[[#This Row],[Player]],Table2[Player],0),5),0)</f>
        <v>3.76</v>
      </c>
      <c r="G25" s="9">
        <f>_xlfn.IFNA(INDEX(Table3[],MATCH(Proj[[#This Row],[Player]],Table3[Player],0),5),0)</f>
        <v>1.49</v>
      </c>
      <c r="H25" s="10">
        <v>82</v>
      </c>
      <c r="I25">
        <v>82</v>
      </c>
      <c r="J25" s="9">
        <v>14.4903459596504</v>
      </c>
      <c r="K25" s="9">
        <v>3.76</v>
      </c>
      <c r="L25" s="9">
        <v>1.49</v>
      </c>
      <c r="M25" s="9">
        <f>Proj[[#This Row],[TOI ES]]+Proj[[#This Row],[TOI PP]]+Proj[[#This Row],[TOI PK]]</f>
        <v>19.740345959650398</v>
      </c>
      <c r="N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33</v>
      </c>
      <c r="O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49</v>
      </c>
      <c r="P25" s="10">
        <f>Proj[[#This Row],[Goals]]+Proj[[#This Row],[Assists]]</f>
        <v>82</v>
      </c>
      <c r="Q25" s="10">
        <f>ROUND(_xlfn.IFNA(INDEX(Table2[],MATCH(Proj[[#This Row],[Player]],Table2[Player],0),11)/60,IF(Proj[[#This Row],[Pos]] = "D", 'Per 60 PP'!$K$527,'Per 60 PP'!$K$526)/60)*Proj[[#This Row],[TOI PP]]*Proj[[#This Row],[GP]],0)</f>
        <v>11</v>
      </c>
      <c r="R25" s="10">
        <f>ROUND(_xlfn.IFNA(INDEX(Table2[],MATCH(Proj[[#This Row],[Player]],Table2[Player],0),7)/60,IF(Proj[[#This Row],[Pos]] = "D", 'Per 60 PP'!$G$527,'Per 60 PP'!$G$526)/60)*Proj[[#This Row],[TOI PP]]*Proj[[#This Row],[GP]],0)</f>
        <v>19</v>
      </c>
      <c r="S25" s="10">
        <f>Proj[[#This Row],[PPG]]+Proj[[#This Row],[PPA]]</f>
        <v>30</v>
      </c>
      <c r="T25">
        <f>ROUND((_xlfn.IFNA(INDEX(Table3[],MATCH(Proj[[#This Row],[Player]],Table3[Player],0),6)/60,IF(Proj[[#This Row],[Pos]] ="D", 'Per 60 PK'!$F$623, 'Per 60 PK'!$F$622)/60)+_xlfn.IFNA(INDEX(Table3[],MATCH(Proj[[#This Row],[Player]],Table3[Player],0),8)/60,IF(Proj[[#This Row],[Pos]] ="D", 'Per 60 PK'!$H$623, 'Per 60 PK'!$H$622)/60))*Proj[[#This Row],[TOI PK]]*Proj[[#This Row],[GP]],0)</f>
        <v>3</v>
      </c>
      <c r="U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95</v>
      </c>
      <c r="V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385</v>
      </c>
      <c r="Y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397</v>
      </c>
      <c r="Z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217</v>
      </c>
      <c r="AA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674.19880797201449</v>
      </c>
      <c r="AB25" s="10">
        <f>_xlfn.RANK.EQ(Proj[[#This Row],[VOR]],Proj[VOR])</f>
        <v>26</v>
      </c>
      <c r="AC25" s="10">
        <f>INDEX(Std[],MATCH(Proj[[#This Row],[Player]],Std[Player],0),20)</f>
        <v>1145.7435323622633</v>
      </c>
      <c r="AD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672.35</v>
      </c>
    </row>
    <row r="26" spans="1:30" x14ac:dyDescent="0.25">
      <c r="A26" t="s">
        <v>354</v>
      </c>
      <c r="B26">
        <v>28</v>
      </c>
      <c r="C26" t="s">
        <v>74</v>
      </c>
      <c r="D26" t="s">
        <v>153</v>
      </c>
      <c r="E26" s="9">
        <f>INDEX(Table1[],MATCH(Proj[[#This Row],[Player]],Table1[Player],0),5)</f>
        <v>16.097698688513098</v>
      </c>
      <c r="F26" s="9">
        <f>_xlfn.IFNA(INDEX(Table2[],MATCH(Proj[[#This Row],[Player]],Table2[Player],0),5),0)</f>
        <v>3.6</v>
      </c>
      <c r="G26" s="9">
        <f>_xlfn.IFNA(INDEX(Table3[],MATCH(Proj[[#This Row],[Player]],Table3[Player],0),5),0)</f>
        <v>0</v>
      </c>
      <c r="H26" s="10">
        <v>80</v>
      </c>
      <c r="I26">
        <v>80</v>
      </c>
      <c r="J26" s="9">
        <v>16.097698688513098</v>
      </c>
      <c r="K26" s="9">
        <v>3.6</v>
      </c>
      <c r="L26" s="9">
        <v>0</v>
      </c>
      <c r="M26" s="9">
        <f>Proj[[#This Row],[TOI ES]]+Proj[[#This Row],[TOI PP]]+Proj[[#This Row],[TOI PK]]</f>
        <v>19.6976986885131</v>
      </c>
      <c r="N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40</v>
      </c>
      <c r="O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26" s="10">
        <f>Proj[[#This Row],[Goals]]+Proj[[#This Row],[Assists]]</f>
        <v>80</v>
      </c>
      <c r="Q26" s="10">
        <f>ROUND(_xlfn.IFNA(INDEX(Table2[],MATCH(Proj[[#This Row],[Player]],Table2[Player],0),11)/60,IF(Proj[[#This Row],[Pos]] = "D", 'Per 60 PP'!$K$527,'Per 60 PP'!$K$526)/60)*Proj[[#This Row],[TOI PP]]*Proj[[#This Row],[GP]],0)</f>
        <v>14</v>
      </c>
      <c r="R26" s="10">
        <f>ROUND(_xlfn.IFNA(INDEX(Table2[],MATCH(Proj[[#This Row],[Player]],Table2[Player],0),7)/60,IF(Proj[[#This Row],[Pos]] = "D", 'Per 60 PP'!$G$527,'Per 60 PP'!$G$526)/60)*Proj[[#This Row],[TOI PP]]*Proj[[#This Row],[GP]],0)</f>
        <v>13</v>
      </c>
      <c r="S26" s="10">
        <f>Proj[[#This Row],[PPG]]+Proj[[#This Row],[PPA]]</f>
        <v>27</v>
      </c>
      <c r="T26">
        <f>ROUND((_xlfn.IFNA(INDEX(Table3[],MATCH(Proj[[#This Row],[Player]],Table3[Player],0),6)/60,IF(Proj[[#This Row],[Pos]] ="D", 'Per 60 PK'!$F$623, 'Per 60 PK'!$F$622)/60)+_xlfn.IFNA(INDEX(Table3[],MATCH(Proj[[#This Row],[Player]],Table3[Player],0),8)/60,IF(Proj[[#This Row],[Pos]] ="D", 'Per 60 PK'!$H$623, 'Per 60 PK'!$H$622)/60))*Proj[[#This Row],[TOI PK]]*Proj[[#This Row],[GP]],0)</f>
        <v>0</v>
      </c>
      <c r="U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28</v>
      </c>
      <c r="V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318</v>
      </c>
      <c r="Y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358</v>
      </c>
      <c r="Z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218</v>
      </c>
      <c r="AA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177.22221460380911</v>
      </c>
      <c r="AB26" s="10">
        <f>_xlfn.RANK.EQ(Proj[[#This Row],[VOR]],Proj[VOR])</f>
        <v>109</v>
      </c>
      <c r="AC26" s="10">
        <f>INDEX(Std[],MATCH(Proj[[#This Row],[Player]],Std[Player],0),20)</f>
        <v>911.85606891410771</v>
      </c>
      <c r="AD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608.59999999999991</v>
      </c>
    </row>
    <row r="27" spans="1:30" x14ac:dyDescent="0.25">
      <c r="A27" t="s">
        <v>246</v>
      </c>
      <c r="B27">
        <v>26</v>
      </c>
      <c r="C27" t="s">
        <v>3</v>
      </c>
      <c r="D27" t="s">
        <v>11</v>
      </c>
      <c r="E27" s="9">
        <f>INDEX(Table1[],MATCH(Proj[[#This Row],[Player]],Table1[Player],0),5)</f>
        <v>18.281263968752199</v>
      </c>
      <c r="F27" s="9">
        <f>_xlfn.IFNA(INDEX(Table2[],MATCH(Proj[[#This Row],[Player]],Table2[Player],0),5),0)</f>
        <v>3.95</v>
      </c>
      <c r="G27" s="9">
        <f>_xlfn.IFNA(INDEX(Table3[],MATCH(Proj[[#This Row],[Player]],Table3[Player],0),5),0)</f>
        <v>2.58</v>
      </c>
      <c r="H27" s="10">
        <v>76</v>
      </c>
      <c r="I27">
        <v>76</v>
      </c>
      <c r="J27" s="9">
        <v>18.281263968752199</v>
      </c>
      <c r="K27" s="9">
        <v>3.95</v>
      </c>
      <c r="L27" s="9">
        <v>2.58</v>
      </c>
      <c r="M27" s="9">
        <f>Proj[[#This Row],[TOI ES]]+Proj[[#This Row],[TOI PP]]+Proj[[#This Row],[TOI PK]]</f>
        <v>24.811263968752201</v>
      </c>
      <c r="N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61</v>
      </c>
      <c r="P27" s="10">
        <f>Proj[[#This Row],[Goals]]+Proj[[#This Row],[Assists]]</f>
        <v>79</v>
      </c>
      <c r="Q27" s="10">
        <f>ROUND(_xlfn.IFNA(INDEX(Table2[],MATCH(Proj[[#This Row],[Player]],Table2[Player],0),11)/60,IF(Proj[[#This Row],[Pos]] = "D", 'Per 60 PP'!$K$527,'Per 60 PP'!$K$526)/60)*Proj[[#This Row],[TOI PP]]*Proj[[#This Row],[GP]],0)</f>
        <v>6</v>
      </c>
      <c r="R27" s="10">
        <f>ROUND(_xlfn.IFNA(INDEX(Table2[],MATCH(Proj[[#This Row],[Player]],Table2[Player],0),7)/60,IF(Proj[[#This Row],[Pos]] = "D", 'Per 60 PP'!$G$527,'Per 60 PP'!$G$526)/60)*Proj[[#This Row],[TOI PP]]*Proj[[#This Row],[GP]],0)</f>
        <v>29</v>
      </c>
      <c r="S27" s="10">
        <f>Proj[[#This Row],[PPG]]+Proj[[#This Row],[PPA]]</f>
        <v>35</v>
      </c>
      <c r="T27">
        <f>ROUND((_xlfn.IFNA(INDEX(Table3[],MATCH(Proj[[#This Row],[Player]],Table3[Player],0),6)/60,IF(Proj[[#This Row],[Pos]] ="D", 'Per 60 PK'!$F$623, 'Per 60 PK'!$F$622)/60)+_xlfn.IFNA(INDEX(Table3[],MATCH(Proj[[#This Row],[Player]],Table3[Player],0),8)/60,IF(Proj[[#This Row],[Pos]] ="D", 'Per 60 PK'!$H$623, 'Per 60 PK'!$H$622)/60))*Proj[[#This Row],[TOI PK]]*Proj[[#This Row],[GP]],0)</f>
        <v>2</v>
      </c>
      <c r="U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131</v>
      </c>
      <c r="W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208</v>
      </c>
      <c r="AA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893.02258213639072</v>
      </c>
      <c r="AB27" s="10">
        <f>_xlfn.RANK.EQ(Proj[[#This Row],[VOR]],Proj[VOR])</f>
        <v>16</v>
      </c>
      <c r="AC27" s="10">
        <f>INDEX(Std[],MATCH(Proj[[#This Row],[Player]],Std[Player],0),20)</f>
        <v>1000.3873498558552</v>
      </c>
      <c r="AD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616.25</v>
      </c>
    </row>
    <row r="28" spans="1:30" x14ac:dyDescent="0.25">
      <c r="A28" t="s">
        <v>257</v>
      </c>
      <c r="B28">
        <v>34</v>
      </c>
      <c r="C28" t="s">
        <v>101</v>
      </c>
      <c r="D28" t="s">
        <v>7</v>
      </c>
      <c r="E28" s="9">
        <f>INDEX(Table1[],MATCH(Proj[[#This Row],[Player]],Table1[Player],0),5)</f>
        <v>14.367957135441999</v>
      </c>
      <c r="F28" s="9">
        <f>_xlfn.IFNA(INDEX(Table2[],MATCH(Proj[[#This Row],[Player]],Table2[Player],0),5),0)</f>
        <v>3.6</v>
      </c>
      <c r="G28" s="9">
        <f>_xlfn.IFNA(INDEX(Table3[],MATCH(Proj[[#This Row],[Player]],Table3[Player],0),5),0)</f>
        <v>0.44</v>
      </c>
      <c r="H28" s="10">
        <v>78</v>
      </c>
      <c r="I28">
        <v>78</v>
      </c>
      <c r="J28" s="9">
        <v>14.367957135441999</v>
      </c>
      <c r="K28" s="9">
        <v>3.6</v>
      </c>
      <c r="L28" s="9">
        <v>0.44</v>
      </c>
      <c r="M28" s="9">
        <f>Proj[[#This Row],[TOI ES]]+Proj[[#This Row],[TOI PP]]+Proj[[#This Row],[TOI PK]]</f>
        <v>18.407957135442</v>
      </c>
      <c r="N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44</v>
      </c>
      <c r="P28" s="10">
        <f>Proj[[#This Row],[Goals]]+Proj[[#This Row],[Assists]]</f>
        <v>79</v>
      </c>
      <c r="Q28" s="10">
        <f>ROUND(_xlfn.IFNA(INDEX(Table2[],MATCH(Proj[[#This Row],[Player]],Table2[Player],0),11)/60,IF(Proj[[#This Row],[Pos]] = "D", 'Per 60 PP'!$K$527,'Per 60 PP'!$K$526)/60)*Proj[[#This Row],[TOI PP]]*Proj[[#This Row],[GP]],0)</f>
        <v>15</v>
      </c>
      <c r="R28" s="10">
        <f>ROUND(_xlfn.IFNA(INDEX(Table2[],MATCH(Proj[[#This Row],[Player]],Table2[Player],0),7)/60,IF(Proj[[#This Row],[Pos]] = "D", 'Per 60 PP'!$G$527,'Per 60 PP'!$G$526)/60)*Proj[[#This Row],[TOI PP]]*Proj[[#This Row],[GP]],0)</f>
        <v>18</v>
      </c>
      <c r="S28" s="10">
        <f>Proj[[#This Row],[PPG]]+Proj[[#This Row],[PPA]]</f>
        <v>33</v>
      </c>
      <c r="T28">
        <f>ROUND((_xlfn.IFNA(INDEX(Table3[],MATCH(Proj[[#This Row],[Player]],Table3[Player],0),6)/60,IF(Proj[[#This Row],[Pos]] ="D", 'Per 60 PK'!$F$623, 'Per 60 PK'!$F$622)/60)+_xlfn.IFNA(INDEX(Table3[],MATCH(Proj[[#This Row],[Player]],Table3[Player],0),8)/60,IF(Proj[[#This Row],[Pos]] ="D", 'Per 60 PK'!$H$623, 'Per 60 PK'!$H$622)/60))*Proj[[#This Row],[TOI PK]]*Proj[[#This Row],[GP]],0)</f>
        <v>0</v>
      </c>
      <c r="U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73</v>
      </c>
      <c r="V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399</v>
      </c>
      <c r="Y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349</v>
      </c>
      <c r="Z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236</v>
      </c>
      <c r="AA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718.83233635625334</v>
      </c>
      <c r="AB28" s="10">
        <f>_xlfn.RANK.EQ(Proj[[#This Row],[VOR]],Proj[VOR])</f>
        <v>21</v>
      </c>
      <c r="AC28" s="10">
        <f>INDEX(Std[],MATCH(Proj[[#This Row],[Player]],Std[Player],0),20)</f>
        <v>1190.3770607465021</v>
      </c>
      <c r="AD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656.4</v>
      </c>
    </row>
    <row r="29" spans="1:30" x14ac:dyDescent="0.25">
      <c r="A29" t="s">
        <v>437</v>
      </c>
      <c r="B29">
        <v>37</v>
      </c>
      <c r="C29" t="s">
        <v>103</v>
      </c>
      <c r="D29" t="s">
        <v>18</v>
      </c>
      <c r="E29" s="9">
        <f>INDEX(Table1[],MATCH(Proj[[#This Row],[Player]],Table1[Player],0),5)</f>
        <v>14.927924944428201</v>
      </c>
      <c r="F29" s="9">
        <f>_xlfn.IFNA(INDEX(Table2[],MATCH(Proj[[#This Row],[Player]],Table2[Player],0),5),0)</f>
        <v>3.81</v>
      </c>
      <c r="G29" s="9">
        <f>_xlfn.IFNA(INDEX(Table3[],MATCH(Proj[[#This Row],[Player]],Table3[Player],0),5),0)</f>
        <v>0</v>
      </c>
      <c r="H29" s="10">
        <v>77</v>
      </c>
      <c r="I29">
        <v>77</v>
      </c>
      <c r="J29" s="9">
        <v>14.927924944428201</v>
      </c>
      <c r="K29" s="9">
        <v>3.81</v>
      </c>
      <c r="L29" s="9">
        <v>0</v>
      </c>
      <c r="M29" s="9">
        <f>Proj[[#This Row],[TOI ES]]+Proj[[#This Row],[TOI PP]]+Proj[[#This Row],[TOI PK]]</f>
        <v>18.737924944428201</v>
      </c>
      <c r="N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59</v>
      </c>
      <c r="P29" s="10">
        <f>Proj[[#This Row],[Goals]]+Proj[[#This Row],[Assists]]</f>
        <v>78</v>
      </c>
      <c r="Q29" s="10">
        <f>ROUND(_xlfn.IFNA(INDEX(Table2[],MATCH(Proj[[#This Row],[Player]],Table2[Player],0),11)/60,IF(Proj[[#This Row],[Pos]] = "D", 'Per 60 PP'!$K$527,'Per 60 PP'!$K$526)/60)*Proj[[#This Row],[TOI PP]]*Proj[[#This Row],[GP]],0)</f>
        <v>8</v>
      </c>
      <c r="R29" s="10">
        <f>ROUND(_xlfn.IFNA(INDEX(Table2[],MATCH(Proj[[#This Row],[Player]],Table2[Player],0),7)/60,IF(Proj[[#This Row],[Pos]] = "D", 'Per 60 PP'!$G$527,'Per 60 PP'!$G$526)/60)*Proj[[#This Row],[TOI PP]]*Proj[[#This Row],[GP]],0)</f>
        <v>32</v>
      </c>
      <c r="S29" s="10">
        <f>Proj[[#This Row],[PPG]]+Proj[[#This Row],[PPA]]</f>
        <v>40</v>
      </c>
      <c r="T29">
        <f>ROUND((_xlfn.IFNA(INDEX(Table3[],MATCH(Proj[[#This Row],[Player]],Table3[Player],0),6)/60,IF(Proj[[#This Row],[Pos]] ="D", 'Per 60 PK'!$F$623, 'Per 60 PK'!$F$622)/60)+_xlfn.IFNA(INDEX(Table3[],MATCH(Proj[[#This Row],[Player]],Table3[Player],0),8)/60,IF(Proj[[#This Row],[Pos]] ="D", 'Per 60 PK'!$H$623, 'Per 60 PK'!$H$622)/60))*Proj[[#This Row],[TOI PK]]*Proj[[#This Row],[GP]],0)</f>
        <v>0</v>
      </c>
      <c r="U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29</v>
      </c>
      <c r="V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v>
      </c>
      <c r="Y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51</v>
      </c>
      <c r="Z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183</v>
      </c>
      <c r="AA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368.37931489001545</v>
      </c>
      <c r="AB29" s="10">
        <f>_xlfn.RANK.EQ(Proj[[#This Row],[VOR]],Proj[VOR])</f>
        <v>70</v>
      </c>
      <c r="AC29" s="10">
        <f>INDEX(Std[],MATCH(Proj[[#This Row],[Player]],Std[Player],0),20)</f>
        <v>814.92403928026431</v>
      </c>
      <c r="AD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550.04999999999995</v>
      </c>
    </row>
    <row r="30" spans="1:30" x14ac:dyDescent="0.25">
      <c r="A30" t="s">
        <v>240</v>
      </c>
      <c r="B30">
        <v>34</v>
      </c>
      <c r="C30" t="s">
        <v>3</v>
      </c>
      <c r="D30" t="s">
        <v>7</v>
      </c>
      <c r="E30" s="9">
        <f>INDEX(Table1[],MATCH(Proj[[#This Row],[Player]],Table1[Player],0),5)</f>
        <v>20.302906228166002</v>
      </c>
      <c r="F30" s="9">
        <f>_xlfn.IFNA(INDEX(Table2[],MATCH(Proj[[#This Row],[Player]],Table2[Player],0),5),0)</f>
        <v>3.63</v>
      </c>
      <c r="G30" s="9">
        <f>_xlfn.IFNA(INDEX(Table3[],MATCH(Proj[[#This Row],[Player]],Table3[Player],0),5),0)</f>
        <v>0.63</v>
      </c>
      <c r="H30" s="10">
        <v>80</v>
      </c>
      <c r="I30">
        <v>80</v>
      </c>
      <c r="J30" s="9">
        <v>20.302906228166002</v>
      </c>
      <c r="K30" s="9">
        <v>3.63</v>
      </c>
      <c r="L30" s="9">
        <v>0.63</v>
      </c>
      <c r="M30" s="9">
        <f>Proj[[#This Row],[TOI ES]]+Proj[[#This Row],[TOI PP]]+Proj[[#This Row],[TOI PK]]</f>
        <v>24.562906228166</v>
      </c>
      <c r="N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59</v>
      </c>
      <c r="P30" s="10">
        <f>Proj[[#This Row],[Goals]]+Proj[[#This Row],[Assists]]</f>
        <v>78</v>
      </c>
      <c r="Q30" s="10">
        <f>ROUND(_xlfn.IFNA(INDEX(Table2[],MATCH(Proj[[#This Row],[Player]],Table2[Player],0),11)/60,IF(Proj[[#This Row],[Pos]] = "D", 'Per 60 PP'!$K$527,'Per 60 PP'!$K$526)/60)*Proj[[#This Row],[TOI PP]]*Proj[[#This Row],[GP]],0)</f>
        <v>8</v>
      </c>
      <c r="R30" s="10">
        <f>ROUND(_xlfn.IFNA(INDEX(Table2[],MATCH(Proj[[#This Row],[Player]],Table2[Player],0),7)/60,IF(Proj[[#This Row],[Pos]] = "D", 'Per 60 PP'!$G$527,'Per 60 PP'!$G$526)/60)*Proj[[#This Row],[TOI PP]]*Proj[[#This Row],[GP]],0)</f>
        <v>23</v>
      </c>
      <c r="S30" s="10">
        <f>Proj[[#This Row],[PPG]]+Proj[[#This Row],[PPA]]</f>
        <v>31</v>
      </c>
      <c r="T30">
        <f>ROUND((_xlfn.IFNA(INDEX(Table3[],MATCH(Proj[[#This Row],[Player]],Table3[Player],0),6)/60,IF(Proj[[#This Row],[Pos]] ="D", 'Per 60 PK'!$F$623, 'Per 60 PK'!$F$622)/60)+_xlfn.IFNA(INDEX(Table3[],MATCH(Proj[[#This Row],[Player]],Table3[Player],0),8)/60,IF(Proj[[#This Row],[Pos]] ="D", 'Per 60 PK'!$H$623, 'Per 60 PK'!$H$622)/60))*Proj[[#This Row],[TOI PK]]*Proj[[#This Row],[GP]],0)</f>
        <v>1</v>
      </c>
      <c r="U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156</v>
      </c>
      <c r="W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270</v>
      </c>
      <c r="AA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1079.7299961467847</v>
      </c>
      <c r="AB30" s="10">
        <f>_xlfn.RANK.EQ(Proj[[#This Row],[VOR]],Proj[VOR])</f>
        <v>10</v>
      </c>
      <c r="AC30" s="10">
        <f>INDEX(Std[],MATCH(Proj[[#This Row],[Player]],Std[Player],0),20)</f>
        <v>1187.0947638662492</v>
      </c>
      <c r="AD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660.45</v>
      </c>
    </row>
    <row r="31" spans="1:30" x14ac:dyDescent="0.25">
      <c r="A31" t="s">
        <v>277</v>
      </c>
      <c r="B31">
        <v>31</v>
      </c>
      <c r="C31" t="s">
        <v>74</v>
      </c>
      <c r="D31" t="s">
        <v>10</v>
      </c>
      <c r="E31" s="9">
        <f>INDEX(Table1[],MATCH(Proj[[#This Row],[Player]],Table1[Player],0),5)</f>
        <v>14.356848649369301</v>
      </c>
      <c r="F31" s="9">
        <f>_xlfn.IFNA(INDEX(Table2[],MATCH(Proj[[#This Row],[Player]],Table2[Player],0),5),0)</f>
        <v>3.31</v>
      </c>
      <c r="G31" s="9">
        <f>_xlfn.IFNA(INDEX(Table3[],MATCH(Proj[[#This Row],[Player]],Table3[Player],0),5),0)</f>
        <v>1.91</v>
      </c>
      <c r="H31" s="10">
        <v>81</v>
      </c>
      <c r="I31">
        <v>81</v>
      </c>
      <c r="J31" s="9">
        <v>14.356848649369301</v>
      </c>
      <c r="K31" s="9">
        <v>3.31</v>
      </c>
      <c r="L31" s="9">
        <v>1.91</v>
      </c>
      <c r="M31" s="9">
        <f>Proj[[#This Row],[TOI ES]]+Proj[[#This Row],[TOI PP]]+Proj[[#This Row],[TOI PK]]</f>
        <v>19.5768486493693</v>
      </c>
      <c r="N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50</v>
      </c>
      <c r="P31" s="10">
        <f>Proj[[#This Row],[Goals]]+Proj[[#This Row],[Assists]]</f>
        <v>78</v>
      </c>
      <c r="Q31" s="10">
        <f>ROUND(_xlfn.IFNA(INDEX(Table2[],MATCH(Proj[[#This Row],[Player]],Table2[Player],0),11)/60,IF(Proj[[#This Row],[Pos]] = "D", 'Per 60 PP'!$K$527,'Per 60 PP'!$K$526)/60)*Proj[[#This Row],[TOI PP]]*Proj[[#This Row],[GP]],0)</f>
        <v>13</v>
      </c>
      <c r="R31" s="10">
        <f>ROUND(_xlfn.IFNA(INDEX(Table2[],MATCH(Proj[[#This Row],[Player]],Table2[Player],0),7)/60,IF(Proj[[#This Row],[Pos]] = "D", 'Per 60 PP'!$G$527,'Per 60 PP'!$G$526)/60)*Proj[[#This Row],[TOI PP]]*Proj[[#This Row],[GP]],0)</f>
        <v>19</v>
      </c>
      <c r="S31" s="10">
        <f>Proj[[#This Row],[PPG]]+Proj[[#This Row],[PPA]]</f>
        <v>32</v>
      </c>
      <c r="T31">
        <f>ROUND((_xlfn.IFNA(INDEX(Table3[],MATCH(Proj[[#This Row],[Player]],Table3[Player],0),6)/60,IF(Proj[[#This Row],[Pos]] ="D", 'Per 60 PK'!$F$623, 'Per 60 PK'!$F$622)/60)+_xlfn.IFNA(INDEX(Table3[],MATCH(Proj[[#This Row],[Player]],Table3[Player],0),8)/60,IF(Proj[[#This Row],[Pos]] ="D", 'Per 60 PK'!$H$623, 'Per 60 PK'!$H$622)/60))*Proj[[#This Row],[TOI PK]]*Proj[[#This Row],[GP]],0)</f>
        <v>4</v>
      </c>
      <c r="U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48</v>
      </c>
      <c r="V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55</v>
      </c>
      <c r="W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571</v>
      </c>
      <c r="Y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585</v>
      </c>
      <c r="Z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219</v>
      </c>
      <c r="AA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379.98740328504459</v>
      </c>
      <c r="AB31" s="10">
        <f>_xlfn.RANK.EQ(Proj[[#This Row],[VOR]],Proj[VOR])</f>
        <v>67</v>
      </c>
      <c r="AC31" s="10">
        <f>INDEX(Std[],MATCH(Proj[[#This Row],[Player]],Std[Player],0),20)</f>
        <v>1114.6212575953432</v>
      </c>
      <c r="AD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636.1</v>
      </c>
    </row>
    <row r="32" spans="1:30" x14ac:dyDescent="0.25">
      <c r="A32" t="s">
        <v>276</v>
      </c>
      <c r="B32">
        <v>28</v>
      </c>
      <c r="C32" t="s">
        <v>102</v>
      </c>
      <c r="D32" t="s">
        <v>155</v>
      </c>
      <c r="E32" s="9">
        <f>INDEX(Table1[],MATCH(Proj[[#This Row],[Player]],Table1[Player],0),5)</f>
        <v>14.6739276973406</v>
      </c>
      <c r="F32" s="9">
        <f>_xlfn.IFNA(INDEX(Table2[],MATCH(Proj[[#This Row],[Player]],Table2[Player],0),5),0)</f>
        <v>3.04</v>
      </c>
      <c r="G32" s="9">
        <f>_xlfn.IFNA(INDEX(Table3[],MATCH(Proj[[#This Row],[Player]],Table3[Player],0),5),0)</f>
        <v>0</v>
      </c>
      <c r="H32" s="10">
        <v>81</v>
      </c>
      <c r="I32">
        <v>81</v>
      </c>
      <c r="J32" s="9">
        <v>14.6739276973406</v>
      </c>
      <c r="K32" s="9">
        <v>3.04</v>
      </c>
      <c r="L32" s="9">
        <v>0</v>
      </c>
      <c r="M32" s="9">
        <f>Proj[[#This Row],[TOI ES]]+Proj[[#This Row],[TOI PP]]+Proj[[#This Row],[TOI PK]]</f>
        <v>17.713927697340601</v>
      </c>
      <c r="N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49</v>
      </c>
      <c r="P32" s="10">
        <f>Proj[[#This Row],[Goals]]+Proj[[#This Row],[Assists]]</f>
        <v>77</v>
      </c>
      <c r="Q32" s="10">
        <f>ROUND(_xlfn.IFNA(INDEX(Table2[],MATCH(Proj[[#This Row],[Player]],Table2[Player],0),11)/60,IF(Proj[[#This Row],[Pos]] = "D", 'Per 60 PP'!$K$527,'Per 60 PP'!$K$526)/60)*Proj[[#This Row],[TOI PP]]*Proj[[#This Row],[GP]],0)</f>
        <v>9</v>
      </c>
      <c r="R32" s="10">
        <f>ROUND(_xlfn.IFNA(INDEX(Table2[],MATCH(Proj[[#This Row],[Player]],Table2[Player],0),7)/60,IF(Proj[[#This Row],[Pos]] = "D", 'Per 60 PP'!$G$527,'Per 60 PP'!$G$526)/60)*Proj[[#This Row],[TOI PP]]*Proj[[#This Row],[GP]],0)</f>
        <v>19</v>
      </c>
      <c r="S32" s="10">
        <f>Proj[[#This Row],[PPG]]+Proj[[#This Row],[PPA]]</f>
        <v>28</v>
      </c>
      <c r="T32">
        <f>ROUND((_xlfn.IFNA(INDEX(Table3[],MATCH(Proj[[#This Row],[Player]],Table3[Player],0),6)/60,IF(Proj[[#This Row],[Pos]] ="D", 'Per 60 PK'!$F$623, 'Per 60 PK'!$F$622)/60)+_xlfn.IFNA(INDEX(Table3[],MATCH(Proj[[#This Row],[Player]],Table3[Player],0),8)/60,IF(Proj[[#This Row],[Pos]] ="D", 'Per 60 PK'!$H$623, 'Per 60 PK'!$H$622)/60))*Proj[[#This Row],[TOI PK]]*Proj[[#This Row],[GP]],0)</f>
        <v>0</v>
      </c>
      <c r="U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55</v>
      </c>
      <c r="X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231</v>
      </c>
      <c r="AA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409.38815586020445</v>
      </c>
      <c r="AB32" s="10">
        <f>_xlfn.RANK.EQ(Proj[[#This Row],[VOR]],Proj[VOR])</f>
        <v>62</v>
      </c>
      <c r="AC32" s="10">
        <f>INDEX(Std[],MATCH(Proj[[#This Row],[Player]],Std[Player],0),20)</f>
        <v>880.93288025045331</v>
      </c>
      <c r="AD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578.95000000000005</v>
      </c>
    </row>
    <row r="33" spans="1:30" x14ac:dyDescent="0.25">
      <c r="A33" t="s">
        <v>309</v>
      </c>
      <c r="B33">
        <v>38</v>
      </c>
      <c r="C33" t="s">
        <v>74</v>
      </c>
      <c r="D33" t="s">
        <v>25</v>
      </c>
      <c r="E33" s="9">
        <f>INDEX(Table1[],MATCH(Proj[[#This Row],[Player]],Table1[Player],0),5)</f>
        <v>14.8570915769234</v>
      </c>
      <c r="F33" s="9">
        <f>_xlfn.IFNA(INDEX(Table2[],MATCH(Proj[[#This Row],[Player]],Table2[Player],0),5),0)</f>
        <v>3.35</v>
      </c>
      <c r="G33" s="9">
        <f>_xlfn.IFNA(INDEX(Table3[],MATCH(Proj[[#This Row],[Player]],Table3[Player],0),5),0)</f>
        <v>0</v>
      </c>
      <c r="H33" s="10">
        <v>82</v>
      </c>
      <c r="I33">
        <v>82</v>
      </c>
      <c r="J33" s="9">
        <v>14.8570915769234</v>
      </c>
      <c r="K33" s="9">
        <v>3.35</v>
      </c>
      <c r="L33" s="9">
        <v>0</v>
      </c>
      <c r="M33" s="9">
        <f>Proj[[#This Row],[TOI ES]]+Proj[[#This Row],[TOI PP]]+Proj[[#This Row],[TOI PK]]</f>
        <v>18.2070915769234</v>
      </c>
      <c r="N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48</v>
      </c>
      <c r="P33" s="10">
        <f>Proj[[#This Row],[Goals]]+Proj[[#This Row],[Assists]]</f>
        <v>76</v>
      </c>
      <c r="Q33" s="10">
        <f>ROUND(_xlfn.IFNA(INDEX(Table2[],MATCH(Proj[[#This Row],[Player]],Table2[Player],0),11)/60,IF(Proj[[#This Row],[Pos]] = "D", 'Per 60 PP'!$K$527,'Per 60 PP'!$K$526)/60)*Proj[[#This Row],[TOI PP]]*Proj[[#This Row],[GP]],0)</f>
        <v>9</v>
      </c>
      <c r="R33" s="10">
        <f>ROUND(_xlfn.IFNA(INDEX(Table2[],MATCH(Proj[[#This Row],[Player]],Table2[Player],0),7)/60,IF(Proj[[#This Row],[Pos]] = "D", 'Per 60 PP'!$G$527,'Per 60 PP'!$G$526)/60)*Proj[[#This Row],[TOI PP]]*Proj[[#This Row],[GP]],0)</f>
        <v>19</v>
      </c>
      <c r="S33" s="10">
        <f>Proj[[#This Row],[PPG]]+Proj[[#This Row],[PPA]]</f>
        <v>28</v>
      </c>
      <c r="T33">
        <f>ROUND((_xlfn.IFNA(INDEX(Table3[],MATCH(Proj[[#This Row],[Player]],Table3[Player],0),6)/60,IF(Proj[[#This Row],[Pos]] ="D", 'Per 60 PK'!$F$623, 'Per 60 PK'!$F$622)/60)+_xlfn.IFNA(INDEX(Table3[],MATCH(Proj[[#This Row],[Player]],Table3[Player],0),8)/60,IF(Proj[[#This Row],[Pos]] ="D", 'Per 60 PK'!$H$623, 'Per 60 PK'!$H$622)/60))*Proj[[#This Row],[TOI PK]]*Proj[[#This Row],[GP]],0)</f>
        <v>0</v>
      </c>
      <c r="U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67</v>
      </c>
      <c r="X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376</v>
      </c>
      <c r="Y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408</v>
      </c>
      <c r="Z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211</v>
      </c>
      <c r="AA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332.60850987613117</v>
      </c>
      <c r="AB33" s="10">
        <f>_xlfn.RANK.EQ(Proj[[#This Row],[VOR]],Proj[VOR])</f>
        <v>74</v>
      </c>
      <c r="AC33" s="10">
        <f>INDEX(Std[],MATCH(Proj[[#This Row],[Player]],Std[Player],0),20)</f>
        <v>1067.2423641864298</v>
      </c>
      <c r="AD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598.5</v>
      </c>
    </row>
    <row r="34" spans="1:30" x14ac:dyDescent="0.25">
      <c r="A34" t="s">
        <v>291</v>
      </c>
      <c r="B34">
        <v>28</v>
      </c>
      <c r="C34" t="s">
        <v>74</v>
      </c>
      <c r="D34" t="s">
        <v>28</v>
      </c>
      <c r="E34" s="9">
        <f>INDEX(Table1[],MATCH(Proj[[#This Row],[Player]],Table1[Player],0),5)</f>
        <v>14.797062490114101</v>
      </c>
      <c r="F34" s="9">
        <f>_xlfn.IFNA(INDEX(Table2[],MATCH(Proj[[#This Row],[Player]],Table2[Player],0),5),0)</f>
        <v>3.58</v>
      </c>
      <c r="G34" s="9">
        <f>_xlfn.IFNA(INDEX(Table3[],MATCH(Proj[[#This Row],[Player]],Table3[Player],0),5),0)</f>
        <v>1.58</v>
      </c>
      <c r="H34" s="10">
        <v>81</v>
      </c>
      <c r="I34">
        <v>81</v>
      </c>
      <c r="J34" s="9">
        <v>14.797062490114101</v>
      </c>
      <c r="K34" s="9">
        <v>3.58</v>
      </c>
      <c r="L34" s="9">
        <v>1.58</v>
      </c>
      <c r="M34" s="9">
        <f>Proj[[#This Row],[TOI ES]]+Proj[[#This Row],[TOI PP]]+Proj[[#This Row],[TOI PK]]</f>
        <v>19.957062490114097</v>
      </c>
      <c r="N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41</v>
      </c>
      <c r="P34" s="10">
        <f>Proj[[#This Row],[Goals]]+Proj[[#This Row],[Assists]]</f>
        <v>76</v>
      </c>
      <c r="Q34" s="10">
        <f>ROUND(_xlfn.IFNA(INDEX(Table2[],MATCH(Proj[[#This Row],[Player]],Table2[Player],0),11)/60,IF(Proj[[#This Row],[Pos]] = "D", 'Per 60 PP'!$K$527,'Per 60 PP'!$K$526)/60)*Proj[[#This Row],[TOI PP]]*Proj[[#This Row],[GP]],0)</f>
        <v>9</v>
      </c>
      <c r="R34" s="10">
        <f>ROUND(_xlfn.IFNA(INDEX(Table2[],MATCH(Proj[[#This Row],[Player]],Table2[Player],0),7)/60,IF(Proj[[#This Row],[Pos]] = "D", 'Per 60 PP'!$G$527,'Per 60 PP'!$G$526)/60)*Proj[[#This Row],[TOI PP]]*Proj[[#This Row],[GP]],0)</f>
        <v>16</v>
      </c>
      <c r="S34" s="10">
        <f>Proj[[#This Row],[PPG]]+Proj[[#This Row],[PPA]]</f>
        <v>25</v>
      </c>
      <c r="T34">
        <f>ROUND((_xlfn.IFNA(INDEX(Table3[],MATCH(Proj[[#This Row],[Player]],Table3[Player],0),6)/60,IF(Proj[[#This Row],[Pos]] ="D", 'Per 60 PK'!$F$623, 'Per 60 PK'!$F$622)/60)+_xlfn.IFNA(INDEX(Table3[],MATCH(Proj[[#This Row],[Player]],Table3[Player],0),8)/60,IF(Proj[[#This Row],[Pos]] ="D", 'Per 60 PK'!$H$623, 'Per 60 PK'!$H$622)/60))*Proj[[#This Row],[TOI PK]]*Proj[[#This Row],[GP]],0)</f>
        <v>2</v>
      </c>
      <c r="U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86</v>
      </c>
      <c r="W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487</v>
      </c>
      <c r="Y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584</v>
      </c>
      <c r="Z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321</v>
      </c>
      <c r="AA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485.00213717263409</v>
      </c>
      <c r="AB34" s="10">
        <f>_xlfn.RANK.EQ(Proj[[#This Row],[VOR]],Proj[VOR])</f>
        <v>44</v>
      </c>
      <c r="AC34" s="10">
        <f>INDEX(Std[],MATCH(Proj[[#This Row],[Player]],Std[Player],0),20)</f>
        <v>1219.6359914829327</v>
      </c>
      <c r="AD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686.75000000000011</v>
      </c>
    </row>
    <row r="35" spans="1:30" x14ac:dyDescent="0.25">
      <c r="A35" t="s">
        <v>397</v>
      </c>
      <c r="B35">
        <v>27</v>
      </c>
      <c r="C35" t="s">
        <v>105</v>
      </c>
      <c r="D35" t="s">
        <v>20</v>
      </c>
      <c r="E35" s="9">
        <f>INDEX(Table1[],MATCH(Proj[[#This Row],[Player]],Table1[Player],0),5)</f>
        <v>16.540106203081201</v>
      </c>
      <c r="F35" s="9">
        <f>_xlfn.IFNA(INDEX(Table2[],MATCH(Proj[[#This Row],[Player]],Table2[Player],0),5),0)</f>
        <v>3.11</v>
      </c>
      <c r="G35" s="9">
        <f>_xlfn.IFNA(INDEX(Table3[],MATCH(Proj[[#This Row],[Player]],Table3[Player],0),5),0)</f>
        <v>0</v>
      </c>
      <c r="H35" s="10">
        <v>80</v>
      </c>
      <c r="I35">
        <v>80</v>
      </c>
      <c r="J35" s="9">
        <v>16.540106203081201</v>
      </c>
      <c r="K35" s="9">
        <v>3.11</v>
      </c>
      <c r="L35" s="9">
        <v>0</v>
      </c>
      <c r="M35" s="9">
        <f>Proj[[#This Row],[TOI ES]]+Proj[[#This Row],[TOI PP]]+Proj[[#This Row],[TOI PK]]</f>
        <v>19.650106203081201</v>
      </c>
      <c r="N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55</v>
      </c>
      <c r="P35" s="10">
        <f>Proj[[#This Row],[Goals]]+Proj[[#This Row],[Assists]]</f>
        <v>76</v>
      </c>
      <c r="Q35" s="10">
        <f>ROUND(_xlfn.IFNA(INDEX(Table2[],MATCH(Proj[[#This Row],[Player]],Table2[Player],0),11)/60,IF(Proj[[#This Row],[Pos]] = "D", 'Per 60 PP'!$K$527,'Per 60 PP'!$K$526)/60)*Proj[[#This Row],[TOI PP]]*Proj[[#This Row],[GP]],0)</f>
        <v>4</v>
      </c>
      <c r="R35" s="10">
        <f>ROUND(_xlfn.IFNA(INDEX(Table2[],MATCH(Proj[[#This Row],[Player]],Table2[Player],0),7)/60,IF(Proj[[#This Row],[Pos]] = "D", 'Per 60 PP'!$G$527,'Per 60 PP'!$G$526)/60)*Proj[[#This Row],[TOI PP]]*Proj[[#This Row],[GP]],0)</f>
        <v>22</v>
      </c>
      <c r="S35" s="10">
        <f>Proj[[#This Row],[PPG]]+Proj[[#This Row],[PPA]]</f>
        <v>26</v>
      </c>
      <c r="T35">
        <f>ROUND((_xlfn.IFNA(INDEX(Table3[],MATCH(Proj[[#This Row],[Player]],Table3[Player],0),6)/60,IF(Proj[[#This Row],[Pos]] ="D", 'Per 60 PK'!$F$623, 'Per 60 PK'!$F$622)/60)+_xlfn.IFNA(INDEX(Table3[],MATCH(Proj[[#This Row],[Player]],Table3[Player],0),8)/60,IF(Proj[[#This Row],[Pos]] ="D", 'Per 60 PK'!$H$623, 'Per 60 PK'!$H$622)/60))*Proj[[#This Row],[TOI PK]]*Proj[[#This Row],[GP]],0)</f>
        <v>0</v>
      </c>
      <c r="U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90</v>
      </c>
      <c r="Y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124</v>
      </c>
      <c r="Z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214</v>
      </c>
      <c r="AA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294.58038707027032</v>
      </c>
      <c r="AB35" s="10">
        <f>_xlfn.RANK.EQ(Proj[[#This Row],[VOR]],Proj[VOR])</f>
        <v>78</v>
      </c>
      <c r="AC35" s="10">
        <f>INDEX(Std[],MATCH(Proj[[#This Row],[Player]],Std[Player],0),20)</f>
        <v>741.12511146051918</v>
      </c>
      <c r="AD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556.65</v>
      </c>
    </row>
    <row r="36" spans="1:30" x14ac:dyDescent="0.25">
      <c r="A36" t="s">
        <v>264</v>
      </c>
      <c r="B36">
        <v>39</v>
      </c>
      <c r="C36" t="s">
        <v>102</v>
      </c>
      <c r="D36" t="s">
        <v>29</v>
      </c>
      <c r="E36" s="9">
        <f>INDEX(Table1[],MATCH(Proj[[#This Row],[Player]],Table1[Player],0),5)</f>
        <v>14.765912143717699</v>
      </c>
      <c r="F36" s="9">
        <f>_xlfn.IFNA(INDEX(Table2[],MATCH(Proj[[#This Row],[Player]],Table2[Player],0),5),0)</f>
        <v>4.3899999999999997</v>
      </c>
      <c r="G36" s="9">
        <f>_xlfn.IFNA(INDEX(Table3[],MATCH(Proj[[#This Row],[Player]],Table3[Player],0),5),0)</f>
        <v>0</v>
      </c>
      <c r="H36" s="10">
        <v>81</v>
      </c>
      <c r="I36">
        <v>81</v>
      </c>
      <c r="J36" s="9">
        <v>14.765912143717699</v>
      </c>
      <c r="K36" s="9">
        <v>4.3899999999999997</v>
      </c>
      <c r="L36" s="9">
        <v>0</v>
      </c>
      <c r="M36" s="9">
        <f>Proj[[#This Row],[TOI ES]]+Proj[[#This Row],[TOI PP]]+Proj[[#This Row],[TOI PK]]</f>
        <v>19.1559121437177</v>
      </c>
      <c r="N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37</v>
      </c>
      <c r="O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36" s="10">
        <f>Proj[[#This Row],[Goals]]+Proj[[#This Row],[Assists]]</f>
        <v>76</v>
      </c>
      <c r="Q36" s="10">
        <f>ROUND(_xlfn.IFNA(INDEX(Table2[],MATCH(Proj[[#This Row],[Player]],Table2[Player],0),11)/60,IF(Proj[[#This Row],[Pos]] = "D", 'Per 60 PP'!$K$527,'Per 60 PP'!$K$526)/60)*Proj[[#This Row],[TOI PP]]*Proj[[#This Row],[GP]],0)</f>
        <v>13</v>
      </c>
      <c r="R36" s="10">
        <f>ROUND(_xlfn.IFNA(INDEX(Table2[],MATCH(Proj[[#This Row],[Player]],Table2[Player],0),7)/60,IF(Proj[[#This Row],[Pos]] = "D", 'Per 60 PP'!$G$527,'Per 60 PP'!$G$526)/60)*Proj[[#This Row],[TOI PP]]*Proj[[#This Row],[GP]],0)</f>
        <v>17</v>
      </c>
      <c r="S36" s="10">
        <f>Proj[[#This Row],[PPG]]+Proj[[#This Row],[PPA]]</f>
        <v>30</v>
      </c>
      <c r="T36">
        <f>ROUND((_xlfn.IFNA(INDEX(Table3[],MATCH(Proj[[#This Row],[Player]],Table3[Player],0),6)/60,IF(Proj[[#This Row],[Pos]] ="D", 'Per 60 PK'!$F$623, 'Per 60 PK'!$F$622)/60)+_xlfn.IFNA(INDEX(Table3[],MATCH(Proj[[#This Row],[Player]],Table3[Player],0),8)/60,IF(Proj[[#This Row],[Pos]] ="D", 'Per 60 PK'!$H$623, 'Per 60 PK'!$H$622)/60))*Proj[[#This Row],[TOI PK]]*Proj[[#This Row],[GP]],0)</f>
        <v>0</v>
      </c>
      <c r="U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154</v>
      </c>
      <c r="V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v>
      </c>
      <c r="Z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287</v>
      </c>
      <c r="AA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616.38232026069932</v>
      </c>
      <c r="AB36" s="10">
        <f>_xlfn.RANK.EQ(Proj[[#This Row],[VOR]],Proj[VOR])</f>
        <v>31</v>
      </c>
      <c r="AC36" s="10">
        <f>INDEX(Std[],MATCH(Proj[[#This Row],[Player]],Std[Player],0),20)</f>
        <v>1087.9270446509481</v>
      </c>
      <c r="AD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665.55</v>
      </c>
    </row>
    <row r="37" spans="1:30" x14ac:dyDescent="0.25">
      <c r="A37" t="s">
        <v>607</v>
      </c>
      <c r="B37">
        <v>25</v>
      </c>
      <c r="C37" t="s">
        <v>74</v>
      </c>
      <c r="D37" t="s">
        <v>14</v>
      </c>
      <c r="E37" s="9">
        <f>INDEX(Table1[],MATCH(Proj[[#This Row],[Player]],Table1[Player],0),5)</f>
        <v>15.6744920531155</v>
      </c>
      <c r="F37" s="9">
        <f>_xlfn.IFNA(INDEX(Table2[],MATCH(Proj[[#This Row],[Player]],Table2[Player],0),5),0)</f>
        <v>3.22</v>
      </c>
      <c r="G37" s="9">
        <f>_xlfn.IFNA(INDEX(Table3[],MATCH(Proj[[#This Row],[Player]],Table3[Player],0),5),0)</f>
        <v>1.66</v>
      </c>
      <c r="H37" s="10">
        <v>79</v>
      </c>
      <c r="I37">
        <v>79</v>
      </c>
      <c r="J37" s="9">
        <v>15.6744920531155</v>
      </c>
      <c r="K37" s="9">
        <v>3.22</v>
      </c>
      <c r="L37" s="9">
        <v>1.66</v>
      </c>
      <c r="M37" s="9">
        <f>Proj[[#This Row],[TOI ES]]+Proj[[#This Row],[TOI PP]]+Proj[[#This Row],[TOI PK]]</f>
        <v>20.554492053115499</v>
      </c>
      <c r="N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53</v>
      </c>
      <c r="P37" s="10">
        <f>Proj[[#This Row],[Goals]]+Proj[[#This Row],[Assists]]</f>
        <v>75</v>
      </c>
      <c r="Q37" s="10">
        <f>ROUND(_xlfn.IFNA(INDEX(Table2[],MATCH(Proj[[#This Row],[Player]],Table2[Player],0),11)/60,IF(Proj[[#This Row],[Pos]] = "D", 'Per 60 PP'!$K$527,'Per 60 PP'!$K$526)/60)*Proj[[#This Row],[TOI PP]]*Proj[[#This Row],[GP]],0)</f>
        <v>7</v>
      </c>
      <c r="R37" s="10">
        <f>ROUND(_xlfn.IFNA(INDEX(Table2[],MATCH(Proj[[#This Row],[Player]],Table2[Player],0),7)/60,IF(Proj[[#This Row],[Pos]] = "D", 'Per 60 PP'!$G$527,'Per 60 PP'!$G$526)/60)*Proj[[#This Row],[TOI PP]]*Proj[[#This Row],[GP]],0)</f>
        <v>17</v>
      </c>
      <c r="S37" s="10">
        <f>Proj[[#This Row],[PPG]]+Proj[[#This Row],[PPA]]</f>
        <v>24</v>
      </c>
      <c r="T37">
        <f>ROUND((_xlfn.IFNA(INDEX(Table3[],MATCH(Proj[[#This Row],[Player]],Table3[Player],0),6)/60,IF(Proj[[#This Row],[Pos]] ="D", 'Per 60 PK'!$F$623, 'Per 60 PK'!$F$622)/60)+_xlfn.IFNA(INDEX(Table3[],MATCH(Proj[[#This Row],[Player]],Table3[Player],0),8)/60,IF(Proj[[#This Row],[Pos]] ="D", 'Per 60 PK'!$H$623, 'Per 60 PK'!$H$622)/60))*Proj[[#This Row],[TOI PK]]*Proj[[#This Row],[GP]],0)</f>
        <v>2</v>
      </c>
      <c r="U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v>
      </c>
      <c r="V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772</v>
      </c>
      <c r="Y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700</v>
      </c>
      <c r="Z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146</v>
      </c>
      <c r="AA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170.42310377334184</v>
      </c>
      <c r="AB37" s="10">
        <f>_xlfn.RANK.EQ(Proj[[#This Row],[VOR]],Proj[VOR])</f>
        <v>110</v>
      </c>
      <c r="AC37" s="10">
        <f>INDEX(Std[],MATCH(Proj[[#This Row],[Player]],Std[Player],0),20)</f>
        <v>905.05695808364044</v>
      </c>
      <c r="AD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566.25</v>
      </c>
    </row>
    <row r="38" spans="1:30" x14ac:dyDescent="0.25">
      <c r="A38" t="s">
        <v>398</v>
      </c>
      <c r="B38">
        <v>23</v>
      </c>
      <c r="C38" t="s">
        <v>104</v>
      </c>
      <c r="D38" t="s">
        <v>18</v>
      </c>
      <c r="E38" s="9">
        <f>INDEX(Table1[],MATCH(Proj[[#This Row],[Player]],Table1[Player],0),5)</f>
        <v>14.5729720630573</v>
      </c>
      <c r="F38" s="9">
        <f>_xlfn.IFNA(INDEX(Table2[],MATCH(Proj[[#This Row],[Player]],Table2[Player],0),5),0)</f>
        <v>4.0199999999999996</v>
      </c>
      <c r="G38" s="9">
        <f>_xlfn.IFNA(INDEX(Table3[],MATCH(Proj[[#This Row],[Player]],Table3[Player],0),5),0)</f>
        <v>0.54</v>
      </c>
      <c r="H38" s="10">
        <v>80</v>
      </c>
      <c r="I38">
        <v>80</v>
      </c>
      <c r="J38" s="9">
        <v>14.5729720630573</v>
      </c>
      <c r="K38" s="9">
        <v>4.0199999999999996</v>
      </c>
      <c r="L38" s="9">
        <v>0.54</v>
      </c>
      <c r="M38" s="9">
        <f>Proj[[#This Row],[TOI ES]]+Proj[[#This Row],[TOI PP]]+Proj[[#This Row],[TOI PK]]</f>
        <v>19.132972063057299</v>
      </c>
      <c r="N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31</v>
      </c>
      <c r="O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44</v>
      </c>
      <c r="P38" s="10">
        <f>Proj[[#This Row],[Goals]]+Proj[[#This Row],[Assists]]</f>
        <v>75</v>
      </c>
      <c r="Q38" s="10">
        <f>ROUND(_xlfn.IFNA(INDEX(Table2[],MATCH(Proj[[#This Row],[Player]],Table2[Player],0),11)/60,IF(Proj[[#This Row],[Pos]] = "D", 'Per 60 PP'!$K$527,'Per 60 PP'!$K$526)/60)*Proj[[#This Row],[TOI PP]]*Proj[[#This Row],[GP]],0)</f>
        <v>11</v>
      </c>
      <c r="R38" s="10">
        <f>ROUND(_xlfn.IFNA(INDEX(Table2[],MATCH(Proj[[#This Row],[Player]],Table2[Player],0),7)/60,IF(Proj[[#This Row],[Pos]] = "D", 'Per 60 PP'!$G$527,'Per 60 PP'!$G$526)/60)*Proj[[#This Row],[TOI PP]]*Proj[[#This Row],[GP]],0)</f>
        <v>21</v>
      </c>
      <c r="S38" s="10">
        <f>Proj[[#This Row],[PPG]]+Proj[[#This Row],[PPA]]</f>
        <v>32</v>
      </c>
      <c r="T38">
        <f>ROUND((_xlfn.IFNA(INDEX(Table3[],MATCH(Proj[[#This Row],[Player]],Table3[Player],0),6)/60,IF(Proj[[#This Row],[Pos]] ="D", 'Per 60 PK'!$F$623, 'Per 60 PK'!$F$622)/60)+_xlfn.IFNA(INDEX(Table3[],MATCH(Proj[[#This Row],[Player]],Table3[Player],0),8)/60,IF(Proj[[#This Row],[Pos]] ="D", 'Per 60 PK'!$H$623, 'Per 60 PK'!$H$622)/60))*Proj[[#This Row],[TOI PK]]*Proj[[#This Row],[GP]],0)</f>
        <v>0</v>
      </c>
      <c r="U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36</v>
      </c>
      <c r="V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53</v>
      </c>
      <c r="Y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62</v>
      </c>
      <c r="Z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246</v>
      </c>
      <c r="AA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420.28102668060029</v>
      </c>
      <c r="AB38" s="10">
        <f>_xlfn.RANK.EQ(Proj[[#This Row],[VOR]],Proj[VOR])</f>
        <v>59</v>
      </c>
      <c r="AC38" s="10">
        <f>INDEX(Std[],MATCH(Proj[[#This Row],[Player]],Std[Player],0),20)</f>
        <v>866.82575107084915</v>
      </c>
      <c r="AD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578.6</v>
      </c>
    </row>
    <row r="39" spans="1:30" x14ac:dyDescent="0.25">
      <c r="A39" t="s">
        <v>238</v>
      </c>
      <c r="B39">
        <v>25</v>
      </c>
      <c r="C39" t="s">
        <v>101</v>
      </c>
      <c r="D39" t="s">
        <v>15</v>
      </c>
      <c r="E39" s="9">
        <f>INDEX(Table1[],MATCH(Proj[[#This Row],[Player]],Table1[Player],0),5)</f>
        <v>15.3994874563832</v>
      </c>
      <c r="F39" s="9">
        <f>_xlfn.IFNA(INDEX(Table2[],MATCH(Proj[[#This Row],[Player]],Table2[Player],0),5),0)</f>
        <v>3.59</v>
      </c>
      <c r="G39" s="9">
        <f>_xlfn.IFNA(INDEX(Table3[],MATCH(Proj[[#This Row],[Player]],Table3[Player],0),5),0)</f>
        <v>0</v>
      </c>
      <c r="H39" s="10">
        <v>81</v>
      </c>
      <c r="I39">
        <v>81</v>
      </c>
      <c r="J39" s="9">
        <v>15.3994874563832</v>
      </c>
      <c r="K39" s="9">
        <v>3.59</v>
      </c>
      <c r="L39" s="9">
        <v>0</v>
      </c>
      <c r="M39" s="9">
        <f>Proj[[#This Row],[TOI ES]]+Proj[[#This Row],[TOI PP]]+Proj[[#This Row],[TOI PK]]</f>
        <v>18.989487456383202</v>
      </c>
      <c r="N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38</v>
      </c>
      <c r="O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37</v>
      </c>
      <c r="P39" s="10">
        <f>Proj[[#This Row],[Goals]]+Proj[[#This Row],[Assists]]</f>
        <v>75</v>
      </c>
      <c r="Q39" s="10">
        <f>ROUND(_xlfn.IFNA(INDEX(Table2[],MATCH(Proj[[#This Row],[Player]],Table2[Player],0),11)/60,IF(Proj[[#This Row],[Pos]] = "D", 'Per 60 PP'!$K$527,'Per 60 PP'!$K$526)/60)*Proj[[#This Row],[TOI PP]]*Proj[[#This Row],[GP]],0)</f>
        <v>13</v>
      </c>
      <c r="R39" s="10">
        <f>ROUND(_xlfn.IFNA(INDEX(Table2[],MATCH(Proj[[#This Row],[Player]],Table2[Player],0),7)/60,IF(Proj[[#This Row],[Pos]] = "D", 'Per 60 PP'!$G$527,'Per 60 PP'!$G$526)/60)*Proj[[#This Row],[TOI PP]]*Proj[[#This Row],[GP]],0)</f>
        <v>9</v>
      </c>
      <c r="S39" s="10">
        <f>Proj[[#This Row],[PPG]]+Proj[[#This Row],[PPA]]</f>
        <v>22</v>
      </c>
      <c r="T39">
        <f>ROUND((_xlfn.IFNA(INDEX(Table3[],MATCH(Proj[[#This Row],[Player]],Table3[Player],0),6)/60,IF(Proj[[#This Row],[Pos]] ="D", 'Per 60 PK'!$F$623, 'Per 60 PK'!$F$622)/60)+_xlfn.IFNA(INDEX(Table3[],MATCH(Proj[[#This Row],[Player]],Table3[Player],0),8)/60,IF(Proj[[#This Row],[Pos]] ="D", 'Per 60 PK'!$H$623, 'Per 60 PK'!$H$622)/60))*Proj[[#This Row],[TOI PK]]*Proj[[#This Row],[GP]],0)</f>
        <v>0</v>
      </c>
      <c r="U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261</v>
      </c>
      <c r="V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135</v>
      </c>
      <c r="X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225</v>
      </c>
      <c r="Y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215</v>
      </c>
      <c r="Z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337</v>
      </c>
      <c r="AA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1409.531174379501</v>
      </c>
      <c r="AB39" s="10">
        <f>_xlfn.RANK.EQ(Proj[[#This Row],[VOR]],Proj[VOR])</f>
        <v>2</v>
      </c>
      <c r="AC39" s="10">
        <f>INDEX(Std[],MATCH(Proj[[#This Row],[Player]],Std[Player],0),20)</f>
        <v>1881.0758987697498</v>
      </c>
      <c r="AD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807.25</v>
      </c>
    </row>
    <row r="40" spans="1:30" x14ac:dyDescent="0.25">
      <c r="A40" t="s">
        <v>324</v>
      </c>
      <c r="B40">
        <v>26</v>
      </c>
      <c r="C40" t="s">
        <v>104</v>
      </c>
      <c r="D40" t="s">
        <v>1240</v>
      </c>
      <c r="E40" s="9">
        <f>INDEX(Table1[],MATCH(Proj[[#This Row],[Player]],Table1[Player],0),5)</f>
        <v>15.951866828552999</v>
      </c>
      <c r="F40" s="9">
        <f>_xlfn.IFNA(INDEX(Table2[],MATCH(Proj[[#This Row],[Player]],Table2[Player],0),5),0)</f>
        <v>3.27</v>
      </c>
      <c r="G40" s="9">
        <f>_xlfn.IFNA(INDEX(Table3[],MATCH(Proj[[#This Row],[Player]],Table3[Player],0),5),0)</f>
        <v>0.74</v>
      </c>
      <c r="H40" s="10">
        <v>81</v>
      </c>
      <c r="I40">
        <v>81</v>
      </c>
      <c r="J40" s="9">
        <v>15.951866828552999</v>
      </c>
      <c r="K40" s="9">
        <v>3.27</v>
      </c>
      <c r="L40" s="9">
        <v>0.74</v>
      </c>
      <c r="M40" s="9">
        <f>Proj[[#This Row],[TOI ES]]+Proj[[#This Row],[TOI PP]]+Proj[[#This Row],[TOI PK]]</f>
        <v>19.961866828552999</v>
      </c>
      <c r="N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32</v>
      </c>
      <c r="O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40" s="10">
        <f>Proj[[#This Row],[Goals]]+Proj[[#This Row],[Assists]]</f>
        <v>74</v>
      </c>
      <c r="Q40" s="10">
        <f>ROUND(_xlfn.IFNA(INDEX(Table2[],MATCH(Proj[[#This Row],[Player]],Table2[Player],0),11)/60,IF(Proj[[#This Row],[Pos]] = "D", 'Per 60 PP'!$K$527,'Per 60 PP'!$K$526)/60)*Proj[[#This Row],[TOI PP]]*Proj[[#This Row],[GP]],0)</f>
        <v>7</v>
      </c>
      <c r="R40" s="10">
        <f>ROUND(_xlfn.IFNA(INDEX(Table2[],MATCH(Proj[[#This Row],[Player]],Table2[Player],0),7)/60,IF(Proj[[#This Row],[Pos]] = "D", 'Per 60 PP'!$G$527,'Per 60 PP'!$G$526)/60)*Proj[[#This Row],[TOI PP]]*Proj[[#This Row],[GP]],0)</f>
        <v>15</v>
      </c>
      <c r="S40" s="10">
        <f>Proj[[#This Row],[PPG]]+Proj[[#This Row],[PPA]]</f>
        <v>22</v>
      </c>
      <c r="T40">
        <f>ROUND((_xlfn.IFNA(INDEX(Table3[],MATCH(Proj[[#This Row],[Player]],Table3[Player],0),6)/60,IF(Proj[[#This Row],[Pos]] ="D", 'Per 60 PK'!$F$623, 'Per 60 PK'!$F$622)/60)+_xlfn.IFNA(INDEX(Table3[],MATCH(Proj[[#This Row],[Player]],Table3[Player],0),8)/60,IF(Proj[[#This Row],[Pos]] ="D", 'Per 60 PK'!$H$623, 'Per 60 PK'!$H$622)/60))*Proj[[#This Row],[TOI PK]]*Proj[[#This Row],[GP]],0)</f>
        <v>1</v>
      </c>
      <c r="U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v>
      </c>
      <c r="V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v>
      </c>
      <c r="Y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v>
      </c>
      <c r="Z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225</v>
      </c>
      <c r="AA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231.85193848992657</v>
      </c>
      <c r="AB40" s="10">
        <f>_xlfn.RANK.EQ(Proj[[#This Row],[VOR]],Proj[VOR])</f>
        <v>93</v>
      </c>
      <c r="AC40" s="10">
        <f>INDEX(Std[],MATCH(Proj[[#This Row],[Player]],Std[Player],0),20)</f>
        <v>678.39666288017543</v>
      </c>
      <c r="AD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542</v>
      </c>
    </row>
    <row r="41" spans="1:30" x14ac:dyDescent="0.25">
      <c r="A41" t="s">
        <v>259</v>
      </c>
      <c r="B41">
        <v>26</v>
      </c>
      <c r="C41" t="s">
        <v>3</v>
      </c>
      <c r="D41" t="s">
        <v>10</v>
      </c>
      <c r="E41" s="9">
        <f>INDEX(Table1[],MATCH(Proj[[#This Row],[Player]],Table1[Player],0),5)</f>
        <v>18.337192725275798</v>
      </c>
      <c r="F41" s="9">
        <f>_xlfn.IFNA(INDEX(Table2[],MATCH(Proj[[#This Row],[Player]],Table2[Player],0),5),0)</f>
        <v>3.45</v>
      </c>
      <c r="G41" s="9">
        <f>_xlfn.IFNA(INDEX(Table3[],MATCH(Proj[[#This Row],[Player]],Table3[Player],0),5),0)</f>
        <v>1.71</v>
      </c>
      <c r="H41" s="10">
        <v>80</v>
      </c>
      <c r="I41">
        <v>80</v>
      </c>
      <c r="J41" s="9">
        <v>18.337192725275798</v>
      </c>
      <c r="K41" s="9">
        <v>3.45</v>
      </c>
      <c r="L41" s="9">
        <v>1.71</v>
      </c>
      <c r="M41" s="9">
        <f>Proj[[#This Row],[TOI ES]]+Proj[[#This Row],[TOI PP]]+Proj[[#This Row],[TOI PK]]</f>
        <v>23.497192725275799</v>
      </c>
      <c r="N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62</v>
      </c>
      <c r="P41" s="10">
        <f>Proj[[#This Row],[Goals]]+Proj[[#This Row],[Assists]]</f>
        <v>74</v>
      </c>
      <c r="Q41" s="10">
        <f>ROUND(_xlfn.IFNA(INDEX(Table2[],MATCH(Proj[[#This Row],[Player]],Table2[Player],0),11)/60,IF(Proj[[#This Row],[Pos]] = "D", 'Per 60 PP'!$K$527,'Per 60 PP'!$K$526)/60)*Proj[[#This Row],[TOI PP]]*Proj[[#This Row],[GP]],0)</f>
        <v>3</v>
      </c>
      <c r="R41" s="10">
        <f>ROUND(_xlfn.IFNA(INDEX(Table2[],MATCH(Proj[[#This Row],[Player]],Table2[Player],0),7)/60,IF(Proj[[#This Row],[Pos]] = "D", 'Per 60 PP'!$G$527,'Per 60 PP'!$G$526)/60)*Proj[[#This Row],[TOI PP]]*Proj[[#This Row],[GP]],0)</f>
        <v>31</v>
      </c>
      <c r="S41" s="10">
        <f>Proj[[#This Row],[PPG]]+Proj[[#This Row],[PPA]]</f>
        <v>34</v>
      </c>
      <c r="T41">
        <f>ROUND((_xlfn.IFNA(INDEX(Table3[],MATCH(Proj[[#This Row],[Player]],Table3[Player],0),6)/60,IF(Proj[[#This Row],[Pos]] ="D", 'Per 60 PK'!$F$623, 'Per 60 PK'!$F$622)/60)+_xlfn.IFNA(INDEX(Table3[],MATCH(Proj[[#This Row],[Player]],Table3[Player],0),8)/60,IF(Proj[[#This Row],[Pos]] ="D", 'Per 60 PK'!$H$623, 'Per 60 PK'!$H$622)/60))*Proj[[#This Row],[TOI PK]]*Proj[[#This Row],[GP]],0)</f>
        <v>3</v>
      </c>
      <c r="U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37</v>
      </c>
      <c r="V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136</v>
      </c>
      <c r="W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148</v>
      </c>
      <c r="AA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733.58802607728376</v>
      </c>
      <c r="AB41" s="10">
        <f>_xlfn.RANK.EQ(Proj[[#This Row],[VOR]],Proj[VOR])</f>
        <v>20</v>
      </c>
      <c r="AC41" s="10">
        <f>INDEX(Std[],MATCH(Proj[[#This Row],[Player]],Std[Player],0),20)</f>
        <v>840.95279379674821</v>
      </c>
      <c r="AD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555.29999999999995</v>
      </c>
    </row>
    <row r="42" spans="1:30" x14ac:dyDescent="0.25">
      <c r="A42" t="s">
        <v>1076</v>
      </c>
      <c r="B42">
        <v>19</v>
      </c>
      <c r="C42" t="s">
        <v>74</v>
      </c>
      <c r="D42" t="s">
        <v>21</v>
      </c>
      <c r="E42" s="9">
        <f>INDEX(Table1[],MATCH(Proj[[#This Row],[Player]],Table1[Player],0),5)</f>
        <v>16.0694334012721</v>
      </c>
      <c r="F42" s="9">
        <f>_xlfn.IFNA(INDEX(Table2[],MATCH(Proj[[#This Row],[Player]],Table2[Player],0),5),0)</f>
        <v>3.68</v>
      </c>
      <c r="G42" s="9">
        <f>_xlfn.IFNA(INDEX(Table3[],MATCH(Proj[[#This Row],[Player]],Table3[Player],0),5),0)</f>
        <v>0</v>
      </c>
      <c r="H42" s="10">
        <v>81</v>
      </c>
      <c r="I42">
        <v>81</v>
      </c>
      <c r="J42" s="9">
        <v>16.0694334012721</v>
      </c>
      <c r="K42" s="9">
        <v>3.68</v>
      </c>
      <c r="L42" s="9">
        <v>0</v>
      </c>
      <c r="M42" s="9">
        <f>Proj[[#This Row],[TOI ES]]+Proj[[#This Row],[TOI PP]]+Proj[[#This Row],[TOI PK]]</f>
        <v>19.7494334012721</v>
      </c>
      <c r="N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32</v>
      </c>
      <c r="O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42" s="10">
        <f>Proj[[#This Row],[Goals]]+Proj[[#This Row],[Assists]]</f>
        <v>74</v>
      </c>
      <c r="Q42" s="10">
        <f>ROUND(_xlfn.IFNA(INDEX(Table2[],MATCH(Proj[[#This Row],[Player]],Table2[Player],0),11)/60,IF(Proj[[#This Row],[Pos]] = "D", 'Per 60 PP'!$K$527,'Per 60 PP'!$K$526)/60)*Proj[[#This Row],[TOI PP]]*Proj[[#This Row],[GP]],0)</f>
        <v>8</v>
      </c>
      <c r="R42" s="10">
        <f>ROUND(_xlfn.IFNA(INDEX(Table2[],MATCH(Proj[[#This Row],[Player]],Table2[Player],0),7)/60,IF(Proj[[#This Row],[Pos]] = "D", 'Per 60 PP'!$G$527,'Per 60 PP'!$G$526)/60)*Proj[[#This Row],[TOI PP]]*Proj[[#This Row],[GP]],0)</f>
        <v>16</v>
      </c>
      <c r="S42" s="10">
        <f>Proj[[#This Row],[PPG]]+Proj[[#This Row],[PPA]]</f>
        <v>24</v>
      </c>
      <c r="T42">
        <f>ROUND((_xlfn.IFNA(INDEX(Table3[],MATCH(Proj[[#This Row],[Player]],Table3[Player],0),6)/60,IF(Proj[[#This Row],[Pos]] ="D", 'Per 60 PK'!$F$623, 'Per 60 PK'!$F$622)/60)+_xlfn.IFNA(INDEX(Table3[],MATCH(Proj[[#This Row],[Player]],Table3[Player],0),8)/60,IF(Proj[[#This Row],[Pos]] ="D", 'Per 60 PK'!$H$623, 'Per 60 PK'!$H$622)/60))*Proj[[#This Row],[TOI PK]]*Proj[[#This Row],[GP]],0)</f>
        <v>0</v>
      </c>
      <c r="U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267</v>
      </c>
      <c r="Y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367</v>
      </c>
      <c r="Z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250</v>
      </c>
      <c r="AA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204.38560471718893</v>
      </c>
      <c r="AB42" s="10">
        <f>_xlfn.RANK.EQ(Proj[[#This Row],[VOR]],Proj[VOR])</f>
        <v>103</v>
      </c>
      <c r="AC42" s="10">
        <f>INDEX(Std[],MATCH(Proj[[#This Row],[Player]],Std[Player],0),20)</f>
        <v>939.01945902748753</v>
      </c>
      <c r="AD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605.20000000000005</v>
      </c>
    </row>
    <row r="43" spans="1:30" x14ac:dyDescent="0.25">
      <c r="A43" t="s">
        <v>371</v>
      </c>
      <c r="B43">
        <v>32</v>
      </c>
      <c r="C43" t="s">
        <v>104</v>
      </c>
      <c r="D43" t="s">
        <v>16</v>
      </c>
      <c r="E43" s="9">
        <f>INDEX(Table1[],MATCH(Proj[[#This Row],[Player]],Table1[Player],0),5)</f>
        <v>15.9948746917505</v>
      </c>
      <c r="F43" s="9">
        <f>_xlfn.IFNA(INDEX(Table2[],MATCH(Proj[[#This Row],[Player]],Table2[Player],0),5),0)</f>
        <v>3.35</v>
      </c>
      <c r="G43" s="9">
        <f>_xlfn.IFNA(INDEX(Table3[],MATCH(Proj[[#This Row],[Player]],Table3[Player],0),5),0)</f>
        <v>0.86</v>
      </c>
      <c r="H43" s="10">
        <v>81</v>
      </c>
      <c r="I43">
        <v>81</v>
      </c>
      <c r="J43" s="9">
        <v>15.9948746917505</v>
      </c>
      <c r="K43" s="9">
        <v>3.35</v>
      </c>
      <c r="L43" s="9">
        <v>0.86</v>
      </c>
      <c r="M43" s="9">
        <f>Proj[[#This Row],[TOI ES]]+Proj[[#This Row],[TOI PP]]+Proj[[#This Row],[TOI PK]]</f>
        <v>20.204874691750501</v>
      </c>
      <c r="N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43</v>
      </c>
      <c r="O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43">
        <f>Proj[[#This Row],[Goals]]+Proj[[#This Row],[Assists]]</f>
        <v>74</v>
      </c>
      <c r="Q43" s="10">
        <f>ROUND(_xlfn.IFNA(INDEX(Table2[],MATCH(Proj[[#This Row],[Player]],Table2[Player],0),11)/60,IF(Proj[[#This Row],[Pos]] = "D", 'Per 60 PP'!$K$527,'Per 60 PP'!$K$526)/60)*Proj[[#This Row],[TOI PP]]*Proj[[#This Row],[GP]],0)</f>
        <v>13</v>
      </c>
      <c r="R43" s="10">
        <f>ROUND(_xlfn.IFNA(INDEX(Table2[],MATCH(Proj[[#This Row],[Player]],Table2[Player],0),7)/60,IF(Proj[[#This Row],[Pos]] = "D", 'Per 60 PP'!$G$527,'Per 60 PP'!$G$526)/60)*Proj[[#This Row],[TOI PP]]*Proj[[#This Row],[GP]],0)</f>
        <v>7</v>
      </c>
      <c r="S43" s="10">
        <f>Proj[[#This Row],[PPG]]+Proj[[#This Row],[PPA]]</f>
        <v>20</v>
      </c>
      <c r="T43">
        <f>ROUND((_xlfn.IFNA(INDEX(Table3[],MATCH(Proj[[#This Row],[Player]],Table3[Player],0),6)/60,IF(Proj[[#This Row],[Pos]] ="D", 'Per 60 PK'!$F$623, 'Per 60 PK'!$F$622)/60)+_xlfn.IFNA(INDEX(Table3[],MATCH(Proj[[#This Row],[Player]],Table3[Player],0),8)/60,IF(Proj[[#This Row],[Pos]] ="D", 'Per 60 PK'!$H$623, 'Per 60 PK'!$H$622)/60))*Proj[[#This Row],[TOI PK]]*Proj[[#This Row],[GP]],0)</f>
        <v>1</v>
      </c>
      <c r="U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44</v>
      </c>
      <c r="X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v>
      </c>
      <c r="Z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279</v>
      </c>
      <c r="AA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449.20289239438506</v>
      </c>
      <c r="AB43" s="10">
        <f>_xlfn.RANK.EQ(Proj[[#This Row],[VOR]],Proj[VOR])</f>
        <v>52</v>
      </c>
      <c r="AC43" s="10">
        <f>INDEX(Std[],MATCH(Proj[[#This Row],[Player]],Std[Player],0),20)</f>
        <v>895.74761678463392</v>
      </c>
      <c r="AD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615.04999999999995</v>
      </c>
    </row>
    <row r="44" spans="1:30" x14ac:dyDescent="0.25">
      <c r="A44" t="s">
        <v>339</v>
      </c>
      <c r="B44">
        <v>23</v>
      </c>
      <c r="C44" t="s">
        <v>101</v>
      </c>
      <c r="D44" t="s">
        <v>15</v>
      </c>
      <c r="E44" s="9">
        <f>INDEX(Table1[],MATCH(Proj[[#This Row],[Player]],Table1[Player],0),5)</f>
        <v>16.589856118317702</v>
      </c>
      <c r="F44" s="9">
        <f>_xlfn.IFNA(INDEX(Table2[],MATCH(Proj[[#This Row],[Player]],Table2[Player],0),5),0)</f>
        <v>3.67</v>
      </c>
      <c r="G44" s="9">
        <f>_xlfn.IFNA(INDEX(Table3[],MATCH(Proj[[#This Row],[Player]],Table3[Player],0),5),0)</f>
        <v>0.87</v>
      </c>
      <c r="H44" s="10">
        <v>78</v>
      </c>
      <c r="I44">
        <v>78</v>
      </c>
      <c r="J44" s="9">
        <v>16.589856118317702</v>
      </c>
      <c r="K44" s="9">
        <v>3.67</v>
      </c>
      <c r="L44" s="9">
        <v>0.87</v>
      </c>
      <c r="M44" s="9">
        <f>Proj[[#This Row],[TOI ES]]+Proj[[#This Row],[TOI PP]]+Proj[[#This Row],[TOI PK]]</f>
        <v>21.129856118317701</v>
      </c>
      <c r="N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49</v>
      </c>
      <c r="P44" s="10">
        <f>Proj[[#This Row],[Goals]]+Proj[[#This Row],[Assists]]</f>
        <v>74</v>
      </c>
      <c r="Q44" s="10">
        <f>ROUND(_xlfn.IFNA(INDEX(Table2[],MATCH(Proj[[#This Row],[Player]],Table2[Player],0),11)/60,IF(Proj[[#This Row],[Pos]] = "D", 'Per 60 PP'!$K$527,'Per 60 PP'!$K$526)/60)*Proj[[#This Row],[TOI PP]]*Proj[[#This Row],[GP]],0)</f>
        <v>5</v>
      </c>
      <c r="R44" s="10">
        <f>ROUND(_xlfn.IFNA(INDEX(Table2[],MATCH(Proj[[#This Row],[Player]],Table2[Player],0),7)/60,IF(Proj[[#This Row],[Pos]] = "D", 'Per 60 PP'!$G$527,'Per 60 PP'!$G$526)/60)*Proj[[#This Row],[TOI PP]]*Proj[[#This Row],[GP]],0)</f>
        <v>20</v>
      </c>
      <c r="S44" s="10">
        <f>Proj[[#This Row],[PPG]]+Proj[[#This Row],[PPA]]</f>
        <v>25</v>
      </c>
      <c r="T44">
        <f>ROUND((_xlfn.IFNA(INDEX(Table3[],MATCH(Proj[[#This Row],[Player]],Table3[Player],0),6)/60,IF(Proj[[#This Row],[Pos]] ="D", 'Per 60 PK'!$F$623, 'Per 60 PK'!$F$622)/60)+_xlfn.IFNA(INDEX(Table3[],MATCH(Proj[[#This Row],[Player]],Table3[Player],0),8)/60,IF(Proj[[#This Row],[Pos]] ="D", 'Per 60 PK'!$H$623, 'Per 60 PK'!$H$622)/60))*Proj[[#This Row],[TOI PK]]*Proj[[#This Row],[GP]],0)</f>
        <v>1</v>
      </c>
      <c r="U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98</v>
      </c>
      <c r="V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236</v>
      </c>
      <c r="Y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287</v>
      </c>
      <c r="Z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203</v>
      </c>
      <c r="AA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475.78423728770593</v>
      </c>
      <c r="AB44" s="10">
        <f>_xlfn.RANK.EQ(Proj[[#This Row],[VOR]],Proj[VOR])</f>
        <v>47</v>
      </c>
      <c r="AC44" s="10">
        <f>INDEX(Std[],MATCH(Proj[[#This Row],[Player]],Std[Player],0),20)</f>
        <v>947.32896167795479</v>
      </c>
      <c r="AD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601.65</v>
      </c>
    </row>
    <row r="45" spans="1:30" x14ac:dyDescent="0.25">
      <c r="A45" t="s">
        <v>258</v>
      </c>
      <c r="B45">
        <v>28</v>
      </c>
      <c r="C45" t="s">
        <v>102</v>
      </c>
      <c r="D45" t="s">
        <v>9</v>
      </c>
      <c r="E45" s="9">
        <f>INDEX(Table1[],MATCH(Proj[[#This Row],[Player]],Table1[Player],0),5)</f>
        <v>16.215589060012601</v>
      </c>
      <c r="F45" s="9">
        <f>_xlfn.IFNA(INDEX(Table2[],MATCH(Proj[[#This Row],[Player]],Table2[Player],0),5),0)</f>
        <v>3.31</v>
      </c>
      <c r="G45" s="9">
        <f>_xlfn.IFNA(INDEX(Table3[],MATCH(Proj[[#This Row],[Player]],Table3[Player],0),5),0)</f>
        <v>0.65</v>
      </c>
      <c r="H45" s="10">
        <v>77</v>
      </c>
      <c r="I45">
        <v>77</v>
      </c>
      <c r="J45" s="9">
        <v>16.215589060012601</v>
      </c>
      <c r="K45" s="9">
        <v>3.31</v>
      </c>
      <c r="L45" s="9">
        <v>0.65</v>
      </c>
      <c r="M45" s="9">
        <f>Proj[[#This Row],[TOI ES]]+Proj[[#This Row],[TOI PP]]+Proj[[#This Row],[TOI PK]]</f>
        <v>20.175589060012598</v>
      </c>
      <c r="N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38</v>
      </c>
      <c r="P45">
        <f>Proj[[#This Row],[Goals]]+Proj[[#This Row],[Assists]]</f>
        <v>73</v>
      </c>
      <c r="Q45" s="10">
        <f>ROUND(_xlfn.IFNA(INDEX(Table2[],MATCH(Proj[[#This Row],[Player]],Table2[Player],0),11)/60,IF(Proj[[#This Row],[Pos]] = "D", 'Per 60 PP'!$K$527,'Per 60 PP'!$K$526)/60)*Proj[[#This Row],[TOI PP]]*Proj[[#This Row],[GP]],0)</f>
        <v>6</v>
      </c>
      <c r="R45" s="10">
        <f>ROUND(_xlfn.IFNA(INDEX(Table2[],MATCH(Proj[[#This Row],[Player]],Table2[Player],0),7)/60,IF(Proj[[#This Row],[Pos]] = "D", 'Per 60 PP'!$G$527,'Per 60 PP'!$G$526)/60)*Proj[[#This Row],[TOI PP]]*Proj[[#This Row],[GP]],0)</f>
        <v>17</v>
      </c>
      <c r="S45" s="10">
        <f>Proj[[#This Row],[PPG]]+Proj[[#This Row],[PPA]]</f>
        <v>23</v>
      </c>
      <c r="T45">
        <f>ROUND((_xlfn.IFNA(INDEX(Table3[],MATCH(Proj[[#This Row],[Player]],Table3[Player],0),6)/60,IF(Proj[[#This Row],[Pos]] ="D", 'Per 60 PK'!$F$623, 'Per 60 PK'!$F$622)/60)+_xlfn.IFNA(INDEX(Table3[],MATCH(Proj[[#This Row],[Player]],Table3[Player],0),8)/60,IF(Proj[[#This Row],[Pos]] ="D", 'Per 60 PK'!$H$623, 'Per 60 PK'!$H$622)/60))*Proj[[#This Row],[TOI PK]]*Proj[[#This Row],[GP]],0)</f>
        <v>1</v>
      </c>
      <c r="U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v>
      </c>
      <c r="V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28</v>
      </c>
      <c r="W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260</v>
      </c>
      <c r="AA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104.35282199819375</v>
      </c>
      <c r="AB45" s="10">
        <f>_xlfn.RANK.EQ(Proj[[#This Row],[VOR]],Proj[VOR])</f>
        <v>123</v>
      </c>
      <c r="AC45" s="10">
        <f>INDEX(Std[],MATCH(Proj[[#This Row],[Player]],Std[Player],0),20)</f>
        <v>575.89754638844261</v>
      </c>
      <c r="AD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541.39999999999986</v>
      </c>
    </row>
    <row r="46" spans="1:30" x14ac:dyDescent="0.25">
      <c r="A46" t="s">
        <v>464</v>
      </c>
      <c r="B46">
        <v>29</v>
      </c>
      <c r="C46" t="s">
        <v>101</v>
      </c>
      <c r="D46" t="s">
        <v>31</v>
      </c>
      <c r="E46" s="9">
        <f>INDEX(Table1[],MATCH(Proj[[#This Row],[Player]],Table1[Player],0),5)</f>
        <v>14.6664293997879</v>
      </c>
      <c r="F46" s="9">
        <f>_xlfn.IFNA(INDEX(Table2[],MATCH(Proj[[#This Row],[Player]],Table2[Player],0),5),0)</f>
        <v>2.93</v>
      </c>
      <c r="G46" s="9">
        <f>_xlfn.IFNA(INDEX(Table3[],MATCH(Proj[[#This Row],[Player]],Table3[Player],0),5),0)</f>
        <v>0</v>
      </c>
      <c r="H46" s="10">
        <v>80</v>
      </c>
      <c r="I46">
        <v>80</v>
      </c>
      <c r="J46" s="9">
        <v>14.6664293997879</v>
      </c>
      <c r="K46" s="9">
        <v>2.93</v>
      </c>
      <c r="L46" s="9">
        <v>0</v>
      </c>
      <c r="M46" s="9">
        <f>Proj[[#This Row],[TOI ES]]+Proj[[#This Row],[TOI PP]]+Proj[[#This Row],[TOI PK]]</f>
        <v>17.596429399787901</v>
      </c>
      <c r="N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33</v>
      </c>
      <c r="O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46" s="10">
        <f>Proj[[#This Row],[Goals]]+Proj[[#This Row],[Assists]]</f>
        <v>73</v>
      </c>
      <c r="Q46" s="10">
        <f>ROUND(_xlfn.IFNA(INDEX(Table2[],MATCH(Proj[[#This Row],[Player]],Table2[Player],0),11)/60,IF(Proj[[#This Row],[Pos]] = "D", 'Per 60 PP'!$K$527,'Per 60 PP'!$K$526)/60)*Proj[[#This Row],[TOI PP]]*Proj[[#This Row],[GP]],0)</f>
        <v>6</v>
      </c>
      <c r="R46" s="10">
        <f>ROUND(_xlfn.IFNA(INDEX(Table2[],MATCH(Proj[[#This Row],[Player]],Table2[Player],0),7)/60,IF(Proj[[#This Row],[Pos]] = "D", 'Per 60 PP'!$G$527,'Per 60 PP'!$G$526)/60)*Proj[[#This Row],[TOI PP]]*Proj[[#This Row],[GP]],0)</f>
        <v>14</v>
      </c>
      <c r="S46" s="10">
        <f>Proj[[#This Row],[PPG]]+Proj[[#This Row],[PPA]]</f>
        <v>20</v>
      </c>
      <c r="T46">
        <f>ROUND((_xlfn.IFNA(INDEX(Table3[],MATCH(Proj[[#This Row],[Player]],Table3[Player],0),6)/60,IF(Proj[[#This Row],[Pos]] ="D", 'Per 60 PK'!$F$623, 'Per 60 PK'!$F$622)/60)+_xlfn.IFNA(INDEX(Table3[],MATCH(Proj[[#This Row],[Player]],Table3[Player],0),8)/60,IF(Proj[[#This Row],[Pos]] ="D", 'Per 60 PK'!$H$623, 'Per 60 PK'!$H$622)/60))*Proj[[#This Row],[TOI PK]]*Proj[[#This Row],[GP]],0)</f>
        <v>0</v>
      </c>
      <c r="U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53</v>
      </c>
      <c r="V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44</v>
      </c>
      <c r="X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v>
      </c>
      <c r="Y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v>
      </c>
      <c r="Z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245</v>
      </c>
      <c r="AA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263.08912992004974</v>
      </c>
      <c r="AB46" s="10">
        <f>_xlfn.RANK.EQ(Proj[[#This Row],[VOR]],Proj[VOR])</f>
        <v>87</v>
      </c>
      <c r="AC46" s="10">
        <f>INDEX(Std[],MATCH(Proj[[#This Row],[Player]],Std[Player],0),20)</f>
        <v>734.6338543102986</v>
      </c>
      <c r="AD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562.19999999999993</v>
      </c>
    </row>
    <row r="47" spans="1:30" x14ac:dyDescent="0.25">
      <c r="A47" t="s">
        <v>395</v>
      </c>
      <c r="B47">
        <v>34</v>
      </c>
      <c r="C47" t="s">
        <v>3</v>
      </c>
      <c r="D47" t="s">
        <v>25</v>
      </c>
      <c r="E47" s="9">
        <f>INDEX(Table1[],MATCH(Proj[[#This Row],[Player]],Table1[Player],0),5)</f>
        <v>20.607343291418001</v>
      </c>
      <c r="F47" s="9">
        <f>_xlfn.IFNA(INDEX(Table2[],MATCH(Proj[[#This Row],[Player]],Table2[Player],0),5),0)</f>
        <v>3.34</v>
      </c>
      <c r="G47" s="9">
        <f>_xlfn.IFNA(INDEX(Table3[],MATCH(Proj[[#This Row],[Player]],Table3[Player],0),5),0)</f>
        <v>0.28000000000000003</v>
      </c>
      <c r="H47" s="10">
        <v>82</v>
      </c>
      <c r="I47">
        <v>82</v>
      </c>
      <c r="J47" s="9">
        <v>20.607343291418001</v>
      </c>
      <c r="K47" s="9">
        <v>3.34</v>
      </c>
      <c r="L47" s="9">
        <v>0.28000000000000003</v>
      </c>
      <c r="M47" s="9">
        <f>Proj[[#This Row],[TOI ES]]+Proj[[#This Row],[TOI PP]]+Proj[[#This Row],[TOI PK]]</f>
        <v>24.227343291418002</v>
      </c>
      <c r="N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58</v>
      </c>
      <c r="P47" s="10">
        <f>Proj[[#This Row],[Goals]]+Proj[[#This Row],[Assists]]</f>
        <v>72</v>
      </c>
      <c r="Q47" s="10">
        <f>ROUND(_xlfn.IFNA(INDEX(Table2[],MATCH(Proj[[#This Row],[Player]],Table2[Player],0),11)/60,IF(Proj[[#This Row],[Pos]] = "D", 'Per 60 PP'!$K$527,'Per 60 PP'!$K$526)/60)*Proj[[#This Row],[TOI PP]]*Proj[[#This Row],[GP]],0)</f>
        <v>3</v>
      </c>
      <c r="R47" s="10">
        <f>ROUND(_xlfn.IFNA(INDEX(Table2[],MATCH(Proj[[#This Row],[Player]],Table2[Player],0),7)/60,IF(Proj[[#This Row],[Pos]] = "D", 'Per 60 PP'!$G$527,'Per 60 PP'!$G$526)/60)*Proj[[#This Row],[TOI PP]]*Proj[[#This Row],[GP]],0)</f>
        <v>22</v>
      </c>
      <c r="S47" s="10">
        <f>Proj[[#This Row],[PPG]]+Proj[[#This Row],[PPA]]</f>
        <v>25</v>
      </c>
      <c r="T47">
        <f>ROUND((_xlfn.IFNA(INDEX(Table3[],MATCH(Proj[[#This Row],[Player]],Table3[Player],0),6)/60,IF(Proj[[#This Row],[Pos]] ="D", 'Per 60 PK'!$F$623, 'Per 60 PK'!$F$622)/60)+_xlfn.IFNA(INDEX(Table3[],MATCH(Proj[[#This Row],[Player]],Table3[Player],0),8)/60,IF(Proj[[#This Row],[Pos]] ="D", 'Per 60 PK'!$H$623, 'Per 60 PK'!$H$622)/60))*Proj[[#This Row],[TOI PK]]*Proj[[#This Row],[GP]],0)</f>
        <v>0</v>
      </c>
      <c r="U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37</v>
      </c>
      <c r="V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101</v>
      </c>
      <c r="W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198</v>
      </c>
      <c r="AA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631.38920352881701</v>
      </c>
      <c r="AB47" s="10">
        <f>_xlfn.RANK.EQ(Proj[[#This Row],[VOR]],Proj[VOR])</f>
        <v>29</v>
      </c>
      <c r="AC47" s="10">
        <f>INDEX(Std[],MATCH(Proj[[#This Row],[Player]],Std[Player],0),20)</f>
        <v>738.75397124828146</v>
      </c>
      <c r="AD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545.5</v>
      </c>
    </row>
    <row r="48" spans="1:30" x14ac:dyDescent="0.25">
      <c r="A48" t="s">
        <v>370</v>
      </c>
      <c r="B48">
        <v>37</v>
      </c>
      <c r="C48" t="s">
        <v>105</v>
      </c>
      <c r="D48" t="s">
        <v>15</v>
      </c>
      <c r="E48" s="9">
        <f>INDEX(Table1[],MATCH(Proj[[#This Row],[Player]],Table1[Player],0),5)</f>
        <v>15.0856453324279</v>
      </c>
      <c r="F48" s="9">
        <f>_xlfn.IFNA(INDEX(Table2[],MATCH(Proj[[#This Row],[Player]],Table2[Player],0),5),0)</f>
        <v>2.78</v>
      </c>
      <c r="G48" s="9">
        <f>_xlfn.IFNA(INDEX(Table3[],MATCH(Proj[[#This Row],[Player]],Table3[Player],0),5),0)</f>
        <v>1.68</v>
      </c>
      <c r="H48" s="10">
        <v>82</v>
      </c>
      <c r="I48">
        <v>82</v>
      </c>
      <c r="J48" s="9">
        <v>15.0856453324279</v>
      </c>
      <c r="K48" s="9">
        <v>2.78</v>
      </c>
      <c r="L48" s="9">
        <v>1.68</v>
      </c>
      <c r="M48" s="9">
        <f>Proj[[#This Row],[TOI ES]]+Proj[[#This Row],[TOI PP]]+Proj[[#This Row],[TOI PK]]</f>
        <v>19.545645332427899</v>
      </c>
      <c r="N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49</v>
      </c>
      <c r="P48" s="10">
        <f>Proj[[#This Row],[Goals]]+Proj[[#This Row],[Assists]]</f>
        <v>72</v>
      </c>
      <c r="Q48" s="10">
        <f>ROUND(_xlfn.IFNA(INDEX(Table2[],MATCH(Proj[[#This Row],[Player]],Table2[Player],0),11)/60,IF(Proj[[#This Row],[Pos]] = "D", 'Per 60 PP'!$K$527,'Per 60 PP'!$K$526)/60)*Proj[[#This Row],[TOI PP]]*Proj[[#This Row],[GP]],0)</f>
        <v>4</v>
      </c>
      <c r="R48" s="10">
        <f>ROUND(_xlfn.IFNA(INDEX(Table2[],MATCH(Proj[[#This Row],[Player]],Table2[Player],0),7)/60,IF(Proj[[#This Row],[Pos]] = "D", 'Per 60 PP'!$G$527,'Per 60 PP'!$G$526)/60)*Proj[[#This Row],[TOI PP]]*Proj[[#This Row],[GP]],0)</f>
        <v>19</v>
      </c>
      <c r="S48" s="10">
        <f>Proj[[#This Row],[PPG]]+Proj[[#This Row],[PPA]]</f>
        <v>23</v>
      </c>
      <c r="T48">
        <f>ROUND((_xlfn.IFNA(INDEX(Table3[],MATCH(Proj[[#This Row],[Player]],Table3[Player],0),6)/60,IF(Proj[[#This Row],[Pos]] ="D", 'Per 60 PK'!$F$623, 'Per 60 PK'!$F$622)/60)+_xlfn.IFNA(INDEX(Table3[],MATCH(Proj[[#This Row],[Player]],Table3[Player],0),8)/60,IF(Proj[[#This Row],[Pos]] ="D", 'Per 60 PK'!$H$623, 'Per 60 PK'!$H$622)/60))*Proj[[#This Row],[TOI PK]]*Proj[[#This Row],[GP]],0)</f>
        <v>2</v>
      </c>
      <c r="U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675</v>
      </c>
      <c r="Y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496</v>
      </c>
      <c r="Z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189</v>
      </c>
      <c r="AA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466.39775284371814</v>
      </c>
      <c r="AB48" s="10">
        <f>_xlfn.RANK.EQ(Proj[[#This Row],[VOR]],Proj[VOR])</f>
        <v>48</v>
      </c>
      <c r="AC48" s="10">
        <f>INDEX(Std[],MATCH(Proj[[#This Row],[Player]],Std[Player],0),20)</f>
        <v>912.942477233967</v>
      </c>
      <c r="AD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578.34999999999991</v>
      </c>
    </row>
    <row r="49" spans="1:30" x14ac:dyDescent="0.25">
      <c r="A49" t="s">
        <v>359</v>
      </c>
      <c r="B49">
        <v>31</v>
      </c>
      <c r="C49" t="s">
        <v>101</v>
      </c>
      <c r="D49" t="s">
        <v>16</v>
      </c>
      <c r="E49" s="9">
        <f>INDEX(Table1[],MATCH(Proj[[#This Row],[Player]],Table1[Player],0),5)</f>
        <v>14.302851161779399</v>
      </c>
      <c r="F49" s="9">
        <f>_xlfn.IFNA(INDEX(Table2[],MATCH(Proj[[#This Row],[Player]],Table2[Player],0),5),0)</f>
        <v>3.45</v>
      </c>
      <c r="G49" s="9">
        <f>_xlfn.IFNA(INDEX(Table3[],MATCH(Proj[[#This Row],[Player]],Table3[Player],0),5),0)</f>
        <v>1.82</v>
      </c>
      <c r="H49" s="10">
        <v>81</v>
      </c>
      <c r="I49">
        <v>81</v>
      </c>
      <c r="J49" s="9">
        <v>14.302851161779399</v>
      </c>
      <c r="K49" s="9">
        <v>3.45</v>
      </c>
      <c r="L49" s="9">
        <v>1.82</v>
      </c>
      <c r="M49" s="9">
        <f>Proj[[#This Row],[TOI ES]]+Proj[[#This Row],[TOI PP]]+Proj[[#This Row],[TOI PK]]</f>
        <v>19.572851161779401</v>
      </c>
      <c r="N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50</v>
      </c>
      <c r="P49" s="10">
        <f>Proj[[#This Row],[Goals]]+Proj[[#This Row],[Assists]]</f>
        <v>72</v>
      </c>
      <c r="Q49" s="10">
        <f>ROUND(_xlfn.IFNA(INDEX(Table2[],MATCH(Proj[[#This Row],[Player]],Table2[Player],0),11)/60,IF(Proj[[#This Row],[Pos]] = "D", 'Per 60 PP'!$K$527,'Per 60 PP'!$K$526)/60)*Proj[[#This Row],[TOI PP]]*Proj[[#This Row],[GP]],0)</f>
        <v>6</v>
      </c>
      <c r="R49" s="10">
        <f>ROUND(_xlfn.IFNA(INDEX(Table2[],MATCH(Proj[[#This Row],[Player]],Table2[Player],0),7)/60,IF(Proj[[#This Row],[Pos]] = "D", 'Per 60 PP'!$G$527,'Per 60 PP'!$G$526)/60)*Proj[[#This Row],[TOI PP]]*Proj[[#This Row],[GP]],0)</f>
        <v>25</v>
      </c>
      <c r="S49" s="10">
        <f>Proj[[#This Row],[PPG]]+Proj[[#This Row],[PPA]]</f>
        <v>31</v>
      </c>
      <c r="T49">
        <f>ROUND((_xlfn.IFNA(INDEX(Table3[],MATCH(Proj[[#This Row],[Player]],Table3[Player],0),6)/60,IF(Proj[[#This Row],[Pos]] ="D", 'Per 60 PK'!$F$623, 'Per 60 PK'!$F$622)/60)+_xlfn.IFNA(INDEX(Table3[],MATCH(Proj[[#This Row],[Player]],Table3[Player],0),8)/60,IF(Proj[[#This Row],[Pos]] ="D", 'Per 60 PK'!$H$623, 'Per 60 PK'!$H$622)/60))*Proj[[#This Row],[TOI PK]]*Proj[[#This Row],[GP]],0)</f>
        <v>3</v>
      </c>
      <c r="U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246</v>
      </c>
      <c r="Y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279</v>
      </c>
      <c r="Z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185</v>
      </c>
      <c r="AA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332.73296472708506</v>
      </c>
      <c r="AB49" s="10">
        <f>_xlfn.RANK.EQ(Proj[[#This Row],[VOR]],Proj[VOR])</f>
        <v>73</v>
      </c>
      <c r="AC49" s="10">
        <f>INDEX(Std[],MATCH(Proj[[#This Row],[Player]],Std[Player],0),20)</f>
        <v>804.27768911733392</v>
      </c>
      <c r="AD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550.6</v>
      </c>
    </row>
    <row r="50" spans="1:30" x14ac:dyDescent="0.25">
      <c r="A50" t="s">
        <v>484</v>
      </c>
      <c r="B50">
        <v>26</v>
      </c>
      <c r="C50" t="s">
        <v>105</v>
      </c>
      <c r="D50" t="s">
        <v>14</v>
      </c>
      <c r="E50" s="9">
        <f>INDEX(Table1[],MATCH(Proj[[#This Row],[Player]],Table1[Player],0),5)</f>
        <v>15.202370745232001</v>
      </c>
      <c r="F50" s="9">
        <f>_xlfn.IFNA(INDEX(Table2[],MATCH(Proj[[#This Row],[Player]],Table2[Player],0),5),0)</f>
        <v>2.93</v>
      </c>
      <c r="G50" s="9">
        <f>_xlfn.IFNA(INDEX(Table3[],MATCH(Proj[[#This Row],[Player]],Table3[Player],0),5),0)</f>
        <v>0</v>
      </c>
      <c r="H50" s="10">
        <v>81</v>
      </c>
      <c r="I50">
        <v>81</v>
      </c>
      <c r="J50" s="9">
        <v>15.202370745232001</v>
      </c>
      <c r="K50" s="9">
        <v>2.93</v>
      </c>
      <c r="L50" s="9">
        <v>0</v>
      </c>
      <c r="M50" s="9">
        <f>Proj[[#This Row],[TOI ES]]+Proj[[#This Row],[TOI PP]]+Proj[[#This Row],[TOI PK]]</f>
        <v>18.132370745232002</v>
      </c>
      <c r="N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31</v>
      </c>
      <c r="O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50" s="10">
        <f>Proj[[#This Row],[Goals]]+Proj[[#This Row],[Assists]]</f>
        <v>71</v>
      </c>
      <c r="Q50" s="10">
        <f>ROUND(_xlfn.IFNA(INDEX(Table2[],MATCH(Proj[[#This Row],[Player]],Table2[Player],0),11)/60,IF(Proj[[#This Row],[Pos]] = "D", 'Per 60 PP'!$K$527,'Per 60 PP'!$K$526)/60)*Proj[[#This Row],[TOI PP]]*Proj[[#This Row],[GP]],0)</f>
        <v>8</v>
      </c>
      <c r="R50" s="10">
        <f>ROUND(_xlfn.IFNA(INDEX(Table2[],MATCH(Proj[[#This Row],[Player]],Table2[Player],0),7)/60,IF(Proj[[#This Row],[Pos]] = "D", 'Per 60 PP'!$G$527,'Per 60 PP'!$G$526)/60)*Proj[[#This Row],[TOI PP]]*Proj[[#This Row],[GP]],0)</f>
        <v>14</v>
      </c>
      <c r="S50" s="10">
        <f>Proj[[#This Row],[PPG]]+Proj[[#This Row],[PPA]]</f>
        <v>22</v>
      </c>
      <c r="T50">
        <f>ROUND((_xlfn.IFNA(INDEX(Table3[],MATCH(Proj[[#This Row],[Player]],Table3[Player],0),6)/60,IF(Proj[[#This Row],[Pos]] ="D", 'Per 60 PK'!$F$623, 'Per 60 PK'!$F$622)/60)+_xlfn.IFNA(INDEX(Table3[],MATCH(Proj[[#This Row],[Player]],Table3[Player],0),8)/60,IF(Proj[[#This Row],[Pos]] ="D", 'Per 60 PK'!$H$623, 'Per 60 PK'!$H$622)/60))*Proj[[#This Row],[TOI PK]]*Proj[[#This Row],[GP]],0)</f>
        <v>0</v>
      </c>
      <c r="U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v>
      </c>
      <c r="Z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246</v>
      </c>
      <c r="AA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134.32455899109226</v>
      </c>
      <c r="AB50" s="10">
        <f>_xlfn.RANK.EQ(Proj[[#This Row],[VOR]],Proj[VOR])</f>
        <v>118</v>
      </c>
      <c r="AC50" s="10">
        <f>INDEX(Std[],MATCH(Proj[[#This Row],[Player]],Std[Player],0),20)</f>
        <v>580.86928338134112</v>
      </c>
      <c r="AD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528.79999999999995</v>
      </c>
    </row>
    <row r="51" spans="1:30" x14ac:dyDescent="0.25">
      <c r="A51" t="s">
        <v>488</v>
      </c>
      <c r="B51">
        <v>26</v>
      </c>
      <c r="C51" t="s">
        <v>74</v>
      </c>
      <c r="D51" t="s">
        <v>156</v>
      </c>
      <c r="E51" s="9">
        <f>INDEX(Table1[],MATCH(Proj[[#This Row],[Player]],Table1[Player],0),5)</f>
        <v>14.556232910076901</v>
      </c>
      <c r="F51" s="9">
        <f>_xlfn.IFNA(INDEX(Table2[],MATCH(Proj[[#This Row],[Player]],Table2[Player],0),5),0)</f>
        <v>3.33</v>
      </c>
      <c r="G51" s="9">
        <f>_xlfn.IFNA(INDEX(Table3[],MATCH(Proj[[#This Row],[Player]],Table3[Player],0),5),0)</f>
        <v>1.53</v>
      </c>
      <c r="H51" s="10">
        <v>77</v>
      </c>
      <c r="I51">
        <v>77</v>
      </c>
      <c r="J51" s="9">
        <v>14.556232910076901</v>
      </c>
      <c r="K51" s="9">
        <v>3.33</v>
      </c>
      <c r="L51" s="9">
        <v>1.53</v>
      </c>
      <c r="M51" s="9">
        <f>Proj[[#This Row],[TOI ES]]+Proj[[#This Row],[TOI PP]]+Proj[[#This Row],[TOI PK]]</f>
        <v>19.4162329100769</v>
      </c>
      <c r="N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51" s="10">
        <f>Proj[[#This Row],[Goals]]+Proj[[#This Row],[Assists]]</f>
        <v>71</v>
      </c>
      <c r="Q51" s="10">
        <f>ROUND(_xlfn.IFNA(INDEX(Table2[],MATCH(Proj[[#This Row],[Player]],Table2[Player],0),11)/60,IF(Proj[[#This Row],[Pos]] = "D", 'Per 60 PP'!$K$527,'Per 60 PP'!$K$526)/60)*Proj[[#This Row],[TOI PP]]*Proj[[#This Row],[GP]],0)</f>
        <v>8</v>
      </c>
      <c r="R51" s="10">
        <f>ROUND(_xlfn.IFNA(INDEX(Table2[],MATCH(Proj[[#This Row],[Player]],Table2[Player],0),7)/60,IF(Proj[[#This Row],[Pos]] = "D", 'Per 60 PP'!$G$527,'Per 60 PP'!$G$526)/60)*Proj[[#This Row],[TOI PP]]*Proj[[#This Row],[GP]],0)</f>
        <v>10</v>
      </c>
      <c r="S51" s="10">
        <f>Proj[[#This Row],[PPG]]+Proj[[#This Row],[PPA]]</f>
        <v>18</v>
      </c>
      <c r="T51">
        <f>ROUND((_xlfn.IFNA(INDEX(Table3[],MATCH(Proj[[#This Row],[Player]],Table3[Player],0),6)/60,IF(Proj[[#This Row],[Pos]] ="D", 'Per 60 PK'!$F$623, 'Per 60 PK'!$F$622)/60)+_xlfn.IFNA(INDEX(Table3[],MATCH(Proj[[#This Row],[Player]],Table3[Player],0),8)/60,IF(Proj[[#This Row],[Pos]] ="D", 'Per 60 PK'!$H$623, 'Per 60 PK'!$H$622)/60))*Proj[[#This Row],[TOI PK]]*Proj[[#This Row],[GP]],0)</f>
        <v>2</v>
      </c>
      <c r="U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823</v>
      </c>
      <c r="Y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661</v>
      </c>
      <c r="Z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201</v>
      </c>
      <c r="AA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203.84554291634856</v>
      </c>
      <c r="AB51" s="10">
        <f>_xlfn.RANK.EQ(Proj[[#This Row],[VOR]],Proj[VOR])</f>
        <v>104</v>
      </c>
      <c r="AC51" s="10">
        <f>INDEX(Std[],MATCH(Proj[[#This Row],[Player]],Std[Player],0),20)</f>
        <v>938.47939722664717</v>
      </c>
      <c r="AD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602.79999999999995</v>
      </c>
    </row>
    <row r="52" spans="1:30" x14ac:dyDescent="0.25">
      <c r="A52" t="s">
        <v>492</v>
      </c>
      <c r="B52">
        <v>33</v>
      </c>
      <c r="C52" t="s">
        <v>74</v>
      </c>
      <c r="D52" t="s">
        <v>20</v>
      </c>
      <c r="E52" s="9">
        <f>INDEX(Table1[],MATCH(Proj[[#This Row],[Player]],Table1[Player],0),5)</f>
        <v>14.789743130261501</v>
      </c>
      <c r="F52" s="9">
        <f>_xlfn.IFNA(INDEX(Table2[],MATCH(Proj[[#This Row],[Player]],Table2[Player],0),5),0)</f>
        <v>2.72</v>
      </c>
      <c r="G52" s="9">
        <f>_xlfn.IFNA(INDEX(Table3[],MATCH(Proj[[#This Row],[Player]],Table3[Player],0),5),0)</f>
        <v>0.44</v>
      </c>
      <c r="H52" s="10">
        <v>82</v>
      </c>
      <c r="I52">
        <v>82</v>
      </c>
      <c r="J52" s="9">
        <v>14.789743130261501</v>
      </c>
      <c r="K52" s="9">
        <v>2.72</v>
      </c>
      <c r="L52" s="9">
        <v>0.44</v>
      </c>
      <c r="M52" s="9">
        <f>Proj[[#This Row],[TOI ES]]+Proj[[#This Row],[TOI PP]]+Proj[[#This Row],[TOI PK]]</f>
        <v>17.949743130261503</v>
      </c>
      <c r="N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35</v>
      </c>
      <c r="O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35</v>
      </c>
      <c r="P52" s="10">
        <f>Proj[[#This Row],[Goals]]+Proj[[#This Row],[Assists]]</f>
        <v>70</v>
      </c>
      <c r="Q52" s="10">
        <f>ROUND(_xlfn.IFNA(INDEX(Table2[],MATCH(Proj[[#This Row],[Player]],Table2[Player],0),11)/60,IF(Proj[[#This Row],[Pos]] = "D", 'Per 60 PP'!$K$527,'Per 60 PP'!$K$526)/60)*Proj[[#This Row],[TOI PP]]*Proj[[#This Row],[GP]],0)</f>
        <v>9</v>
      </c>
      <c r="R52" s="10">
        <f>ROUND(_xlfn.IFNA(INDEX(Table2[],MATCH(Proj[[#This Row],[Player]],Table2[Player],0),7)/60,IF(Proj[[#This Row],[Pos]] = "D", 'Per 60 PP'!$G$527,'Per 60 PP'!$G$526)/60)*Proj[[#This Row],[TOI PP]]*Proj[[#This Row],[GP]],0)</f>
        <v>9</v>
      </c>
      <c r="S52" s="10">
        <f>Proj[[#This Row],[PPG]]+Proj[[#This Row],[PPA]]</f>
        <v>18</v>
      </c>
      <c r="T52">
        <f>ROUND((_xlfn.IFNA(INDEX(Table3[],MATCH(Proj[[#This Row],[Player]],Table3[Player],0),6)/60,IF(Proj[[#This Row],[Pos]] ="D", 'Per 60 PK'!$F$623, 'Per 60 PK'!$F$622)/60)+_xlfn.IFNA(INDEX(Table3[],MATCH(Proj[[#This Row],[Player]],Table3[Player],0),8)/60,IF(Proj[[#This Row],[Pos]] ="D", 'Per 60 PK'!$H$623, 'Per 60 PK'!$H$622)/60))*Proj[[#This Row],[TOI PK]]*Proj[[#This Row],[GP]],0)</f>
        <v>1</v>
      </c>
      <c r="U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387</v>
      </c>
      <c r="Y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456</v>
      </c>
      <c r="Z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225</v>
      </c>
      <c r="AA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78.547056612584697</v>
      </c>
      <c r="AB52" s="10">
        <f>_xlfn.RANK.EQ(Proj[[#This Row],[VOR]],Proj[VOR])</f>
        <v>131</v>
      </c>
      <c r="AC52" s="10">
        <f>INDEX(Std[],MATCH(Proj[[#This Row],[Player]],Std[Player],0),20)</f>
        <v>813.1809109228833</v>
      </c>
      <c r="AD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574.25</v>
      </c>
    </row>
    <row r="53" spans="1:30" x14ac:dyDescent="0.25">
      <c r="A53" t="s">
        <v>358</v>
      </c>
      <c r="B53">
        <v>29</v>
      </c>
      <c r="C53" t="s">
        <v>101</v>
      </c>
      <c r="D53" t="s">
        <v>14</v>
      </c>
      <c r="E53" s="9">
        <f>INDEX(Table1[],MATCH(Proj[[#This Row],[Player]],Table1[Player],0),5)</f>
        <v>14.818181883218999</v>
      </c>
      <c r="F53" s="9">
        <f>_xlfn.IFNA(INDEX(Table2[],MATCH(Proj[[#This Row],[Player]],Table2[Player],0),5),0)</f>
        <v>2.99</v>
      </c>
      <c r="G53" s="9">
        <f>_xlfn.IFNA(INDEX(Table3[],MATCH(Proj[[#This Row],[Player]],Table3[Player],0),5),0)</f>
        <v>1.72</v>
      </c>
      <c r="H53" s="10">
        <v>77</v>
      </c>
      <c r="I53">
        <v>77</v>
      </c>
      <c r="J53" s="9">
        <v>14.818181883218999</v>
      </c>
      <c r="K53" s="9">
        <v>2.99</v>
      </c>
      <c r="L53" s="9">
        <v>1.72</v>
      </c>
      <c r="M53" s="9">
        <f>Proj[[#This Row],[TOI ES]]+Proj[[#This Row],[TOI PP]]+Proj[[#This Row],[TOI PK]]</f>
        <v>19.528181883218998</v>
      </c>
      <c r="N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53" s="10">
        <f>Proj[[#This Row],[Goals]]+Proj[[#This Row],[Assists]]</f>
        <v>70</v>
      </c>
      <c r="Q53" s="10">
        <f>ROUND(_xlfn.IFNA(INDEX(Table2[],MATCH(Proj[[#This Row],[Player]],Table2[Player],0),11)/60,IF(Proj[[#This Row],[Pos]] = "D", 'Per 60 PP'!$K$527,'Per 60 PP'!$K$526)/60)*Proj[[#This Row],[TOI PP]]*Proj[[#This Row],[GP]],0)</f>
        <v>8</v>
      </c>
      <c r="R53" s="10">
        <f>ROUND(_xlfn.IFNA(INDEX(Table2[],MATCH(Proj[[#This Row],[Player]],Table2[Player],0),7)/60,IF(Proj[[#This Row],[Pos]] = "D", 'Per 60 PP'!$G$527,'Per 60 PP'!$G$526)/60)*Proj[[#This Row],[TOI PP]]*Proj[[#This Row],[GP]],0)</f>
        <v>13</v>
      </c>
      <c r="S53" s="10">
        <f>Proj[[#This Row],[PPG]]+Proj[[#This Row],[PPA]]</f>
        <v>21</v>
      </c>
      <c r="T53">
        <f>ROUND((_xlfn.IFNA(INDEX(Table3[],MATCH(Proj[[#This Row],[Player]],Table3[Player],0),6)/60,IF(Proj[[#This Row],[Pos]] ="D", 'Per 60 PK'!$F$623, 'Per 60 PK'!$F$622)/60)+_xlfn.IFNA(INDEX(Table3[],MATCH(Proj[[#This Row],[Player]],Table3[Player],0),8)/60,IF(Proj[[#This Row],[Pos]] ="D", 'Per 60 PK'!$H$623, 'Per 60 PK'!$H$622)/60))*Proj[[#This Row],[TOI PK]]*Proj[[#This Row],[GP]],0)</f>
        <v>3</v>
      </c>
      <c r="U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72</v>
      </c>
      <c r="Y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121</v>
      </c>
      <c r="Z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186</v>
      </c>
      <c r="AA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143.52690279310144</v>
      </c>
      <c r="AB53" s="10">
        <f>_xlfn.RANK.EQ(Proj[[#This Row],[VOR]],Proj[VOR])</f>
        <v>113</v>
      </c>
      <c r="AC53" s="10">
        <f>INDEX(Std[],MATCH(Proj[[#This Row],[Player]],Std[Player],0),20)</f>
        <v>615.0716271833503</v>
      </c>
      <c r="AD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515.29999999999995</v>
      </c>
    </row>
    <row r="54" spans="1:30" x14ac:dyDescent="0.25">
      <c r="A54" t="s">
        <v>279</v>
      </c>
      <c r="B54">
        <v>31</v>
      </c>
      <c r="C54" t="s">
        <v>3</v>
      </c>
      <c r="D54" t="s">
        <v>156</v>
      </c>
      <c r="E54" s="9">
        <f>INDEX(Table1[],MATCH(Proj[[#This Row],[Player]],Table1[Player],0),5)</f>
        <v>18.949143923122001</v>
      </c>
      <c r="F54" s="9">
        <f>_xlfn.IFNA(INDEX(Table2[],MATCH(Proj[[#This Row],[Player]],Table2[Player],0),5),0)</f>
        <v>3</v>
      </c>
      <c r="G54" s="9">
        <f>_xlfn.IFNA(INDEX(Table3[],MATCH(Proj[[#This Row],[Player]],Table3[Player],0),5),0)</f>
        <v>0.38</v>
      </c>
      <c r="H54" s="10">
        <v>77</v>
      </c>
      <c r="I54">
        <v>77</v>
      </c>
      <c r="J54" s="9">
        <v>18.949143923122001</v>
      </c>
      <c r="K54" s="9">
        <v>3</v>
      </c>
      <c r="L54" s="9">
        <v>0.38</v>
      </c>
      <c r="M54" s="9">
        <f>Proj[[#This Row],[TOI ES]]+Proj[[#This Row],[TOI PP]]+Proj[[#This Row],[TOI PK]]</f>
        <v>22.329143923122</v>
      </c>
      <c r="N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55</v>
      </c>
      <c r="P54" s="10">
        <f>Proj[[#This Row],[Goals]]+Proj[[#This Row],[Assists]]</f>
        <v>70</v>
      </c>
      <c r="Q54" s="10">
        <f>ROUND(_xlfn.IFNA(INDEX(Table2[],MATCH(Proj[[#This Row],[Player]],Table2[Player],0),11)/60,IF(Proj[[#This Row],[Pos]] = "D", 'Per 60 PP'!$K$527,'Per 60 PP'!$K$526)/60)*Proj[[#This Row],[TOI PP]]*Proj[[#This Row],[GP]],0)</f>
        <v>7</v>
      </c>
      <c r="R54" s="10">
        <f>ROUND(_xlfn.IFNA(INDEX(Table2[],MATCH(Proj[[#This Row],[Player]],Table2[Player],0),7)/60,IF(Proj[[#This Row],[Pos]] = "D", 'Per 60 PP'!$G$527,'Per 60 PP'!$G$526)/60)*Proj[[#This Row],[TOI PP]]*Proj[[#This Row],[GP]],0)</f>
        <v>28</v>
      </c>
      <c r="S54" s="10">
        <f>Proj[[#This Row],[PPG]]+Proj[[#This Row],[PPA]]</f>
        <v>35</v>
      </c>
      <c r="T54">
        <f>ROUND((_xlfn.IFNA(INDEX(Table3[],MATCH(Proj[[#This Row],[Player]],Table3[Player],0),6)/60,IF(Proj[[#This Row],[Pos]] ="D", 'Per 60 PK'!$F$623, 'Per 60 PK'!$F$622)/60)+_xlfn.IFNA(INDEX(Table3[],MATCH(Proj[[#This Row],[Player]],Table3[Player],0),8)/60,IF(Proj[[#This Row],[Pos]] ="D", 'Per 60 PK'!$H$623, 'Per 60 PK'!$H$622)/60))*Proj[[#This Row],[TOI PK]]*Proj[[#This Row],[GP]],0)</f>
        <v>0</v>
      </c>
      <c r="U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54</v>
      </c>
      <c r="V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103</v>
      </c>
      <c r="W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59</v>
      </c>
      <c r="X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241</v>
      </c>
      <c r="AA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923.94658765532563</v>
      </c>
      <c r="AB54" s="10">
        <f>_xlfn.RANK.EQ(Proj[[#This Row],[VOR]],Proj[VOR])</f>
        <v>15</v>
      </c>
      <c r="AC54" s="10">
        <f>INDEX(Std[],MATCH(Proj[[#This Row],[Player]],Std[Player],0),20)</f>
        <v>1031.3113553747901</v>
      </c>
      <c r="AD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589.54999999999995</v>
      </c>
    </row>
    <row r="55" spans="1:30" x14ac:dyDescent="0.25">
      <c r="A55" t="s">
        <v>333</v>
      </c>
      <c r="B55">
        <v>31</v>
      </c>
      <c r="C55" t="s">
        <v>74</v>
      </c>
      <c r="D55" t="s">
        <v>9</v>
      </c>
      <c r="E55" s="9">
        <f>INDEX(Table1[],MATCH(Proj[[#This Row],[Player]],Table1[Player],0),5)</f>
        <v>16.891964749024101</v>
      </c>
      <c r="F55" s="9">
        <f>_xlfn.IFNA(INDEX(Table2[],MATCH(Proj[[#This Row],[Player]],Table2[Player],0),5),0)</f>
        <v>3.07</v>
      </c>
      <c r="G55" s="9">
        <f>_xlfn.IFNA(INDEX(Table3[],MATCH(Proj[[#This Row],[Player]],Table3[Player],0),5),0)</f>
        <v>0.57999999999999996</v>
      </c>
      <c r="H55" s="10">
        <v>78</v>
      </c>
      <c r="I55">
        <v>78</v>
      </c>
      <c r="J55" s="9">
        <v>16.891964749024101</v>
      </c>
      <c r="K55" s="9">
        <v>3.07</v>
      </c>
      <c r="L55" s="9">
        <v>0.57999999999999996</v>
      </c>
      <c r="M55" s="9">
        <f>Proj[[#This Row],[TOI ES]]+Proj[[#This Row],[TOI PP]]+Proj[[#This Row],[TOI PK]]</f>
        <v>20.5419647490241</v>
      </c>
      <c r="N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41</v>
      </c>
      <c r="P55" s="10">
        <f>Proj[[#This Row],[Goals]]+Proj[[#This Row],[Assists]]</f>
        <v>70</v>
      </c>
      <c r="Q55" s="10">
        <f>ROUND(_xlfn.IFNA(INDEX(Table2[],MATCH(Proj[[#This Row],[Player]],Table2[Player],0),11)/60,IF(Proj[[#This Row],[Pos]] = "D", 'Per 60 PP'!$K$527,'Per 60 PP'!$K$526)/60)*Proj[[#This Row],[TOI PP]]*Proj[[#This Row],[GP]],0)</f>
        <v>7</v>
      </c>
      <c r="R55" s="10">
        <f>ROUND(_xlfn.IFNA(INDEX(Table2[],MATCH(Proj[[#This Row],[Player]],Table2[Player],0),7)/60,IF(Proj[[#This Row],[Pos]] = "D", 'Per 60 PP'!$G$527,'Per 60 PP'!$G$526)/60)*Proj[[#This Row],[TOI PP]]*Proj[[#This Row],[GP]],0)</f>
        <v>12</v>
      </c>
      <c r="S55" s="10">
        <f>Proj[[#This Row],[PPG]]+Proj[[#This Row],[PPA]]</f>
        <v>19</v>
      </c>
      <c r="T55">
        <f>ROUND((_xlfn.IFNA(INDEX(Table3[],MATCH(Proj[[#This Row],[Player]],Table3[Player],0),6)/60,IF(Proj[[#This Row],[Pos]] ="D", 'Per 60 PK'!$F$623, 'Per 60 PK'!$F$622)/60)+_xlfn.IFNA(INDEX(Table3[],MATCH(Proj[[#This Row],[Player]],Table3[Player],0),8)/60,IF(Proj[[#This Row],[Pos]] ="D", 'Per 60 PK'!$H$623, 'Per 60 PK'!$H$622)/60))*Proj[[#This Row],[TOI PK]]*Proj[[#This Row],[GP]],0)</f>
        <v>0</v>
      </c>
      <c r="U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54</v>
      </c>
      <c r="V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609</v>
      </c>
      <c r="Y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647</v>
      </c>
      <c r="Z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201.97233055523964</v>
      </c>
      <c r="AB55" s="10">
        <f>_xlfn.RANK.EQ(Proj[[#This Row],[VOR]],Proj[VOR])</f>
        <v>107</v>
      </c>
      <c r="AC55" s="10">
        <f>INDEX(Std[],MATCH(Proj[[#This Row],[Player]],Std[Player],0),20)</f>
        <v>936.60618486553824</v>
      </c>
      <c r="AD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578.44999999999993</v>
      </c>
    </row>
    <row r="56" spans="1:30" x14ac:dyDescent="0.25">
      <c r="A56" t="s">
        <v>281</v>
      </c>
      <c r="B56">
        <v>34</v>
      </c>
      <c r="C56" t="s">
        <v>74</v>
      </c>
      <c r="D56" t="s">
        <v>22</v>
      </c>
      <c r="E56" s="9">
        <f>INDEX(Table1[],MATCH(Proj[[#This Row],[Player]],Table1[Player],0),5)</f>
        <v>14.987177649503399</v>
      </c>
      <c r="F56" s="9">
        <f>_xlfn.IFNA(INDEX(Table2[],MATCH(Proj[[#This Row],[Player]],Table2[Player],0),5),0)</f>
        <v>2.86</v>
      </c>
      <c r="G56" s="9">
        <f>_xlfn.IFNA(INDEX(Table3[],MATCH(Proj[[#This Row],[Player]],Table3[Player],0),5),0)</f>
        <v>0.26</v>
      </c>
      <c r="H56" s="10">
        <v>82</v>
      </c>
      <c r="I56">
        <v>82</v>
      </c>
      <c r="J56" s="9">
        <v>14.987177649503399</v>
      </c>
      <c r="K56" s="9">
        <v>2.86</v>
      </c>
      <c r="L56" s="9">
        <v>0.26</v>
      </c>
      <c r="M56" s="9">
        <f>Proj[[#This Row],[TOI ES]]+Proj[[#This Row],[TOI PP]]+Proj[[#This Row],[TOI PK]]</f>
        <v>18.107177649503402</v>
      </c>
      <c r="N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56" s="10">
        <f>Proj[[#This Row],[Goals]]+Proj[[#This Row],[Assists]]</f>
        <v>70</v>
      </c>
      <c r="Q56" s="10">
        <f>ROUND(_xlfn.IFNA(INDEX(Table2[],MATCH(Proj[[#This Row],[Player]],Table2[Player],0),11)/60,IF(Proj[[#This Row],[Pos]] = "D", 'Per 60 PP'!$K$527,'Per 60 PP'!$K$526)/60)*Proj[[#This Row],[TOI PP]]*Proj[[#This Row],[GP]],0)</f>
        <v>9</v>
      </c>
      <c r="R56" s="10">
        <f>ROUND(_xlfn.IFNA(INDEX(Table2[],MATCH(Proj[[#This Row],[Player]],Table2[Player],0),7)/60,IF(Proj[[#This Row],[Pos]] = "D", 'Per 60 PP'!$G$527,'Per 60 PP'!$G$526)/60)*Proj[[#This Row],[TOI PP]]*Proj[[#This Row],[GP]],0)</f>
        <v>12</v>
      </c>
      <c r="S56" s="10">
        <f>Proj[[#This Row],[PPG]]+Proj[[#This Row],[PPA]]</f>
        <v>21</v>
      </c>
      <c r="T56">
        <f>ROUND((_xlfn.IFNA(INDEX(Table3[],MATCH(Proj[[#This Row],[Player]],Table3[Player],0),6)/60,IF(Proj[[#This Row],[Pos]] ="D", 'Per 60 PK'!$F$623, 'Per 60 PK'!$F$622)/60)+_xlfn.IFNA(INDEX(Table3[],MATCH(Proj[[#This Row],[Player]],Table3[Player],0),8)/60,IF(Proj[[#This Row],[Pos]] ="D", 'Per 60 PK'!$H$623, 'Per 60 PK'!$H$622)/60))*Proj[[#This Row],[TOI PK]]*Proj[[#This Row],[GP]],0)</f>
        <v>0</v>
      </c>
      <c r="U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57</v>
      </c>
      <c r="V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61</v>
      </c>
      <c r="X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577</v>
      </c>
      <c r="Y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611</v>
      </c>
      <c r="Z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265</v>
      </c>
      <c r="AA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374.69298635741052</v>
      </c>
      <c r="AB56" s="10">
        <f>_xlfn.RANK.EQ(Proj[[#This Row],[VOR]],Proj[VOR])</f>
        <v>69</v>
      </c>
      <c r="AC56" s="10">
        <f>INDEX(Std[],MATCH(Proj[[#This Row],[Player]],Std[Player],0),20)</f>
        <v>1109.3268406677091</v>
      </c>
      <c r="AD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619.70000000000005</v>
      </c>
    </row>
    <row r="57" spans="1:30" x14ac:dyDescent="0.25">
      <c r="A57" t="s">
        <v>294</v>
      </c>
      <c r="B57">
        <v>25</v>
      </c>
      <c r="C57" t="s">
        <v>3</v>
      </c>
      <c r="D57" t="s">
        <v>16</v>
      </c>
      <c r="E57" s="9">
        <f>INDEX(Table1[],MATCH(Proj[[#This Row],[Player]],Table1[Player],0),5)</f>
        <v>18.7425506582276</v>
      </c>
      <c r="F57" s="9">
        <f>_xlfn.IFNA(INDEX(Table2[],MATCH(Proj[[#This Row],[Player]],Table2[Player],0),5),0)</f>
        <v>3.6</v>
      </c>
      <c r="G57" s="9">
        <f>_xlfn.IFNA(INDEX(Table3[],MATCH(Proj[[#This Row],[Player]],Table3[Player],0),5),0)</f>
        <v>0.42</v>
      </c>
      <c r="H57" s="10">
        <v>81</v>
      </c>
      <c r="I57">
        <v>81</v>
      </c>
      <c r="J57" s="9">
        <v>18.7425506582276</v>
      </c>
      <c r="K57" s="9">
        <v>3.6</v>
      </c>
      <c r="L57" s="9">
        <v>0.42</v>
      </c>
      <c r="M57" s="9">
        <f>Proj[[#This Row],[TOI ES]]+Proj[[#This Row],[TOI PP]]+Proj[[#This Row],[TOI PK]]</f>
        <v>22.762550658227603</v>
      </c>
      <c r="N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56</v>
      </c>
      <c r="P57" s="10">
        <f>Proj[[#This Row],[Goals]]+Proj[[#This Row],[Assists]]</f>
        <v>70</v>
      </c>
      <c r="Q57" s="10">
        <f>ROUND(_xlfn.IFNA(INDEX(Table2[],MATCH(Proj[[#This Row],[Player]],Table2[Player],0),11)/60,IF(Proj[[#This Row],[Pos]] = "D", 'Per 60 PP'!$K$527,'Per 60 PP'!$K$526)/60)*Proj[[#This Row],[TOI PP]]*Proj[[#This Row],[GP]],0)</f>
        <v>6</v>
      </c>
      <c r="R57" s="10">
        <f>ROUND(_xlfn.IFNA(INDEX(Table2[],MATCH(Proj[[#This Row],[Player]],Table2[Player],0),7)/60,IF(Proj[[#This Row],[Pos]] = "D", 'Per 60 PP'!$G$527,'Per 60 PP'!$G$526)/60)*Proj[[#This Row],[TOI PP]]*Proj[[#This Row],[GP]],0)</f>
        <v>24</v>
      </c>
      <c r="S57" s="10">
        <f>Proj[[#This Row],[PPG]]+Proj[[#This Row],[PPA]]</f>
        <v>30</v>
      </c>
      <c r="T57">
        <f>ROUND((_xlfn.IFNA(INDEX(Table3[],MATCH(Proj[[#This Row],[Player]],Table3[Player],0),6)/60,IF(Proj[[#This Row],[Pos]] ="D", 'Per 60 PK'!$F$623, 'Per 60 PK'!$F$622)/60)+_xlfn.IFNA(INDEX(Table3[],MATCH(Proj[[#This Row],[Player]],Table3[Player],0),8)/60,IF(Proj[[#This Row],[Pos]] ="D", 'Per 60 PK'!$H$623, 'Per 60 PK'!$H$622)/60))*Proj[[#This Row],[TOI PK]]*Proj[[#This Row],[GP]],0)</f>
        <v>0</v>
      </c>
      <c r="U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110</v>
      </c>
      <c r="W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209</v>
      </c>
      <c r="AA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757.88220161008144</v>
      </c>
      <c r="AB57" s="10">
        <f>_xlfn.RANK.EQ(Proj[[#This Row],[VOR]],Proj[VOR])</f>
        <v>17</v>
      </c>
      <c r="AC57" s="10">
        <f>INDEX(Std[],MATCH(Proj[[#This Row],[Player]],Std[Player],0),20)</f>
        <v>865.24696932954589</v>
      </c>
      <c r="AD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573.9</v>
      </c>
    </row>
    <row r="58" spans="1:30" x14ac:dyDescent="0.25">
      <c r="A58" t="s">
        <v>252</v>
      </c>
      <c r="B58">
        <v>36</v>
      </c>
      <c r="C58" t="s">
        <v>102</v>
      </c>
      <c r="D58" t="s">
        <v>12</v>
      </c>
      <c r="E58" s="9">
        <f>INDEX(Table1[],MATCH(Proj[[#This Row],[Player]],Table1[Player],0),5)</f>
        <v>13.8845505450502</v>
      </c>
      <c r="F58" s="9">
        <f>_xlfn.IFNA(INDEX(Table2[],MATCH(Proj[[#This Row],[Player]],Table2[Player],0),5),0)</f>
        <v>3.17</v>
      </c>
      <c r="G58" s="9">
        <f>_xlfn.IFNA(INDEX(Table3[],MATCH(Proj[[#This Row],[Player]],Table3[Player],0),5),0)</f>
        <v>1.72</v>
      </c>
      <c r="H58" s="10">
        <v>79</v>
      </c>
      <c r="I58">
        <v>79</v>
      </c>
      <c r="J58" s="9">
        <v>13.8845505450502</v>
      </c>
      <c r="K58" s="9">
        <v>3.17</v>
      </c>
      <c r="L58" s="9">
        <v>1.72</v>
      </c>
      <c r="M58" s="9">
        <f>Proj[[#This Row],[TOI ES]]+Proj[[#This Row],[TOI PP]]+Proj[[#This Row],[TOI PK]]</f>
        <v>18.774550545050197</v>
      </c>
      <c r="N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45</v>
      </c>
      <c r="P58" s="10">
        <f>Proj[[#This Row],[Goals]]+Proj[[#This Row],[Assists]]</f>
        <v>70</v>
      </c>
      <c r="Q58" s="10">
        <f>ROUND(_xlfn.IFNA(INDEX(Table2[],MATCH(Proj[[#This Row],[Player]],Table2[Player],0),11)/60,IF(Proj[[#This Row],[Pos]] = "D", 'Per 60 PP'!$K$527,'Per 60 PP'!$K$526)/60)*Proj[[#This Row],[TOI PP]]*Proj[[#This Row],[GP]],0)</f>
        <v>7</v>
      </c>
      <c r="R58" s="10">
        <f>ROUND(_xlfn.IFNA(INDEX(Table2[],MATCH(Proj[[#This Row],[Player]],Table2[Player],0),7)/60,IF(Proj[[#This Row],[Pos]] = "D", 'Per 60 PP'!$G$527,'Per 60 PP'!$G$526)/60)*Proj[[#This Row],[TOI PP]]*Proj[[#This Row],[GP]],0)</f>
        <v>19</v>
      </c>
      <c r="S58" s="10">
        <f>Proj[[#This Row],[PPG]]+Proj[[#This Row],[PPA]]</f>
        <v>26</v>
      </c>
      <c r="T58">
        <f>ROUND((_xlfn.IFNA(INDEX(Table3[],MATCH(Proj[[#This Row],[Player]],Table3[Player],0),6)/60,IF(Proj[[#This Row],[Pos]] ="D", 'Per 60 PK'!$F$623, 'Per 60 PK'!$F$622)/60)+_xlfn.IFNA(INDEX(Table3[],MATCH(Proj[[#This Row],[Player]],Table3[Player],0),8)/60,IF(Proj[[#This Row],[Pos]] ="D", 'Per 60 PK'!$H$623, 'Per 60 PK'!$H$622)/60))*Proj[[#This Row],[TOI PK]]*Proj[[#This Row],[GP]],0)</f>
        <v>3</v>
      </c>
      <c r="U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93</v>
      </c>
      <c r="V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88</v>
      </c>
      <c r="X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v>
      </c>
      <c r="Y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v>
      </c>
      <c r="Z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204</v>
      </c>
      <c r="AA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495.42371445437533</v>
      </c>
      <c r="AB58" s="10">
        <f>_xlfn.RANK.EQ(Proj[[#This Row],[VOR]],Proj[VOR])</f>
        <v>43</v>
      </c>
      <c r="AC58" s="10">
        <f>INDEX(Std[],MATCH(Proj[[#This Row],[Player]],Std[Player],0),20)</f>
        <v>966.96843884462419</v>
      </c>
      <c r="AD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570.25</v>
      </c>
    </row>
    <row r="59" spans="1:30" x14ac:dyDescent="0.25">
      <c r="A59" t="s">
        <v>306</v>
      </c>
      <c r="B59">
        <v>34</v>
      </c>
      <c r="C59" t="s">
        <v>74</v>
      </c>
      <c r="D59" t="s">
        <v>30</v>
      </c>
      <c r="E59" s="9">
        <f>INDEX(Table1[],MATCH(Proj[[#This Row],[Player]],Table1[Player],0),5)</f>
        <v>14.652910871798801</v>
      </c>
      <c r="F59" s="9">
        <f>_xlfn.IFNA(INDEX(Table2[],MATCH(Proj[[#This Row],[Player]],Table2[Player],0),5),0)</f>
        <v>2.96</v>
      </c>
      <c r="G59" s="9">
        <f>_xlfn.IFNA(INDEX(Table3[],MATCH(Proj[[#This Row],[Player]],Table3[Player],0),5),0)</f>
        <v>0</v>
      </c>
      <c r="H59" s="10">
        <v>80</v>
      </c>
      <c r="I59">
        <v>80</v>
      </c>
      <c r="J59" s="9">
        <v>14.652910871798801</v>
      </c>
      <c r="K59" s="9">
        <v>2.96</v>
      </c>
      <c r="L59" s="9">
        <v>0</v>
      </c>
      <c r="M59" s="9">
        <f>Proj[[#This Row],[TOI ES]]+Proj[[#This Row],[TOI PP]]+Proj[[#This Row],[TOI PK]]</f>
        <v>17.6129108717988</v>
      </c>
      <c r="N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32</v>
      </c>
      <c r="O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38</v>
      </c>
      <c r="P59" s="10">
        <f>Proj[[#This Row],[Goals]]+Proj[[#This Row],[Assists]]</f>
        <v>70</v>
      </c>
      <c r="Q59" s="10">
        <f>ROUND(_xlfn.IFNA(INDEX(Table2[],MATCH(Proj[[#This Row],[Player]],Table2[Player],0),11)/60,IF(Proj[[#This Row],[Pos]] = "D", 'Per 60 PP'!$K$527,'Per 60 PP'!$K$526)/60)*Proj[[#This Row],[TOI PP]]*Proj[[#This Row],[GP]],0)</f>
        <v>13</v>
      </c>
      <c r="R59" s="10">
        <f>ROUND(_xlfn.IFNA(INDEX(Table2[],MATCH(Proj[[#This Row],[Player]],Table2[Player],0),7)/60,IF(Proj[[#This Row],[Pos]] = "D", 'Per 60 PP'!$G$527,'Per 60 PP'!$G$526)/60)*Proj[[#This Row],[TOI PP]]*Proj[[#This Row],[GP]],0)</f>
        <v>14</v>
      </c>
      <c r="S59" s="10">
        <f>Proj[[#This Row],[PPG]]+Proj[[#This Row],[PPA]]</f>
        <v>27</v>
      </c>
      <c r="T59">
        <f>ROUND((_xlfn.IFNA(INDEX(Table3[],MATCH(Proj[[#This Row],[Player]],Table3[Player],0),6)/60,IF(Proj[[#This Row],[Pos]] ="D", 'Per 60 PK'!$F$623, 'Per 60 PK'!$F$622)/60)+_xlfn.IFNA(INDEX(Table3[],MATCH(Proj[[#This Row],[Player]],Table3[Player],0),8)/60,IF(Proj[[#This Row],[Pos]] ="D", 'Per 60 PK'!$H$623, 'Per 60 PK'!$H$622)/60))*Proj[[#This Row],[TOI PK]]*Proj[[#This Row],[GP]],0)</f>
        <v>0</v>
      </c>
      <c r="U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114</v>
      </c>
      <c r="V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762</v>
      </c>
      <c r="Y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530</v>
      </c>
      <c r="Z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261</v>
      </c>
      <c r="AA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552.51562639642566</v>
      </c>
      <c r="AB59" s="10">
        <f>_xlfn.RANK.EQ(Proj[[#This Row],[VOR]],Proj[VOR])</f>
        <v>39</v>
      </c>
      <c r="AC59" s="10">
        <f>INDEX(Std[],MATCH(Proj[[#This Row],[Player]],Std[Player],0),20)</f>
        <v>1287.1494807067243</v>
      </c>
      <c r="AD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677.40000000000009</v>
      </c>
    </row>
    <row r="60" spans="1:30" x14ac:dyDescent="0.25">
      <c r="A60" t="s">
        <v>356</v>
      </c>
      <c r="B60">
        <v>28</v>
      </c>
      <c r="C60" t="s">
        <v>74</v>
      </c>
      <c r="D60" t="s">
        <v>2</v>
      </c>
      <c r="E60" s="9">
        <f>INDEX(Table1[],MATCH(Proj[[#This Row],[Player]],Table1[Player],0),5)</f>
        <v>15.286806189200099</v>
      </c>
      <c r="F60" s="9">
        <f>_xlfn.IFNA(INDEX(Table2[],MATCH(Proj[[#This Row],[Player]],Table2[Player],0),5),0)</f>
        <v>3.15</v>
      </c>
      <c r="G60" s="9">
        <f>_xlfn.IFNA(INDEX(Table3[],MATCH(Proj[[#This Row],[Player]],Table3[Player],0),5),0)</f>
        <v>1.61</v>
      </c>
      <c r="H60" s="10">
        <v>74</v>
      </c>
      <c r="I60">
        <v>74</v>
      </c>
      <c r="J60" s="9">
        <v>15.286806189200099</v>
      </c>
      <c r="K60" s="9">
        <v>3.15</v>
      </c>
      <c r="L60" s="9">
        <v>1.61</v>
      </c>
      <c r="M60" s="9">
        <f>Proj[[#This Row],[TOI ES]]+Proj[[#This Row],[TOI PP]]+Proj[[#This Row],[TOI PK]]</f>
        <v>20.046806189200097</v>
      </c>
      <c r="N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30</v>
      </c>
      <c r="O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60" s="10">
        <f>Proj[[#This Row],[Goals]]+Proj[[#This Row],[Assists]]</f>
        <v>69</v>
      </c>
      <c r="Q60" s="10">
        <f>ROUND(_xlfn.IFNA(INDEX(Table2[],MATCH(Proj[[#This Row],[Player]],Table2[Player],0),11)/60,IF(Proj[[#This Row],[Pos]] = "D", 'Per 60 PP'!$K$527,'Per 60 PP'!$K$526)/60)*Proj[[#This Row],[TOI PP]]*Proj[[#This Row],[GP]],0)</f>
        <v>11</v>
      </c>
      <c r="R60" s="10">
        <f>ROUND(_xlfn.IFNA(INDEX(Table2[],MATCH(Proj[[#This Row],[Player]],Table2[Player],0),7)/60,IF(Proj[[#This Row],[Pos]] = "D", 'Per 60 PP'!$G$527,'Per 60 PP'!$G$526)/60)*Proj[[#This Row],[TOI PP]]*Proj[[#This Row],[GP]],0)</f>
        <v>13</v>
      </c>
      <c r="S60" s="10">
        <f>Proj[[#This Row],[PPG]]+Proj[[#This Row],[PPA]]</f>
        <v>24</v>
      </c>
      <c r="T60">
        <f>ROUND((_xlfn.IFNA(INDEX(Table3[],MATCH(Proj[[#This Row],[Player]],Table3[Player],0),6)/60,IF(Proj[[#This Row],[Pos]] ="D", 'Per 60 PK'!$F$623, 'Per 60 PK'!$F$622)/60)+_xlfn.IFNA(INDEX(Table3[],MATCH(Proj[[#This Row],[Player]],Table3[Player],0),8)/60,IF(Proj[[#This Row],[Pos]] ="D", 'Per 60 PK'!$H$623, 'Per 60 PK'!$H$622)/60))*Proj[[#This Row],[TOI PK]]*Proj[[#This Row],[GP]],0)</f>
        <v>2</v>
      </c>
      <c r="U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736</v>
      </c>
      <c r="Y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609</v>
      </c>
      <c r="Z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228</v>
      </c>
      <c r="AA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343.08037112954139</v>
      </c>
      <c r="AB60" s="10">
        <f>_xlfn.RANK.EQ(Proj[[#This Row],[VOR]],Proj[VOR])</f>
        <v>71</v>
      </c>
      <c r="AC60" s="10">
        <f>INDEX(Std[],MATCH(Proj[[#This Row],[Player]],Std[Player],0),20)</f>
        <v>1077.71422543984</v>
      </c>
      <c r="AD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608.35</v>
      </c>
    </row>
    <row r="61" spans="1:30" x14ac:dyDescent="0.25">
      <c r="A61" t="s">
        <v>320</v>
      </c>
      <c r="B61">
        <v>25</v>
      </c>
      <c r="C61" t="s">
        <v>74</v>
      </c>
      <c r="D61" t="s">
        <v>6</v>
      </c>
      <c r="E61" s="9">
        <f>INDEX(Table1[],MATCH(Proj[[#This Row],[Player]],Table1[Player],0),5)</f>
        <v>16.408624577063001</v>
      </c>
      <c r="F61" s="9">
        <f>_xlfn.IFNA(INDEX(Table2[],MATCH(Proj[[#This Row],[Player]],Table2[Player],0),5),0)</f>
        <v>3.63</v>
      </c>
      <c r="G61" s="9">
        <f>_xlfn.IFNA(INDEX(Table3[],MATCH(Proj[[#This Row],[Player]],Table3[Player],0),5),0)</f>
        <v>1.1499999999999999</v>
      </c>
      <c r="H61" s="10">
        <v>82</v>
      </c>
      <c r="I61">
        <v>82</v>
      </c>
      <c r="J61" s="9">
        <v>16.408624577063001</v>
      </c>
      <c r="K61" s="9">
        <v>3.63</v>
      </c>
      <c r="L61" s="9">
        <v>1.1499999999999999</v>
      </c>
      <c r="M61" s="9">
        <f>Proj[[#This Row],[TOI ES]]+Proj[[#This Row],[TOI PP]]+Proj[[#This Row],[TOI PK]]</f>
        <v>21.188624577062999</v>
      </c>
      <c r="N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43</v>
      </c>
      <c r="P61" s="10">
        <f>Proj[[#This Row],[Goals]]+Proj[[#This Row],[Assists]]</f>
        <v>69</v>
      </c>
      <c r="Q61" s="10">
        <f>ROUND(_xlfn.IFNA(INDEX(Table2[],MATCH(Proj[[#This Row],[Player]],Table2[Player],0),11)/60,IF(Proj[[#This Row],[Pos]] = "D", 'Per 60 PP'!$K$527,'Per 60 PP'!$K$526)/60)*Proj[[#This Row],[TOI PP]]*Proj[[#This Row],[GP]],0)</f>
        <v>9</v>
      </c>
      <c r="R61" s="10">
        <f>ROUND(_xlfn.IFNA(INDEX(Table2[],MATCH(Proj[[#This Row],[Player]],Table2[Player],0),7)/60,IF(Proj[[#This Row],[Pos]] = "D", 'Per 60 PP'!$G$527,'Per 60 PP'!$G$526)/60)*Proj[[#This Row],[TOI PP]]*Proj[[#This Row],[GP]],0)</f>
        <v>17</v>
      </c>
      <c r="S61" s="10">
        <f>Proj[[#This Row],[PPG]]+Proj[[#This Row],[PPA]]</f>
        <v>26</v>
      </c>
      <c r="T61">
        <f>ROUND((_xlfn.IFNA(INDEX(Table3[],MATCH(Proj[[#This Row],[Player]],Table3[Player],0),6)/60,IF(Proj[[#This Row],[Pos]] ="D", 'Per 60 PK'!$F$623, 'Per 60 PK'!$F$622)/60)+_xlfn.IFNA(INDEX(Table3[],MATCH(Proj[[#This Row],[Player]],Table3[Player],0),8)/60,IF(Proj[[#This Row],[Pos]] ="D", 'Per 60 PK'!$H$623, 'Per 60 PK'!$H$622)/60))*Proj[[#This Row],[TOI PK]]*Proj[[#This Row],[GP]],0)</f>
        <v>1</v>
      </c>
      <c r="U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57</v>
      </c>
      <c r="W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673</v>
      </c>
      <c r="Y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645</v>
      </c>
      <c r="Z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178</v>
      </c>
      <c r="AA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266.67296900368797</v>
      </c>
      <c r="AB61" s="10">
        <f>_xlfn.RANK.EQ(Proj[[#This Row],[VOR]],Proj[VOR])</f>
        <v>85</v>
      </c>
      <c r="AC61" s="10">
        <f>INDEX(Std[],MATCH(Proj[[#This Row],[Player]],Std[Player],0),20)</f>
        <v>1001.3068233139866</v>
      </c>
      <c r="AD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591.04999999999995</v>
      </c>
    </row>
    <row r="62" spans="1:30" x14ac:dyDescent="0.25">
      <c r="A62" t="s">
        <v>372</v>
      </c>
      <c r="B62">
        <v>27</v>
      </c>
      <c r="C62" t="s">
        <v>104</v>
      </c>
      <c r="D62" t="s">
        <v>32</v>
      </c>
      <c r="E62" s="9">
        <f>INDEX(Table1[],MATCH(Proj[[#This Row],[Player]],Table1[Player],0),5)</f>
        <v>15.151475972909401</v>
      </c>
      <c r="F62" s="9">
        <f>_xlfn.IFNA(INDEX(Table2[],MATCH(Proj[[#This Row],[Player]],Table2[Player],0),5),0)</f>
        <v>2.94</v>
      </c>
      <c r="G62" s="9">
        <f>_xlfn.IFNA(INDEX(Table3[],MATCH(Proj[[#This Row],[Player]],Table3[Player],0),5),0)</f>
        <v>1.64</v>
      </c>
      <c r="H62" s="10">
        <v>80</v>
      </c>
      <c r="I62">
        <v>80</v>
      </c>
      <c r="J62" s="9">
        <v>15.151475972909401</v>
      </c>
      <c r="K62" s="9">
        <v>2.94</v>
      </c>
      <c r="L62" s="9">
        <v>1.64</v>
      </c>
      <c r="M62" s="9">
        <f>Proj[[#This Row],[TOI ES]]+Proj[[#This Row],[TOI PP]]+Proj[[#This Row],[TOI PK]]</f>
        <v>19.731475972909401</v>
      </c>
      <c r="N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62" s="10">
        <f>Proj[[#This Row],[Goals]]+Proj[[#This Row],[Assists]]</f>
        <v>69</v>
      </c>
      <c r="Q62" s="10">
        <f>ROUND(_xlfn.IFNA(INDEX(Table2[],MATCH(Proj[[#This Row],[Player]],Table2[Player],0),11)/60,IF(Proj[[#This Row],[Pos]] = "D", 'Per 60 PP'!$K$527,'Per 60 PP'!$K$526)/60)*Proj[[#This Row],[TOI PP]]*Proj[[#This Row],[GP]],0)</f>
        <v>6</v>
      </c>
      <c r="R62" s="10">
        <f>ROUND(_xlfn.IFNA(INDEX(Table2[],MATCH(Proj[[#This Row],[Player]],Table2[Player],0),7)/60,IF(Proj[[#This Row],[Pos]] = "D", 'Per 60 PP'!$G$527,'Per 60 PP'!$G$526)/60)*Proj[[#This Row],[TOI PP]]*Proj[[#This Row],[GP]],0)</f>
        <v>10</v>
      </c>
      <c r="S62" s="10">
        <f>Proj[[#This Row],[PPG]]+Proj[[#This Row],[PPA]]</f>
        <v>16</v>
      </c>
      <c r="T62">
        <f>ROUND((_xlfn.IFNA(INDEX(Table3[],MATCH(Proj[[#This Row],[Player]],Table3[Player],0),6)/60,IF(Proj[[#This Row],[Pos]] ="D", 'Per 60 PK'!$F$623, 'Per 60 PK'!$F$622)/60)+_xlfn.IFNA(INDEX(Table3[],MATCH(Proj[[#This Row],[Player]],Table3[Player],0),8)/60,IF(Proj[[#This Row],[Pos]] ="D", 'Per 60 PK'!$H$623, 'Per 60 PK'!$H$622)/60))*Proj[[#This Row],[TOI PK]]*Proj[[#This Row],[GP]],0)</f>
        <v>5</v>
      </c>
      <c r="U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82</v>
      </c>
      <c r="V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79</v>
      </c>
      <c r="X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44</v>
      </c>
      <c r="Y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v>
      </c>
      <c r="Z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245</v>
      </c>
      <c r="AA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447.52060138021415</v>
      </c>
      <c r="AB62" s="10">
        <f>_xlfn.RANK.EQ(Proj[[#This Row],[VOR]],Proj[VOR])</f>
        <v>54</v>
      </c>
      <c r="AC62" s="10">
        <f>INDEX(Std[],MATCH(Proj[[#This Row],[Player]],Std[Player],0),20)</f>
        <v>894.06532577046301</v>
      </c>
      <c r="AD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579</v>
      </c>
    </row>
    <row r="63" spans="1:30" x14ac:dyDescent="0.25">
      <c r="A63" t="s">
        <v>302</v>
      </c>
      <c r="B63">
        <v>31</v>
      </c>
      <c r="C63" t="s">
        <v>74</v>
      </c>
      <c r="D63" t="s">
        <v>10</v>
      </c>
      <c r="E63" s="9">
        <f>INDEX(Table1[],MATCH(Proj[[#This Row],[Player]],Table1[Player],0),5)</f>
        <v>15.945344604725801</v>
      </c>
      <c r="F63" s="9">
        <f>_xlfn.IFNA(INDEX(Table2[],MATCH(Proj[[#This Row],[Player]],Table2[Player],0),5),0)</f>
        <v>3.22</v>
      </c>
      <c r="G63" s="9">
        <f>_xlfn.IFNA(INDEX(Table3[],MATCH(Proj[[#This Row],[Player]],Table3[Player],0),5),0)</f>
        <v>1.4</v>
      </c>
      <c r="H63" s="10">
        <v>82</v>
      </c>
      <c r="I63">
        <v>82</v>
      </c>
      <c r="J63" s="9">
        <v>15.945344604725801</v>
      </c>
      <c r="K63" s="9">
        <v>3.22</v>
      </c>
      <c r="L63" s="9">
        <v>1.4</v>
      </c>
      <c r="M63" s="9">
        <f>Proj[[#This Row],[TOI ES]]+Proj[[#This Row],[TOI PP]]+Proj[[#This Row],[TOI PK]]</f>
        <v>20.565344604725798</v>
      </c>
      <c r="N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44</v>
      </c>
      <c r="P63" s="10">
        <f>Proj[[#This Row],[Goals]]+Proj[[#This Row],[Assists]]</f>
        <v>69</v>
      </c>
      <c r="Q63" s="10">
        <f>ROUND(_xlfn.IFNA(INDEX(Table2[],MATCH(Proj[[#This Row],[Player]],Table2[Player],0),11)/60,IF(Proj[[#This Row],[Pos]] = "D", 'Per 60 PP'!$K$527,'Per 60 PP'!$K$526)/60)*Proj[[#This Row],[TOI PP]]*Proj[[#This Row],[GP]],0)</f>
        <v>10</v>
      </c>
      <c r="R63" s="10">
        <f>ROUND(_xlfn.IFNA(INDEX(Table2[],MATCH(Proj[[#This Row],[Player]],Table2[Player],0),7)/60,IF(Proj[[#This Row],[Pos]] = "D", 'Per 60 PP'!$G$527,'Per 60 PP'!$G$526)/60)*Proj[[#This Row],[TOI PP]]*Proj[[#This Row],[GP]],0)</f>
        <v>11</v>
      </c>
      <c r="S63" s="10">
        <f>Proj[[#This Row],[PPG]]+Proj[[#This Row],[PPA]]</f>
        <v>21</v>
      </c>
      <c r="T63">
        <f>ROUND((_xlfn.IFNA(INDEX(Table3[],MATCH(Proj[[#This Row],[Player]],Table3[Player],0),6)/60,IF(Proj[[#This Row],[Pos]] ="D", 'Per 60 PK'!$F$623, 'Per 60 PK'!$F$622)/60)+_xlfn.IFNA(INDEX(Table3[],MATCH(Proj[[#This Row],[Player]],Table3[Player],0),8)/60,IF(Proj[[#This Row],[Pos]] ="D", 'Per 60 PK'!$H$623, 'Per 60 PK'!$H$622)/60))*Proj[[#This Row],[TOI PK]]*Proj[[#This Row],[GP]],0)</f>
        <v>1</v>
      </c>
      <c r="U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155</v>
      </c>
      <c r="V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70</v>
      </c>
      <c r="X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806</v>
      </c>
      <c r="Y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590</v>
      </c>
      <c r="Z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209</v>
      </c>
      <c r="AA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711.41916696909993</v>
      </c>
      <c r="AB63" s="10">
        <f>_xlfn.RANK.EQ(Proj[[#This Row],[VOR]],Proj[VOR])</f>
        <v>24</v>
      </c>
      <c r="AC63" s="10">
        <f>INDEX(Std[],MATCH(Proj[[#This Row],[Player]],Std[Player],0),20)</f>
        <v>1446.0530212793985</v>
      </c>
      <c r="AD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693.6</v>
      </c>
    </row>
    <row r="64" spans="1:30" x14ac:dyDescent="0.25">
      <c r="A64" t="s">
        <v>254</v>
      </c>
      <c r="B64">
        <v>36</v>
      </c>
      <c r="C64" t="s">
        <v>103</v>
      </c>
      <c r="D64" t="s">
        <v>2</v>
      </c>
      <c r="E64" s="9">
        <f>INDEX(Table1[],MATCH(Proj[[#This Row],[Player]],Table1[Player],0),5)</f>
        <v>15.463222395022999</v>
      </c>
      <c r="F64" s="9">
        <f>_xlfn.IFNA(INDEX(Table2[],MATCH(Proj[[#This Row],[Player]],Table2[Player],0),5),0)</f>
        <v>2.98</v>
      </c>
      <c r="G64" s="9">
        <f>_xlfn.IFNA(INDEX(Table3[],MATCH(Proj[[#This Row],[Player]],Table3[Player],0),5),0)</f>
        <v>0</v>
      </c>
      <c r="H64" s="10">
        <v>76</v>
      </c>
      <c r="I64">
        <v>76</v>
      </c>
      <c r="J64" s="9">
        <v>15.463222395022999</v>
      </c>
      <c r="K64" s="9">
        <v>2.98</v>
      </c>
      <c r="L64" s="9">
        <v>0</v>
      </c>
      <c r="M64" s="9">
        <f>Proj[[#This Row],[TOI ES]]+Proj[[#This Row],[TOI PP]]+Proj[[#This Row],[TOI PK]]</f>
        <v>18.443222395023</v>
      </c>
      <c r="N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43</v>
      </c>
      <c r="P64" s="10">
        <f>Proj[[#This Row],[Goals]]+Proj[[#This Row],[Assists]]</f>
        <v>67</v>
      </c>
      <c r="Q64" s="10">
        <f>ROUND(_xlfn.IFNA(INDEX(Table2[],MATCH(Proj[[#This Row],[Player]],Table2[Player],0),11)/60,IF(Proj[[#This Row],[Pos]] = "D", 'Per 60 PP'!$K$527,'Per 60 PP'!$K$526)/60)*Proj[[#This Row],[TOI PP]]*Proj[[#This Row],[GP]],0)</f>
        <v>5</v>
      </c>
      <c r="R64" s="10">
        <f>ROUND(_xlfn.IFNA(INDEX(Table2[],MATCH(Proj[[#This Row],[Player]],Table2[Player],0),7)/60,IF(Proj[[#This Row],[Pos]] = "D", 'Per 60 PP'!$G$527,'Per 60 PP'!$G$526)/60)*Proj[[#This Row],[TOI PP]]*Proj[[#This Row],[GP]],0)</f>
        <v>20</v>
      </c>
      <c r="S64" s="10">
        <f>Proj[[#This Row],[PPG]]+Proj[[#This Row],[PPA]]</f>
        <v>25</v>
      </c>
      <c r="T64">
        <f>ROUND((_xlfn.IFNA(INDEX(Table3[],MATCH(Proj[[#This Row],[Player]],Table3[Player],0),6)/60,IF(Proj[[#This Row],[Pos]] ="D", 'Per 60 PK'!$F$623, 'Per 60 PK'!$F$622)/60)+_xlfn.IFNA(INDEX(Table3[],MATCH(Proj[[#This Row],[Player]],Table3[Player],0),8)/60,IF(Proj[[#This Row],[Pos]] ="D", 'Per 60 PK'!$H$623, 'Per 60 PK'!$H$622)/60))*Proj[[#This Row],[TOI PK]]*Proj[[#This Row],[GP]],0)</f>
        <v>0</v>
      </c>
      <c r="U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v>
      </c>
      <c r="V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v>
      </c>
      <c r="Z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220</v>
      </c>
      <c r="AA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-7.1119641136685345</v>
      </c>
      <c r="AB64" s="10">
        <f>_xlfn.RANK.EQ(Proj[[#This Row],[VOR]],Proj[VOR])</f>
        <v>166</v>
      </c>
      <c r="AC64" s="10">
        <f>INDEX(Std[],MATCH(Proj[[#This Row],[Player]],Std[Player],0),20)</f>
        <v>439.43276027658032</v>
      </c>
      <c r="AD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481.85</v>
      </c>
    </row>
    <row r="65" spans="1:30" x14ac:dyDescent="0.25">
      <c r="A65" t="s">
        <v>321</v>
      </c>
      <c r="B65">
        <v>28</v>
      </c>
      <c r="C65" t="s">
        <v>74</v>
      </c>
      <c r="D65" t="s">
        <v>17</v>
      </c>
      <c r="E65" s="9">
        <f>INDEX(Table1[],MATCH(Proj[[#This Row],[Player]],Table1[Player],0),5)</f>
        <v>13.508853456068399</v>
      </c>
      <c r="F65" s="9">
        <f>_xlfn.IFNA(INDEX(Table2[],MATCH(Proj[[#This Row],[Player]],Table2[Player],0),5),0)</f>
        <v>2.6</v>
      </c>
      <c r="G65" s="9">
        <f>_xlfn.IFNA(INDEX(Table3[],MATCH(Proj[[#This Row],[Player]],Table3[Player],0),5),0)</f>
        <v>1.1100000000000001</v>
      </c>
      <c r="H65" s="10">
        <v>77</v>
      </c>
      <c r="I65">
        <v>77</v>
      </c>
      <c r="J65" s="9">
        <v>13.508853456068399</v>
      </c>
      <c r="K65" s="9">
        <v>2.6</v>
      </c>
      <c r="L65" s="9">
        <v>1.1100000000000001</v>
      </c>
      <c r="M65" s="9">
        <f>Proj[[#This Row],[TOI ES]]+Proj[[#This Row],[TOI PP]]+Proj[[#This Row],[TOI PK]]</f>
        <v>17.218853456068398</v>
      </c>
      <c r="N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30</v>
      </c>
      <c r="O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37</v>
      </c>
      <c r="P65" s="10">
        <f>Proj[[#This Row],[Goals]]+Proj[[#This Row],[Assists]]</f>
        <v>67</v>
      </c>
      <c r="Q65" s="10">
        <f>ROUND(_xlfn.IFNA(INDEX(Table2[],MATCH(Proj[[#This Row],[Player]],Table2[Player],0),11)/60,IF(Proj[[#This Row],[Pos]] = "D", 'Per 60 PP'!$K$527,'Per 60 PP'!$K$526)/60)*Proj[[#This Row],[TOI PP]]*Proj[[#This Row],[GP]],0)</f>
        <v>8</v>
      </c>
      <c r="R65" s="10">
        <f>ROUND(_xlfn.IFNA(INDEX(Table2[],MATCH(Proj[[#This Row],[Player]],Table2[Player],0),7)/60,IF(Proj[[#This Row],[Pos]] = "D", 'Per 60 PP'!$G$527,'Per 60 PP'!$G$526)/60)*Proj[[#This Row],[TOI PP]]*Proj[[#This Row],[GP]],0)</f>
        <v>13</v>
      </c>
      <c r="S65" s="10">
        <f>Proj[[#This Row],[PPG]]+Proj[[#This Row],[PPA]]</f>
        <v>21</v>
      </c>
      <c r="T65">
        <f>ROUND((_xlfn.IFNA(INDEX(Table3[],MATCH(Proj[[#This Row],[Player]],Table3[Player],0),6)/60,IF(Proj[[#This Row],[Pos]] ="D", 'Per 60 PK'!$F$623, 'Per 60 PK'!$F$622)/60)+_xlfn.IFNA(INDEX(Table3[],MATCH(Proj[[#This Row],[Player]],Table3[Player],0),8)/60,IF(Proj[[#This Row],[Pos]] ="D", 'Per 60 PK'!$H$623, 'Per 60 PK'!$H$622)/60))*Proj[[#This Row],[TOI PK]]*Proj[[#This Row],[GP]],0)</f>
        <v>4</v>
      </c>
      <c r="U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39</v>
      </c>
      <c r="V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298</v>
      </c>
      <c r="Y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246</v>
      </c>
      <c r="Z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178</v>
      </c>
      <c r="AA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-101.41216230624877</v>
      </c>
      <c r="AB65" s="10">
        <f>_xlfn.RANK.EQ(Proj[[#This Row],[VOR]],Proj[VOR])</f>
        <v>200</v>
      </c>
      <c r="AC65" s="10">
        <f>INDEX(Std[],MATCH(Proj[[#This Row],[Player]],Std[Player],0),20)</f>
        <v>633.22169200404983</v>
      </c>
      <c r="AD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523.25</v>
      </c>
    </row>
    <row r="66" spans="1:30" x14ac:dyDescent="0.25">
      <c r="A66" t="s">
        <v>272</v>
      </c>
      <c r="B66">
        <v>33</v>
      </c>
      <c r="C66" t="s">
        <v>102</v>
      </c>
      <c r="D66" t="s">
        <v>10</v>
      </c>
      <c r="E66" s="9">
        <f>INDEX(Table1[],MATCH(Proj[[#This Row],[Player]],Table1[Player],0),5)</f>
        <v>13.621724781785399</v>
      </c>
      <c r="F66" s="9">
        <f>_xlfn.IFNA(INDEX(Table2[],MATCH(Proj[[#This Row],[Player]],Table2[Player],0),5),0)</f>
        <v>3.32</v>
      </c>
      <c r="G66" s="9">
        <f>_xlfn.IFNA(INDEX(Table3[],MATCH(Proj[[#This Row],[Player]],Table3[Player],0),5),0)</f>
        <v>1.6</v>
      </c>
      <c r="H66" s="10">
        <v>81</v>
      </c>
      <c r="I66">
        <v>81</v>
      </c>
      <c r="J66" s="9">
        <v>13.621724781785399</v>
      </c>
      <c r="K66" s="9">
        <v>3.32</v>
      </c>
      <c r="L66" s="9">
        <v>1.6</v>
      </c>
      <c r="M66" s="9">
        <f>Proj[[#This Row],[TOI ES]]+Proj[[#This Row],[TOI PP]]+Proj[[#This Row],[TOI PK]]</f>
        <v>18.541724781785401</v>
      </c>
      <c r="N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39</v>
      </c>
      <c r="O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66" s="10">
        <f>Proj[[#This Row],[Goals]]+Proj[[#This Row],[Assists]]</f>
        <v>67</v>
      </c>
      <c r="Q66" s="10">
        <f>ROUND(_xlfn.IFNA(INDEX(Table2[],MATCH(Proj[[#This Row],[Player]],Table2[Player],0),11)/60,IF(Proj[[#This Row],[Pos]] = "D", 'Per 60 PP'!$K$527,'Per 60 PP'!$K$526)/60)*Proj[[#This Row],[TOI PP]]*Proj[[#This Row],[GP]],0)</f>
        <v>16</v>
      </c>
      <c r="R66" s="10">
        <f>ROUND(_xlfn.IFNA(INDEX(Table2[],MATCH(Proj[[#This Row],[Player]],Table2[Player],0),7)/60,IF(Proj[[#This Row],[Pos]] = "D", 'Per 60 PP'!$G$527,'Per 60 PP'!$G$526)/60)*Proj[[#This Row],[TOI PP]]*Proj[[#This Row],[GP]],0)</f>
        <v>10</v>
      </c>
      <c r="S66" s="10">
        <f>Proj[[#This Row],[PPG]]+Proj[[#This Row],[PPA]]</f>
        <v>26</v>
      </c>
      <c r="T66">
        <f>ROUND((_xlfn.IFNA(INDEX(Table3[],MATCH(Proj[[#This Row],[Player]],Table3[Player],0),6)/60,IF(Proj[[#This Row],[Pos]] ="D", 'Per 60 PK'!$F$623, 'Per 60 PK'!$F$622)/60)+_xlfn.IFNA(INDEX(Table3[],MATCH(Proj[[#This Row],[Player]],Table3[Player],0),8)/60,IF(Proj[[#This Row],[Pos]] ="D", 'Per 60 PK'!$H$623, 'Per 60 PK'!$H$622)/60))*Proj[[#This Row],[TOI PK]]*Proj[[#This Row],[GP]],0)</f>
        <v>4</v>
      </c>
      <c r="U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95</v>
      </c>
      <c r="V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43</v>
      </c>
      <c r="Y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v>
      </c>
      <c r="Z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234</v>
      </c>
      <c r="AA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272.64188665784815</v>
      </c>
      <c r="AB66" s="10">
        <f>_xlfn.RANK.EQ(Proj[[#This Row],[VOR]],Proj[VOR])</f>
        <v>83</v>
      </c>
      <c r="AC66" s="10">
        <f>INDEX(Std[],MATCH(Proj[[#This Row],[Player]],Std[Player],0),20)</f>
        <v>744.18661104809701</v>
      </c>
      <c r="AD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566.59999999999991</v>
      </c>
    </row>
    <row r="67" spans="1:30" x14ac:dyDescent="0.25">
      <c r="A67" t="s">
        <v>413</v>
      </c>
      <c r="B67">
        <v>27</v>
      </c>
      <c r="C67" t="s">
        <v>105</v>
      </c>
      <c r="D67" t="s">
        <v>4</v>
      </c>
      <c r="E67" s="9">
        <f>INDEX(Table1[],MATCH(Proj[[#This Row],[Player]],Table1[Player],0),5)</f>
        <v>14.434640786713</v>
      </c>
      <c r="F67" s="9">
        <f>_xlfn.IFNA(INDEX(Table2[],MATCH(Proj[[#This Row],[Player]],Table2[Player],0),5),0)</f>
        <v>2.79</v>
      </c>
      <c r="G67" s="9">
        <f>_xlfn.IFNA(INDEX(Table3[],MATCH(Proj[[#This Row],[Player]],Table3[Player],0),5),0)</f>
        <v>0.85</v>
      </c>
      <c r="H67" s="10">
        <v>77</v>
      </c>
      <c r="I67">
        <v>77</v>
      </c>
      <c r="J67" s="9">
        <v>14.434640786713</v>
      </c>
      <c r="K67" s="9">
        <v>2.79</v>
      </c>
      <c r="L67" s="9">
        <v>0.85</v>
      </c>
      <c r="M67" s="9">
        <f>Proj[[#This Row],[TOI ES]]+Proj[[#This Row],[TOI PP]]+Proj[[#This Row],[TOI PK]]</f>
        <v>18.074640786713001</v>
      </c>
      <c r="N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33</v>
      </c>
      <c r="O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67" s="10">
        <f>Proj[[#This Row],[Goals]]+Proj[[#This Row],[Assists]]</f>
        <v>66</v>
      </c>
      <c r="Q67" s="10">
        <f>ROUND(_xlfn.IFNA(INDEX(Table2[],MATCH(Proj[[#This Row],[Player]],Table2[Player],0),11)/60,IF(Proj[[#This Row],[Pos]] = "D", 'Per 60 PP'!$K$527,'Per 60 PP'!$K$526)/60)*Proj[[#This Row],[TOI PP]]*Proj[[#This Row],[GP]],0)</f>
        <v>10</v>
      </c>
      <c r="R67" s="10">
        <f>ROUND(_xlfn.IFNA(INDEX(Table2[],MATCH(Proj[[#This Row],[Player]],Table2[Player],0),7)/60,IF(Proj[[#This Row],[Pos]] = "D", 'Per 60 PP'!$G$527,'Per 60 PP'!$G$526)/60)*Proj[[#This Row],[TOI PP]]*Proj[[#This Row],[GP]],0)</f>
        <v>9</v>
      </c>
      <c r="S67" s="10">
        <f>Proj[[#This Row],[PPG]]+Proj[[#This Row],[PPA]]</f>
        <v>19</v>
      </c>
      <c r="T67">
        <f>ROUND((_xlfn.IFNA(INDEX(Table3[],MATCH(Proj[[#This Row],[Player]],Table3[Player],0),6)/60,IF(Proj[[#This Row],[Pos]] ="D", 'Per 60 PK'!$F$623, 'Per 60 PK'!$F$622)/60)+_xlfn.IFNA(INDEX(Table3[],MATCH(Proj[[#This Row],[Player]],Table3[Player],0),8)/60,IF(Proj[[#This Row],[Pos]] ="D", 'Per 60 PK'!$H$623, 'Per 60 PK'!$H$622)/60))*Proj[[#This Row],[TOI PK]]*Proj[[#This Row],[GP]],0)</f>
        <v>1</v>
      </c>
      <c r="U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382</v>
      </c>
      <c r="Y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512</v>
      </c>
      <c r="Z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264</v>
      </c>
      <c r="AA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434.02181269450017</v>
      </c>
      <c r="AB67" s="10">
        <f>_xlfn.RANK.EQ(Proj[[#This Row],[VOR]],Proj[VOR])</f>
        <v>57</v>
      </c>
      <c r="AC67" s="10">
        <f>INDEX(Std[],MATCH(Proj[[#This Row],[Player]],Std[Player],0),20)</f>
        <v>880.56653708474903</v>
      </c>
      <c r="AD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588.35000000000014</v>
      </c>
    </row>
    <row r="68" spans="1:30" x14ac:dyDescent="0.25">
      <c r="A68" t="s">
        <v>308</v>
      </c>
      <c r="B68">
        <v>34</v>
      </c>
      <c r="C68" t="s">
        <v>103</v>
      </c>
      <c r="D68" t="s">
        <v>7</v>
      </c>
      <c r="E68" s="9">
        <f>INDEX(Table1[],MATCH(Proj[[#This Row],[Player]],Table1[Player],0),5)</f>
        <v>14.404879753495599</v>
      </c>
      <c r="F68" s="9">
        <f>_xlfn.IFNA(INDEX(Table2[],MATCH(Proj[[#This Row],[Player]],Table2[Player],0),5),0)</f>
        <v>3.13</v>
      </c>
      <c r="G68" s="9">
        <f>_xlfn.IFNA(INDEX(Table3[],MATCH(Proj[[#This Row],[Player]],Table3[Player],0),5),0)</f>
        <v>0</v>
      </c>
      <c r="H68" s="10">
        <v>81</v>
      </c>
      <c r="I68">
        <v>81</v>
      </c>
      <c r="J68" s="9">
        <v>14.404879753495599</v>
      </c>
      <c r="K68" s="9">
        <v>3.13</v>
      </c>
      <c r="L68" s="9">
        <v>0</v>
      </c>
      <c r="M68" s="9">
        <f>Proj[[#This Row],[TOI ES]]+Proj[[#This Row],[TOI PP]]+Proj[[#This Row],[TOI PK]]</f>
        <v>17.534879753495598</v>
      </c>
      <c r="N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34</v>
      </c>
      <c r="O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68" s="10">
        <f>Proj[[#This Row],[Goals]]+Proj[[#This Row],[Assists]]</f>
        <v>66</v>
      </c>
      <c r="Q68" s="10">
        <f>ROUND(_xlfn.IFNA(INDEX(Table2[],MATCH(Proj[[#This Row],[Player]],Table2[Player],0),11)/60,IF(Proj[[#This Row],[Pos]] = "D", 'Per 60 PP'!$K$527,'Per 60 PP'!$K$526)/60)*Proj[[#This Row],[TOI PP]]*Proj[[#This Row],[GP]],0)</f>
        <v>9</v>
      </c>
      <c r="R68" s="10">
        <f>ROUND(_xlfn.IFNA(INDEX(Table2[],MATCH(Proj[[#This Row],[Player]],Table2[Player],0),7)/60,IF(Proj[[#This Row],[Pos]] = "D", 'Per 60 PP'!$G$527,'Per 60 PP'!$G$526)/60)*Proj[[#This Row],[TOI PP]]*Proj[[#This Row],[GP]],0)</f>
        <v>12</v>
      </c>
      <c r="S68" s="10">
        <f>Proj[[#This Row],[PPG]]+Proj[[#This Row],[PPA]]</f>
        <v>21</v>
      </c>
      <c r="T68">
        <f>ROUND((_xlfn.IFNA(INDEX(Table3[],MATCH(Proj[[#This Row],[Player]],Table3[Player],0),6)/60,IF(Proj[[#This Row],[Pos]] ="D", 'Per 60 PK'!$F$623, 'Per 60 PK'!$F$622)/60)+_xlfn.IFNA(INDEX(Table3[],MATCH(Proj[[#This Row],[Player]],Table3[Player],0),8)/60,IF(Proj[[#This Row],[Pos]] ="D", 'Per 60 PK'!$H$623, 'Per 60 PK'!$H$622)/60))*Proj[[#This Row],[TOI PK]]*Proj[[#This Row],[GP]],0)</f>
        <v>0</v>
      </c>
      <c r="U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83</v>
      </c>
      <c r="V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v>
      </c>
      <c r="Y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v>
      </c>
      <c r="Z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257</v>
      </c>
      <c r="AA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239.03352737809706</v>
      </c>
      <c r="AB68" s="10">
        <f>_xlfn.RANK.EQ(Proj[[#This Row],[VOR]],Proj[VOR])</f>
        <v>91</v>
      </c>
      <c r="AC68" s="10">
        <f>INDEX(Std[],MATCH(Proj[[#This Row],[Player]],Std[Player],0),20)</f>
        <v>685.57825176834592</v>
      </c>
      <c r="AD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552.4</v>
      </c>
    </row>
    <row r="69" spans="1:30" x14ac:dyDescent="0.25">
      <c r="A69" t="s">
        <v>519</v>
      </c>
      <c r="B69">
        <v>27</v>
      </c>
      <c r="C69" t="s">
        <v>74</v>
      </c>
      <c r="D69" t="s">
        <v>29</v>
      </c>
      <c r="E69" s="9">
        <f>INDEX(Table1[],MATCH(Proj[[#This Row],[Player]],Table1[Player],0),5)</f>
        <v>14.718991475811499</v>
      </c>
      <c r="F69" s="9">
        <f>_xlfn.IFNA(INDEX(Table2[],MATCH(Proj[[#This Row],[Player]],Table2[Player],0),5),0)</f>
        <v>2.92</v>
      </c>
      <c r="G69" s="9">
        <f>_xlfn.IFNA(INDEX(Table3[],MATCH(Proj[[#This Row],[Player]],Table3[Player],0),5),0)</f>
        <v>0</v>
      </c>
      <c r="H69" s="10">
        <v>81</v>
      </c>
      <c r="I69">
        <v>81</v>
      </c>
      <c r="J69" s="9">
        <v>14.718991475811499</v>
      </c>
      <c r="K69" s="9">
        <v>2.92</v>
      </c>
      <c r="L69" s="9">
        <v>0</v>
      </c>
      <c r="M69" s="9">
        <f>Proj[[#This Row],[TOI ES]]+Proj[[#This Row],[TOI PP]]+Proj[[#This Row],[TOI PK]]</f>
        <v>17.638991475811501</v>
      </c>
      <c r="N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69" s="10">
        <f>Proj[[#This Row],[Goals]]+Proj[[#This Row],[Assists]]</f>
        <v>65</v>
      </c>
      <c r="Q69" s="10">
        <f>ROUND(_xlfn.IFNA(INDEX(Table2[],MATCH(Proj[[#This Row],[Player]],Table2[Player],0),11)/60,IF(Proj[[#This Row],[Pos]] = "D", 'Per 60 PP'!$K$527,'Per 60 PP'!$K$526)/60)*Proj[[#This Row],[TOI PP]]*Proj[[#This Row],[GP]],0)</f>
        <v>6</v>
      </c>
      <c r="R69" s="10">
        <f>ROUND(_xlfn.IFNA(INDEX(Table2[],MATCH(Proj[[#This Row],[Player]],Table2[Player],0),7)/60,IF(Proj[[#This Row],[Pos]] = "D", 'Per 60 PP'!$G$527,'Per 60 PP'!$G$526)/60)*Proj[[#This Row],[TOI PP]]*Proj[[#This Row],[GP]],0)</f>
        <v>16</v>
      </c>
      <c r="S69" s="10">
        <f>Proj[[#This Row],[PPG]]+Proj[[#This Row],[PPA]]</f>
        <v>22</v>
      </c>
      <c r="T69">
        <f>ROUND((_xlfn.IFNA(INDEX(Table3[],MATCH(Proj[[#This Row],[Player]],Table3[Player],0),6)/60,IF(Proj[[#This Row],[Pos]] ="D", 'Per 60 PK'!$F$623, 'Per 60 PK'!$F$622)/60)+_xlfn.IFNA(INDEX(Table3[],MATCH(Proj[[#This Row],[Player]],Table3[Player],0),8)/60,IF(Proj[[#This Row],[Pos]] ="D", 'Per 60 PK'!$H$623, 'Per 60 PK'!$H$622)/60))*Proj[[#This Row],[TOI PK]]*Proj[[#This Row],[GP]],0)</f>
        <v>0</v>
      </c>
      <c r="U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v>
      </c>
      <c r="V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628</v>
      </c>
      <c r="Y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578</v>
      </c>
      <c r="Z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-15.998619687775204</v>
      </c>
      <c r="AB69" s="10">
        <f>_xlfn.RANK.EQ(Proj[[#This Row],[VOR]],Proj[VOR])</f>
        <v>173</v>
      </c>
      <c r="AC69" s="10">
        <f>INDEX(Std[],MATCH(Proj[[#This Row],[Player]],Std[Player],0),20)</f>
        <v>718.6352346225234</v>
      </c>
      <c r="AD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522.85</v>
      </c>
    </row>
    <row r="70" spans="1:30" x14ac:dyDescent="0.25">
      <c r="A70" t="s">
        <v>283</v>
      </c>
      <c r="B70">
        <v>28</v>
      </c>
      <c r="C70" t="s">
        <v>102</v>
      </c>
      <c r="D70" t="s">
        <v>9</v>
      </c>
      <c r="E70" s="9">
        <f>INDEX(Table1[],MATCH(Proj[[#This Row],[Player]],Table1[Player],0),5)</f>
        <v>14</v>
      </c>
      <c r="F70" s="9">
        <f>_xlfn.IFNA(INDEX(Table2[],MATCH(Proj[[#This Row],[Player]],Table2[Player],0),5),0)</f>
        <v>2.75</v>
      </c>
      <c r="G70" s="9">
        <f>_xlfn.IFNA(INDEX(Table3[],MATCH(Proj[[#This Row],[Player]],Table3[Player],0),5),0)</f>
        <v>0</v>
      </c>
      <c r="H70" s="10">
        <v>79</v>
      </c>
      <c r="I70">
        <v>79</v>
      </c>
      <c r="J70" s="9">
        <v>14</v>
      </c>
      <c r="K70" s="9">
        <v>2.75</v>
      </c>
      <c r="L70" s="9">
        <v>0</v>
      </c>
      <c r="M70" s="9">
        <f>Proj[[#This Row],[TOI ES]]+Proj[[#This Row],[TOI PP]]+Proj[[#This Row],[TOI PK]]</f>
        <v>16.75</v>
      </c>
      <c r="N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70" s="10">
        <f>Proj[[#This Row],[Goals]]+Proj[[#This Row],[Assists]]</f>
        <v>65</v>
      </c>
      <c r="Q70" s="10">
        <f>ROUND(_xlfn.IFNA(INDEX(Table2[],MATCH(Proj[[#This Row],[Player]],Table2[Player],0),11)/60,IF(Proj[[#This Row],[Pos]] = "D", 'Per 60 PP'!$K$527,'Per 60 PP'!$K$526)/60)*Proj[[#This Row],[TOI PP]]*Proj[[#This Row],[GP]],0)</f>
        <v>4</v>
      </c>
      <c r="R70" s="10">
        <f>ROUND(_xlfn.IFNA(INDEX(Table2[],MATCH(Proj[[#This Row],[Player]],Table2[Player],0),7)/60,IF(Proj[[#This Row],[Pos]] = "D", 'Per 60 PP'!$G$527,'Per 60 PP'!$G$526)/60)*Proj[[#This Row],[TOI PP]]*Proj[[#This Row],[GP]],0)</f>
        <v>11</v>
      </c>
      <c r="S70" s="10">
        <f>Proj[[#This Row],[PPG]]+Proj[[#This Row],[PPA]]</f>
        <v>15</v>
      </c>
      <c r="T70">
        <f>ROUND((_xlfn.IFNA(INDEX(Table3[],MATCH(Proj[[#This Row],[Player]],Table3[Player],0),6)/60,IF(Proj[[#This Row],[Pos]] ="D", 'Per 60 PK'!$F$623, 'Per 60 PK'!$F$622)/60)+_xlfn.IFNA(INDEX(Table3[],MATCH(Proj[[#This Row],[Player]],Table3[Player],0),8)/60,IF(Proj[[#This Row],[Pos]] ="D", 'Per 60 PK'!$H$623, 'Per 60 PK'!$H$622)/60))*Proj[[#This Row],[TOI PK]]*Proj[[#This Row],[GP]],0)</f>
        <v>0</v>
      </c>
      <c r="U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245</v>
      </c>
      <c r="AA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-20.973794375477098</v>
      </c>
      <c r="AB70" s="10">
        <f>_xlfn.RANK.EQ(Proj[[#This Row],[VOR]],Proj[VOR])</f>
        <v>175</v>
      </c>
      <c r="AC70" s="10">
        <f>INDEX(Std[],MATCH(Proj[[#This Row],[Player]],Std[Player],0),20)</f>
        <v>450.57093001477176</v>
      </c>
      <c r="AD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498.74999999999994</v>
      </c>
    </row>
    <row r="71" spans="1:30" x14ac:dyDescent="0.25">
      <c r="A71" t="s">
        <v>248</v>
      </c>
      <c r="B71">
        <v>31</v>
      </c>
      <c r="C71" t="s">
        <v>101</v>
      </c>
      <c r="D71" t="s">
        <v>22</v>
      </c>
      <c r="E71" s="9">
        <f>INDEX(Table1[],MATCH(Proj[[#This Row],[Player]],Table1[Player],0),5)</f>
        <v>14.433137415986501</v>
      </c>
      <c r="F71" s="9">
        <f>_xlfn.IFNA(INDEX(Table2[],MATCH(Proj[[#This Row],[Player]],Table2[Player],0),5),0)</f>
        <v>2.6</v>
      </c>
      <c r="G71" s="9">
        <f>_xlfn.IFNA(INDEX(Table3[],MATCH(Proj[[#This Row],[Player]],Table3[Player],0),5),0)</f>
        <v>0.53</v>
      </c>
      <c r="H71" s="10">
        <v>81</v>
      </c>
      <c r="I71">
        <v>81</v>
      </c>
      <c r="J71" s="9">
        <v>14.433137415986501</v>
      </c>
      <c r="K71" s="9">
        <v>2.6</v>
      </c>
      <c r="L71" s="9">
        <v>0.53</v>
      </c>
      <c r="M71" s="9">
        <f>Proj[[#This Row],[TOI ES]]+Proj[[#This Row],[TOI PP]]+Proj[[#This Row],[TOI PK]]</f>
        <v>17.563137415986503</v>
      </c>
      <c r="N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49</v>
      </c>
      <c r="P71" s="10">
        <f>Proj[[#This Row],[Goals]]+Proj[[#This Row],[Assists]]</f>
        <v>65</v>
      </c>
      <c r="Q71" s="10">
        <f>ROUND(_xlfn.IFNA(INDEX(Table2[],MATCH(Proj[[#This Row],[Player]],Table2[Player],0),11)/60,IF(Proj[[#This Row],[Pos]] = "D", 'Per 60 PP'!$K$527,'Per 60 PP'!$K$526)/60)*Proj[[#This Row],[TOI PP]]*Proj[[#This Row],[GP]],0)</f>
        <v>4</v>
      </c>
      <c r="R71" s="10">
        <f>ROUND(_xlfn.IFNA(INDEX(Table2[],MATCH(Proj[[#This Row],[Player]],Table2[Player],0),7)/60,IF(Proj[[#This Row],[Pos]] = "D", 'Per 60 PP'!$G$527,'Per 60 PP'!$G$526)/60)*Proj[[#This Row],[TOI PP]]*Proj[[#This Row],[GP]],0)</f>
        <v>17</v>
      </c>
      <c r="S71" s="10">
        <f>Proj[[#This Row],[PPG]]+Proj[[#This Row],[PPA]]</f>
        <v>21</v>
      </c>
      <c r="T71">
        <f>ROUND((_xlfn.IFNA(INDEX(Table3[],MATCH(Proj[[#This Row],[Player]],Table3[Player],0),6)/60,IF(Proj[[#This Row],[Pos]] ="D", 'Per 60 PK'!$F$623, 'Per 60 PK'!$F$622)/60)+_xlfn.IFNA(INDEX(Table3[],MATCH(Proj[[#This Row],[Player]],Table3[Player],0),8)/60,IF(Proj[[#This Row],[Pos]] ="D", 'Per 60 PK'!$H$623, 'Per 60 PK'!$H$622)/60))*Proj[[#This Row],[TOI PK]]*Proj[[#This Row],[GP]],0)</f>
        <v>0</v>
      </c>
      <c r="U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v>
      </c>
      <c r="Z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148</v>
      </c>
      <c r="AA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19.807381543803729</v>
      </c>
      <c r="AB71" s="10">
        <f>_xlfn.RANK.EQ(Proj[[#This Row],[VOR]],Proj[VOR])</f>
        <v>151</v>
      </c>
      <c r="AC71" s="10">
        <f>INDEX(Std[],MATCH(Proj[[#This Row],[Player]],Std[Player],0),20)</f>
        <v>491.35210593405259</v>
      </c>
      <c r="AD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470.65000000000003</v>
      </c>
    </row>
    <row r="72" spans="1:30" x14ac:dyDescent="0.25">
      <c r="A72" t="s">
        <v>301</v>
      </c>
      <c r="B72">
        <v>26</v>
      </c>
      <c r="C72" t="s">
        <v>104</v>
      </c>
      <c r="D72" t="s">
        <v>15</v>
      </c>
      <c r="E72" s="9">
        <f>INDEX(Table1[],MATCH(Proj[[#This Row],[Player]],Table1[Player],0),5)</f>
        <v>14.9968367182042</v>
      </c>
      <c r="F72" s="9">
        <f>_xlfn.IFNA(INDEX(Table2[],MATCH(Proj[[#This Row],[Player]],Table2[Player],0),5),0)</f>
        <v>3.19</v>
      </c>
      <c r="G72" s="9">
        <f>_xlfn.IFNA(INDEX(Table3[],MATCH(Proj[[#This Row],[Player]],Table3[Player],0),5),0)</f>
        <v>0</v>
      </c>
      <c r="H72" s="10">
        <v>82</v>
      </c>
      <c r="I72">
        <v>82</v>
      </c>
      <c r="J72" s="9">
        <v>14.9968367182042</v>
      </c>
      <c r="K72" s="9">
        <v>3.19</v>
      </c>
      <c r="L72" s="9">
        <v>0</v>
      </c>
      <c r="M72" s="9">
        <f>Proj[[#This Row],[TOI ES]]+Proj[[#This Row],[TOI PP]]+Proj[[#This Row],[TOI PK]]</f>
        <v>18.186836718204201</v>
      </c>
      <c r="N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72" s="10">
        <f>Proj[[#This Row],[Goals]]+Proj[[#This Row],[Assists]]</f>
        <v>65</v>
      </c>
      <c r="Q72" s="10">
        <f>ROUND(_xlfn.IFNA(INDEX(Table2[],MATCH(Proj[[#This Row],[Player]],Table2[Player],0),11)/60,IF(Proj[[#This Row],[Pos]] = "D", 'Per 60 PP'!$K$527,'Per 60 PP'!$K$526)/60)*Proj[[#This Row],[TOI PP]]*Proj[[#This Row],[GP]],0)</f>
        <v>8</v>
      </c>
      <c r="R72" s="10">
        <f>ROUND(_xlfn.IFNA(INDEX(Table2[],MATCH(Proj[[#This Row],[Player]],Table2[Player],0),7)/60,IF(Proj[[#This Row],[Pos]] = "D", 'Per 60 PP'!$G$527,'Per 60 PP'!$G$526)/60)*Proj[[#This Row],[TOI PP]]*Proj[[#This Row],[GP]],0)</f>
        <v>16</v>
      </c>
      <c r="S72" s="10">
        <f>Proj[[#This Row],[PPG]]+Proj[[#This Row],[PPA]]</f>
        <v>24</v>
      </c>
      <c r="T72">
        <f>ROUND((_xlfn.IFNA(INDEX(Table3[],MATCH(Proj[[#This Row],[Player]],Table3[Player],0),6)/60,IF(Proj[[#This Row],[Pos]] ="D", 'Per 60 PK'!$F$623, 'Per 60 PK'!$F$622)/60)+_xlfn.IFNA(INDEX(Table3[],MATCH(Proj[[#This Row],[Player]],Table3[Player],0),8)/60,IF(Proj[[#This Row],[Pos]] ="D", 'Per 60 PK'!$H$623, 'Per 60 PK'!$H$622)/60))*Proj[[#This Row],[TOI PK]]*Proj[[#This Row],[GP]],0)</f>
        <v>0</v>
      </c>
      <c r="U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99</v>
      </c>
      <c r="V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v>
      </c>
      <c r="Y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54</v>
      </c>
      <c r="Z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204</v>
      </c>
      <c r="AA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264.45752651211382</v>
      </c>
      <c r="AB72" s="10">
        <f>_xlfn.RANK.EQ(Proj[[#This Row],[VOR]],Proj[VOR])</f>
        <v>86</v>
      </c>
      <c r="AC72" s="10">
        <f>INDEX(Std[],MATCH(Proj[[#This Row],[Player]],Std[Player],0),20)</f>
        <v>711.00225090236268</v>
      </c>
      <c r="AD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536.09999999999991</v>
      </c>
    </row>
    <row r="73" spans="1:30" x14ac:dyDescent="0.25">
      <c r="A73" t="s">
        <v>335</v>
      </c>
      <c r="B73">
        <v>28</v>
      </c>
      <c r="C73" t="s">
        <v>105</v>
      </c>
      <c r="D73" t="s">
        <v>155</v>
      </c>
      <c r="E73" s="9">
        <f>INDEX(Table1[],MATCH(Proj[[#This Row],[Player]],Table1[Player],0),5)</f>
        <v>14.091224034209301</v>
      </c>
      <c r="F73" s="9">
        <f>_xlfn.IFNA(INDEX(Table2[],MATCH(Proj[[#This Row],[Player]],Table2[Player],0),5),0)</f>
        <v>2.99</v>
      </c>
      <c r="G73" s="9">
        <f>_xlfn.IFNA(INDEX(Table3[],MATCH(Proj[[#This Row],[Player]],Table3[Player],0),5),0)</f>
        <v>1.64</v>
      </c>
      <c r="H73" s="10">
        <v>81</v>
      </c>
      <c r="I73">
        <v>81</v>
      </c>
      <c r="J73" s="9">
        <v>14.091224034209301</v>
      </c>
      <c r="K73" s="9">
        <v>2.99</v>
      </c>
      <c r="L73" s="9">
        <v>1.64</v>
      </c>
      <c r="M73" s="9">
        <f>Proj[[#This Row],[TOI ES]]+Proj[[#This Row],[TOI PP]]+Proj[[#This Row],[TOI PK]]</f>
        <v>18.7212240342093</v>
      </c>
      <c r="N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31</v>
      </c>
      <c r="O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73" s="10">
        <f>Proj[[#This Row],[Goals]]+Proj[[#This Row],[Assists]]</f>
        <v>65</v>
      </c>
      <c r="Q73" s="10">
        <f>ROUND(_xlfn.IFNA(INDEX(Table2[],MATCH(Proj[[#This Row],[Player]],Table2[Player],0),11)/60,IF(Proj[[#This Row],[Pos]] = "D", 'Per 60 PP'!$K$527,'Per 60 PP'!$K$526)/60)*Proj[[#This Row],[TOI PP]]*Proj[[#This Row],[GP]],0)</f>
        <v>7</v>
      </c>
      <c r="R73" s="10">
        <f>ROUND(_xlfn.IFNA(INDEX(Table2[],MATCH(Proj[[#This Row],[Player]],Table2[Player],0),7)/60,IF(Proj[[#This Row],[Pos]] = "D", 'Per 60 PP'!$G$527,'Per 60 PP'!$G$526)/60)*Proj[[#This Row],[TOI PP]]*Proj[[#This Row],[GP]],0)</f>
        <v>15</v>
      </c>
      <c r="S73" s="10">
        <f>Proj[[#This Row],[PPG]]+Proj[[#This Row],[PPA]]</f>
        <v>22</v>
      </c>
      <c r="T73">
        <f>ROUND((_xlfn.IFNA(INDEX(Table3[],MATCH(Proj[[#This Row],[Player]],Table3[Player],0),6)/60,IF(Proj[[#This Row],[Pos]] ="D", 'Per 60 PK'!$F$623, 'Per 60 PK'!$F$622)/60)+_xlfn.IFNA(INDEX(Table3[],MATCH(Proj[[#This Row],[Player]],Table3[Player],0),8)/60,IF(Proj[[#This Row],[Pos]] ="D", 'Per 60 PK'!$H$623, 'Per 60 PK'!$H$622)/60))*Proj[[#This Row],[TOI PK]]*Proj[[#This Row],[GP]],0)</f>
        <v>3</v>
      </c>
      <c r="U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106</v>
      </c>
      <c r="V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60</v>
      </c>
      <c r="X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v>
      </c>
      <c r="Z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247</v>
      </c>
      <c r="AA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398.8299915894267</v>
      </c>
      <c r="AB73" s="10">
        <f>_xlfn.RANK.EQ(Proj[[#This Row],[VOR]],Proj[VOR])</f>
        <v>66</v>
      </c>
      <c r="AC73" s="10">
        <f>INDEX(Std[],MATCH(Proj[[#This Row],[Player]],Std[Player],0),20)</f>
        <v>845.37471597967556</v>
      </c>
      <c r="AD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571</v>
      </c>
    </row>
    <row r="74" spans="1:30" x14ac:dyDescent="0.25">
      <c r="A74" t="s">
        <v>410</v>
      </c>
      <c r="B74">
        <v>28</v>
      </c>
      <c r="C74" t="s">
        <v>105</v>
      </c>
      <c r="D74" t="s">
        <v>1240</v>
      </c>
      <c r="E74" s="9">
        <f>INDEX(Table1[],MATCH(Proj[[#This Row],[Player]],Table1[Player],0),5)</f>
        <v>15.499464988093299</v>
      </c>
      <c r="F74" s="9">
        <f>_xlfn.IFNA(INDEX(Table2[],MATCH(Proj[[#This Row],[Player]],Table2[Player],0),5),0)</f>
        <v>3.1</v>
      </c>
      <c r="G74" s="9">
        <f>_xlfn.IFNA(INDEX(Table3[],MATCH(Proj[[#This Row],[Player]],Table3[Player],0),5),0)</f>
        <v>0.51</v>
      </c>
      <c r="H74" s="10">
        <v>79</v>
      </c>
      <c r="I74">
        <v>79</v>
      </c>
      <c r="J74" s="9">
        <v>15.499464988093299</v>
      </c>
      <c r="K74" s="9">
        <v>3.1</v>
      </c>
      <c r="L74" s="9">
        <v>0.51</v>
      </c>
      <c r="M74" s="9">
        <f>Proj[[#This Row],[TOI ES]]+Proj[[#This Row],[TOI PP]]+Proj[[#This Row],[TOI PK]]</f>
        <v>19.109464988093301</v>
      </c>
      <c r="N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41</v>
      </c>
      <c r="P74" s="10">
        <f>Proj[[#This Row],[Goals]]+Proj[[#This Row],[Assists]]</f>
        <v>64</v>
      </c>
      <c r="Q74" s="10">
        <f>ROUND(_xlfn.IFNA(INDEX(Table2[],MATCH(Proj[[#This Row],[Player]],Table2[Player],0),11)/60,IF(Proj[[#This Row],[Pos]] = "D", 'Per 60 PP'!$K$527,'Per 60 PP'!$K$526)/60)*Proj[[#This Row],[TOI PP]]*Proj[[#This Row],[GP]],0)</f>
        <v>8</v>
      </c>
      <c r="R74" s="10">
        <f>ROUND(_xlfn.IFNA(INDEX(Table2[],MATCH(Proj[[#This Row],[Player]],Table2[Player],0),7)/60,IF(Proj[[#This Row],[Pos]] = "D", 'Per 60 PP'!$G$527,'Per 60 PP'!$G$526)/60)*Proj[[#This Row],[TOI PP]]*Proj[[#This Row],[GP]],0)</f>
        <v>9</v>
      </c>
      <c r="S74" s="10">
        <f>Proj[[#This Row],[PPG]]+Proj[[#This Row],[PPA]]</f>
        <v>17</v>
      </c>
      <c r="T74">
        <f>ROUND((_xlfn.IFNA(INDEX(Table3[],MATCH(Proj[[#This Row],[Player]],Table3[Player],0),6)/60,IF(Proj[[#This Row],[Pos]] ="D", 'Per 60 PK'!$F$623, 'Per 60 PK'!$F$622)/60)+_xlfn.IFNA(INDEX(Table3[],MATCH(Proj[[#This Row],[Player]],Table3[Player],0),8)/60,IF(Proj[[#This Row],[Pos]] ="D", 'Per 60 PK'!$H$623, 'Per 60 PK'!$H$622)/60))*Proj[[#This Row],[TOI PK]]*Proj[[#This Row],[GP]],0)</f>
        <v>1</v>
      </c>
      <c r="U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v>
      </c>
      <c r="V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149</v>
      </c>
      <c r="Y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211</v>
      </c>
      <c r="Z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155</v>
      </c>
      <c r="AA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-118.28714792311985</v>
      </c>
      <c r="AB74" s="10">
        <f>_xlfn.RANK.EQ(Proj[[#This Row],[VOR]],Proj[VOR])</f>
        <v>208</v>
      </c>
      <c r="AC74" s="10">
        <f>INDEX(Std[],MATCH(Proj[[#This Row],[Player]],Std[Player],0),20)</f>
        <v>328.25757646712901</v>
      </c>
      <c r="AD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452.35</v>
      </c>
    </row>
    <row r="75" spans="1:30" x14ac:dyDescent="0.25">
      <c r="A75" t="s">
        <v>318</v>
      </c>
      <c r="B75">
        <v>37</v>
      </c>
      <c r="C75" t="s">
        <v>74</v>
      </c>
      <c r="D75" t="s">
        <v>155</v>
      </c>
      <c r="E75" s="9">
        <f>INDEX(Table1[],MATCH(Proj[[#This Row],[Player]],Table1[Player],0),5)</f>
        <v>14.6080566630558</v>
      </c>
      <c r="F75" s="9">
        <f>_xlfn.IFNA(INDEX(Table2[],MATCH(Proj[[#This Row],[Player]],Table2[Player],0),5),0)</f>
        <v>2.87</v>
      </c>
      <c r="G75" s="9">
        <f>_xlfn.IFNA(INDEX(Table3[],MATCH(Proj[[#This Row],[Player]],Table3[Player],0),5),0)</f>
        <v>1.84</v>
      </c>
      <c r="H75" s="10">
        <v>81</v>
      </c>
      <c r="I75">
        <v>81</v>
      </c>
      <c r="J75" s="9">
        <v>14.6080566630558</v>
      </c>
      <c r="K75" s="9">
        <v>2.87</v>
      </c>
      <c r="L75" s="9">
        <v>1.84</v>
      </c>
      <c r="M75" s="9">
        <f>Proj[[#This Row],[TOI ES]]+Proj[[#This Row],[TOI PP]]+Proj[[#This Row],[TOI PK]]</f>
        <v>19.318056663055799</v>
      </c>
      <c r="N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43</v>
      </c>
      <c r="P75" s="10">
        <f>Proj[[#This Row],[Goals]]+Proj[[#This Row],[Assists]]</f>
        <v>64</v>
      </c>
      <c r="Q75" s="10">
        <f>ROUND(_xlfn.IFNA(INDEX(Table2[],MATCH(Proj[[#This Row],[Player]],Table2[Player],0),11)/60,IF(Proj[[#This Row],[Pos]] = "D", 'Per 60 PP'!$K$527,'Per 60 PP'!$K$526)/60)*Proj[[#This Row],[TOI PP]]*Proj[[#This Row],[GP]],0)</f>
        <v>7</v>
      </c>
      <c r="R75" s="10">
        <f>ROUND(_xlfn.IFNA(INDEX(Table2[],MATCH(Proj[[#This Row],[Player]],Table2[Player],0),7)/60,IF(Proj[[#This Row],[Pos]] = "D", 'Per 60 PP'!$G$527,'Per 60 PP'!$G$526)/60)*Proj[[#This Row],[TOI PP]]*Proj[[#This Row],[GP]],0)</f>
        <v>14</v>
      </c>
      <c r="S75" s="10">
        <f>Proj[[#This Row],[PPG]]+Proj[[#This Row],[PPA]]</f>
        <v>21</v>
      </c>
      <c r="T75">
        <f>ROUND((_xlfn.IFNA(INDEX(Table3[],MATCH(Proj[[#This Row],[Player]],Table3[Player],0),6)/60,IF(Proj[[#This Row],[Pos]] ="D", 'Per 60 PK'!$F$623, 'Per 60 PK'!$F$622)/60)+_xlfn.IFNA(INDEX(Table3[],MATCH(Proj[[#This Row],[Player]],Table3[Player],0),8)/60,IF(Proj[[#This Row],[Pos]] ="D", 'Per 60 PK'!$H$623, 'Per 60 PK'!$H$622)/60))*Proj[[#This Row],[TOI PK]]*Proj[[#This Row],[GP]],0)</f>
        <v>2</v>
      </c>
      <c r="U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39</v>
      </c>
      <c r="V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772</v>
      </c>
      <c r="Y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633</v>
      </c>
      <c r="Z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55.306362418821436</v>
      </c>
      <c r="AB75" s="10">
        <f>_xlfn.RANK.EQ(Proj[[#This Row],[VOR]],Proj[VOR])</f>
        <v>137</v>
      </c>
      <c r="AC75" s="10">
        <f>INDEX(Std[],MATCH(Proj[[#This Row],[Player]],Std[Player],0),20)</f>
        <v>789.94021672912004</v>
      </c>
      <c r="AD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534.65</v>
      </c>
    </row>
    <row r="76" spans="1:30" x14ac:dyDescent="0.25">
      <c r="A76" t="s">
        <v>571</v>
      </c>
      <c r="B76">
        <v>26</v>
      </c>
      <c r="C76" t="s">
        <v>104</v>
      </c>
      <c r="D76" t="s">
        <v>153</v>
      </c>
      <c r="E76" s="9">
        <f>INDEX(Table1[],MATCH(Proj[[#This Row],[Player]],Table1[Player],0),5)</f>
        <v>15.5180699019902</v>
      </c>
      <c r="F76" s="9">
        <f>_xlfn.IFNA(INDEX(Table2[],MATCH(Proj[[#This Row],[Player]],Table2[Player],0),5),0)</f>
        <v>1.49</v>
      </c>
      <c r="G76" s="9">
        <f>_xlfn.IFNA(INDEX(Table3[],MATCH(Proj[[#This Row],[Player]],Table3[Player],0),5),0)</f>
        <v>2.0299999999999998</v>
      </c>
      <c r="H76" s="10">
        <v>81</v>
      </c>
      <c r="I76">
        <v>81</v>
      </c>
      <c r="J76" s="9">
        <v>15.5180699019902</v>
      </c>
      <c r="K76" s="9">
        <v>1.49</v>
      </c>
      <c r="L76" s="9">
        <v>2.0299999999999998</v>
      </c>
      <c r="M76" s="9">
        <f>Proj[[#This Row],[TOI ES]]+Proj[[#This Row],[TOI PP]]+Proj[[#This Row],[TOI PK]]</f>
        <v>19.038069901990202</v>
      </c>
      <c r="N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76" s="10">
        <f>Proj[[#This Row],[Goals]]+Proj[[#This Row],[Assists]]</f>
        <v>64</v>
      </c>
      <c r="Q76" s="10">
        <f>ROUND(_xlfn.IFNA(INDEX(Table2[],MATCH(Proj[[#This Row],[Player]],Table2[Player],0),11)/60,IF(Proj[[#This Row],[Pos]] = "D", 'Per 60 PP'!$K$527,'Per 60 PP'!$K$526)/60)*Proj[[#This Row],[TOI PP]]*Proj[[#This Row],[GP]],0)</f>
        <v>3</v>
      </c>
      <c r="R76" s="10">
        <f>ROUND(_xlfn.IFNA(INDEX(Table2[],MATCH(Proj[[#This Row],[Player]],Table2[Player],0),7)/60,IF(Proj[[#This Row],[Pos]] = "D", 'Per 60 PP'!$G$527,'Per 60 PP'!$G$526)/60)*Proj[[#This Row],[TOI PP]]*Proj[[#This Row],[GP]],0)</f>
        <v>5</v>
      </c>
      <c r="S76" s="10">
        <f>Proj[[#This Row],[PPG]]+Proj[[#This Row],[PPA]]</f>
        <v>8</v>
      </c>
      <c r="T76">
        <f>ROUND((_xlfn.IFNA(INDEX(Table3[],MATCH(Proj[[#This Row],[Player]],Table3[Player],0),6)/60,IF(Proj[[#This Row],[Pos]] ="D", 'Per 60 PK'!$F$623, 'Per 60 PK'!$F$622)/60)+_xlfn.IFNA(INDEX(Table3[],MATCH(Proj[[#This Row],[Player]],Table3[Player],0),8)/60,IF(Proj[[#This Row],[Pos]] ="D", 'Per 60 PK'!$H$623, 'Per 60 PK'!$H$622)/60))*Proj[[#This Row],[TOI PK]]*Proj[[#This Row],[GP]],0)</f>
        <v>4</v>
      </c>
      <c r="U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52</v>
      </c>
      <c r="W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v>
      </c>
      <c r="Y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v>
      </c>
      <c r="Z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169</v>
      </c>
      <c r="AA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28.892363239657982</v>
      </c>
      <c r="AB76" s="10">
        <f>_xlfn.RANK.EQ(Proj[[#This Row],[VOR]],Proj[VOR])</f>
        <v>145</v>
      </c>
      <c r="AC76" s="10">
        <f>INDEX(Std[],MATCH(Proj[[#This Row],[Player]],Std[Player],0),20)</f>
        <v>475.43708762990684</v>
      </c>
      <c r="AD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487.5</v>
      </c>
    </row>
    <row r="77" spans="1:30" x14ac:dyDescent="0.25">
      <c r="A77" t="s">
        <v>978</v>
      </c>
      <c r="B77">
        <v>27</v>
      </c>
      <c r="C77" t="s">
        <v>104</v>
      </c>
      <c r="D77" t="s">
        <v>2</v>
      </c>
      <c r="E77" s="9">
        <f>INDEX(Table1[],MATCH(Proj[[#This Row],[Player]],Table1[Player],0),5)</f>
        <v>14.9862471080324</v>
      </c>
      <c r="F77" s="9">
        <f>_xlfn.IFNA(INDEX(Table2[],MATCH(Proj[[#This Row],[Player]],Table2[Player],0),5),0)</f>
        <v>3.08</v>
      </c>
      <c r="G77" s="9">
        <f>_xlfn.IFNA(INDEX(Table3[],MATCH(Proj[[#This Row],[Player]],Table3[Player],0),5),0)</f>
        <v>0</v>
      </c>
      <c r="H77" s="10">
        <v>82</v>
      </c>
      <c r="I77">
        <v>82</v>
      </c>
      <c r="J77" s="9">
        <v>14.9862471080324</v>
      </c>
      <c r="K77" s="9">
        <v>3.08</v>
      </c>
      <c r="L77" s="9">
        <v>0</v>
      </c>
      <c r="M77" s="9">
        <f>Proj[[#This Row],[TOI ES]]+Proj[[#This Row],[TOI PP]]+Proj[[#This Row],[TOI PK]]</f>
        <v>18.0662471080324</v>
      </c>
      <c r="N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77" s="10">
        <f>Proj[[#This Row],[Goals]]+Proj[[#This Row],[Assists]]</f>
        <v>64</v>
      </c>
      <c r="Q77" s="10">
        <f>ROUND(_xlfn.IFNA(INDEX(Table2[],MATCH(Proj[[#This Row],[Player]],Table2[Player],0),11)/60,IF(Proj[[#This Row],[Pos]] = "D", 'Per 60 PP'!$K$527,'Per 60 PP'!$K$526)/60)*Proj[[#This Row],[TOI PP]]*Proj[[#This Row],[GP]],0)</f>
        <v>11</v>
      </c>
      <c r="R77" s="10">
        <f>ROUND(_xlfn.IFNA(INDEX(Table2[],MATCH(Proj[[#This Row],[Player]],Table2[Player],0),7)/60,IF(Proj[[#This Row],[Pos]] = "D", 'Per 60 PP'!$G$527,'Per 60 PP'!$G$526)/60)*Proj[[#This Row],[TOI PP]]*Proj[[#This Row],[GP]],0)</f>
        <v>12</v>
      </c>
      <c r="S77" s="10">
        <f>Proj[[#This Row],[PPG]]+Proj[[#This Row],[PPA]]</f>
        <v>23</v>
      </c>
      <c r="T77">
        <f>ROUND((_xlfn.IFNA(INDEX(Table3[],MATCH(Proj[[#This Row],[Player]],Table3[Player],0),6)/60,IF(Proj[[#This Row],[Pos]] ="D", 'Per 60 PK'!$F$623, 'Per 60 PK'!$F$622)/60)+_xlfn.IFNA(INDEX(Table3[],MATCH(Proj[[#This Row],[Player]],Table3[Player],0),8)/60,IF(Proj[[#This Row],[Pos]] ="D", 'Per 60 PK'!$H$623, 'Per 60 PK'!$H$622)/60))*Proj[[#This Row],[TOI PK]]*Proj[[#This Row],[GP]],0)</f>
        <v>0</v>
      </c>
      <c r="U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237</v>
      </c>
      <c r="AA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207.03660664109606</v>
      </c>
      <c r="AB77" s="10">
        <f>_xlfn.RANK.EQ(Proj[[#This Row],[VOR]],Proj[VOR])</f>
        <v>102</v>
      </c>
      <c r="AC77" s="10">
        <f>INDEX(Std[],MATCH(Proj[[#This Row],[Player]],Std[Player],0),20)</f>
        <v>653.58133103134492</v>
      </c>
      <c r="AD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529.1</v>
      </c>
    </row>
    <row r="78" spans="1:30" x14ac:dyDescent="0.25">
      <c r="A78" t="s">
        <v>1213</v>
      </c>
      <c r="B78">
        <v>20</v>
      </c>
      <c r="C78" t="s">
        <v>103</v>
      </c>
      <c r="D78" t="s">
        <v>32</v>
      </c>
      <c r="E78" s="9">
        <f>INDEX(Table1[],MATCH(Proj[[#This Row],[Player]],Table1[Player],0),5)</f>
        <v>13.75</v>
      </c>
      <c r="F78" s="9">
        <f>_xlfn.IFNA(INDEX(Table2[],MATCH(Proj[[#This Row],[Player]],Table2[Player],0),5),0)</f>
        <v>2.75</v>
      </c>
      <c r="G78" s="9">
        <f>_xlfn.IFNA(INDEX(Table3[],MATCH(Proj[[#This Row],[Player]],Table3[Player],0),5),0)</f>
        <v>0</v>
      </c>
      <c r="H78" s="10">
        <v>76</v>
      </c>
      <c r="I78">
        <v>76</v>
      </c>
      <c r="J78" s="9">
        <v>13.75</v>
      </c>
      <c r="K78" s="9">
        <v>2.75</v>
      </c>
      <c r="L78" s="9">
        <v>0</v>
      </c>
      <c r="M78" s="9">
        <f>Proj[[#This Row],[TOI ES]]+Proj[[#This Row],[TOI PP]]+Proj[[#This Row],[TOI PK]]</f>
        <v>16.5</v>
      </c>
      <c r="N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27</v>
      </c>
      <c r="O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78" s="10">
        <f>Proj[[#This Row],[Goals]]+Proj[[#This Row],[Assists]]</f>
        <v>63</v>
      </c>
      <c r="Q78" s="10">
        <f>ROUND(_xlfn.IFNA(INDEX(Table2[],MATCH(Proj[[#This Row],[Player]],Table2[Player],0),11)/60,IF(Proj[[#This Row],[Pos]] = "D", 'Per 60 PP'!$K$527,'Per 60 PP'!$K$526)/60)*Proj[[#This Row],[TOI PP]]*Proj[[#This Row],[GP]],0)</f>
        <v>5</v>
      </c>
      <c r="R78" s="10">
        <f>ROUND(_xlfn.IFNA(INDEX(Table2[],MATCH(Proj[[#This Row],[Player]],Table2[Player],0),7)/60,IF(Proj[[#This Row],[Pos]] = "D", 'Per 60 PP'!$G$527,'Per 60 PP'!$G$526)/60)*Proj[[#This Row],[TOI PP]]*Proj[[#This Row],[GP]],0)</f>
        <v>12</v>
      </c>
      <c r="S78" s="10">
        <f>Proj[[#This Row],[PPG]]+Proj[[#This Row],[PPA]]</f>
        <v>17</v>
      </c>
      <c r="T78">
        <f>ROUND((_xlfn.IFNA(INDEX(Table3[],MATCH(Proj[[#This Row],[Player]],Table3[Player],0),6)/60,IF(Proj[[#This Row],[Pos]] ="D", 'Per 60 PK'!$F$623, 'Per 60 PK'!$F$622)/60)+_xlfn.IFNA(INDEX(Table3[],MATCH(Proj[[#This Row],[Player]],Table3[Player],0),8)/60,IF(Proj[[#This Row],[Pos]] ="D", 'Per 60 PK'!$H$623, 'Per 60 PK'!$H$622)/60))*Proj[[#This Row],[TOI PK]]*Proj[[#This Row],[GP]],0)</f>
        <v>0</v>
      </c>
      <c r="U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37</v>
      </c>
      <c r="X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54</v>
      </c>
      <c r="Y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65</v>
      </c>
      <c r="Z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182</v>
      </c>
      <c r="AA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-1.5636361225414817</v>
      </c>
      <c r="AB78" s="10">
        <f>_xlfn.RANK.EQ(Proj[[#This Row],[VOR]],Proj[VOR])</f>
        <v>163</v>
      </c>
      <c r="AC78" s="10">
        <f>INDEX(Std[],MATCH(Proj[[#This Row],[Player]],Std[Player],0),20)</f>
        <v>444.98108826770738</v>
      </c>
      <c r="AD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477.7</v>
      </c>
    </row>
    <row r="79" spans="1:30" x14ac:dyDescent="0.25">
      <c r="A79" t="s">
        <v>350</v>
      </c>
      <c r="B79">
        <v>25</v>
      </c>
      <c r="C79" t="s">
        <v>3</v>
      </c>
      <c r="D79" t="s">
        <v>17</v>
      </c>
      <c r="E79" s="9">
        <f>INDEX(Table1[],MATCH(Proj[[#This Row],[Player]],Table1[Player],0),5)</f>
        <v>20.459467948825498</v>
      </c>
      <c r="F79" s="9">
        <f>_xlfn.IFNA(INDEX(Table2[],MATCH(Proj[[#This Row],[Player]],Table2[Player],0),5),0)</f>
        <v>3.2</v>
      </c>
      <c r="G79" s="9">
        <f>_xlfn.IFNA(INDEX(Table3[],MATCH(Proj[[#This Row],[Player]],Table3[Player],0),5),0)</f>
        <v>0.96</v>
      </c>
      <c r="H79" s="10">
        <v>79</v>
      </c>
      <c r="I79">
        <v>79</v>
      </c>
      <c r="J79" s="9">
        <v>20.459467948825498</v>
      </c>
      <c r="K79" s="9">
        <v>3.2</v>
      </c>
      <c r="L79" s="9">
        <v>0.96</v>
      </c>
      <c r="M79" s="9">
        <f>Proj[[#This Row],[TOI ES]]+Proj[[#This Row],[TOI PP]]+Proj[[#This Row],[TOI PK]]</f>
        <v>24.619467948825498</v>
      </c>
      <c r="N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53</v>
      </c>
      <c r="P79" s="10">
        <f>Proj[[#This Row],[Goals]]+Proj[[#This Row],[Assists]]</f>
        <v>63</v>
      </c>
      <c r="Q79" s="10">
        <f>ROUND(_xlfn.IFNA(INDEX(Table2[],MATCH(Proj[[#This Row],[Player]],Table2[Player],0),11)/60,IF(Proj[[#This Row],[Pos]] = "D", 'Per 60 PP'!$K$527,'Per 60 PP'!$K$526)/60)*Proj[[#This Row],[TOI PP]]*Proj[[#This Row],[GP]],0)</f>
        <v>3</v>
      </c>
      <c r="R79" s="10">
        <f>ROUND(_xlfn.IFNA(INDEX(Table2[],MATCH(Proj[[#This Row],[Player]],Table2[Player],0),7)/60,IF(Proj[[#This Row],[Pos]] = "D", 'Per 60 PP'!$G$527,'Per 60 PP'!$G$526)/60)*Proj[[#This Row],[TOI PP]]*Proj[[#This Row],[GP]],0)</f>
        <v>25</v>
      </c>
      <c r="S79" s="10">
        <f>Proj[[#This Row],[PPG]]+Proj[[#This Row],[PPA]]</f>
        <v>28</v>
      </c>
      <c r="T79">
        <f>ROUND((_xlfn.IFNA(INDEX(Table3[],MATCH(Proj[[#This Row],[Player]],Table3[Player],0),6)/60,IF(Proj[[#This Row],[Pos]] ="D", 'Per 60 PK'!$F$623, 'Per 60 PK'!$F$622)/60)+_xlfn.IFNA(INDEX(Table3[],MATCH(Proj[[#This Row],[Player]],Table3[Player],0),8)/60,IF(Proj[[#This Row],[Pos]] ="D", 'Per 60 PK'!$H$623, 'Per 60 PK'!$H$622)/60))*Proj[[#This Row],[TOI PK]]*Proj[[#This Row],[GP]],0)</f>
        <v>0</v>
      </c>
      <c r="U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111</v>
      </c>
      <c r="W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180</v>
      </c>
      <c r="AA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556.91825077935857</v>
      </c>
      <c r="AB79" s="10">
        <f>_xlfn.RANK.EQ(Proj[[#This Row],[VOR]],Proj[VOR])</f>
        <v>36</v>
      </c>
      <c r="AC79" s="10">
        <f>INDEX(Std[],MATCH(Proj[[#This Row],[Player]],Std[Player],0),20)</f>
        <v>664.28301849882303</v>
      </c>
      <c r="AD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511.85</v>
      </c>
    </row>
    <row r="80" spans="1:30" x14ac:dyDescent="0.25">
      <c r="A80" t="s">
        <v>374</v>
      </c>
      <c r="B80">
        <v>29</v>
      </c>
      <c r="C80" t="s">
        <v>74</v>
      </c>
      <c r="D80" t="s">
        <v>20</v>
      </c>
      <c r="E80" s="9">
        <f>INDEX(Table1[],MATCH(Proj[[#This Row],[Player]],Table1[Player],0),5)</f>
        <v>15.769061317234099</v>
      </c>
      <c r="F80" s="9">
        <f>_xlfn.IFNA(INDEX(Table2[],MATCH(Proj[[#This Row],[Player]],Table2[Player],0),5),0)</f>
        <v>2.97</v>
      </c>
      <c r="G80" s="9">
        <f>_xlfn.IFNA(INDEX(Table3[],MATCH(Proj[[#This Row],[Player]],Table3[Player],0),5),0)</f>
        <v>0.94</v>
      </c>
      <c r="H80" s="10">
        <v>80</v>
      </c>
      <c r="I80">
        <v>80</v>
      </c>
      <c r="J80" s="9">
        <v>15.769061317234099</v>
      </c>
      <c r="K80" s="9">
        <v>2.97</v>
      </c>
      <c r="L80" s="9">
        <v>0.94</v>
      </c>
      <c r="M80" s="9">
        <f>Proj[[#This Row],[TOI ES]]+Proj[[#This Row],[TOI PP]]+Proj[[#This Row],[TOI PK]]</f>
        <v>19.679061317234101</v>
      </c>
      <c r="N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31</v>
      </c>
      <c r="O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80" s="10">
        <f>Proj[[#This Row],[Goals]]+Proj[[#This Row],[Assists]]</f>
        <v>63</v>
      </c>
      <c r="Q80" s="10">
        <f>ROUND(_xlfn.IFNA(INDEX(Table2[],MATCH(Proj[[#This Row],[Player]],Table2[Player],0),11)/60,IF(Proj[[#This Row],[Pos]] = "D", 'Per 60 PP'!$K$527,'Per 60 PP'!$K$526)/60)*Proj[[#This Row],[TOI PP]]*Proj[[#This Row],[GP]],0)</f>
        <v>10</v>
      </c>
      <c r="R80" s="10">
        <f>ROUND(_xlfn.IFNA(INDEX(Table2[],MATCH(Proj[[#This Row],[Player]],Table2[Player],0),7)/60,IF(Proj[[#This Row],[Pos]] = "D", 'Per 60 PP'!$G$527,'Per 60 PP'!$G$526)/60)*Proj[[#This Row],[TOI PP]]*Proj[[#This Row],[GP]],0)</f>
        <v>8</v>
      </c>
      <c r="S80" s="10">
        <f>Proj[[#This Row],[PPG]]+Proj[[#This Row],[PPA]]</f>
        <v>18</v>
      </c>
      <c r="T80">
        <f>ROUND((_xlfn.IFNA(INDEX(Table3[],MATCH(Proj[[#This Row],[Player]],Table3[Player],0),6)/60,IF(Proj[[#This Row],[Pos]] ="D", 'Per 60 PK'!$F$623, 'Per 60 PK'!$F$622)/60)+_xlfn.IFNA(INDEX(Table3[],MATCH(Proj[[#This Row],[Player]],Table3[Player],0),8)/60,IF(Proj[[#This Row],[Pos]] ="D", 'Per 60 PK'!$H$623, 'Per 60 PK'!$H$622)/60))*Proj[[#This Row],[TOI PK]]*Proj[[#This Row],[GP]],0)</f>
        <v>2</v>
      </c>
      <c r="U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781</v>
      </c>
      <c r="Y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652</v>
      </c>
      <c r="Z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228</v>
      </c>
      <c r="AA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253.49563090394975</v>
      </c>
      <c r="AB80" s="10">
        <f>_xlfn.RANK.EQ(Proj[[#This Row],[VOR]],Proj[VOR])</f>
        <v>88</v>
      </c>
      <c r="AC80" s="10">
        <f>INDEX(Std[],MATCH(Proj[[#This Row],[Player]],Std[Player],0),20)</f>
        <v>988.12948521424835</v>
      </c>
      <c r="AD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597</v>
      </c>
    </row>
    <row r="81" spans="1:30" x14ac:dyDescent="0.25">
      <c r="A81" t="s">
        <v>299</v>
      </c>
      <c r="B81">
        <v>29</v>
      </c>
      <c r="C81" t="s">
        <v>3</v>
      </c>
      <c r="D81" t="s">
        <v>9</v>
      </c>
      <c r="E81" s="9">
        <f>INDEX(Table1[],MATCH(Proj[[#This Row],[Player]],Table1[Player],0),5)</f>
        <v>20.662641522924901</v>
      </c>
      <c r="F81" s="9">
        <f>_xlfn.IFNA(INDEX(Table2[],MATCH(Proj[[#This Row],[Player]],Table2[Player],0),5),0)</f>
        <v>3.29</v>
      </c>
      <c r="G81" s="9">
        <f>_xlfn.IFNA(INDEX(Table3[],MATCH(Proj[[#This Row],[Player]],Table3[Player],0),5),0)</f>
        <v>0.54</v>
      </c>
      <c r="H81" s="10">
        <v>81</v>
      </c>
      <c r="I81">
        <v>81</v>
      </c>
      <c r="J81" s="9">
        <v>20.662641522924901</v>
      </c>
      <c r="K81" s="9">
        <v>3.29</v>
      </c>
      <c r="L81" s="9">
        <v>0.54</v>
      </c>
      <c r="M81" s="9">
        <f>Proj[[#This Row],[TOI ES]]+Proj[[#This Row],[TOI PP]]+Proj[[#This Row],[TOI PK]]</f>
        <v>24.492641522924899</v>
      </c>
      <c r="N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51</v>
      </c>
      <c r="P81" s="10">
        <f>Proj[[#This Row],[Goals]]+Proj[[#This Row],[Assists]]</f>
        <v>63</v>
      </c>
      <c r="Q81" s="10">
        <f>ROUND(_xlfn.IFNA(INDEX(Table2[],MATCH(Proj[[#This Row],[Player]],Table2[Player],0),11)/60,IF(Proj[[#This Row],[Pos]] = "D", 'Per 60 PP'!$K$527,'Per 60 PP'!$K$526)/60)*Proj[[#This Row],[TOI PP]]*Proj[[#This Row],[GP]],0)</f>
        <v>3</v>
      </c>
      <c r="R81" s="10">
        <f>ROUND(_xlfn.IFNA(INDEX(Table2[],MATCH(Proj[[#This Row],[Player]],Table2[Player],0),7)/60,IF(Proj[[#This Row],[Pos]] = "D", 'Per 60 PP'!$G$527,'Per 60 PP'!$G$526)/60)*Proj[[#This Row],[TOI PP]]*Proj[[#This Row],[GP]],0)</f>
        <v>19</v>
      </c>
      <c r="S81" s="10">
        <f>Proj[[#This Row],[PPG]]+Proj[[#This Row],[PPA]]</f>
        <v>22</v>
      </c>
      <c r="T81">
        <f>ROUND((_xlfn.IFNA(INDEX(Table3[],MATCH(Proj[[#This Row],[Player]],Table3[Player],0),6)/60,IF(Proj[[#This Row],[Pos]] ="D", 'Per 60 PK'!$F$623, 'Per 60 PK'!$F$622)/60)+_xlfn.IFNA(INDEX(Table3[],MATCH(Proj[[#This Row],[Player]],Table3[Player],0),8)/60,IF(Proj[[#This Row],[Pos]] ="D", 'Per 60 PK'!$H$623, 'Per 60 PK'!$H$622)/60))*Proj[[#This Row],[TOI PK]]*Proj[[#This Row],[GP]],0)</f>
        <v>0</v>
      </c>
      <c r="U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89</v>
      </c>
      <c r="V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120</v>
      </c>
      <c r="W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183</v>
      </c>
      <c r="AA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654.70278083576272</v>
      </c>
      <c r="AB81" s="10">
        <f>_xlfn.RANK.EQ(Proj[[#This Row],[VOR]],Proj[VOR])</f>
        <v>27</v>
      </c>
      <c r="AC81" s="10">
        <f>INDEX(Std[],MATCH(Proj[[#This Row],[Player]],Std[Player],0),20)</f>
        <v>762.06754855522718</v>
      </c>
      <c r="AD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541.25</v>
      </c>
    </row>
    <row r="82" spans="1:30" x14ac:dyDescent="0.25">
      <c r="A82" t="s">
        <v>389</v>
      </c>
      <c r="B82">
        <v>28</v>
      </c>
      <c r="C82" t="s">
        <v>74</v>
      </c>
      <c r="D82" t="s">
        <v>18</v>
      </c>
      <c r="E82" s="9">
        <f>INDEX(Table1[],MATCH(Proj[[#This Row],[Player]],Table1[Player],0),5)</f>
        <v>14.0084893205042</v>
      </c>
      <c r="F82" s="9">
        <f>_xlfn.IFNA(INDEX(Table2[],MATCH(Proj[[#This Row],[Player]],Table2[Player],0),5),0)</f>
        <v>3.7</v>
      </c>
      <c r="G82" s="9">
        <f>_xlfn.IFNA(INDEX(Table3[],MATCH(Proj[[#This Row],[Player]],Table3[Player],0),5),0)</f>
        <v>2.31</v>
      </c>
      <c r="H82" s="10">
        <v>80</v>
      </c>
      <c r="I82">
        <v>80</v>
      </c>
      <c r="J82" s="9">
        <v>14.0084893205042</v>
      </c>
      <c r="K82" s="9">
        <v>3.7</v>
      </c>
      <c r="L82" s="9">
        <v>2.31</v>
      </c>
      <c r="M82" s="9">
        <f>Proj[[#This Row],[TOI ES]]+Proj[[#This Row],[TOI PP]]+Proj[[#This Row],[TOI PK]]</f>
        <v>20.018489320504198</v>
      </c>
      <c r="N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32</v>
      </c>
      <c r="O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82" s="10">
        <f>Proj[[#This Row],[Goals]]+Proj[[#This Row],[Assists]]</f>
        <v>63</v>
      </c>
      <c r="Q82" s="10">
        <f>ROUND(_xlfn.IFNA(INDEX(Table2[],MATCH(Proj[[#This Row],[Player]],Table2[Player],0),11)/60,IF(Proj[[#This Row],[Pos]] = "D", 'Per 60 PP'!$K$527,'Per 60 PP'!$K$526)/60)*Proj[[#This Row],[TOI PP]]*Proj[[#This Row],[GP]],0)</f>
        <v>16</v>
      </c>
      <c r="R82" s="10">
        <f>ROUND(_xlfn.IFNA(INDEX(Table2[],MATCH(Proj[[#This Row],[Player]],Table2[Player],0),7)/60,IF(Proj[[#This Row],[Pos]] = "D", 'Per 60 PP'!$G$527,'Per 60 PP'!$G$526)/60)*Proj[[#This Row],[TOI PP]]*Proj[[#This Row],[GP]],0)</f>
        <v>9</v>
      </c>
      <c r="S82" s="10">
        <f>Proj[[#This Row],[PPG]]+Proj[[#This Row],[PPA]]</f>
        <v>25</v>
      </c>
      <c r="T82">
        <f>ROUND((_xlfn.IFNA(INDEX(Table3[],MATCH(Proj[[#This Row],[Player]],Table3[Player],0),6)/60,IF(Proj[[#This Row],[Pos]] ="D", 'Per 60 PK'!$F$623, 'Per 60 PK'!$F$622)/60)+_xlfn.IFNA(INDEX(Table3[],MATCH(Proj[[#This Row],[Player]],Table3[Player],0),8)/60,IF(Proj[[#This Row],[Pos]] ="D", 'Per 60 PK'!$H$623, 'Per 60 PK'!$H$622)/60))*Proj[[#This Row],[TOI PK]]*Proj[[#This Row],[GP]],0)</f>
        <v>1</v>
      </c>
      <c r="U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144</v>
      </c>
      <c r="V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769</v>
      </c>
      <c r="Y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793</v>
      </c>
      <c r="Z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263</v>
      </c>
      <c r="AA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605.95679006310206</v>
      </c>
      <c r="AB82" s="10">
        <f>_xlfn.RANK.EQ(Proj[[#This Row],[VOR]],Proj[VOR])</f>
        <v>32</v>
      </c>
      <c r="AC82" s="10">
        <f>INDEX(Std[],MATCH(Proj[[#This Row],[Player]],Std[Player],0),20)</f>
        <v>1340.5906443734007</v>
      </c>
      <c r="AD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680.34999999999991</v>
      </c>
    </row>
    <row r="83" spans="1:30" x14ac:dyDescent="0.25">
      <c r="A83" t="s">
        <v>260</v>
      </c>
      <c r="B83">
        <v>24</v>
      </c>
      <c r="C83" t="s">
        <v>104</v>
      </c>
      <c r="D83" t="s">
        <v>34</v>
      </c>
      <c r="E83" s="9">
        <f>INDEX(Table1[],MATCH(Proj[[#This Row],[Player]],Table1[Player],0),5)</f>
        <v>14.3923458154868</v>
      </c>
      <c r="F83" s="9">
        <f>_xlfn.IFNA(INDEX(Table2[],MATCH(Proj[[#This Row],[Player]],Table2[Player],0),5),0)</f>
        <v>2.73</v>
      </c>
      <c r="G83" s="9">
        <f>_xlfn.IFNA(INDEX(Table3[],MATCH(Proj[[#This Row],[Player]],Table3[Player],0),5),0)</f>
        <v>0</v>
      </c>
      <c r="H83" s="10">
        <v>74</v>
      </c>
      <c r="I83">
        <v>74</v>
      </c>
      <c r="J83" s="9">
        <v>14.3923458154868</v>
      </c>
      <c r="K83" s="9">
        <v>2.73</v>
      </c>
      <c r="L83" s="9">
        <v>0</v>
      </c>
      <c r="M83" s="9">
        <f>Proj[[#This Row],[TOI ES]]+Proj[[#This Row],[TOI PP]]+Proj[[#This Row],[TOI PK]]</f>
        <v>17.122345815486799</v>
      </c>
      <c r="N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38</v>
      </c>
      <c r="P83">
        <f>Proj[[#This Row],[Goals]]+Proj[[#This Row],[Assists]]</f>
        <v>63</v>
      </c>
      <c r="Q83" s="10">
        <f>ROUND(_xlfn.IFNA(INDEX(Table2[],MATCH(Proj[[#This Row],[Player]],Table2[Player],0),11)/60,IF(Proj[[#This Row],[Pos]] = "D", 'Per 60 PP'!$K$527,'Per 60 PP'!$K$526)/60)*Proj[[#This Row],[TOI PP]]*Proj[[#This Row],[GP]],0)</f>
        <v>7</v>
      </c>
      <c r="R83" s="10">
        <f>ROUND(_xlfn.IFNA(INDEX(Table2[],MATCH(Proj[[#This Row],[Player]],Table2[Player],0),7)/60,IF(Proj[[#This Row],[Pos]] = "D", 'Per 60 PP'!$G$527,'Per 60 PP'!$G$526)/60)*Proj[[#This Row],[TOI PP]]*Proj[[#This Row],[GP]],0)</f>
        <v>14</v>
      </c>
      <c r="S83" s="10">
        <f>Proj[[#This Row],[PPG]]+Proj[[#This Row],[PPA]]</f>
        <v>21</v>
      </c>
      <c r="T83">
        <f>ROUND((_xlfn.IFNA(INDEX(Table3[],MATCH(Proj[[#This Row],[Player]],Table3[Player],0),6)/60,IF(Proj[[#This Row],[Pos]] ="D", 'Per 60 PK'!$F$623, 'Per 60 PK'!$F$622)/60)+_xlfn.IFNA(INDEX(Table3[],MATCH(Proj[[#This Row],[Player]],Table3[Player],0),8)/60,IF(Proj[[#This Row],[Pos]] ="D", 'Per 60 PK'!$H$623, 'Per 60 PK'!$H$622)/60))*Proj[[#This Row],[TOI PK]]*Proj[[#This Row],[GP]],0)</f>
        <v>0</v>
      </c>
      <c r="U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161</v>
      </c>
      <c r="V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26</v>
      </c>
      <c r="W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75</v>
      </c>
      <c r="X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199</v>
      </c>
      <c r="AA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418.13929420686583</v>
      </c>
      <c r="AB83" s="10">
        <f>_xlfn.RANK.EQ(Proj[[#This Row],[VOR]],Proj[VOR])</f>
        <v>60</v>
      </c>
      <c r="AC83" s="10">
        <f>INDEX(Std[],MATCH(Proj[[#This Row],[Player]],Std[Player],0),20)</f>
        <v>864.68401859711469</v>
      </c>
      <c r="AD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562.6</v>
      </c>
    </row>
    <row r="84" spans="1:30" x14ac:dyDescent="0.25">
      <c r="A84" t="s">
        <v>382</v>
      </c>
      <c r="B84">
        <v>32</v>
      </c>
      <c r="C84" t="s">
        <v>104</v>
      </c>
      <c r="D84" t="s">
        <v>154</v>
      </c>
      <c r="E84" s="9">
        <f>INDEX(Table1[],MATCH(Proj[[#This Row],[Player]],Table1[Player],0),5)</f>
        <v>13.5106542743505</v>
      </c>
      <c r="F84" s="9">
        <f>_xlfn.IFNA(INDEX(Table2[],MATCH(Proj[[#This Row],[Player]],Table2[Player],0),5),0)</f>
        <v>3</v>
      </c>
      <c r="G84" s="9">
        <f>_xlfn.IFNA(INDEX(Table3[],MATCH(Proj[[#This Row],[Player]],Table3[Player],0),5),0)</f>
        <v>0.75</v>
      </c>
      <c r="H84" s="10">
        <v>80</v>
      </c>
      <c r="I84">
        <v>80</v>
      </c>
      <c r="J84" s="9">
        <v>13.5106542743505</v>
      </c>
      <c r="K84" s="9">
        <v>3</v>
      </c>
      <c r="L84" s="9">
        <v>0.75</v>
      </c>
      <c r="M84" s="9">
        <f>Proj[[#This Row],[TOI ES]]+Proj[[#This Row],[TOI PP]]+Proj[[#This Row],[TOI PK]]</f>
        <v>17.2606542743505</v>
      </c>
      <c r="N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30</v>
      </c>
      <c r="O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84" s="10">
        <f>Proj[[#This Row],[Goals]]+Proj[[#This Row],[Assists]]</f>
        <v>62</v>
      </c>
      <c r="Q84" s="10">
        <f>ROUND(_xlfn.IFNA(INDEX(Table2[],MATCH(Proj[[#This Row],[Player]],Table2[Player],0),11)/60,IF(Proj[[#This Row],[Pos]] = "D", 'Per 60 PP'!$K$527,'Per 60 PP'!$K$526)/60)*Proj[[#This Row],[TOI PP]]*Proj[[#This Row],[GP]],0)</f>
        <v>10</v>
      </c>
      <c r="R84" s="10">
        <f>ROUND(_xlfn.IFNA(INDEX(Table2[],MATCH(Proj[[#This Row],[Player]],Table2[Player],0),7)/60,IF(Proj[[#This Row],[Pos]] = "D", 'Per 60 PP'!$G$527,'Per 60 PP'!$G$526)/60)*Proj[[#This Row],[TOI PP]]*Proj[[#This Row],[GP]],0)</f>
        <v>11</v>
      </c>
      <c r="S84" s="10">
        <f>Proj[[#This Row],[PPG]]+Proj[[#This Row],[PPA]]</f>
        <v>21</v>
      </c>
      <c r="T84">
        <f>ROUND((_xlfn.IFNA(INDEX(Table3[],MATCH(Proj[[#This Row],[Player]],Table3[Player],0),6)/60,IF(Proj[[#This Row],[Pos]] ="D", 'Per 60 PK'!$F$623, 'Per 60 PK'!$F$622)/60)+_xlfn.IFNA(INDEX(Table3[],MATCH(Proj[[#This Row],[Player]],Table3[Player],0),8)/60,IF(Proj[[#This Row],[Pos]] ="D", 'Per 60 PK'!$H$623, 'Per 60 PK'!$H$622)/60))*Proj[[#This Row],[TOI PK]]*Proj[[#This Row],[GP]],0)</f>
        <v>1</v>
      </c>
      <c r="U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v>
      </c>
      <c r="Y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42</v>
      </c>
      <c r="Z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234</v>
      </c>
      <c r="AA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v>
      </c>
      <c r="AB84" s="10">
        <f>_xlfn.RANK.EQ(Proj[[#This Row],[VOR]],Proj[VOR])</f>
        <v>146</v>
      </c>
      <c r="AC84" s="10">
        <f>INDEX(Std[],MATCH(Proj[[#This Row],[Player]],Std[Player],0),20)</f>
        <v>471.54472439024886</v>
      </c>
      <c r="AD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499.40000000000003</v>
      </c>
    </row>
    <row r="85" spans="1:30" x14ac:dyDescent="0.25">
      <c r="A85" t="s">
        <v>546</v>
      </c>
      <c r="B85">
        <v>22</v>
      </c>
      <c r="C85" t="s">
        <v>105</v>
      </c>
      <c r="D85" t="s">
        <v>34</v>
      </c>
      <c r="E85" s="9">
        <f>INDEX(Table1[],MATCH(Proj[[#This Row],[Player]],Table1[Player],0),5)</f>
        <v>14.02</v>
      </c>
      <c r="F85" s="9">
        <f>_xlfn.IFNA(INDEX(Table2[],MATCH(Proj[[#This Row],[Player]],Table2[Player],0),5),0)</f>
        <v>2.98</v>
      </c>
      <c r="G85" s="9">
        <f>_xlfn.IFNA(INDEX(Table3[],MATCH(Proj[[#This Row],[Player]],Table3[Player],0),5),0)</f>
        <v>1.57</v>
      </c>
      <c r="H85" s="10">
        <v>81</v>
      </c>
      <c r="I85">
        <v>81</v>
      </c>
      <c r="J85" s="9">
        <v>14.02</v>
      </c>
      <c r="K85" s="9">
        <v>2.98</v>
      </c>
      <c r="L85" s="9">
        <v>1.57</v>
      </c>
      <c r="M85" s="9">
        <f>Proj[[#This Row],[TOI ES]]+Proj[[#This Row],[TOI PP]]+Proj[[#This Row],[TOI PK]]</f>
        <v>18.57</v>
      </c>
      <c r="N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27</v>
      </c>
      <c r="O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35</v>
      </c>
      <c r="P85" s="10">
        <f>Proj[[#This Row],[Goals]]+Proj[[#This Row],[Assists]]</f>
        <v>62</v>
      </c>
      <c r="Q85" s="10">
        <f>ROUND(_xlfn.IFNA(INDEX(Table2[],MATCH(Proj[[#This Row],[Player]],Table2[Player],0),11)/60,IF(Proj[[#This Row],[Pos]] = "D", 'Per 60 PP'!$K$527,'Per 60 PP'!$K$526)/60)*Proj[[#This Row],[TOI PP]]*Proj[[#This Row],[GP]],0)</f>
        <v>10</v>
      </c>
      <c r="R85" s="10">
        <f>ROUND(_xlfn.IFNA(INDEX(Table2[],MATCH(Proj[[#This Row],[Player]],Table2[Player],0),7)/60,IF(Proj[[#This Row],[Pos]] = "D", 'Per 60 PP'!$G$527,'Per 60 PP'!$G$526)/60)*Proj[[#This Row],[TOI PP]]*Proj[[#This Row],[GP]],0)</f>
        <v>9</v>
      </c>
      <c r="S85" s="10">
        <f>Proj[[#This Row],[PPG]]+Proj[[#This Row],[PPA]]</f>
        <v>19</v>
      </c>
      <c r="T85">
        <f>ROUND((_xlfn.IFNA(INDEX(Table3[],MATCH(Proj[[#This Row],[Player]],Table3[Player],0),6)/60,IF(Proj[[#This Row],[Pos]] ="D", 'Per 60 PK'!$F$623, 'Per 60 PK'!$F$622)/60)+_xlfn.IFNA(INDEX(Table3[],MATCH(Proj[[#This Row],[Player]],Table3[Player],0),8)/60,IF(Proj[[#This Row],[Pos]] ="D", 'Per 60 PK'!$H$623, 'Per 60 PK'!$H$622)/60))*Proj[[#This Row],[TOI PK]]*Proj[[#This Row],[GP]],0)</f>
        <v>3</v>
      </c>
      <c r="U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93</v>
      </c>
      <c r="V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52</v>
      </c>
      <c r="W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111</v>
      </c>
      <c r="Y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138</v>
      </c>
      <c r="Z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184</v>
      </c>
      <c r="AA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93.088218520993053</v>
      </c>
      <c r="AB85" s="10">
        <f>_xlfn.RANK.EQ(Proj[[#This Row],[VOR]],Proj[VOR])</f>
        <v>127</v>
      </c>
      <c r="AC85" s="10">
        <f>INDEX(Std[],MATCH(Proj[[#This Row],[Player]],Std[Player],0),20)</f>
        <v>539.63294291124191</v>
      </c>
      <c r="AD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514.35</v>
      </c>
    </row>
    <row r="86" spans="1:30" x14ac:dyDescent="0.25">
      <c r="A86" t="s">
        <v>475</v>
      </c>
      <c r="B86">
        <v>24</v>
      </c>
      <c r="C86" t="s">
        <v>104</v>
      </c>
      <c r="D86" t="s">
        <v>6</v>
      </c>
      <c r="E86" s="9">
        <f>INDEX(Table1[],MATCH(Proj[[#This Row],[Player]],Table1[Player],0),5)</f>
        <v>15.4341558072542</v>
      </c>
      <c r="F86" s="9">
        <f>_xlfn.IFNA(INDEX(Table2[],MATCH(Proj[[#This Row],[Player]],Table2[Player],0),5),0)</f>
        <v>3.61</v>
      </c>
      <c r="G86" s="9">
        <f>_xlfn.IFNA(INDEX(Table3[],MATCH(Proj[[#This Row],[Player]],Table3[Player],0),5),0)</f>
        <v>0</v>
      </c>
      <c r="H86" s="10">
        <v>77</v>
      </c>
      <c r="I86">
        <v>77</v>
      </c>
      <c r="J86" s="9">
        <v>15.4341558072542</v>
      </c>
      <c r="K86" s="9">
        <v>3.61</v>
      </c>
      <c r="L86" s="9">
        <v>0</v>
      </c>
      <c r="M86" s="9">
        <f>Proj[[#This Row],[TOI ES]]+Proj[[#This Row],[TOI PP]]+Proj[[#This Row],[TOI PK]]</f>
        <v>19.044155807254199</v>
      </c>
      <c r="N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33</v>
      </c>
      <c r="O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86" s="10">
        <f>Proj[[#This Row],[Goals]]+Proj[[#This Row],[Assists]]</f>
        <v>61</v>
      </c>
      <c r="Q86" s="10">
        <f>ROUND(_xlfn.IFNA(INDEX(Table2[],MATCH(Proj[[#This Row],[Player]],Table2[Player],0),11)/60,IF(Proj[[#This Row],[Pos]] = "D", 'Per 60 PP'!$K$527,'Per 60 PP'!$K$526)/60)*Proj[[#This Row],[TOI PP]]*Proj[[#This Row],[GP]],0)</f>
        <v>10</v>
      </c>
      <c r="R86" s="10">
        <f>ROUND(_xlfn.IFNA(INDEX(Table2[],MATCH(Proj[[#This Row],[Player]],Table2[Player],0),7)/60,IF(Proj[[#This Row],[Pos]] = "D", 'Per 60 PP'!$G$527,'Per 60 PP'!$G$526)/60)*Proj[[#This Row],[TOI PP]]*Proj[[#This Row],[GP]],0)</f>
        <v>11</v>
      </c>
      <c r="S86" s="10">
        <f>Proj[[#This Row],[PPG]]+Proj[[#This Row],[PPA]]</f>
        <v>21</v>
      </c>
      <c r="T86">
        <f>ROUND((_xlfn.IFNA(INDEX(Table3[],MATCH(Proj[[#This Row],[Player]],Table3[Player],0),6)/60,IF(Proj[[#This Row],[Pos]] ="D", 'Per 60 PK'!$F$623, 'Per 60 PK'!$F$622)/60)+_xlfn.IFNA(INDEX(Table3[],MATCH(Proj[[#This Row],[Player]],Table3[Player],0),8)/60,IF(Proj[[#This Row],[Pos]] ="D", 'Per 60 PK'!$H$623, 'Per 60 PK'!$H$622)/60))*Proj[[#This Row],[TOI PK]]*Proj[[#This Row],[GP]],0)</f>
        <v>0</v>
      </c>
      <c r="U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39</v>
      </c>
      <c r="V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277</v>
      </c>
      <c r="AA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9.6531586656013246</v>
      </c>
      <c r="AB86" s="10">
        <f>_xlfn.RANK.EQ(Proj[[#This Row],[VOR]],Proj[VOR])</f>
        <v>154</v>
      </c>
      <c r="AC86" s="10">
        <f>INDEX(Std[],MATCH(Proj[[#This Row],[Player]],Std[Player],0),20)</f>
        <v>456.19788305585018</v>
      </c>
      <c r="AD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502.3</v>
      </c>
    </row>
    <row r="87" spans="1:30" x14ac:dyDescent="0.25">
      <c r="A87" t="s">
        <v>407</v>
      </c>
      <c r="B87">
        <v>27</v>
      </c>
      <c r="C87" t="s">
        <v>103</v>
      </c>
      <c r="D87" t="s">
        <v>8</v>
      </c>
      <c r="E87" s="9">
        <f>INDEX(Table1[],MATCH(Proj[[#This Row],[Player]],Table1[Player],0),5)</f>
        <v>14.7380740082593</v>
      </c>
      <c r="F87" s="9">
        <f>_xlfn.IFNA(INDEX(Table2[],MATCH(Proj[[#This Row],[Player]],Table2[Player],0),5),0)</f>
        <v>3.54</v>
      </c>
      <c r="G87" s="9">
        <f>_xlfn.IFNA(INDEX(Table3[],MATCH(Proj[[#This Row],[Player]],Table3[Player],0),5),0)</f>
        <v>0</v>
      </c>
      <c r="H87" s="10">
        <v>79</v>
      </c>
      <c r="I87">
        <v>79</v>
      </c>
      <c r="J87" s="9">
        <v>14.7380740082593</v>
      </c>
      <c r="K87" s="9">
        <v>3.54</v>
      </c>
      <c r="L87" s="9">
        <v>0</v>
      </c>
      <c r="M87" s="9">
        <f>Proj[[#This Row],[TOI ES]]+Proj[[#This Row],[TOI PP]]+Proj[[#This Row],[TOI PK]]</f>
        <v>18.278074008259299</v>
      </c>
      <c r="N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30</v>
      </c>
      <c r="O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87" s="10">
        <f>Proj[[#This Row],[Goals]]+Proj[[#This Row],[Assists]]</f>
        <v>61</v>
      </c>
      <c r="Q87" s="10">
        <f>ROUND(_xlfn.IFNA(INDEX(Table2[],MATCH(Proj[[#This Row],[Player]],Table2[Player],0),11)/60,IF(Proj[[#This Row],[Pos]] = "D", 'Per 60 PP'!$K$527,'Per 60 PP'!$K$526)/60)*Proj[[#This Row],[TOI PP]]*Proj[[#This Row],[GP]],0)</f>
        <v>13</v>
      </c>
      <c r="R87" s="10">
        <f>ROUND(_xlfn.IFNA(INDEX(Table2[],MATCH(Proj[[#This Row],[Player]],Table2[Player],0),7)/60,IF(Proj[[#This Row],[Pos]] = "D", 'Per 60 PP'!$G$527,'Per 60 PP'!$G$526)/60)*Proj[[#This Row],[TOI PP]]*Proj[[#This Row],[GP]],0)</f>
        <v>10</v>
      </c>
      <c r="S87" s="10">
        <f>Proj[[#This Row],[PPG]]+Proj[[#This Row],[PPA]]</f>
        <v>23</v>
      </c>
      <c r="T87">
        <f>ROUND((_xlfn.IFNA(INDEX(Table3[],MATCH(Proj[[#This Row],[Player]],Table3[Player],0),6)/60,IF(Proj[[#This Row],[Pos]] ="D", 'Per 60 PK'!$F$623, 'Per 60 PK'!$F$622)/60)+_xlfn.IFNA(INDEX(Table3[],MATCH(Proj[[#This Row],[Player]],Table3[Player],0),8)/60,IF(Proj[[#This Row],[Pos]] ="D", 'Per 60 PK'!$H$623, 'Per 60 PK'!$H$622)/60))*Proj[[#This Row],[TOI PK]]*Proj[[#This Row],[GP]],0)</f>
        <v>0</v>
      </c>
      <c r="U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21</v>
      </c>
      <c r="Y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198</v>
      </c>
      <c r="AA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-19.354916705115443</v>
      </c>
      <c r="AB87" s="10">
        <f>_xlfn.RANK.EQ(Proj[[#This Row],[VOR]],Proj[VOR])</f>
        <v>174</v>
      </c>
      <c r="AC87" s="10">
        <f>INDEX(Std[],MATCH(Proj[[#This Row],[Player]],Std[Player],0),20)</f>
        <v>427.18980768513342</v>
      </c>
      <c r="AD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476.45000000000005</v>
      </c>
    </row>
    <row r="88" spans="1:30" x14ac:dyDescent="0.25">
      <c r="A88" t="s">
        <v>292</v>
      </c>
      <c r="B88">
        <v>32</v>
      </c>
      <c r="C88" t="s">
        <v>103</v>
      </c>
      <c r="D88" t="s">
        <v>25</v>
      </c>
      <c r="E88" s="9">
        <f>INDEX(Table1[],MATCH(Proj[[#This Row],[Player]],Table1[Player],0),5)</f>
        <v>15.1647736628461</v>
      </c>
      <c r="F88" s="9">
        <f>_xlfn.IFNA(INDEX(Table2[],MATCH(Proj[[#This Row],[Player]],Table2[Player],0),5),0)</f>
        <v>2.25</v>
      </c>
      <c r="G88" s="9">
        <f>_xlfn.IFNA(INDEX(Table3[],MATCH(Proj[[#This Row],[Player]],Table3[Player],0),5),0)</f>
        <v>1.53</v>
      </c>
      <c r="H88" s="10">
        <v>76</v>
      </c>
      <c r="I88">
        <v>76</v>
      </c>
      <c r="J88" s="9">
        <v>15.1647736628461</v>
      </c>
      <c r="K88" s="9">
        <v>2.25</v>
      </c>
      <c r="L88" s="9">
        <v>1.53</v>
      </c>
      <c r="M88" s="9">
        <f>Proj[[#This Row],[TOI ES]]+Proj[[#This Row],[TOI PP]]+Proj[[#This Row],[TOI PK]]</f>
        <v>18.944773662846103</v>
      </c>
      <c r="N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88" s="10">
        <f>Proj[[#This Row],[Goals]]+Proj[[#This Row],[Assists]]</f>
        <v>61</v>
      </c>
      <c r="Q88" s="10">
        <f>ROUND(_xlfn.IFNA(INDEX(Table2[],MATCH(Proj[[#This Row],[Player]],Table2[Player],0),11)/60,IF(Proj[[#This Row],[Pos]] = "D", 'Per 60 PP'!$K$527,'Per 60 PP'!$K$526)/60)*Proj[[#This Row],[TOI PP]]*Proj[[#This Row],[GP]],0)</f>
        <v>5</v>
      </c>
      <c r="R88" s="10">
        <f>ROUND(_xlfn.IFNA(INDEX(Table2[],MATCH(Proj[[#This Row],[Player]],Table2[Player],0),7)/60,IF(Proj[[#This Row],[Pos]] = "D", 'Per 60 PP'!$G$527,'Per 60 PP'!$G$526)/60)*Proj[[#This Row],[TOI PP]]*Proj[[#This Row],[GP]],0)</f>
        <v>8</v>
      </c>
      <c r="S88" s="10">
        <f>Proj[[#This Row],[PPG]]+Proj[[#This Row],[PPA]]</f>
        <v>13</v>
      </c>
      <c r="T88">
        <f>ROUND((_xlfn.IFNA(INDEX(Table3[],MATCH(Proj[[#This Row],[Player]],Table3[Player],0),6)/60,IF(Proj[[#This Row],[Pos]] ="D", 'Per 60 PK'!$F$623, 'Per 60 PK'!$F$622)/60)+_xlfn.IFNA(INDEX(Table3[],MATCH(Proj[[#This Row],[Player]],Table3[Player],0),8)/60,IF(Proj[[#This Row],[Pos]] ="D", 'Per 60 PK'!$H$623, 'Per 60 PK'!$H$622)/60))*Proj[[#This Row],[TOI PK]]*Proj[[#This Row],[GP]],0)</f>
        <v>2</v>
      </c>
      <c r="U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217</v>
      </c>
      <c r="AA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-15.392543805653418</v>
      </c>
      <c r="AB88" s="10">
        <f>_xlfn.RANK.EQ(Proj[[#This Row],[VOR]],Proj[VOR])</f>
        <v>172</v>
      </c>
      <c r="AC88" s="10">
        <f>INDEX(Std[],MATCH(Proj[[#This Row],[Player]],Std[Player],0),20)</f>
        <v>431.15218058459544</v>
      </c>
      <c r="AD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494.9</v>
      </c>
    </row>
    <row r="89" spans="1:30" x14ac:dyDescent="0.25">
      <c r="A89" t="s">
        <v>386</v>
      </c>
      <c r="B89">
        <v>28</v>
      </c>
      <c r="C89" t="s">
        <v>103</v>
      </c>
      <c r="D89" t="s">
        <v>4</v>
      </c>
      <c r="E89" s="9">
        <f>INDEX(Table1[],MATCH(Proj[[#This Row],[Player]],Table1[Player],0),5)</f>
        <v>14.9721045463221</v>
      </c>
      <c r="F89" s="9">
        <f>_xlfn.IFNA(INDEX(Table2[],MATCH(Proj[[#This Row],[Player]],Table2[Player],0),5),0)</f>
        <v>2.7</v>
      </c>
      <c r="G89" s="9">
        <f>_xlfn.IFNA(INDEX(Table3[],MATCH(Proj[[#This Row],[Player]],Table3[Player],0),5),0)</f>
        <v>1.54</v>
      </c>
      <c r="H89" s="10">
        <v>77</v>
      </c>
      <c r="I89">
        <v>77</v>
      </c>
      <c r="J89" s="9">
        <v>14.9721045463221</v>
      </c>
      <c r="K89" s="9">
        <v>2.7</v>
      </c>
      <c r="L89" s="9">
        <v>1.54</v>
      </c>
      <c r="M89" s="9">
        <f>Proj[[#This Row],[TOI ES]]+Proj[[#This Row],[TOI PP]]+Proj[[#This Row],[TOI PK]]</f>
        <v>19.212104546322099</v>
      </c>
      <c r="N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35</v>
      </c>
      <c r="P89" s="10">
        <f>Proj[[#This Row],[Goals]]+Proj[[#This Row],[Assists]]</f>
        <v>61</v>
      </c>
      <c r="Q89" s="10">
        <f>ROUND(_xlfn.IFNA(INDEX(Table2[],MATCH(Proj[[#This Row],[Player]],Table2[Player],0),11)/60,IF(Proj[[#This Row],[Pos]] = "D", 'Per 60 PP'!$K$527,'Per 60 PP'!$K$526)/60)*Proj[[#This Row],[TOI PP]]*Proj[[#This Row],[GP]],0)</f>
        <v>4</v>
      </c>
      <c r="R89" s="10">
        <f>ROUND(_xlfn.IFNA(INDEX(Table2[],MATCH(Proj[[#This Row],[Player]],Table2[Player],0),7)/60,IF(Proj[[#This Row],[Pos]] = "D", 'Per 60 PP'!$G$527,'Per 60 PP'!$G$526)/60)*Proj[[#This Row],[TOI PP]]*Proj[[#This Row],[GP]],0)</f>
        <v>7</v>
      </c>
      <c r="S89" s="10">
        <f>Proj[[#This Row],[PPG]]+Proj[[#This Row],[PPA]]</f>
        <v>11</v>
      </c>
      <c r="T89">
        <f>ROUND((_xlfn.IFNA(INDEX(Table3[],MATCH(Proj[[#This Row],[Player]],Table3[Player],0),6)/60,IF(Proj[[#This Row],[Pos]] ="D", 'Per 60 PK'!$F$623, 'Per 60 PK'!$F$622)/60)+_xlfn.IFNA(INDEX(Table3[],MATCH(Proj[[#This Row],[Player]],Table3[Player],0),8)/60,IF(Proj[[#This Row],[Pos]] ="D", 'Per 60 PK'!$H$623, 'Per 60 PK'!$H$622)/60))*Proj[[#This Row],[TOI PK]]*Proj[[#This Row],[GP]],0)</f>
        <v>2</v>
      </c>
      <c r="U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75</v>
      </c>
      <c r="W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41</v>
      </c>
      <c r="Y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v>
      </c>
      <c r="Z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204</v>
      </c>
      <c r="AA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43.249489771582546</v>
      </c>
      <c r="AB89" s="10">
        <f>_xlfn.RANK.EQ(Proj[[#This Row],[VOR]],Proj[VOR])</f>
        <v>141</v>
      </c>
      <c r="AC89" s="10">
        <f>INDEX(Std[],MATCH(Proj[[#This Row],[Player]],Std[Player],0),20)</f>
        <v>489.79421416183141</v>
      </c>
      <c r="AD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503.25</v>
      </c>
    </row>
    <row r="90" spans="1:30" x14ac:dyDescent="0.25">
      <c r="A90" t="s">
        <v>241</v>
      </c>
      <c r="B90">
        <v>34</v>
      </c>
      <c r="C90" t="s">
        <v>3</v>
      </c>
      <c r="D90" t="s">
        <v>153</v>
      </c>
      <c r="E90" s="9">
        <f>INDEX(Table1[],MATCH(Proj[[#This Row],[Player]],Table1[Player],0),5)</f>
        <v>18.892042736246399</v>
      </c>
      <c r="F90" s="9">
        <f>_xlfn.IFNA(INDEX(Table2[],MATCH(Proj[[#This Row],[Player]],Table2[Player],0),5),0)</f>
        <v>3.18</v>
      </c>
      <c r="G90" s="9">
        <f>_xlfn.IFNA(INDEX(Table3[],MATCH(Proj[[#This Row],[Player]],Table3[Player],0),5),0)</f>
        <v>2.2799999999999998</v>
      </c>
      <c r="H90" s="10">
        <v>74</v>
      </c>
      <c r="I90">
        <v>74</v>
      </c>
      <c r="J90" s="9">
        <v>18.892042736246399</v>
      </c>
      <c r="K90" s="9">
        <v>3.18</v>
      </c>
      <c r="L90" s="9">
        <v>2.2799999999999998</v>
      </c>
      <c r="M90" s="9">
        <f>Proj[[#This Row],[TOI ES]]+Proj[[#This Row],[TOI PP]]+Proj[[#This Row],[TOI PK]]</f>
        <v>24.3520427362464</v>
      </c>
      <c r="N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50</v>
      </c>
      <c r="P90" s="10">
        <f>Proj[[#This Row],[Goals]]+Proj[[#This Row],[Assists]]</f>
        <v>61</v>
      </c>
      <c r="Q90" s="10">
        <f>ROUND(_xlfn.IFNA(INDEX(Table2[],MATCH(Proj[[#This Row],[Player]],Table2[Player],0),11)/60,IF(Proj[[#This Row],[Pos]] = "D", 'Per 60 PP'!$K$527,'Per 60 PP'!$K$526)/60)*Proj[[#This Row],[TOI PP]]*Proj[[#This Row],[GP]],0)</f>
        <v>3</v>
      </c>
      <c r="R90" s="10">
        <f>ROUND(_xlfn.IFNA(INDEX(Table2[],MATCH(Proj[[#This Row],[Player]],Table2[Player],0),7)/60,IF(Proj[[#This Row],[Pos]] = "D", 'Per 60 PP'!$G$527,'Per 60 PP'!$G$526)/60)*Proj[[#This Row],[TOI PP]]*Proj[[#This Row],[GP]],0)</f>
        <v>21</v>
      </c>
      <c r="S90" s="10">
        <f>Proj[[#This Row],[PPG]]+Proj[[#This Row],[PPA]]</f>
        <v>24</v>
      </c>
      <c r="T90">
        <f>ROUND((_xlfn.IFNA(INDEX(Table3[],MATCH(Proj[[#This Row],[Player]],Table3[Player],0),6)/60,IF(Proj[[#This Row],[Pos]] ="D", 'Per 60 PK'!$F$623, 'Per 60 PK'!$F$622)/60)+_xlfn.IFNA(INDEX(Table3[],MATCH(Proj[[#This Row],[Player]],Table3[Player],0),8)/60,IF(Proj[[#This Row],[Pos]] ="D", 'Per 60 PK'!$H$623, 'Per 60 PK'!$H$622)/60))*Proj[[#This Row],[TOI PK]]*Proj[[#This Row],[GP]],0)</f>
        <v>1</v>
      </c>
      <c r="U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118</v>
      </c>
      <c r="W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160</v>
      </c>
      <c r="AA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548.12225407669712</v>
      </c>
      <c r="AB90" s="10">
        <f>_xlfn.RANK.EQ(Proj[[#This Row],[VOR]],Proj[VOR])</f>
        <v>40</v>
      </c>
      <c r="AC90" s="10">
        <f>INDEX(Std[],MATCH(Proj[[#This Row],[Player]],Std[Player],0),20)</f>
        <v>655.48702179616157</v>
      </c>
      <c r="AD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503.6</v>
      </c>
    </row>
    <row r="91" spans="1:30" x14ac:dyDescent="0.25">
      <c r="A91" t="s">
        <v>280</v>
      </c>
      <c r="B91">
        <v>24</v>
      </c>
      <c r="C91" t="s">
        <v>3</v>
      </c>
      <c r="D91" t="s">
        <v>4</v>
      </c>
      <c r="E91" s="9">
        <f>INDEX(Table1[],MATCH(Proj[[#This Row],[Player]],Table1[Player],0),5)</f>
        <v>21.104197135481801</v>
      </c>
      <c r="F91" s="9">
        <f>_xlfn.IFNA(INDEX(Table2[],MATCH(Proj[[#This Row],[Player]],Table2[Player],0),5),0)</f>
        <v>3.08</v>
      </c>
      <c r="G91" s="9">
        <f>_xlfn.IFNA(INDEX(Table3[],MATCH(Proj[[#This Row],[Player]],Table3[Player],0),5),0)</f>
        <v>1.23</v>
      </c>
      <c r="H91" s="10">
        <v>80</v>
      </c>
      <c r="I91">
        <v>80</v>
      </c>
      <c r="J91" s="9">
        <v>21.104197135481801</v>
      </c>
      <c r="K91" s="9">
        <v>3.08</v>
      </c>
      <c r="L91" s="9">
        <v>1.23</v>
      </c>
      <c r="M91" s="9">
        <f>Proj[[#This Row],[TOI ES]]+Proj[[#This Row],[TOI PP]]+Proj[[#This Row],[TOI PK]]</f>
        <v>25.414197135481803</v>
      </c>
      <c r="N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46</v>
      </c>
      <c r="P91" s="10">
        <f>Proj[[#This Row],[Goals]]+Proj[[#This Row],[Assists]]</f>
        <v>61</v>
      </c>
      <c r="Q91" s="10">
        <f>ROUND(_xlfn.IFNA(INDEX(Table2[],MATCH(Proj[[#This Row],[Player]],Table2[Player],0),11)/60,IF(Proj[[#This Row],[Pos]] = "D", 'Per 60 PP'!$K$527,'Per 60 PP'!$K$526)/60)*Proj[[#This Row],[TOI PP]]*Proj[[#This Row],[GP]],0)</f>
        <v>4</v>
      </c>
      <c r="R91" s="10">
        <f>ROUND(_xlfn.IFNA(INDEX(Table2[],MATCH(Proj[[#This Row],[Player]],Table2[Player],0),7)/60,IF(Proj[[#This Row],[Pos]] = "D", 'Per 60 PP'!$G$527,'Per 60 PP'!$G$526)/60)*Proj[[#This Row],[TOI PP]]*Proj[[#This Row],[GP]],0)</f>
        <v>19</v>
      </c>
      <c r="S91" s="10">
        <f>Proj[[#This Row],[PPG]]+Proj[[#This Row],[PPA]]</f>
        <v>23</v>
      </c>
      <c r="T91">
        <f>ROUND((_xlfn.IFNA(INDEX(Table3[],MATCH(Proj[[#This Row],[Player]],Table3[Player],0),6)/60,IF(Proj[[#This Row],[Pos]] ="D", 'Per 60 PK'!$F$623, 'Per 60 PK'!$F$622)/60)+_xlfn.IFNA(INDEX(Table3[],MATCH(Proj[[#This Row],[Player]],Table3[Player],0),8)/60,IF(Proj[[#This Row],[Pos]] ="D", 'Per 60 PK'!$H$623, 'Per 60 PK'!$H$622)/60))*Proj[[#This Row],[TOI PK]]*Proj[[#This Row],[GP]],0)</f>
        <v>0</v>
      </c>
      <c r="U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148</v>
      </c>
      <c r="V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145</v>
      </c>
      <c r="W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77</v>
      </c>
      <c r="X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205</v>
      </c>
      <c r="AA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988.92658928704986</v>
      </c>
      <c r="AB91" s="10">
        <f>_xlfn.RANK.EQ(Proj[[#This Row],[VOR]],Proj[VOR])</f>
        <v>14</v>
      </c>
      <c r="AC91" s="10">
        <f>INDEX(Std[],MATCH(Proj[[#This Row],[Player]],Std[Player],0),20)</f>
        <v>1096.2913570065143</v>
      </c>
      <c r="AD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610.09999999999991</v>
      </c>
    </row>
    <row r="92" spans="1:30" x14ac:dyDescent="0.25">
      <c r="A92" t="s">
        <v>909</v>
      </c>
      <c r="B92">
        <v>28</v>
      </c>
      <c r="C92" t="s">
        <v>101</v>
      </c>
      <c r="D92" t="s">
        <v>87</v>
      </c>
      <c r="E92" s="9">
        <f>INDEX(Table1[],MATCH(Proj[[#This Row],[Player]],Table1[Player],0),5)</f>
        <v>12.71013554222</v>
      </c>
      <c r="F92" s="9">
        <f>_xlfn.IFNA(INDEX(Table2[],MATCH(Proj[[#This Row],[Player]],Table2[Player],0),5),0)</f>
        <v>2.5299999999999998</v>
      </c>
      <c r="G92" s="9">
        <f>_xlfn.IFNA(INDEX(Table3[],MATCH(Proj[[#This Row],[Player]],Table3[Player],0),5),0)</f>
        <v>1.37</v>
      </c>
      <c r="H92" s="10">
        <v>79</v>
      </c>
      <c r="I92">
        <v>79</v>
      </c>
      <c r="J92" s="9">
        <v>12.71013554222</v>
      </c>
      <c r="K92" s="9">
        <v>2.5299999999999998</v>
      </c>
      <c r="L92" s="9">
        <v>1.37</v>
      </c>
      <c r="M92" s="9">
        <f>Proj[[#This Row],[TOI ES]]+Proj[[#This Row],[TOI PP]]+Proj[[#This Row],[TOI PK]]</f>
        <v>16.61013554222</v>
      </c>
      <c r="N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29</v>
      </c>
      <c r="O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92" s="10">
        <f>Proj[[#This Row],[Goals]]+Proj[[#This Row],[Assists]]</f>
        <v>60</v>
      </c>
      <c r="Q92" s="10">
        <f>ROUND(_xlfn.IFNA(INDEX(Table2[],MATCH(Proj[[#This Row],[Player]],Table2[Player],0),11)/60,IF(Proj[[#This Row],[Pos]] = "D", 'Per 60 PP'!$K$527,'Per 60 PP'!$K$526)/60)*Proj[[#This Row],[TOI PP]]*Proj[[#This Row],[GP]],0)</f>
        <v>7</v>
      </c>
      <c r="R92" s="10">
        <f>ROUND(_xlfn.IFNA(INDEX(Table2[],MATCH(Proj[[#This Row],[Player]],Table2[Player],0),7)/60,IF(Proj[[#This Row],[Pos]] = "D", 'Per 60 PP'!$G$527,'Per 60 PP'!$G$526)/60)*Proj[[#This Row],[TOI PP]]*Proj[[#This Row],[GP]],0)</f>
        <v>13</v>
      </c>
      <c r="S92" s="10">
        <f>Proj[[#This Row],[PPG]]+Proj[[#This Row],[PPA]]</f>
        <v>20</v>
      </c>
      <c r="T92">
        <f>ROUND((_xlfn.IFNA(INDEX(Table3[],MATCH(Proj[[#This Row],[Player]],Table3[Player],0),6)/60,IF(Proj[[#This Row],[Pos]] ="D", 'Per 60 PK'!$F$623, 'Per 60 PK'!$F$622)/60)+_xlfn.IFNA(INDEX(Table3[],MATCH(Proj[[#This Row],[Player]],Table3[Player],0),8)/60,IF(Proj[[#This Row],[Pos]] ="D", 'Per 60 PK'!$H$623, 'Per 60 PK'!$H$622)/60))*Proj[[#This Row],[TOI PK]]*Proj[[#This Row],[GP]],0)</f>
        <v>3</v>
      </c>
      <c r="U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140</v>
      </c>
      <c r="Y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165</v>
      </c>
      <c r="Z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204</v>
      </c>
      <c r="AA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8.0449069932203088</v>
      </c>
      <c r="AB92" s="10">
        <f>_xlfn.RANK.EQ(Proj[[#This Row],[VOR]],Proj[VOR])</f>
        <v>156</v>
      </c>
      <c r="AC92" s="10">
        <f>INDEX(Std[],MATCH(Proj[[#This Row],[Player]],Std[Player],0),20)</f>
        <v>479.58963138346917</v>
      </c>
      <c r="AD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486.05</v>
      </c>
    </row>
    <row r="93" spans="1:30" x14ac:dyDescent="0.25">
      <c r="A93" t="s">
        <v>967</v>
      </c>
      <c r="B93">
        <v>21</v>
      </c>
      <c r="C93" t="s">
        <v>105</v>
      </c>
      <c r="D93" t="s">
        <v>17</v>
      </c>
      <c r="E93" s="9">
        <f>INDEX(Table1[],MATCH(Proj[[#This Row],[Player]],Table1[Player],0),5)</f>
        <v>15.08</v>
      </c>
      <c r="F93" s="9">
        <f>_xlfn.IFNA(INDEX(Table2[],MATCH(Proj[[#This Row],[Player]],Table2[Player],0),5),0)</f>
        <v>2.5</v>
      </c>
      <c r="G93" s="9">
        <f>_xlfn.IFNA(INDEX(Table3[],MATCH(Proj[[#This Row],[Player]],Table3[Player],0),5),0)</f>
        <v>1.1499999999999999</v>
      </c>
      <c r="H93" s="10">
        <v>81</v>
      </c>
      <c r="I93">
        <v>81</v>
      </c>
      <c r="J93" s="9">
        <v>15.08</v>
      </c>
      <c r="K93" s="9">
        <v>2.5</v>
      </c>
      <c r="L93" s="9">
        <v>1.1499999999999999</v>
      </c>
      <c r="M93" s="9">
        <f>Proj[[#This Row],[TOI ES]]+Proj[[#This Row],[TOI PP]]+Proj[[#This Row],[TOI PK]]</f>
        <v>18.729999999999997</v>
      </c>
      <c r="N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31</v>
      </c>
      <c r="O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93" s="10">
        <f>Proj[[#This Row],[Goals]]+Proj[[#This Row],[Assists]]</f>
        <v>60</v>
      </c>
      <c r="Q93" s="10">
        <f>ROUND(_xlfn.IFNA(INDEX(Table2[],MATCH(Proj[[#This Row],[Player]],Table2[Player],0),11)/60,IF(Proj[[#This Row],[Pos]] = "D", 'Per 60 PP'!$K$527,'Per 60 PP'!$K$526)/60)*Proj[[#This Row],[TOI PP]]*Proj[[#This Row],[GP]],0)</f>
        <v>5</v>
      </c>
      <c r="R93" s="10">
        <f>ROUND(_xlfn.IFNA(INDEX(Table2[],MATCH(Proj[[#This Row],[Player]],Table2[Player],0),7)/60,IF(Proj[[#This Row],[Pos]] = "D", 'Per 60 PP'!$G$527,'Per 60 PP'!$G$526)/60)*Proj[[#This Row],[TOI PP]]*Proj[[#This Row],[GP]],0)</f>
        <v>8</v>
      </c>
      <c r="S93" s="10">
        <f>Proj[[#This Row],[PPG]]+Proj[[#This Row],[PPA]]</f>
        <v>13</v>
      </c>
      <c r="T93">
        <f>ROUND((_xlfn.IFNA(INDEX(Table3[],MATCH(Proj[[#This Row],[Player]],Table3[Player],0),6)/60,IF(Proj[[#This Row],[Pos]] ="D", 'Per 60 PK'!$F$623, 'Per 60 PK'!$F$622)/60)+_xlfn.IFNA(INDEX(Table3[],MATCH(Proj[[#This Row],[Player]],Table3[Player],0),8)/60,IF(Proj[[#This Row],[Pos]] ="D", 'Per 60 PK'!$H$623, 'Per 60 PK'!$H$622)/60))*Proj[[#This Row],[TOI PK]]*Proj[[#This Row],[GP]],0)</f>
        <v>1</v>
      </c>
      <c r="U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299</v>
      </c>
      <c r="Y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304</v>
      </c>
      <c r="Z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221</v>
      </c>
      <c r="AA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142.88687717154886</v>
      </c>
      <c r="AB93" s="10">
        <f>_xlfn.RANK.EQ(Proj[[#This Row],[VOR]],Proj[VOR])</f>
        <v>114</v>
      </c>
      <c r="AC93" s="10">
        <f>INDEX(Std[],MATCH(Proj[[#This Row],[Player]],Std[Player],0),20)</f>
        <v>589.43160156179772</v>
      </c>
      <c r="AD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516.95000000000005</v>
      </c>
    </row>
    <row r="94" spans="1:30" x14ac:dyDescent="0.25">
      <c r="A94" t="s">
        <v>794</v>
      </c>
      <c r="B94">
        <v>22</v>
      </c>
      <c r="C94" t="s">
        <v>103</v>
      </c>
      <c r="D94" t="s">
        <v>155</v>
      </c>
      <c r="E94" s="9">
        <f>INDEX(Table1[],MATCH(Proj[[#This Row],[Player]],Table1[Player],0),5)</f>
        <v>14.3</v>
      </c>
      <c r="F94" s="9">
        <f>_xlfn.IFNA(INDEX(Table2[],MATCH(Proj[[#This Row],[Player]],Table2[Player],0),5),0)</f>
        <v>2.58</v>
      </c>
      <c r="G94" s="9">
        <f>_xlfn.IFNA(INDEX(Table3[],MATCH(Proj[[#This Row],[Player]],Table3[Player],0),5),0)</f>
        <v>0</v>
      </c>
      <c r="H94" s="10">
        <v>79</v>
      </c>
      <c r="I94">
        <v>79</v>
      </c>
      <c r="J94" s="9">
        <v>14.3</v>
      </c>
      <c r="K94" s="9">
        <v>2.58</v>
      </c>
      <c r="L94" s="9">
        <v>0</v>
      </c>
      <c r="M94" s="9">
        <f>Proj[[#This Row],[TOI ES]]+Proj[[#This Row],[TOI PP]]+Proj[[#This Row],[TOI PK]]</f>
        <v>16.880000000000003</v>
      </c>
      <c r="N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37</v>
      </c>
      <c r="P94" s="10">
        <f>Proj[[#This Row],[Goals]]+Proj[[#This Row],[Assists]]</f>
        <v>60</v>
      </c>
      <c r="Q94" s="10">
        <f>ROUND(_xlfn.IFNA(INDEX(Table2[],MATCH(Proj[[#This Row],[Player]],Table2[Player],0),11)/60,IF(Proj[[#This Row],[Pos]] = "D", 'Per 60 PP'!$K$527,'Per 60 PP'!$K$526)/60)*Proj[[#This Row],[TOI PP]]*Proj[[#This Row],[GP]],0)</f>
        <v>7</v>
      </c>
      <c r="R94" s="10">
        <f>ROUND(_xlfn.IFNA(INDEX(Table2[],MATCH(Proj[[#This Row],[Player]],Table2[Player],0),7)/60,IF(Proj[[#This Row],[Pos]] = "D", 'Per 60 PP'!$G$527,'Per 60 PP'!$G$526)/60)*Proj[[#This Row],[TOI PP]]*Proj[[#This Row],[GP]],0)</f>
        <v>8</v>
      </c>
      <c r="S94" s="10">
        <f>Proj[[#This Row],[PPG]]+Proj[[#This Row],[PPA]]</f>
        <v>15</v>
      </c>
      <c r="T94">
        <f>ROUND((_xlfn.IFNA(INDEX(Table3[],MATCH(Proj[[#This Row],[Player]],Table3[Player],0),6)/60,IF(Proj[[#This Row],[Pos]] ="D", 'Per 60 PK'!$F$623, 'Per 60 PK'!$F$622)/60)+_xlfn.IFNA(INDEX(Table3[],MATCH(Proj[[#This Row],[Player]],Table3[Player],0),8)/60,IF(Proj[[#This Row],[Pos]] ="D", 'Per 60 PK'!$H$623, 'Per 60 PK'!$H$622)/60))*Proj[[#This Row],[TOI PK]]*Proj[[#This Row],[GP]],0)</f>
        <v>0</v>
      </c>
      <c r="U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82</v>
      </c>
      <c r="Y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101</v>
      </c>
      <c r="Z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154</v>
      </c>
      <c r="AA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-30.593631479420765</v>
      </c>
      <c r="AB94" s="10">
        <f>_xlfn.RANK.EQ(Proj[[#This Row],[VOR]],Proj[VOR])</f>
        <v>177</v>
      </c>
      <c r="AC94" s="10">
        <f>INDEX(Std[],MATCH(Proj[[#This Row],[Player]],Std[Player],0),20)</f>
        <v>415.95109291082809</v>
      </c>
      <c r="AD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458.15</v>
      </c>
    </row>
    <row r="95" spans="1:30" x14ac:dyDescent="0.25">
      <c r="A95" t="s">
        <v>250</v>
      </c>
      <c r="B95">
        <v>28</v>
      </c>
      <c r="C95" t="s">
        <v>104</v>
      </c>
      <c r="D95" t="s">
        <v>156</v>
      </c>
      <c r="E95" s="9">
        <f>INDEX(Table1[],MATCH(Proj[[#This Row],[Player]],Table1[Player],0),5)</f>
        <v>15.3527907366454</v>
      </c>
      <c r="F95" s="9">
        <f>_xlfn.IFNA(INDEX(Table2[],MATCH(Proj[[#This Row],[Player]],Table2[Player],0),5),0)</f>
        <v>2.4</v>
      </c>
      <c r="G95" s="9">
        <f>_xlfn.IFNA(INDEX(Table3[],MATCH(Proj[[#This Row],[Player]],Table3[Player],0),5),0)</f>
        <v>0</v>
      </c>
      <c r="H95" s="10">
        <v>76</v>
      </c>
      <c r="I95">
        <v>76</v>
      </c>
      <c r="J95" s="9">
        <v>15.3527907366454</v>
      </c>
      <c r="K95" s="9">
        <v>2.4</v>
      </c>
      <c r="L95" s="9">
        <v>0</v>
      </c>
      <c r="M95" s="9">
        <f>Proj[[#This Row],[TOI ES]]+Proj[[#This Row],[TOI PP]]+Proj[[#This Row],[TOI PK]]</f>
        <v>17.752790736645398</v>
      </c>
      <c r="N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30</v>
      </c>
      <c r="O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95" s="10">
        <f>Proj[[#This Row],[Goals]]+Proj[[#This Row],[Assists]]</f>
        <v>60</v>
      </c>
      <c r="Q95" s="10">
        <f>ROUND(_xlfn.IFNA(INDEX(Table2[],MATCH(Proj[[#This Row],[Player]],Table2[Player],0),11)/60,IF(Proj[[#This Row],[Pos]] = "D", 'Per 60 PP'!$K$527,'Per 60 PP'!$K$526)/60)*Proj[[#This Row],[TOI PP]]*Proj[[#This Row],[GP]],0)</f>
        <v>10</v>
      </c>
      <c r="R95" s="10">
        <f>ROUND(_xlfn.IFNA(INDEX(Table2[],MATCH(Proj[[#This Row],[Player]],Table2[Player],0),7)/60,IF(Proj[[#This Row],[Pos]] = "D", 'Per 60 PP'!$G$527,'Per 60 PP'!$G$526)/60)*Proj[[#This Row],[TOI PP]]*Proj[[#This Row],[GP]],0)</f>
        <v>9</v>
      </c>
      <c r="S95" s="10">
        <f>Proj[[#This Row],[PPG]]+Proj[[#This Row],[PPA]]</f>
        <v>19</v>
      </c>
      <c r="T95">
        <f>ROUND((_xlfn.IFNA(INDEX(Table3[],MATCH(Proj[[#This Row],[Player]],Table3[Player],0),6)/60,IF(Proj[[#This Row],[Pos]] ="D", 'Per 60 PK'!$F$623, 'Per 60 PK'!$F$622)/60)+_xlfn.IFNA(INDEX(Table3[],MATCH(Proj[[#This Row],[Player]],Table3[Player],0),8)/60,IF(Proj[[#This Row],[Pos]] ="D", 'Per 60 PK'!$H$623, 'Per 60 PK'!$H$622)/60))*Proj[[#This Row],[TOI PK]]*Proj[[#This Row],[GP]],0)</f>
        <v>0</v>
      </c>
      <c r="U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120</v>
      </c>
      <c r="V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44</v>
      </c>
      <c r="Y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v>
      </c>
      <c r="Z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254</v>
      </c>
      <c r="AA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329.2325203325002</v>
      </c>
      <c r="AB95" s="10">
        <f>_xlfn.RANK.EQ(Proj[[#This Row],[VOR]],Proj[VOR])</f>
        <v>76</v>
      </c>
      <c r="AC95" s="10">
        <f>INDEX(Std[],MATCH(Proj[[#This Row],[Player]],Std[Player],0),20)</f>
        <v>775.77724472274906</v>
      </c>
      <c r="AD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562.9</v>
      </c>
    </row>
    <row r="96" spans="1:30" x14ac:dyDescent="0.25">
      <c r="A96" t="s">
        <v>329</v>
      </c>
      <c r="B96">
        <v>25</v>
      </c>
      <c r="C96" t="s">
        <v>3</v>
      </c>
      <c r="D96" t="s">
        <v>20</v>
      </c>
      <c r="E96" s="9">
        <f>INDEX(Table1[],MATCH(Proj[[#This Row],[Player]],Table1[Player],0),5)</f>
        <v>19.882841971978898</v>
      </c>
      <c r="F96" s="9">
        <f>_xlfn.IFNA(INDEX(Table2[],MATCH(Proj[[#This Row],[Player]],Table2[Player],0),5),0)</f>
        <v>2.96</v>
      </c>
      <c r="G96" s="9">
        <f>_xlfn.IFNA(INDEX(Table3[],MATCH(Proj[[#This Row],[Player]],Table3[Player],0),5),0)</f>
        <v>1</v>
      </c>
      <c r="H96" s="10">
        <v>80</v>
      </c>
      <c r="I96">
        <v>80</v>
      </c>
      <c r="J96" s="9">
        <v>19.882841971978898</v>
      </c>
      <c r="K96" s="9">
        <v>2.96</v>
      </c>
      <c r="L96" s="9">
        <v>1</v>
      </c>
      <c r="M96" s="9">
        <f>Proj[[#This Row],[TOI ES]]+Proj[[#This Row],[TOI PP]]+Proj[[#This Row],[TOI PK]]</f>
        <v>23.842841971978899</v>
      </c>
      <c r="N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48</v>
      </c>
      <c r="P96" s="10">
        <f>Proj[[#This Row],[Goals]]+Proj[[#This Row],[Assists]]</f>
        <v>59</v>
      </c>
      <c r="Q96" s="10">
        <f>ROUND(_xlfn.IFNA(INDEX(Table2[],MATCH(Proj[[#This Row],[Player]],Table2[Player],0),11)/60,IF(Proj[[#This Row],[Pos]] = "D", 'Per 60 PP'!$K$527,'Per 60 PP'!$K$526)/60)*Proj[[#This Row],[TOI PP]]*Proj[[#This Row],[GP]],0)</f>
        <v>3</v>
      </c>
      <c r="R96" s="10">
        <f>ROUND(_xlfn.IFNA(INDEX(Table2[],MATCH(Proj[[#This Row],[Player]],Table2[Player],0),7)/60,IF(Proj[[#This Row],[Pos]] = "D", 'Per 60 PP'!$G$527,'Per 60 PP'!$G$526)/60)*Proj[[#This Row],[TOI PP]]*Proj[[#This Row],[GP]],0)</f>
        <v>19</v>
      </c>
      <c r="S96" s="10">
        <f>Proj[[#This Row],[PPG]]+Proj[[#This Row],[PPA]]</f>
        <v>22</v>
      </c>
      <c r="T96">
        <f>ROUND((_xlfn.IFNA(INDEX(Table3[],MATCH(Proj[[#This Row],[Player]],Table3[Player],0),6)/60,IF(Proj[[#This Row],[Pos]] ="D", 'Per 60 PK'!$F$623, 'Per 60 PK'!$F$622)/60)+_xlfn.IFNA(INDEX(Table3[],MATCH(Proj[[#This Row],[Player]],Table3[Player],0),8)/60,IF(Proj[[#This Row],[Pos]] ="D", 'Per 60 PK'!$H$623, 'Per 60 PK'!$H$622)/60))*Proj[[#This Row],[TOI PK]]*Proj[[#This Row],[GP]],0)</f>
        <v>0</v>
      </c>
      <c r="U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167</v>
      </c>
      <c r="W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192</v>
      </c>
      <c r="AA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603.2865393873609</v>
      </c>
      <c r="AB96" s="10">
        <f>_xlfn.RANK.EQ(Proj[[#This Row],[VOR]],Proj[VOR])</f>
        <v>33</v>
      </c>
      <c r="AC96" s="10">
        <f>INDEX(Std[],MATCH(Proj[[#This Row],[Player]],Std[Player],0),20)</f>
        <v>710.65130710682536</v>
      </c>
      <c r="AD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537.30000000000007</v>
      </c>
    </row>
    <row r="97" spans="1:30" x14ac:dyDescent="0.25">
      <c r="A97" t="s">
        <v>355</v>
      </c>
      <c r="B97">
        <v>22</v>
      </c>
      <c r="C97" t="s">
        <v>104</v>
      </c>
      <c r="D97" t="s">
        <v>2</v>
      </c>
      <c r="E97" s="9">
        <f>INDEX(Table1[],MATCH(Proj[[#This Row],[Player]],Table1[Player],0),5)</f>
        <v>14.799442610009001</v>
      </c>
      <c r="F97" s="9">
        <f>_xlfn.IFNA(INDEX(Table2[],MATCH(Proj[[#This Row],[Player]],Table2[Player],0),5),0)</f>
        <v>2.97</v>
      </c>
      <c r="G97" s="9">
        <f>_xlfn.IFNA(INDEX(Table3[],MATCH(Proj[[#This Row],[Player]],Table3[Player],0),5),0)</f>
        <v>0</v>
      </c>
      <c r="H97" s="10">
        <v>82</v>
      </c>
      <c r="I97">
        <v>82</v>
      </c>
      <c r="J97" s="9">
        <v>14.799442610009001</v>
      </c>
      <c r="K97" s="9">
        <v>2.97</v>
      </c>
      <c r="L97" s="9">
        <v>0</v>
      </c>
      <c r="M97" s="9">
        <f>Proj[[#This Row],[TOI ES]]+Proj[[#This Row],[TOI PP]]+Proj[[#This Row],[TOI PK]]</f>
        <v>17.769442610009001</v>
      </c>
      <c r="N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97" s="10">
        <f>Proj[[#This Row],[Goals]]+Proj[[#This Row],[Assists]]</f>
        <v>58</v>
      </c>
      <c r="Q97" s="10">
        <f>ROUND(_xlfn.IFNA(INDEX(Table2[],MATCH(Proj[[#This Row],[Player]],Table2[Player],0),11)/60,IF(Proj[[#This Row],[Pos]] = "D", 'Per 60 PP'!$K$527,'Per 60 PP'!$K$526)/60)*Proj[[#This Row],[TOI PP]]*Proj[[#This Row],[GP]],0)</f>
        <v>6</v>
      </c>
      <c r="R97" s="10">
        <f>ROUND(_xlfn.IFNA(INDEX(Table2[],MATCH(Proj[[#This Row],[Player]],Table2[Player],0),7)/60,IF(Proj[[#This Row],[Pos]] = "D", 'Per 60 PP'!$G$527,'Per 60 PP'!$G$526)/60)*Proj[[#This Row],[TOI PP]]*Proj[[#This Row],[GP]],0)</f>
        <v>12</v>
      </c>
      <c r="S97" s="10">
        <f>Proj[[#This Row],[PPG]]+Proj[[#This Row],[PPA]]</f>
        <v>18</v>
      </c>
      <c r="T97">
        <f>ROUND((_xlfn.IFNA(INDEX(Table3[],MATCH(Proj[[#This Row],[Player]],Table3[Player],0),6)/60,IF(Proj[[#This Row],[Pos]] ="D", 'Per 60 PK'!$F$623, 'Per 60 PK'!$F$622)/60)+_xlfn.IFNA(INDEX(Table3[],MATCH(Proj[[#This Row],[Player]],Table3[Player],0),8)/60,IF(Proj[[#This Row],[Pos]] ="D", 'Per 60 PK'!$H$623, 'Per 60 PK'!$H$622)/60))*Proj[[#This Row],[TOI PK]]*Proj[[#This Row],[GP]],0)</f>
        <v>0</v>
      </c>
      <c r="U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28</v>
      </c>
      <c r="W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164</v>
      </c>
      <c r="AA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-168.19189968363332</v>
      </c>
      <c r="AB97" s="10">
        <f>_xlfn.RANK.EQ(Proj[[#This Row],[VOR]],Proj[VOR])</f>
        <v>231</v>
      </c>
      <c r="AC97" s="10">
        <f>INDEX(Std[],MATCH(Proj[[#This Row],[Player]],Std[Player],0),20)</f>
        <v>278.35282470661554</v>
      </c>
      <c r="AD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437.3</v>
      </c>
    </row>
    <row r="98" spans="1:30" x14ac:dyDescent="0.25">
      <c r="A98" t="s">
        <v>256</v>
      </c>
      <c r="B98">
        <v>35</v>
      </c>
      <c r="C98" t="s">
        <v>3</v>
      </c>
      <c r="D98" t="s">
        <v>29</v>
      </c>
      <c r="E98" s="9">
        <f>INDEX(Table1[],MATCH(Proj[[#This Row],[Player]],Table1[Player],0),5)</f>
        <v>19.486302901045701</v>
      </c>
      <c r="F98" s="9">
        <f>_xlfn.IFNA(INDEX(Table2[],MATCH(Proj[[#This Row],[Player]],Table2[Player],0),5),0)</f>
        <v>3.39</v>
      </c>
      <c r="G98" s="9">
        <f>_xlfn.IFNA(INDEX(Table3[],MATCH(Proj[[#This Row],[Player]],Table3[Player],0),5),0)</f>
        <v>2.46</v>
      </c>
      <c r="H98" s="10">
        <v>81</v>
      </c>
      <c r="I98">
        <v>81</v>
      </c>
      <c r="J98" s="9">
        <v>19.486302901045701</v>
      </c>
      <c r="K98" s="9">
        <v>3.39</v>
      </c>
      <c r="L98" s="9">
        <v>2.46</v>
      </c>
      <c r="M98" s="9">
        <f>Proj[[#This Row],[TOI ES]]+Proj[[#This Row],[TOI PP]]+Proj[[#This Row],[TOI PK]]</f>
        <v>25.336302901045702</v>
      </c>
      <c r="N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45</v>
      </c>
      <c r="P98" s="10">
        <f>Proj[[#This Row],[Goals]]+Proj[[#This Row],[Assists]]</f>
        <v>58</v>
      </c>
      <c r="Q98" s="10">
        <f>ROUND(_xlfn.IFNA(INDEX(Table2[],MATCH(Proj[[#This Row],[Player]],Table2[Player],0),11)/60,IF(Proj[[#This Row],[Pos]] = "D", 'Per 60 PP'!$K$527,'Per 60 PP'!$K$526)/60)*Proj[[#This Row],[TOI PP]]*Proj[[#This Row],[GP]],0)</f>
        <v>6</v>
      </c>
      <c r="R98" s="10">
        <f>ROUND(_xlfn.IFNA(INDEX(Table2[],MATCH(Proj[[#This Row],[Player]],Table2[Player],0),7)/60,IF(Proj[[#This Row],[Pos]] = "D", 'Per 60 PP'!$G$527,'Per 60 PP'!$G$526)/60)*Proj[[#This Row],[TOI PP]]*Proj[[#This Row],[GP]],0)</f>
        <v>16</v>
      </c>
      <c r="S98" s="10">
        <f>Proj[[#This Row],[PPG]]+Proj[[#This Row],[PPA]]</f>
        <v>22</v>
      </c>
      <c r="T98">
        <f>ROUND((_xlfn.IFNA(INDEX(Table3[],MATCH(Proj[[#This Row],[Player]],Table3[Player],0),6)/60,IF(Proj[[#This Row],[Pos]] ="D", 'Per 60 PK'!$F$623, 'Per 60 PK'!$F$622)/60)+_xlfn.IFNA(INDEX(Table3[],MATCH(Proj[[#This Row],[Player]],Table3[Player],0),8)/60,IF(Proj[[#This Row],[Pos]] ="D", 'Per 60 PK'!$H$623, 'Per 60 PK'!$H$622)/60))*Proj[[#This Row],[TOI PK]]*Proj[[#This Row],[GP]],0)</f>
        <v>1</v>
      </c>
      <c r="U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181</v>
      </c>
      <c r="W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195</v>
      </c>
      <c r="AA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634.31637820939181</v>
      </c>
      <c r="AB98" s="10">
        <f>_xlfn.RANK.EQ(Proj[[#This Row],[VOR]],Proj[VOR])</f>
        <v>28</v>
      </c>
      <c r="AC98" s="10">
        <f>INDEX(Std[],MATCH(Proj[[#This Row],[Player]],Std[Player],0),20)</f>
        <v>741.68114592885627</v>
      </c>
      <c r="AD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543.25</v>
      </c>
    </row>
    <row r="99" spans="1:30" x14ac:dyDescent="0.25">
      <c r="A99" t="s">
        <v>862</v>
      </c>
      <c r="B99">
        <v>20</v>
      </c>
      <c r="C99" t="s">
        <v>102</v>
      </c>
      <c r="D99" t="s">
        <v>6</v>
      </c>
      <c r="E99" s="9">
        <f>INDEX(Table1[],MATCH(Proj[[#This Row],[Player]],Table1[Player],0),5)</f>
        <v>15.75</v>
      </c>
      <c r="F99" s="9">
        <f>_xlfn.IFNA(INDEX(Table2[],MATCH(Proj[[#This Row],[Player]],Table2[Player],0),5),0)</f>
        <v>3.01</v>
      </c>
      <c r="G99" s="9">
        <f>_xlfn.IFNA(INDEX(Table3[],MATCH(Proj[[#This Row],[Player]],Table3[Player],0),5),0)</f>
        <v>0</v>
      </c>
      <c r="H99" s="10">
        <v>81</v>
      </c>
      <c r="I99">
        <v>81</v>
      </c>
      <c r="J99" s="9">
        <v>15.75</v>
      </c>
      <c r="K99" s="9">
        <v>3.01</v>
      </c>
      <c r="L99" s="9">
        <v>0</v>
      </c>
      <c r="M99" s="9">
        <f>Proj[[#This Row],[TOI ES]]+Proj[[#This Row],[TOI PP]]+Proj[[#This Row],[TOI PK]]</f>
        <v>18.759999999999998</v>
      </c>
      <c r="N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99" s="10">
        <f>Proj[[#This Row],[Goals]]+Proj[[#This Row],[Assists]]</f>
        <v>58</v>
      </c>
      <c r="Q99" s="10">
        <f>ROUND(_xlfn.IFNA(INDEX(Table2[],MATCH(Proj[[#This Row],[Player]],Table2[Player],0),11)/60,IF(Proj[[#This Row],[Pos]] = "D", 'Per 60 PP'!$K$527,'Per 60 PP'!$K$526)/60)*Proj[[#This Row],[TOI PP]]*Proj[[#This Row],[GP]],0)</f>
        <v>5</v>
      </c>
      <c r="R99" s="10">
        <f>ROUND(_xlfn.IFNA(INDEX(Table2[],MATCH(Proj[[#This Row],[Player]],Table2[Player],0),7)/60,IF(Proj[[#This Row],[Pos]] = "D", 'Per 60 PP'!$G$527,'Per 60 PP'!$G$526)/60)*Proj[[#This Row],[TOI PP]]*Proj[[#This Row],[GP]],0)</f>
        <v>10</v>
      </c>
      <c r="S99" s="10">
        <f>Proj[[#This Row],[PPG]]+Proj[[#This Row],[PPA]]</f>
        <v>15</v>
      </c>
      <c r="T99">
        <f>ROUND((_xlfn.IFNA(INDEX(Table3[],MATCH(Proj[[#This Row],[Player]],Table3[Player],0),6)/60,IF(Proj[[#This Row],[Pos]] ="D", 'Per 60 PK'!$F$623, 'Per 60 PK'!$F$622)/60)+_xlfn.IFNA(INDEX(Table3[],MATCH(Proj[[#This Row],[Player]],Table3[Player],0),8)/60,IF(Proj[[#This Row],[Pos]] ="D", 'Per 60 PK'!$H$623, 'Per 60 PK'!$H$622)/60))*Proj[[#This Row],[TOI PK]]*Proj[[#This Row],[GP]],0)</f>
        <v>0</v>
      </c>
      <c r="U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147</v>
      </c>
      <c r="V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66</v>
      </c>
      <c r="X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v>
      </c>
      <c r="Y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164</v>
      </c>
      <c r="AA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252.18366174906618</v>
      </c>
      <c r="AB99" s="10">
        <f>_xlfn.RANK.EQ(Proj[[#This Row],[VOR]],Proj[VOR])</f>
        <v>89</v>
      </c>
      <c r="AC99" s="10">
        <f>INDEX(Std[],MATCH(Proj[[#This Row],[Player]],Std[Player],0),20)</f>
        <v>723.72838613931503</v>
      </c>
      <c r="AD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533.40000000000009</v>
      </c>
    </row>
    <row r="100" spans="1:30" x14ac:dyDescent="0.25">
      <c r="A100" t="s">
        <v>698</v>
      </c>
      <c r="B100">
        <v>28</v>
      </c>
      <c r="C100" t="s">
        <v>104</v>
      </c>
      <c r="D100" t="s">
        <v>22</v>
      </c>
      <c r="E100" s="9">
        <f>INDEX(Table1[],MATCH(Proj[[#This Row],[Player]],Table1[Player],0),5)</f>
        <v>13.75</v>
      </c>
      <c r="F100" s="9">
        <f>_xlfn.IFNA(INDEX(Table2[],MATCH(Proj[[#This Row],[Player]],Table2[Player],0),5),0)</f>
        <v>3.02</v>
      </c>
      <c r="G100" s="9">
        <f>_xlfn.IFNA(INDEX(Table3[],MATCH(Proj[[#This Row],[Player]],Table3[Player],0),5),0)</f>
        <v>0</v>
      </c>
      <c r="H100" s="10">
        <v>75</v>
      </c>
      <c r="I100">
        <v>75</v>
      </c>
      <c r="J100" s="9">
        <v>13.75</v>
      </c>
      <c r="K100" s="9">
        <v>3.02</v>
      </c>
      <c r="L100" s="9">
        <v>0</v>
      </c>
      <c r="M100" s="9">
        <f>Proj[[#This Row],[TOI ES]]+Proj[[#This Row],[TOI PP]]+Proj[[#This Row],[TOI PK]]</f>
        <v>16.77</v>
      </c>
      <c r="N1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1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100" s="10">
        <f>Proj[[#This Row],[Goals]]+Proj[[#This Row],[Assists]]</f>
        <v>57</v>
      </c>
      <c r="Q100" s="10">
        <f>ROUND(_xlfn.IFNA(INDEX(Table2[],MATCH(Proj[[#This Row],[Player]],Table2[Player],0),11)/60,IF(Proj[[#This Row],[Pos]] = "D", 'Per 60 PP'!$K$527,'Per 60 PP'!$K$526)/60)*Proj[[#This Row],[TOI PP]]*Proj[[#This Row],[GP]],0)</f>
        <v>9</v>
      </c>
      <c r="R100" s="10">
        <f>ROUND(_xlfn.IFNA(INDEX(Table2[],MATCH(Proj[[#This Row],[Player]],Table2[Player],0),7)/60,IF(Proj[[#This Row],[Pos]] = "D", 'Per 60 PP'!$G$527,'Per 60 PP'!$G$526)/60)*Proj[[#This Row],[TOI PP]]*Proj[[#This Row],[GP]],0)</f>
        <v>11</v>
      </c>
      <c r="S100" s="10">
        <f>Proj[[#This Row],[PPG]]+Proj[[#This Row],[PPA]]</f>
        <v>20</v>
      </c>
      <c r="T100">
        <f>ROUND((_xlfn.IFNA(INDEX(Table3[],MATCH(Proj[[#This Row],[Player]],Table3[Player],0),6)/60,IF(Proj[[#This Row],[Pos]] ="D", 'Per 60 PK'!$F$623, 'Per 60 PK'!$F$622)/60)+_xlfn.IFNA(INDEX(Table3[],MATCH(Proj[[#This Row],[Player]],Table3[Player],0),8)/60,IF(Proj[[#This Row],[Pos]] ="D", 'Per 60 PK'!$H$623, 'Per 60 PK'!$H$622)/60))*Proj[[#This Row],[TOI PK]]*Proj[[#This Row],[GP]],0)</f>
        <v>0</v>
      </c>
      <c r="U1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v>
      </c>
      <c r="V1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1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1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1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1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136</v>
      </c>
      <c r="AA1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-346.13034767443071</v>
      </c>
      <c r="AB100" s="10">
        <f>_xlfn.RANK.EQ(Proj[[#This Row],[VOR]],Proj[VOR])</f>
        <v>343</v>
      </c>
      <c r="AC100" s="10">
        <f>INDEX(Std[],MATCH(Proj[[#This Row],[Player]],Std[Player],0),20)</f>
        <v>100.41437671581815</v>
      </c>
      <c r="AD1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390.65000000000003</v>
      </c>
    </row>
    <row r="101" spans="1:30" x14ac:dyDescent="0.25">
      <c r="A101" t="s">
        <v>315</v>
      </c>
      <c r="B101">
        <v>29</v>
      </c>
      <c r="C101" t="s">
        <v>3</v>
      </c>
      <c r="D101" t="s">
        <v>28</v>
      </c>
      <c r="E101" s="9">
        <f>INDEX(Table1[],MATCH(Proj[[#This Row],[Player]],Table1[Player],0),5)</f>
        <v>18.692544409163499</v>
      </c>
      <c r="F101" s="9">
        <f>_xlfn.IFNA(INDEX(Table2[],MATCH(Proj[[#This Row],[Player]],Table2[Player],0),5),0)</f>
        <v>2.95</v>
      </c>
      <c r="G101" s="9">
        <f>_xlfn.IFNA(INDEX(Table3[],MATCH(Proj[[#This Row],[Player]],Table3[Player],0),5),0)</f>
        <v>0</v>
      </c>
      <c r="H101" s="10">
        <v>75</v>
      </c>
      <c r="I101">
        <v>75</v>
      </c>
      <c r="J101" s="9">
        <v>18.692544409163499</v>
      </c>
      <c r="K101" s="9">
        <v>2.95</v>
      </c>
      <c r="L101" s="9">
        <v>0</v>
      </c>
      <c r="M101" s="9">
        <f>Proj[[#This Row],[TOI ES]]+Proj[[#This Row],[TOI PP]]+Proj[[#This Row],[TOI PK]]</f>
        <v>21.642544409163499</v>
      </c>
      <c r="N1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1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48</v>
      </c>
      <c r="P101" s="10">
        <f>Proj[[#This Row],[Goals]]+Proj[[#This Row],[Assists]]</f>
        <v>57</v>
      </c>
      <c r="Q101" s="10">
        <f>ROUND(_xlfn.IFNA(INDEX(Table2[],MATCH(Proj[[#This Row],[Player]],Table2[Player],0),11)/60,IF(Proj[[#This Row],[Pos]] = "D", 'Per 60 PP'!$K$527,'Per 60 PP'!$K$526)/60)*Proj[[#This Row],[TOI PP]]*Proj[[#This Row],[GP]],0)</f>
        <v>2</v>
      </c>
      <c r="R101" s="10">
        <f>ROUND(_xlfn.IFNA(INDEX(Table2[],MATCH(Proj[[#This Row],[Player]],Table2[Player],0),7)/60,IF(Proj[[#This Row],[Pos]] = "D", 'Per 60 PP'!$G$527,'Per 60 PP'!$G$526)/60)*Proj[[#This Row],[TOI PP]]*Proj[[#This Row],[GP]],0)</f>
        <v>17</v>
      </c>
      <c r="S101" s="10">
        <f>Proj[[#This Row],[PPG]]+Proj[[#This Row],[PPA]]</f>
        <v>19</v>
      </c>
      <c r="T101">
        <f>ROUND((_xlfn.IFNA(INDEX(Table3[],MATCH(Proj[[#This Row],[Player]],Table3[Player],0),6)/60,IF(Proj[[#This Row],[Pos]] ="D", 'Per 60 PK'!$F$623, 'Per 60 PK'!$F$622)/60)+_xlfn.IFNA(INDEX(Table3[],MATCH(Proj[[#This Row],[Player]],Table3[Player],0),8)/60,IF(Proj[[#This Row],[Pos]] ="D", 'Per 60 PK'!$H$623, 'Per 60 PK'!$H$622)/60))*Proj[[#This Row],[TOI PK]]*Proj[[#This Row],[GP]],0)</f>
        <v>0</v>
      </c>
      <c r="U1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1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120</v>
      </c>
      <c r="W1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1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232.18350170158439</v>
      </c>
      <c r="AB101" s="10">
        <f>_xlfn.RANK.EQ(Proj[[#This Row],[VOR]],Proj[VOR])</f>
        <v>92</v>
      </c>
      <c r="AC101" s="10">
        <f>INDEX(Std[],MATCH(Proj[[#This Row],[Player]],Std[Player],0),20)</f>
        <v>339.54826942104887</v>
      </c>
      <c r="AD1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446.09999999999997</v>
      </c>
    </row>
    <row r="102" spans="1:30" x14ac:dyDescent="0.25">
      <c r="A102" t="s">
        <v>466</v>
      </c>
      <c r="B102">
        <v>33</v>
      </c>
      <c r="C102" t="s">
        <v>74</v>
      </c>
      <c r="D102" t="s">
        <v>7</v>
      </c>
      <c r="E102" s="9">
        <f>INDEX(Table1[],MATCH(Proj[[#This Row],[Player]],Table1[Player],0),5)</f>
        <v>14.514897885869001</v>
      </c>
      <c r="F102" s="9">
        <f>_xlfn.IFNA(INDEX(Table2[],MATCH(Proj[[#This Row],[Player]],Table2[Player],0),5),0)</f>
        <v>2.88</v>
      </c>
      <c r="G102" s="9">
        <f>_xlfn.IFNA(INDEX(Table3[],MATCH(Proj[[#This Row],[Player]],Table3[Player],0),5),0)</f>
        <v>1.77</v>
      </c>
      <c r="H102" s="10">
        <v>79</v>
      </c>
      <c r="I102">
        <v>79</v>
      </c>
      <c r="J102" s="9">
        <v>14.514897885869001</v>
      </c>
      <c r="K102" s="9">
        <v>2.88</v>
      </c>
      <c r="L102" s="9">
        <v>1.77</v>
      </c>
      <c r="M102" s="9">
        <f>Proj[[#This Row],[TOI ES]]+Proj[[#This Row],[TOI PP]]+Proj[[#This Row],[TOI PK]]</f>
        <v>19.164897885868999</v>
      </c>
      <c r="N1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102" s="10">
        <f>Proj[[#This Row],[Goals]]+Proj[[#This Row],[Assists]]</f>
        <v>57</v>
      </c>
      <c r="Q102" s="10">
        <f>ROUND(_xlfn.IFNA(INDEX(Table2[],MATCH(Proj[[#This Row],[Player]],Table2[Player],0),11)/60,IF(Proj[[#This Row],[Pos]] = "D", 'Per 60 PP'!$K$527,'Per 60 PP'!$K$526)/60)*Proj[[#This Row],[TOI PP]]*Proj[[#This Row],[GP]],0)</f>
        <v>8</v>
      </c>
      <c r="R102" s="10">
        <f>ROUND(_xlfn.IFNA(INDEX(Table2[],MATCH(Proj[[#This Row],[Player]],Table2[Player],0),7)/60,IF(Proj[[#This Row],[Pos]] = "D", 'Per 60 PP'!$G$527,'Per 60 PP'!$G$526)/60)*Proj[[#This Row],[TOI PP]]*Proj[[#This Row],[GP]],0)</f>
        <v>9</v>
      </c>
      <c r="S102" s="10">
        <f>Proj[[#This Row],[PPG]]+Proj[[#This Row],[PPA]]</f>
        <v>17</v>
      </c>
      <c r="T102">
        <f>ROUND((_xlfn.IFNA(INDEX(Table3[],MATCH(Proj[[#This Row],[Player]],Table3[Player],0),6)/60,IF(Proj[[#This Row],[Pos]] ="D", 'Per 60 PK'!$F$623, 'Per 60 PK'!$F$622)/60)+_xlfn.IFNA(INDEX(Table3[],MATCH(Proj[[#This Row],[Player]],Table3[Player],0),8)/60,IF(Proj[[#This Row],[Pos]] ="D", 'Per 60 PK'!$H$623, 'Per 60 PK'!$H$622)/60))*Proj[[#This Row],[TOI PK]]*Proj[[#This Row],[GP]],0)</f>
        <v>1</v>
      </c>
      <c r="U1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v>
      </c>
      <c r="V1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1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1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774</v>
      </c>
      <c r="Y1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648</v>
      </c>
      <c r="Z1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1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-120.47137981777155</v>
      </c>
      <c r="AB102" s="10">
        <f>_xlfn.RANK.EQ(Proj[[#This Row],[VOR]],Proj[VOR])</f>
        <v>210</v>
      </c>
      <c r="AC102" s="10">
        <f>INDEX(Std[],MATCH(Proj[[#This Row],[Player]],Std[Player],0),20)</f>
        <v>614.16247449252705</v>
      </c>
      <c r="AD1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495.9</v>
      </c>
    </row>
    <row r="103" spans="1:30" x14ac:dyDescent="0.25">
      <c r="A103" t="s">
        <v>364</v>
      </c>
      <c r="B103">
        <v>34</v>
      </c>
      <c r="C103" t="s">
        <v>105</v>
      </c>
      <c r="D103" t="s">
        <v>17</v>
      </c>
      <c r="E103" s="9">
        <f>INDEX(Table1[],MATCH(Proj[[#This Row],[Player]],Table1[Player],0),5)</f>
        <v>14.608653266076701</v>
      </c>
      <c r="F103" s="9">
        <f>_xlfn.IFNA(INDEX(Table2[],MATCH(Proj[[#This Row],[Player]],Table2[Player],0),5),0)</f>
        <v>2.1</v>
      </c>
      <c r="G103" s="9">
        <f>_xlfn.IFNA(INDEX(Table3[],MATCH(Proj[[#This Row],[Player]],Table3[Player],0),5),0)</f>
        <v>0.52</v>
      </c>
      <c r="H103" s="10">
        <v>76</v>
      </c>
      <c r="I103">
        <v>76</v>
      </c>
      <c r="J103" s="9">
        <v>14.608653266076701</v>
      </c>
      <c r="K103" s="9">
        <v>2.1</v>
      </c>
      <c r="L103" s="9">
        <v>0.52</v>
      </c>
      <c r="M103" s="9">
        <f>Proj[[#This Row],[TOI ES]]+Proj[[#This Row],[TOI PP]]+Proj[[#This Row],[TOI PK]]</f>
        <v>17.228653266076702</v>
      </c>
      <c r="N1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103" s="10">
        <f>Proj[[#This Row],[Goals]]+Proj[[#This Row],[Assists]]</f>
        <v>57</v>
      </c>
      <c r="Q103" s="10">
        <f>ROUND(_xlfn.IFNA(INDEX(Table2[],MATCH(Proj[[#This Row],[Player]],Table2[Player],0),11)/60,IF(Proj[[#This Row],[Pos]] = "D", 'Per 60 PP'!$K$527,'Per 60 PP'!$K$526)/60)*Proj[[#This Row],[TOI PP]]*Proj[[#This Row],[GP]],0)</f>
        <v>6</v>
      </c>
      <c r="R103" s="10">
        <f>ROUND(_xlfn.IFNA(INDEX(Table2[],MATCH(Proj[[#This Row],[Player]],Table2[Player],0),7)/60,IF(Proj[[#This Row],[Pos]] = "D", 'Per 60 PP'!$G$527,'Per 60 PP'!$G$526)/60)*Proj[[#This Row],[TOI PP]]*Proj[[#This Row],[GP]],0)</f>
        <v>8</v>
      </c>
      <c r="S103" s="10">
        <f>Proj[[#This Row],[PPG]]+Proj[[#This Row],[PPA]]</f>
        <v>14</v>
      </c>
      <c r="T103">
        <f>ROUND((_xlfn.IFNA(INDEX(Table3[],MATCH(Proj[[#This Row],[Player]],Table3[Player],0),6)/60,IF(Proj[[#This Row],[Pos]] ="D", 'Per 60 PK'!$F$623, 'Per 60 PK'!$F$622)/60)+_xlfn.IFNA(INDEX(Table3[],MATCH(Proj[[#This Row],[Player]],Table3[Player],0),8)/60,IF(Proj[[#This Row],[Pos]] ="D", 'Per 60 PK'!$H$623, 'Per 60 PK'!$H$622)/60))*Proj[[#This Row],[TOI PK]]*Proj[[#This Row],[GP]],0)</f>
        <v>0</v>
      </c>
      <c r="U1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1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1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1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288</v>
      </c>
      <c r="Y1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231</v>
      </c>
      <c r="Z1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165</v>
      </c>
      <c r="AA1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-86.12623833710586</v>
      </c>
      <c r="AB103" s="10">
        <f>_xlfn.RANK.EQ(Proj[[#This Row],[VOR]],Proj[VOR])</f>
        <v>193</v>
      </c>
      <c r="AC103" s="10">
        <f>INDEX(Std[],MATCH(Proj[[#This Row],[Player]],Std[Player],0),20)</f>
        <v>360.418486053143</v>
      </c>
      <c r="AD1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449.75000000000006</v>
      </c>
    </row>
    <row r="104" spans="1:30" x14ac:dyDescent="0.25">
      <c r="A104" t="s">
        <v>467</v>
      </c>
      <c r="B104">
        <v>26</v>
      </c>
      <c r="C104" t="s">
        <v>105</v>
      </c>
      <c r="D104" t="s">
        <v>34</v>
      </c>
      <c r="E104" s="9">
        <f>INDEX(Table1[],MATCH(Proj[[#This Row],[Player]],Table1[Player],0),5)</f>
        <v>14.849039285463601</v>
      </c>
      <c r="F104" s="9">
        <f>_xlfn.IFNA(INDEX(Table2[],MATCH(Proj[[#This Row],[Player]],Table2[Player],0),5),0)</f>
        <v>2.3199999999999998</v>
      </c>
      <c r="G104" s="9">
        <f>_xlfn.IFNA(INDEX(Table3[],MATCH(Proj[[#This Row],[Player]],Table3[Player],0),5),0)</f>
        <v>0.67</v>
      </c>
      <c r="H104" s="10">
        <v>81</v>
      </c>
      <c r="I104">
        <v>81</v>
      </c>
      <c r="J104" s="9">
        <v>14.849039285463601</v>
      </c>
      <c r="K104" s="9">
        <v>2.3199999999999998</v>
      </c>
      <c r="L104" s="9">
        <v>0.67</v>
      </c>
      <c r="M104" s="9">
        <f>Proj[[#This Row],[TOI ES]]+Proj[[#This Row],[TOI PP]]+Proj[[#This Row],[TOI PK]]</f>
        <v>17.839039285463603</v>
      </c>
      <c r="N1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104" s="10">
        <f>Proj[[#This Row],[Goals]]+Proj[[#This Row],[Assists]]</f>
        <v>57</v>
      </c>
      <c r="Q104" s="10">
        <f>ROUND(_xlfn.IFNA(INDEX(Table2[],MATCH(Proj[[#This Row],[Player]],Table2[Player],0),11)/60,IF(Proj[[#This Row],[Pos]] = "D", 'Per 60 PP'!$K$527,'Per 60 PP'!$K$526)/60)*Proj[[#This Row],[TOI PP]]*Proj[[#This Row],[GP]],0)</f>
        <v>6</v>
      </c>
      <c r="R104" s="10">
        <f>ROUND(_xlfn.IFNA(INDEX(Table2[],MATCH(Proj[[#This Row],[Player]],Table2[Player],0),7)/60,IF(Proj[[#This Row],[Pos]] = "D", 'Per 60 PP'!$G$527,'Per 60 PP'!$G$526)/60)*Proj[[#This Row],[TOI PP]]*Proj[[#This Row],[GP]],0)</f>
        <v>8</v>
      </c>
      <c r="S104" s="10">
        <f>Proj[[#This Row],[PPG]]+Proj[[#This Row],[PPA]]</f>
        <v>14</v>
      </c>
      <c r="T104">
        <f>ROUND((_xlfn.IFNA(INDEX(Table3[],MATCH(Proj[[#This Row],[Player]],Table3[Player],0),6)/60,IF(Proj[[#This Row],[Pos]] ="D", 'Per 60 PK'!$F$623, 'Per 60 PK'!$F$622)/60)+_xlfn.IFNA(INDEX(Table3[],MATCH(Proj[[#This Row],[Player]],Table3[Player],0),8)/60,IF(Proj[[#This Row],[Pos]] ="D", 'Per 60 PK'!$H$623, 'Per 60 PK'!$H$622)/60))*Proj[[#This Row],[TOI PK]]*Proj[[#This Row],[GP]],0)</f>
        <v>1</v>
      </c>
      <c r="U1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1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1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1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75</v>
      </c>
      <c r="Y1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114</v>
      </c>
      <c r="Z1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224</v>
      </c>
      <c r="AA1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-5.4528517658388296</v>
      </c>
      <c r="AB104" s="10">
        <f>_xlfn.RANK.EQ(Proj[[#This Row],[VOR]],Proj[VOR])</f>
        <v>164</v>
      </c>
      <c r="AC104" s="10">
        <f>INDEX(Std[],MATCH(Proj[[#This Row],[Player]],Std[Player],0),20)</f>
        <v>441.09187262441003</v>
      </c>
      <c r="AD1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477.1</v>
      </c>
    </row>
    <row r="105" spans="1:30" x14ac:dyDescent="0.25">
      <c r="A105" t="s">
        <v>311</v>
      </c>
      <c r="B105">
        <v>33</v>
      </c>
      <c r="C105" t="s">
        <v>104</v>
      </c>
      <c r="D105" t="s">
        <v>2</v>
      </c>
      <c r="E105" s="9">
        <f>INDEX(Table1[],MATCH(Proj[[#This Row],[Player]],Table1[Player],0),5)</f>
        <v>13.494956559917799</v>
      </c>
      <c r="F105" s="9">
        <f>_xlfn.IFNA(INDEX(Table2[],MATCH(Proj[[#This Row],[Player]],Table2[Player],0),5),0)</f>
        <v>2.21</v>
      </c>
      <c r="G105" s="9">
        <f>_xlfn.IFNA(INDEX(Table3[],MATCH(Proj[[#This Row],[Player]],Table3[Player],0),5),0)</f>
        <v>0</v>
      </c>
      <c r="H105" s="10">
        <v>79</v>
      </c>
      <c r="I105">
        <v>79</v>
      </c>
      <c r="J105" s="9">
        <v>13.494956559917799</v>
      </c>
      <c r="K105" s="9">
        <v>2.21</v>
      </c>
      <c r="L105" s="9">
        <v>0</v>
      </c>
      <c r="M105" s="9">
        <f>Proj[[#This Row],[TOI ES]]+Proj[[#This Row],[TOI PP]]+Proj[[#This Row],[TOI PK]]</f>
        <v>15.7049565599178</v>
      </c>
      <c r="N1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105" s="10">
        <f>Proj[[#This Row],[Goals]]+Proj[[#This Row],[Assists]]</f>
        <v>57</v>
      </c>
      <c r="Q105" s="10">
        <f>ROUND(_xlfn.IFNA(INDEX(Table2[],MATCH(Proj[[#This Row],[Player]],Table2[Player],0),11)/60,IF(Proj[[#This Row],[Pos]] = "D", 'Per 60 PP'!$K$527,'Per 60 PP'!$K$526)/60)*Proj[[#This Row],[TOI PP]]*Proj[[#This Row],[GP]],0)</f>
        <v>4</v>
      </c>
      <c r="R105" s="10">
        <f>ROUND(_xlfn.IFNA(INDEX(Table2[],MATCH(Proj[[#This Row],[Player]],Table2[Player],0),7)/60,IF(Proj[[#This Row],[Pos]] = "D", 'Per 60 PP'!$G$527,'Per 60 PP'!$G$526)/60)*Proj[[#This Row],[TOI PP]]*Proj[[#This Row],[GP]],0)</f>
        <v>9</v>
      </c>
      <c r="S105" s="10">
        <f>Proj[[#This Row],[PPG]]+Proj[[#This Row],[PPA]]</f>
        <v>13</v>
      </c>
      <c r="T105">
        <f>ROUND((_xlfn.IFNA(INDEX(Table3[],MATCH(Proj[[#This Row],[Player]],Table3[Player],0),6)/60,IF(Proj[[#This Row],[Pos]] ="D", 'Per 60 PK'!$F$623, 'Per 60 PK'!$F$622)/60)+_xlfn.IFNA(INDEX(Table3[],MATCH(Proj[[#This Row],[Player]],Table3[Player],0),8)/60,IF(Proj[[#This Row],[Pos]] ="D", 'Per 60 PK'!$H$623, 'Per 60 PK'!$H$622)/60))*Proj[[#This Row],[TOI PK]]*Proj[[#This Row],[GP]],0)</f>
        <v>0</v>
      </c>
      <c r="U1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79</v>
      </c>
      <c r="V1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1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1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1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v>
      </c>
      <c r="Z1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173</v>
      </c>
      <c r="AA1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-166.25263983734345</v>
      </c>
      <c r="AB105" s="10">
        <f>_xlfn.RANK.EQ(Proj[[#This Row],[VOR]],Proj[VOR])</f>
        <v>230</v>
      </c>
      <c r="AC105" s="10">
        <f>INDEX(Std[],MATCH(Proj[[#This Row],[Player]],Std[Player],0),20)</f>
        <v>280.29208455290541</v>
      </c>
      <c r="AD1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452.5</v>
      </c>
    </row>
    <row r="106" spans="1:30" x14ac:dyDescent="0.25">
      <c r="A106" t="s">
        <v>293</v>
      </c>
      <c r="B106">
        <v>30</v>
      </c>
      <c r="C106" t="s">
        <v>74</v>
      </c>
      <c r="D106" t="s">
        <v>12</v>
      </c>
      <c r="E106" s="9">
        <f>INDEX(Table1[],MATCH(Proj[[#This Row],[Player]],Table1[Player],0),5)</f>
        <v>14.352833674433301</v>
      </c>
      <c r="F106" s="9">
        <f>_xlfn.IFNA(INDEX(Table2[],MATCH(Proj[[#This Row],[Player]],Table2[Player],0),5),0)</f>
        <v>2.76</v>
      </c>
      <c r="G106" s="9">
        <f>_xlfn.IFNA(INDEX(Table3[],MATCH(Proj[[#This Row],[Player]],Table3[Player],0),5),0)</f>
        <v>2.29</v>
      </c>
      <c r="H106" s="10">
        <v>79</v>
      </c>
      <c r="I106">
        <v>79</v>
      </c>
      <c r="J106" s="9">
        <v>14.352833674433301</v>
      </c>
      <c r="K106" s="9">
        <v>2.76</v>
      </c>
      <c r="L106" s="9">
        <v>2.29</v>
      </c>
      <c r="M106" s="9">
        <f>Proj[[#This Row],[TOI ES]]+Proj[[#This Row],[TOI PP]]+Proj[[#This Row],[TOI PK]]</f>
        <v>19.4028336744333</v>
      </c>
      <c r="N1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35</v>
      </c>
      <c r="P106" s="10">
        <f>Proj[[#This Row],[Goals]]+Proj[[#This Row],[Assists]]</f>
        <v>57</v>
      </c>
      <c r="Q106" s="10">
        <f>ROUND(_xlfn.IFNA(INDEX(Table2[],MATCH(Proj[[#This Row],[Player]],Table2[Player],0),11)/60,IF(Proj[[#This Row],[Pos]] = "D", 'Per 60 PP'!$K$527,'Per 60 PP'!$K$526)/60)*Proj[[#This Row],[TOI PP]]*Proj[[#This Row],[GP]],0)</f>
        <v>8</v>
      </c>
      <c r="R106" s="10">
        <f>ROUND(_xlfn.IFNA(INDEX(Table2[],MATCH(Proj[[#This Row],[Player]],Table2[Player],0),7)/60,IF(Proj[[#This Row],[Pos]] = "D", 'Per 60 PP'!$G$527,'Per 60 PP'!$G$526)/60)*Proj[[#This Row],[TOI PP]]*Proj[[#This Row],[GP]],0)</f>
        <v>9</v>
      </c>
      <c r="S106" s="10">
        <f>Proj[[#This Row],[PPG]]+Proj[[#This Row],[PPA]]</f>
        <v>17</v>
      </c>
      <c r="T106">
        <f>ROUND((_xlfn.IFNA(INDEX(Table3[],MATCH(Proj[[#This Row],[Player]],Table3[Player],0),6)/60,IF(Proj[[#This Row],[Pos]] ="D", 'Per 60 PK'!$F$623, 'Per 60 PK'!$F$622)/60)+_xlfn.IFNA(INDEX(Table3[],MATCH(Proj[[#This Row],[Player]],Table3[Player],0),8)/60,IF(Proj[[#This Row],[Pos]] ="D", 'Per 60 PK'!$H$623, 'Per 60 PK'!$H$622)/60))*Proj[[#This Row],[TOI PK]]*Proj[[#This Row],[GP]],0)</f>
        <v>3</v>
      </c>
      <c r="U1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80</v>
      </c>
      <c r="V1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61</v>
      </c>
      <c r="W1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1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775</v>
      </c>
      <c r="Y1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618</v>
      </c>
      <c r="Z1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186</v>
      </c>
      <c r="AA1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69.005522715352527</v>
      </c>
      <c r="AB106" s="10">
        <f>_xlfn.RANK.EQ(Proj[[#This Row],[VOR]],Proj[VOR])</f>
        <v>133</v>
      </c>
      <c r="AC106" s="10">
        <f>INDEX(Std[],MATCH(Proj[[#This Row],[Player]],Std[Player],0),20)</f>
        <v>803.63937702565113</v>
      </c>
      <c r="AD1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550.65000000000009</v>
      </c>
    </row>
    <row r="107" spans="1:30" x14ac:dyDescent="0.25">
      <c r="A107" t="s">
        <v>1220</v>
      </c>
      <c r="B107">
        <v>18</v>
      </c>
      <c r="C107" t="s">
        <v>74</v>
      </c>
      <c r="D107" t="s">
        <v>154</v>
      </c>
      <c r="E107" s="9">
        <f>INDEX(Table1[],MATCH(Proj[[#This Row],[Player]],Table1[Player],0),5)</f>
        <v>14.5</v>
      </c>
      <c r="F107" s="9">
        <f>_xlfn.IFNA(INDEX(Table2[],MATCH(Proj[[#This Row],[Player]],Table2[Player],0),5),0)</f>
        <v>2.75</v>
      </c>
      <c r="G107" s="9">
        <f>_xlfn.IFNA(INDEX(Table3[],MATCH(Proj[[#This Row],[Player]],Table3[Player],0),5),0)</f>
        <v>0</v>
      </c>
      <c r="H107" s="10">
        <v>77</v>
      </c>
      <c r="I107">
        <v>77</v>
      </c>
      <c r="J107" s="9">
        <v>14.5</v>
      </c>
      <c r="K107" s="9">
        <v>2.75</v>
      </c>
      <c r="L107" s="9">
        <v>0</v>
      </c>
      <c r="M107" s="9">
        <f>Proj[[#This Row],[TOI ES]]+Proj[[#This Row],[TOI PP]]+Proj[[#This Row],[TOI PK]]</f>
        <v>17.25</v>
      </c>
      <c r="N1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107" s="10">
        <f>Proj[[#This Row],[Goals]]+Proj[[#This Row],[Assists]]</f>
        <v>57</v>
      </c>
      <c r="Q107" s="10">
        <f>ROUND(_xlfn.IFNA(INDEX(Table2[],MATCH(Proj[[#This Row],[Player]],Table2[Player],0),11)/60,IF(Proj[[#This Row],[Pos]] = "D", 'Per 60 PP'!$K$527,'Per 60 PP'!$K$526)/60)*Proj[[#This Row],[TOI PP]]*Proj[[#This Row],[GP]],0)</f>
        <v>5</v>
      </c>
      <c r="R107" s="10">
        <f>ROUND(_xlfn.IFNA(INDEX(Table2[],MATCH(Proj[[#This Row],[Player]],Table2[Player],0),7)/60,IF(Proj[[#This Row],[Pos]] = "D", 'Per 60 PP'!$G$527,'Per 60 PP'!$G$526)/60)*Proj[[#This Row],[TOI PP]]*Proj[[#This Row],[GP]],0)</f>
        <v>12</v>
      </c>
      <c r="S107" s="10">
        <f>Proj[[#This Row],[PPG]]+Proj[[#This Row],[PPA]]</f>
        <v>17</v>
      </c>
      <c r="T107">
        <f>ROUND((_xlfn.IFNA(INDEX(Table3[],MATCH(Proj[[#This Row],[Player]],Table3[Player],0),6)/60,IF(Proj[[#This Row],[Pos]] ="D", 'Per 60 PK'!$F$623, 'Per 60 PK'!$F$622)/60)+_xlfn.IFNA(INDEX(Table3[],MATCH(Proj[[#This Row],[Player]],Table3[Player],0),8)/60,IF(Proj[[#This Row],[Pos]] ="D", 'Per 60 PK'!$H$623, 'Per 60 PK'!$H$622)/60))*Proj[[#This Row],[TOI PK]]*Proj[[#This Row],[GP]],0)</f>
        <v>0</v>
      </c>
      <c r="U1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1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1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1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305</v>
      </c>
      <c r="Y1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316</v>
      </c>
      <c r="Z1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225</v>
      </c>
      <c r="AA1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-12.283645669930593</v>
      </c>
      <c r="AB107" s="10">
        <f>_xlfn.RANK.EQ(Proj[[#This Row],[VOR]],Proj[VOR])</f>
        <v>169</v>
      </c>
      <c r="AC107" s="10">
        <f>INDEX(Std[],MATCH(Proj[[#This Row],[Player]],Std[Player],0),20)</f>
        <v>722.35020864036801</v>
      </c>
      <c r="AD1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529.65</v>
      </c>
    </row>
    <row r="108" spans="1:30" x14ac:dyDescent="0.25">
      <c r="A108" t="s">
        <v>313</v>
      </c>
      <c r="B108">
        <v>35</v>
      </c>
      <c r="C108" t="s">
        <v>102</v>
      </c>
      <c r="D108" t="s">
        <v>17</v>
      </c>
      <c r="E108" s="9">
        <f>INDEX(Table1[],MATCH(Proj[[#This Row],[Player]],Table1[Player],0),5)</f>
        <v>11.9430137350323</v>
      </c>
      <c r="F108" s="9">
        <f>_xlfn.IFNA(INDEX(Table2[],MATCH(Proj[[#This Row],[Player]],Table2[Player],0),5),0)</f>
        <v>2.2799999999999998</v>
      </c>
      <c r="G108" s="9">
        <f>_xlfn.IFNA(INDEX(Table3[],MATCH(Proj[[#This Row],[Player]],Table3[Player],0),5),0)</f>
        <v>1</v>
      </c>
      <c r="H108" s="10">
        <v>82</v>
      </c>
      <c r="I108">
        <v>82</v>
      </c>
      <c r="J108" s="9">
        <v>11.9430137350323</v>
      </c>
      <c r="K108" s="9">
        <v>2.2799999999999998</v>
      </c>
      <c r="L108" s="9">
        <v>1</v>
      </c>
      <c r="M108" s="9">
        <f>Proj[[#This Row],[TOI ES]]+Proj[[#This Row],[TOI PP]]+Proj[[#This Row],[TOI PK]]</f>
        <v>15.2230137350323</v>
      </c>
      <c r="N1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1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108" s="10">
        <f>Proj[[#This Row],[Goals]]+Proj[[#This Row],[Assists]]</f>
        <v>57</v>
      </c>
      <c r="Q108" s="10">
        <f>ROUND(_xlfn.IFNA(INDEX(Table2[],MATCH(Proj[[#This Row],[Player]],Table2[Player],0),11)/60,IF(Proj[[#This Row],[Pos]] = "D", 'Per 60 PP'!$K$527,'Per 60 PP'!$K$526)/60)*Proj[[#This Row],[TOI PP]]*Proj[[#This Row],[GP]],0)</f>
        <v>7</v>
      </c>
      <c r="R108" s="10">
        <f>ROUND(_xlfn.IFNA(INDEX(Table2[],MATCH(Proj[[#This Row],[Player]],Table2[Player],0),7)/60,IF(Proj[[#This Row],[Pos]] = "D", 'Per 60 PP'!$G$527,'Per 60 PP'!$G$526)/60)*Proj[[#This Row],[TOI PP]]*Proj[[#This Row],[GP]],0)</f>
        <v>13</v>
      </c>
      <c r="S108" s="10">
        <f>Proj[[#This Row],[PPG]]+Proj[[#This Row],[PPA]]</f>
        <v>20</v>
      </c>
      <c r="T108">
        <f>ROUND((_xlfn.IFNA(INDEX(Table3[],MATCH(Proj[[#This Row],[Player]],Table3[Player],0),6)/60,IF(Proj[[#This Row],[Pos]] ="D", 'Per 60 PK'!$F$623, 'Per 60 PK'!$F$622)/60)+_xlfn.IFNA(INDEX(Table3[],MATCH(Proj[[#This Row],[Player]],Table3[Player],0),8)/60,IF(Proj[[#This Row],[Pos]] ="D", 'Per 60 PK'!$H$623, 'Per 60 PK'!$H$622)/60))*Proj[[#This Row],[TOI PK]]*Proj[[#This Row],[GP]],0)</f>
        <v>2</v>
      </c>
      <c r="U1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99</v>
      </c>
      <c r="V1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1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1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436</v>
      </c>
      <c r="Y1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289</v>
      </c>
      <c r="Z1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164</v>
      </c>
      <c r="AA1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282.16467545160725</v>
      </c>
      <c r="AB108" s="10">
        <f>_xlfn.RANK.EQ(Proj[[#This Row],[VOR]],Proj[VOR])</f>
        <v>82</v>
      </c>
      <c r="AC108" s="10">
        <f>INDEX(Std[],MATCH(Proj[[#This Row],[Player]],Std[Player],0),20)</f>
        <v>753.70939984185611</v>
      </c>
      <c r="AD1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523.1</v>
      </c>
    </row>
    <row r="109" spans="1:30" x14ac:dyDescent="0.25">
      <c r="A109" t="s">
        <v>598</v>
      </c>
      <c r="B109">
        <v>27</v>
      </c>
      <c r="C109" t="s">
        <v>105</v>
      </c>
      <c r="D109" t="s">
        <v>5</v>
      </c>
      <c r="E109" s="9">
        <f>INDEX(Table1[],MATCH(Proj[[#This Row],[Player]],Table1[Player],0),5)</f>
        <v>15.7944403645814</v>
      </c>
      <c r="F109" s="9">
        <f>_xlfn.IFNA(INDEX(Table2[],MATCH(Proj[[#This Row],[Player]],Table2[Player],0),5),0)</f>
        <v>2.46</v>
      </c>
      <c r="G109" s="9">
        <f>_xlfn.IFNA(INDEX(Table3[],MATCH(Proj[[#This Row],[Player]],Table3[Player],0),5),0)</f>
        <v>0.57999999999999996</v>
      </c>
      <c r="H109" s="10">
        <v>76</v>
      </c>
      <c r="I109">
        <v>76</v>
      </c>
      <c r="J109" s="9">
        <v>15.7944403645814</v>
      </c>
      <c r="K109" s="9">
        <v>2.46</v>
      </c>
      <c r="L109" s="9">
        <v>0.57999999999999996</v>
      </c>
      <c r="M109" s="9">
        <f>Proj[[#This Row],[TOI ES]]+Proj[[#This Row],[TOI PP]]+Proj[[#This Row],[TOI PK]]</f>
        <v>18.834440364581397</v>
      </c>
      <c r="N1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109" s="10">
        <f>Proj[[#This Row],[Goals]]+Proj[[#This Row],[Assists]]</f>
        <v>56</v>
      </c>
      <c r="Q109" s="10">
        <f>ROUND(_xlfn.IFNA(INDEX(Table2[],MATCH(Proj[[#This Row],[Player]],Table2[Player],0),11)/60,IF(Proj[[#This Row],[Pos]] = "D", 'Per 60 PP'!$K$527,'Per 60 PP'!$K$526)/60)*Proj[[#This Row],[TOI PP]]*Proj[[#This Row],[GP]],0)</f>
        <v>5</v>
      </c>
      <c r="R109" s="10">
        <f>ROUND(_xlfn.IFNA(INDEX(Table2[],MATCH(Proj[[#This Row],[Player]],Table2[Player],0),7)/60,IF(Proj[[#This Row],[Pos]] = "D", 'Per 60 PP'!$G$527,'Per 60 PP'!$G$526)/60)*Proj[[#This Row],[TOI PP]]*Proj[[#This Row],[GP]],0)</f>
        <v>7</v>
      </c>
      <c r="S109" s="10">
        <f>Proj[[#This Row],[PPG]]+Proj[[#This Row],[PPA]]</f>
        <v>12</v>
      </c>
      <c r="T109">
        <f>ROUND((_xlfn.IFNA(INDEX(Table3[],MATCH(Proj[[#This Row],[Player]],Table3[Player],0),6)/60,IF(Proj[[#This Row],[Pos]] ="D", 'Per 60 PK'!$F$623, 'Per 60 PK'!$F$622)/60)+_xlfn.IFNA(INDEX(Table3[],MATCH(Proj[[#This Row],[Player]],Table3[Player],0),8)/60,IF(Proj[[#This Row],[Pos]] ="D", 'Per 60 PK'!$H$623, 'Per 60 PK'!$H$622)/60))*Proj[[#This Row],[TOI PK]]*Proj[[#This Row],[GP]],0)</f>
        <v>0</v>
      </c>
      <c r="U1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v>
      </c>
      <c r="V1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1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1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1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181</v>
      </c>
      <c r="AA1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-295.9344007652652</v>
      </c>
      <c r="AB109" s="10">
        <f>_xlfn.RANK.EQ(Proj[[#This Row],[VOR]],Proj[VOR])</f>
        <v>305</v>
      </c>
      <c r="AC109" s="10">
        <f>INDEX(Std[],MATCH(Proj[[#This Row],[Player]],Std[Player],0),20)</f>
        <v>150.61032362498366</v>
      </c>
      <c r="AD1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410.09999999999997</v>
      </c>
    </row>
    <row r="110" spans="1:30" x14ac:dyDescent="0.25">
      <c r="A110" t="s">
        <v>507</v>
      </c>
      <c r="B110">
        <v>35</v>
      </c>
      <c r="C110" t="s">
        <v>102</v>
      </c>
      <c r="D110" t="s">
        <v>7</v>
      </c>
      <c r="E110" s="9">
        <f>INDEX(Table1[],MATCH(Proj[[#This Row],[Player]],Table1[Player],0),5)</f>
        <v>14.058161991834501</v>
      </c>
      <c r="F110" s="9">
        <f>_xlfn.IFNA(INDEX(Table2[],MATCH(Proj[[#This Row],[Player]],Table2[Player],0),5),0)</f>
        <v>2.61</v>
      </c>
      <c r="G110" s="9">
        <f>_xlfn.IFNA(INDEX(Table3[],MATCH(Proj[[#This Row],[Player]],Table3[Player],0),5),0)</f>
        <v>0.88</v>
      </c>
      <c r="H110" s="10">
        <v>78</v>
      </c>
      <c r="I110">
        <v>78</v>
      </c>
      <c r="J110" s="9">
        <v>14.058161991834501</v>
      </c>
      <c r="K110" s="9">
        <v>2.61</v>
      </c>
      <c r="L110" s="9">
        <v>0.88</v>
      </c>
      <c r="M110" s="9">
        <f>Proj[[#This Row],[TOI ES]]+Proj[[#This Row],[TOI PP]]+Proj[[#This Row],[TOI PK]]</f>
        <v>17.548161991834501</v>
      </c>
      <c r="N1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1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38</v>
      </c>
      <c r="P110" s="10">
        <f>Proj[[#This Row],[Goals]]+Proj[[#This Row],[Assists]]</f>
        <v>56</v>
      </c>
      <c r="Q110" s="10">
        <f>ROUND(_xlfn.IFNA(INDEX(Table2[],MATCH(Proj[[#This Row],[Player]],Table2[Player],0),11)/60,IF(Proj[[#This Row],[Pos]] = "D", 'Per 60 PP'!$K$527,'Per 60 PP'!$K$526)/60)*Proj[[#This Row],[TOI PP]]*Proj[[#This Row],[GP]],0)</f>
        <v>3</v>
      </c>
      <c r="R110" s="10">
        <f>ROUND(_xlfn.IFNA(INDEX(Table2[],MATCH(Proj[[#This Row],[Player]],Table2[Player],0),7)/60,IF(Proj[[#This Row],[Pos]] = "D", 'Per 60 PP'!$G$527,'Per 60 PP'!$G$526)/60)*Proj[[#This Row],[TOI PP]]*Proj[[#This Row],[GP]],0)</f>
        <v>12</v>
      </c>
      <c r="S110" s="10">
        <f>Proj[[#This Row],[PPG]]+Proj[[#This Row],[PPA]]</f>
        <v>15</v>
      </c>
      <c r="T110">
        <f>ROUND((_xlfn.IFNA(INDEX(Table3[],MATCH(Proj[[#This Row],[Player]],Table3[Player],0),6)/60,IF(Proj[[#This Row],[Pos]] ="D", 'Per 60 PK'!$F$623, 'Per 60 PK'!$F$622)/60)+_xlfn.IFNA(INDEX(Table3[],MATCH(Proj[[#This Row],[Player]],Table3[Player],0),8)/60,IF(Proj[[#This Row],[Pos]] ="D", 'Per 60 PK'!$H$623, 'Per 60 PK'!$H$622)/60))*Proj[[#This Row],[TOI PK]]*Proj[[#This Row],[GP]],0)</f>
        <v>2</v>
      </c>
      <c r="U1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33</v>
      </c>
      <c r="V1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44</v>
      </c>
      <c r="W1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1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1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1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1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-334.64012511238553</v>
      </c>
      <c r="AB110" s="10">
        <f>_xlfn.RANK.EQ(Proj[[#This Row],[VOR]],Proj[VOR])</f>
        <v>330</v>
      </c>
      <c r="AC110" s="10">
        <f>INDEX(Std[],MATCH(Proj[[#This Row],[Player]],Std[Player],0),20)</f>
        <v>136.90459927786333</v>
      </c>
      <c r="AD1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399.59999999999997</v>
      </c>
    </row>
    <row r="111" spans="1:30" x14ac:dyDescent="0.25">
      <c r="A111" t="s">
        <v>393</v>
      </c>
      <c r="B111">
        <v>28</v>
      </c>
      <c r="C111" t="s">
        <v>3</v>
      </c>
      <c r="D111" t="s">
        <v>87</v>
      </c>
      <c r="E111" s="9">
        <f>INDEX(Table1[],MATCH(Proj[[#This Row],[Player]],Table1[Player],0),5)</f>
        <v>20.039663908273202</v>
      </c>
      <c r="F111" s="9">
        <f>_xlfn.IFNA(INDEX(Table2[],MATCH(Proj[[#This Row],[Player]],Table2[Player],0),5),0)</f>
        <v>2.74</v>
      </c>
      <c r="G111" s="9">
        <f>_xlfn.IFNA(INDEX(Table3[],MATCH(Proj[[#This Row],[Player]],Table3[Player],0),5),0)</f>
        <v>0.37</v>
      </c>
      <c r="H111" s="10">
        <v>79</v>
      </c>
      <c r="I111">
        <v>79</v>
      </c>
      <c r="J111" s="9">
        <v>20.039663908273202</v>
      </c>
      <c r="K111" s="9">
        <v>2.74</v>
      </c>
      <c r="L111" s="9">
        <v>0.37</v>
      </c>
      <c r="M111" s="9">
        <f>Proj[[#This Row],[TOI ES]]+Proj[[#This Row],[TOI PP]]+Proj[[#This Row],[TOI PK]]</f>
        <v>23.149663908273201</v>
      </c>
      <c r="N1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1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45</v>
      </c>
      <c r="P111" s="10">
        <f>Proj[[#This Row],[Goals]]+Proj[[#This Row],[Assists]]</f>
        <v>56</v>
      </c>
      <c r="Q111" s="10">
        <f>ROUND(_xlfn.IFNA(INDEX(Table2[],MATCH(Proj[[#This Row],[Player]],Table2[Player],0),11)/60,IF(Proj[[#This Row],[Pos]] = "D", 'Per 60 PP'!$K$527,'Per 60 PP'!$K$526)/60)*Proj[[#This Row],[TOI PP]]*Proj[[#This Row],[GP]],0)</f>
        <v>2</v>
      </c>
      <c r="R111" s="10">
        <f>ROUND(_xlfn.IFNA(INDEX(Table2[],MATCH(Proj[[#This Row],[Player]],Table2[Player],0),7)/60,IF(Proj[[#This Row],[Pos]] = "D", 'Per 60 PP'!$G$527,'Per 60 PP'!$G$526)/60)*Proj[[#This Row],[TOI PP]]*Proj[[#This Row],[GP]],0)</f>
        <v>16</v>
      </c>
      <c r="S111" s="10">
        <f>Proj[[#This Row],[PPG]]+Proj[[#This Row],[PPA]]</f>
        <v>18</v>
      </c>
      <c r="T111">
        <f>ROUND((_xlfn.IFNA(INDEX(Table3[],MATCH(Proj[[#This Row],[Player]],Table3[Player],0),6)/60,IF(Proj[[#This Row],[Pos]] ="D", 'Per 60 PK'!$F$623, 'Per 60 PK'!$F$622)/60)+_xlfn.IFNA(INDEX(Table3[],MATCH(Proj[[#This Row],[Player]],Table3[Player],0),8)/60,IF(Proj[[#This Row],[Pos]] ="D", 'Per 60 PK'!$H$623, 'Per 60 PK'!$H$622)/60))*Proj[[#This Row],[TOI PK]]*Proj[[#This Row],[GP]],0)</f>
        <v>1</v>
      </c>
      <c r="U1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1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95</v>
      </c>
      <c r="W1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76</v>
      </c>
      <c r="X1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149</v>
      </c>
      <c r="AA1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479.12918580398946</v>
      </c>
      <c r="AB111" s="10">
        <f>_xlfn.RANK.EQ(Proj[[#This Row],[VOR]],Proj[VOR])</f>
        <v>45</v>
      </c>
      <c r="AC111" s="10">
        <f>INDEX(Std[],MATCH(Proj[[#This Row],[Player]],Std[Player],0),20)</f>
        <v>586.49395352345391</v>
      </c>
      <c r="AD1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467.65</v>
      </c>
    </row>
    <row r="112" spans="1:30" x14ac:dyDescent="0.25">
      <c r="A112" t="s">
        <v>307</v>
      </c>
      <c r="B112">
        <v>31</v>
      </c>
      <c r="C112" t="s">
        <v>74</v>
      </c>
      <c r="D112" t="s">
        <v>28</v>
      </c>
      <c r="E112" s="9">
        <f>INDEX(Table1[],MATCH(Proj[[#This Row],[Player]],Table1[Player],0),5)</f>
        <v>15.769753854119401</v>
      </c>
      <c r="F112" s="9">
        <f>_xlfn.IFNA(INDEX(Table2[],MATCH(Proj[[#This Row],[Player]],Table2[Player],0),5),0)</f>
        <v>2.76</v>
      </c>
      <c r="G112" s="9">
        <f>_xlfn.IFNA(INDEX(Table3[],MATCH(Proj[[#This Row],[Player]],Table3[Player],0),5),0)</f>
        <v>1.38</v>
      </c>
      <c r="H112" s="10">
        <v>77</v>
      </c>
      <c r="I112">
        <v>77</v>
      </c>
      <c r="J112" s="9">
        <v>15.769753854119401</v>
      </c>
      <c r="K112" s="9">
        <v>2.76</v>
      </c>
      <c r="L112" s="9">
        <v>1.38</v>
      </c>
      <c r="M112" s="9">
        <f>Proj[[#This Row],[TOI ES]]+Proj[[#This Row],[TOI PP]]+Proj[[#This Row],[TOI PK]]</f>
        <v>19.909753854119398</v>
      </c>
      <c r="N1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112" s="10">
        <f>Proj[[#This Row],[Goals]]+Proj[[#This Row],[Assists]]</f>
        <v>56</v>
      </c>
      <c r="Q112" s="10">
        <f>ROUND(_xlfn.IFNA(INDEX(Table2[],MATCH(Proj[[#This Row],[Player]],Table2[Player],0),11)/60,IF(Proj[[#This Row],[Pos]] = "D", 'Per 60 PP'!$K$527,'Per 60 PP'!$K$526)/60)*Proj[[#This Row],[TOI PP]]*Proj[[#This Row],[GP]],0)</f>
        <v>7</v>
      </c>
      <c r="R112" s="10">
        <f>ROUND(_xlfn.IFNA(INDEX(Table2[],MATCH(Proj[[#This Row],[Player]],Table2[Player],0),7)/60,IF(Proj[[#This Row],[Pos]] = "D", 'Per 60 PP'!$G$527,'Per 60 PP'!$G$526)/60)*Proj[[#This Row],[TOI PP]]*Proj[[#This Row],[GP]],0)</f>
        <v>10</v>
      </c>
      <c r="S112" s="10">
        <f>Proj[[#This Row],[PPG]]+Proj[[#This Row],[PPA]]</f>
        <v>17</v>
      </c>
      <c r="T112">
        <f>ROUND((_xlfn.IFNA(INDEX(Table3[],MATCH(Proj[[#This Row],[Player]],Table3[Player],0),6)/60,IF(Proj[[#This Row],[Pos]] ="D", 'Per 60 PK'!$F$623, 'Per 60 PK'!$F$622)/60)+_xlfn.IFNA(INDEX(Table3[],MATCH(Proj[[#This Row],[Player]],Table3[Player],0),8)/60,IF(Proj[[#This Row],[Pos]] ="D", 'Per 60 PK'!$H$623, 'Per 60 PK'!$H$622)/60))*Proj[[#This Row],[TOI PK]]*Proj[[#This Row],[GP]],0)</f>
        <v>1</v>
      </c>
      <c r="U1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1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64</v>
      </c>
      <c r="W1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1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763</v>
      </c>
      <c r="Y1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597</v>
      </c>
      <c r="Z1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174</v>
      </c>
      <c r="AA1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61.994665711183075</v>
      </c>
      <c r="AB112" s="10">
        <f>_xlfn.RANK.EQ(Proj[[#This Row],[VOR]],Proj[VOR])</f>
        <v>134</v>
      </c>
      <c r="AC112" s="10">
        <f>INDEX(Std[],MATCH(Proj[[#This Row],[Player]],Std[Player],0),20)</f>
        <v>796.62852002148168</v>
      </c>
      <c r="AD1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541.44999999999993</v>
      </c>
    </row>
    <row r="113" spans="1:30" x14ac:dyDescent="0.25">
      <c r="A113" t="s">
        <v>275</v>
      </c>
      <c r="B113">
        <v>30</v>
      </c>
      <c r="C113" t="s">
        <v>3</v>
      </c>
      <c r="D113" t="s">
        <v>30</v>
      </c>
      <c r="E113" s="9">
        <f>INDEX(Table1[],MATCH(Proj[[#This Row],[Player]],Table1[Player],0),5)</f>
        <v>20.084870852525</v>
      </c>
      <c r="F113" s="9">
        <f>_xlfn.IFNA(INDEX(Table2[],MATCH(Proj[[#This Row],[Player]],Table2[Player],0),5),0)</f>
        <v>2.66</v>
      </c>
      <c r="G113" s="9">
        <f>_xlfn.IFNA(INDEX(Table3[],MATCH(Proj[[#This Row],[Player]],Table3[Player],0),5),0)</f>
        <v>0.72</v>
      </c>
      <c r="H113" s="10">
        <v>76</v>
      </c>
      <c r="I113">
        <v>76</v>
      </c>
      <c r="J113" s="9">
        <v>20.084870852525</v>
      </c>
      <c r="K113" s="9">
        <v>2.66</v>
      </c>
      <c r="L113" s="9">
        <v>0.72</v>
      </c>
      <c r="M113" s="9">
        <f>Proj[[#This Row],[TOI ES]]+Proj[[#This Row],[TOI PP]]+Proj[[#This Row],[TOI PK]]</f>
        <v>23.464870852524999</v>
      </c>
      <c r="N1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1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48</v>
      </c>
      <c r="P113" s="10">
        <f>Proj[[#This Row],[Goals]]+Proj[[#This Row],[Assists]]</f>
        <v>56</v>
      </c>
      <c r="Q113" s="10">
        <f>ROUND(_xlfn.IFNA(INDEX(Table2[],MATCH(Proj[[#This Row],[Player]],Table2[Player],0),11)/60,IF(Proj[[#This Row],[Pos]] = "D", 'Per 60 PP'!$K$527,'Per 60 PP'!$K$526)/60)*Proj[[#This Row],[TOI PP]]*Proj[[#This Row],[GP]],0)</f>
        <v>2</v>
      </c>
      <c r="R113" s="10">
        <f>ROUND(_xlfn.IFNA(INDEX(Table2[],MATCH(Proj[[#This Row],[Player]],Table2[Player],0),7)/60,IF(Proj[[#This Row],[Pos]] = "D", 'Per 60 PP'!$G$527,'Per 60 PP'!$G$526)/60)*Proj[[#This Row],[TOI PP]]*Proj[[#This Row],[GP]],0)</f>
        <v>18</v>
      </c>
      <c r="S113" s="10">
        <f>Proj[[#This Row],[PPG]]+Proj[[#This Row],[PPA]]</f>
        <v>20</v>
      </c>
      <c r="T113">
        <f>ROUND((_xlfn.IFNA(INDEX(Table3[],MATCH(Proj[[#This Row],[Player]],Table3[Player],0),6)/60,IF(Proj[[#This Row],[Pos]] ="D", 'Per 60 PK'!$F$623, 'Per 60 PK'!$F$622)/60)+_xlfn.IFNA(INDEX(Table3[],MATCH(Proj[[#This Row],[Player]],Table3[Player],0),8)/60,IF(Proj[[#This Row],[Pos]] ="D", 'Per 60 PK'!$H$623, 'Per 60 PK'!$H$622)/60))*Proj[[#This Row],[TOI PK]]*Proj[[#This Row],[GP]],0)</f>
        <v>0</v>
      </c>
      <c r="U1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80</v>
      </c>
      <c r="V1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127</v>
      </c>
      <c r="W1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1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170</v>
      </c>
      <c r="AA1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429.2264820348438</v>
      </c>
      <c r="AB113" s="10">
        <f>_xlfn.RANK.EQ(Proj[[#This Row],[VOR]],Proj[VOR])</f>
        <v>58</v>
      </c>
      <c r="AC113" s="10">
        <f>INDEX(Std[],MATCH(Proj[[#This Row],[Player]],Std[Player],0),20)</f>
        <v>536.59124975430825</v>
      </c>
      <c r="AD1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489.59999999999997</v>
      </c>
    </row>
    <row r="114" spans="1:30" x14ac:dyDescent="0.25">
      <c r="A114" t="s">
        <v>564</v>
      </c>
      <c r="B114">
        <v>27</v>
      </c>
      <c r="C114" t="s">
        <v>74</v>
      </c>
      <c r="D114" t="s">
        <v>12</v>
      </c>
      <c r="E114" s="9">
        <f>INDEX(Table1[],MATCH(Proj[[#This Row],[Player]],Table1[Player],0),5)</f>
        <v>13.5436426194275</v>
      </c>
      <c r="F114" s="9">
        <f>_xlfn.IFNA(INDEX(Table2[],MATCH(Proj[[#This Row],[Player]],Table2[Player],0),5),0)</f>
        <v>2.61</v>
      </c>
      <c r="G114" s="9">
        <f>_xlfn.IFNA(INDEX(Table3[],MATCH(Proj[[#This Row],[Player]],Table3[Player],0),5),0)</f>
        <v>1.56</v>
      </c>
      <c r="H114" s="10">
        <v>79</v>
      </c>
      <c r="I114">
        <v>79</v>
      </c>
      <c r="J114" s="9">
        <v>13.5436426194275</v>
      </c>
      <c r="K114" s="9">
        <v>2.61</v>
      </c>
      <c r="L114" s="9">
        <v>1.56</v>
      </c>
      <c r="M114" s="9">
        <f>Proj[[#This Row],[TOI ES]]+Proj[[#This Row],[TOI PP]]+Proj[[#This Row],[TOI PK]]</f>
        <v>17.7136426194275</v>
      </c>
      <c r="N1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1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35</v>
      </c>
      <c r="P114" s="10">
        <f>Proj[[#This Row],[Goals]]+Proj[[#This Row],[Assists]]</f>
        <v>56</v>
      </c>
      <c r="Q114" s="10">
        <f>ROUND(_xlfn.IFNA(INDEX(Table2[],MATCH(Proj[[#This Row],[Player]],Table2[Player],0),11)/60,IF(Proj[[#This Row],[Pos]] = "D", 'Per 60 PP'!$K$527,'Per 60 PP'!$K$526)/60)*Proj[[#This Row],[TOI PP]]*Proj[[#This Row],[GP]],0)</f>
        <v>6</v>
      </c>
      <c r="R114" s="10">
        <f>ROUND(_xlfn.IFNA(INDEX(Table2[],MATCH(Proj[[#This Row],[Player]],Table2[Player],0),7)/60,IF(Proj[[#This Row],[Pos]] = "D", 'Per 60 PP'!$G$527,'Per 60 PP'!$G$526)/60)*Proj[[#This Row],[TOI PP]]*Proj[[#This Row],[GP]],0)</f>
        <v>10</v>
      </c>
      <c r="S114" s="10">
        <f>Proj[[#This Row],[PPG]]+Proj[[#This Row],[PPA]]</f>
        <v>16</v>
      </c>
      <c r="T114">
        <f>ROUND((_xlfn.IFNA(INDEX(Table3[],MATCH(Proj[[#This Row],[Player]],Table3[Player],0),6)/60,IF(Proj[[#This Row],[Pos]] ="D", 'Per 60 PK'!$F$623, 'Per 60 PK'!$F$622)/60)+_xlfn.IFNA(INDEX(Table3[],MATCH(Proj[[#This Row],[Player]],Table3[Player],0),8)/60,IF(Proj[[#This Row],[Pos]] ="D", 'Per 60 PK'!$H$623, 'Per 60 PK'!$H$622)/60))*Proj[[#This Row],[TOI PK]]*Proj[[#This Row],[GP]],0)</f>
        <v>1</v>
      </c>
      <c r="U1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89</v>
      </c>
      <c r="V1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1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1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467</v>
      </c>
      <c r="Y1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401</v>
      </c>
      <c r="Z1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148</v>
      </c>
      <c r="AA1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-232.84862604222587</v>
      </c>
      <c r="AB114" s="10">
        <f>_xlfn.RANK.EQ(Proj[[#This Row],[VOR]],Proj[VOR])</f>
        <v>269</v>
      </c>
      <c r="AC114" s="10">
        <f>INDEX(Std[],MATCH(Proj[[#This Row],[Player]],Std[Player],0),20)</f>
        <v>501.78522826807273</v>
      </c>
      <c r="AD1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482.34999999999997</v>
      </c>
    </row>
    <row r="115" spans="1:30" x14ac:dyDescent="0.25">
      <c r="A115" t="s">
        <v>396</v>
      </c>
      <c r="B115">
        <v>30</v>
      </c>
      <c r="C115" t="s">
        <v>104</v>
      </c>
      <c r="D115" t="s">
        <v>21</v>
      </c>
      <c r="E115" s="9">
        <f>INDEX(Table1[],MATCH(Proj[[#This Row],[Player]],Table1[Player],0),5)</f>
        <v>14</v>
      </c>
      <c r="F115" s="9">
        <f>_xlfn.IFNA(INDEX(Table2[],MATCH(Proj[[#This Row],[Player]],Table2[Player],0),5),0)</f>
        <v>2.15</v>
      </c>
      <c r="G115" s="9">
        <f>_xlfn.IFNA(INDEX(Table3[],MATCH(Proj[[#This Row],[Player]],Table3[Player],0),5),0)</f>
        <v>1.72</v>
      </c>
      <c r="H115" s="10">
        <v>79</v>
      </c>
      <c r="I115">
        <v>79</v>
      </c>
      <c r="J115" s="9">
        <v>14</v>
      </c>
      <c r="K115" s="9">
        <v>2.15</v>
      </c>
      <c r="L115" s="9">
        <v>1.72</v>
      </c>
      <c r="M115" s="9">
        <f>Proj[[#This Row],[TOI ES]]+Proj[[#This Row],[TOI PP]]+Proj[[#This Row],[TOI PK]]</f>
        <v>17.869999999999997</v>
      </c>
      <c r="N1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115" s="10">
        <f>Proj[[#This Row],[Goals]]+Proj[[#This Row],[Assists]]</f>
        <v>55</v>
      </c>
      <c r="Q115" s="10">
        <f>ROUND(_xlfn.IFNA(INDEX(Table2[],MATCH(Proj[[#This Row],[Player]],Table2[Player],0),11)/60,IF(Proj[[#This Row],[Pos]] = "D", 'Per 60 PP'!$K$527,'Per 60 PP'!$K$526)/60)*Proj[[#This Row],[TOI PP]]*Proj[[#This Row],[GP]],0)</f>
        <v>7</v>
      </c>
      <c r="R115" s="10">
        <f>ROUND(_xlfn.IFNA(INDEX(Table2[],MATCH(Proj[[#This Row],[Player]],Table2[Player],0),7)/60,IF(Proj[[#This Row],[Pos]] = "D", 'Per 60 PP'!$G$527,'Per 60 PP'!$G$526)/60)*Proj[[#This Row],[TOI PP]]*Proj[[#This Row],[GP]],0)</f>
        <v>12</v>
      </c>
      <c r="S115" s="10">
        <f>Proj[[#This Row],[PPG]]+Proj[[#This Row],[PPA]]</f>
        <v>19</v>
      </c>
      <c r="T115">
        <f>ROUND((_xlfn.IFNA(INDEX(Table3[],MATCH(Proj[[#This Row],[Player]],Table3[Player],0),6)/60,IF(Proj[[#This Row],[Pos]] ="D", 'Per 60 PK'!$F$623, 'Per 60 PK'!$F$622)/60)+_xlfn.IFNA(INDEX(Table3[],MATCH(Proj[[#This Row],[Player]],Table3[Player],0),8)/60,IF(Proj[[#This Row],[Pos]] ="D", 'Per 60 PK'!$H$623, 'Per 60 PK'!$H$622)/60))*Proj[[#This Row],[TOI PK]]*Proj[[#This Row],[GP]],0)</f>
        <v>3</v>
      </c>
      <c r="U1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v>
      </c>
      <c r="V1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1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68</v>
      </c>
      <c r="Y1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73</v>
      </c>
      <c r="Z1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164</v>
      </c>
      <c r="AA1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-267.66626432241128</v>
      </c>
      <c r="AB115" s="10">
        <f>_xlfn.RANK.EQ(Proj[[#This Row],[VOR]],Proj[VOR])</f>
        <v>290</v>
      </c>
      <c r="AC115" s="10">
        <f>INDEX(Std[],MATCH(Proj[[#This Row],[Player]],Std[Player],0),20)</f>
        <v>178.87846006783761</v>
      </c>
      <c r="AD1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402.1</v>
      </c>
    </row>
    <row r="116" spans="1:30" x14ac:dyDescent="0.25">
      <c r="A116" t="s">
        <v>402</v>
      </c>
      <c r="B116">
        <v>32</v>
      </c>
      <c r="C116" t="s">
        <v>103</v>
      </c>
      <c r="D116" t="s">
        <v>28</v>
      </c>
      <c r="E116" s="9">
        <f>INDEX(Table1[],MATCH(Proj[[#This Row],[Player]],Table1[Player],0),5)</f>
        <v>14.2301953757623</v>
      </c>
      <c r="F116" s="9">
        <f>_xlfn.IFNA(INDEX(Table2[],MATCH(Proj[[#This Row],[Player]],Table2[Player],0),5),0)</f>
        <v>3.33</v>
      </c>
      <c r="G116" s="9">
        <f>_xlfn.IFNA(INDEX(Table3[],MATCH(Proj[[#This Row],[Player]],Table3[Player],0),5),0)</f>
        <v>1.5</v>
      </c>
      <c r="H116" s="10">
        <v>65</v>
      </c>
      <c r="I116">
        <v>65</v>
      </c>
      <c r="J116" s="9">
        <v>14.2301953757623</v>
      </c>
      <c r="K116" s="9">
        <v>3.33</v>
      </c>
      <c r="L116" s="9">
        <v>1.5</v>
      </c>
      <c r="M116" s="9">
        <f>Proj[[#This Row],[TOI ES]]+Proj[[#This Row],[TOI PP]]+Proj[[#This Row],[TOI PK]]</f>
        <v>19.060195375762298</v>
      </c>
      <c r="N1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116">
        <f>Proj[[#This Row],[Goals]]+Proj[[#This Row],[Assists]]</f>
        <v>55</v>
      </c>
      <c r="Q116" s="10">
        <f>ROUND(_xlfn.IFNA(INDEX(Table2[],MATCH(Proj[[#This Row],[Player]],Table2[Player],0),11)/60,IF(Proj[[#This Row],[Pos]] = "D", 'Per 60 PP'!$K$527,'Per 60 PP'!$K$526)/60)*Proj[[#This Row],[TOI PP]]*Proj[[#This Row],[GP]],0)</f>
        <v>6</v>
      </c>
      <c r="R116" s="10">
        <f>ROUND(_xlfn.IFNA(INDEX(Table2[],MATCH(Proj[[#This Row],[Player]],Table2[Player],0),7)/60,IF(Proj[[#This Row],[Pos]] = "D", 'Per 60 PP'!$G$527,'Per 60 PP'!$G$526)/60)*Proj[[#This Row],[TOI PP]]*Proj[[#This Row],[GP]],0)</f>
        <v>9</v>
      </c>
      <c r="S116" s="10">
        <f>Proj[[#This Row],[PPG]]+Proj[[#This Row],[PPA]]</f>
        <v>15</v>
      </c>
      <c r="T116">
        <f>ROUND((_xlfn.IFNA(INDEX(Table3[],MATCH(Proj[[#This Row],[Player]],Table3[Player],0),6)/60,IF(Proj[[#This Row],[Pos]] ="D", 'Per 60 PK'!$F$623, 'Per 60 PK'!$F$622)/60)+_xlfn.IFNA(INDEX(Table3[],MATCH(Proj[[#This Row],[Player]],Table3[Player],0),8)/60,IF(Proj[[#This Row],[Pos]] ="D", 'Per 60 PK'!$H$623, 'Per 60 PK'!$H$622)/60))*Proj[[#This Row],[TOI PK]]*Proj[[#This Row],[GP]],0)</f>
        <v>3</v>
      </c>
      <c r="U1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33</v>
      </c>
      <c r="V1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44</v>
      </c>
      <c r="W1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1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1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136</v>
      </c>
      <c r="AA1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-336.37733106607533</v>
      </c>
      <c r="AB116" s="10">
        <f>_xlfn.RANK.EQ(Proj[[#This Row],[VOR]],Proj[VOR])</f>
        <v>332</v>
      </c>
      <c r="AC116" s="10">
        <f>INDEX(Std[],MATCH(Proj[[#This Row],[Player]],Std[Player],0),20)</f>
        <v>110.16739332417353</v>
      </c>
      <c r="AD1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394.9</v>
      </c>
    </row>
    <row r="117" spans="1:30" x14ac:dyDescent="0.25">
      <c r="A117" t="s">
        <v>1212</v>
      </c>
      <c r="B117">
        <v>21</v>
      </c>
      <c r="C117" t="s">
        <v>3</v>
      </c>
      <c r="D117" t="s">
        <v>6</v>
      </c>
      <c r="E117" s="9">
        <f>INDEX(Table1[],MATCH(Proj[[#This Row],[Player]],Table1[Player],0),5)</f>
        <v>20.25</v>
      </c>
      <c r="F117" s="9">
        <f>_xlfn.IFNA(INDEX(Table2[],MATCH(Proj[[#This Row],[Player]],Table2[Player],0),5),0)</f>
        <v>2.8</v>
      </c>
      <c r="G117" s="9">
        <f>_xlfn.IFNA(INDEX(Table3[],MATCH(Proj[[#This Row],[Player]],Table3[Player],0),5),0)</f>
        <v>0</v>
      </c>
      <c r="H117" s="10">
        <v>76</v>
      </c>
      <c r="I117">
        <v>76</v>
      </c>
      <c r="J117" s="9">
        <v>20.25</v>
      </c>
      <c r="K117" s="9">
        <v>2.8</v>
      </c>
      <c r="L117" s="9">
        <v>0</v>
      </c>
      <c r="M117" s="9">
        <f>Proj[[#This Row],[TOI ES]]+Proj[[#This Row],[TOI PP]]+Proj[[#This Row],[TOI PK]]</f>
        <v>23.05</v>
      </c>
      <c r="N1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1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47</v>
      </c>
      <c r="P117" s="10">
        <f>Proj[[#This Row],[Goals]]+Proj[[#This Row],[Assists]]</f>
        <v>55</v>
      </c>
      <c r="Q117" s="10">
        <f>ROUND(_xlfn.IFNA(INDEX(Table2[],MATCH(Proj[[#This Row],[Player]],Table2[Player],0),11)/60,IF(Proj[[#This Row],[Pos]] = "D", 'Per 60 PP'!$K$527,'Per 60 PP'!$K$526)/60)*Proj[[#This Row],[TOI PP]]*Proj[[#This Row],[GP]],0)</f>
        <v>2</v>
      </c>
      <c r="R117" s="10">
        <f>ROUND(_xlfn.IFNA(INDEX(Table2[],MATCH(Proj[[#This Row],[Player]],Table2[Player],0),7)/60,IF(Proj[[#This Row],[Pos]] = "D", 'Per 60 PP'!$G$527,'Per 60 PP'!$G$526)/60)*Proj[[#This Row],[TOI PP]]*Proj[[#This Row],[GP]],0)</f>
        <v>19</v>
      </c>
      <c r="S117" s="10">
        <f>Proj[[#This Row],[PPG]]+Proj[[#This Row],[PPA]]</f>
        <v>21</v>
      </c>
      <c r="T117">
        <f>ROUND((_xlfn.IFNA(INDEX(Table3[],MATCH(Proj[[#This Row],[Player]],Table3[Player],0),6)/60,IF(Proj[[#This Row],[Pos]] ="D", 'Per 60 PK'!$F$623, 'Per 60 PK'!$F$622)/60)+_xlfn.IFNA(INDEX(Table3[],MATCH(Proj[[#This Row],[Player]],Table3[Player],0),8)/60,IF(Proj[[#This Row],[Pos]] ="D", 'Per 60 PK'!$H$623, 'Per 60 PK'!$H$622)/60))*Proj[[#This Row],[TOI PK]]*Proj[[#This Row],[GP]],0)</f>
        <v>0</v>
      </c>
      <c r="U1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1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1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1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158</v>
      </c>
      <c r="AA1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230.08970699010146</v>
      </c>
      <c r="AB117" s="10">
        <f>_xlfn.RANK.EQ(Proj[[#This Row],[VOR]],Proj[VOR])</f>
        <v>94</v>
      </c>
      <c r="AC117" s="10">
        <f>INDEX(Std[],MATCH(Proj[[#This Row],[Player]],Std[Player],0),20)</f>
        <v>337.45447470956594</v>
      </c>
      <c r="AD1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423.15</v>
      </c>
    </row>
    <row r="118" spans="1:30" x14ac:dyDescent="0.25">
      <c r="A118" t="s">
        <v>592</v>
      </c>
      <c r="B118">
        <v>29</v>
      </c>
      <c r="C118" t="s">
        <v>103</v>
      </c>
      <c r="D118" t="s">
        <v>11</v>
      </c>
      <c r="E118" s="9">
        <f>INDEX(Table1[],MATCH(Proj[[#This Row],[Player]],Table1[Player],0),5)</f>
        <v>13.826259040284</v>
      </c>
      <c r="F118" s="9">
        <f>_xlfn.IFNA(INDEX(Table2[],MATCH(Proj[[#This Row],[Player]],Table2[Player],0),5),0)</f>
        <v>2.86</v>
      </c>
      <c r="G118" s="9">
        <f>_xlfn.IFNA(INDEX(Table3[],MATCH(Proj[[#This Row],[Player]],Table3[Player],0),5),0)</f>
        <v>1.7</v>
      </c>
      <c r="H118" s="10">
        <v>78</v>
      </c>
      <c r="I118">
        <v>78</v>
      </c>
      <c r="J118" s="9">
        <v>13.826259040284</v>
      </c>
      <c r="K118" s="9">
        <v>2.86</v>
      </c>
      <c r="L118" s="9">
        <v>1.7</v>
      </c>
      <c r="M118" s="9">
        <f>Proj[[#This Row],[TOI ES]]+Proj[[#This Row],[TOI PP]]+Proj[[#This Row],[TOI PK]]</f>
        <v>18.386259040283999</v>
      </c>
      <c r="N1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1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18" s="10">
        <f>Proj[[#This Row],[Goals]]+Proj[[#This Row],[Assists]]</f>
        <v>55</v>
      </c>
      <c r="Q118" s="10">
        <f>ROUND(_xlfn.IFNA(INDEX(Table2[],MATCH(Proj[[#This Row],[Player]],Table2[Player],0),11)/60,IF(Proj[[#This Row],[Pos]] = "D", 'Per 60 PP'!$K$527,'Per 60 PP'!$K$526)/60)*Proj[[#This Row],[TOI PP]]*Proj[[#This Row],[GP]],0)</f>
        <v>9</v>
      </c>
      <c r="R118" s="10">
        <f>ROUND(_xlfn.IFNA(INDEX(Table2[],MATCH(Proj[[#This Row],[Player]],Table2[Player],0),7)/60,IF(Proj[[#This Row],[Pos]] = "D", 'Per 60 PP'!$G$527,'Per 60 PP'!$G$526)/60)*Proj[[#This Row],[TOI PP]]*Proj[[#This Row],[GP]],0)</f>
        <v>8</v>
      </c>
      <c r="S118" s="10">
        <f>Proj[[#This Row],[PPG]]+Proj[[#This Row],[PPA]]</f>
        <v>17</v>
      </c>
      <c r="T118">
        <f>ROUND((_xlfn.IFNA(INDEX(Table3[],MATCH(Proj[[#This Row],[Player]],Table3[Player],0),6)/60,IF(Proj[[#This Row],[Pos]] ="D", 'Per 60 PK'!$F$623, 'Per 60 PK'!$F$622)/60)+_xlfn.IFNA(INDEX(Table3[],MATCH(Proj[[#This Row],[Player]],Table3[Player],0),8)/60,IF(Proj[[#This Row],[Pos]] ="D", 'Per 60 PK'!$H$623, 'Per 60 PK'!$H$622)/60))*Proj[[#This Row],[TOI PK]]*Proj[[#This Row],[GP]],0)</f>
        <v>1</v>
      </c>
      <c r="U1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1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1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1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1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v>
      </c>
      <c r="Z1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177</v>
      </c>
      <c r="AA1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-88.591868219239586</v>
      </c>
      <c r="AB118" s="10">
        <f>_xlfn.RANK.EQ(Proj[[#This Row],[VOR]],Proj[VOR])</f>
        <v>195</v>
      </c>
      <c r="AC118" s="10">
        <f>INDEX(Std[],MATCH(Proj[[#This Row],[Player]],Std[Player],0),20)</f>
        <v>357.95285617100927</v>
      </c>
      <c r="AD1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456.6</v>
      </c>
    </row>
    <row r="119" spans="1:30" x14ac:dyDescent="0.25">
      <c r="A119" t="s">
        <v>875</v>
      </c>
      <c r="B119">
        <v>27</v>
      </c>
      <c r="C119" t="s">
        <v>3</v>
      </c>
      <c r="D119" t="s">
        <v>12</v>
      </c>
      <c r="E119" s="9">
        <f>INDEX(Table1[],MATCH(Proj[[#This Row],[Player]],Table1[Player],0),5)</f>
        <v>19.078675213119801</v>
      </c>
      <c r="F119" s="9">
        <f>_xlfn.IFNA(INDEX(Table2[],MATCH(Proj[[#This Row],[Player]],Table2[Player],0),5),0)</f>
        <v>3.03</v>
      </c>
      <c r="G119" s="9">
        <f>_xlfn.IFNA(INDEX(Table3[],MATCH(Proj[[#This Row],[Player]],Table3[Player],0),5),0)</f>
        <v>2.19</v>
      </c>
      <c r="H119" s="10">
        <v>77</v>
      </c>
      <c r="I119">
        <v>77</v>
      </c>
      <c r="J119" s="9">
        <v>19.078675213119801</v>
      </c>
      <c r="K119" s="9">
        <v>3.03</v>
      </c>
      <c r="L119" s="9">
        <v>2.19</v>
      </c>
      <c r="M119" s="9">
        <f>Proj[[#This Row],[TOI ES]]+Proj[[#This Row],[TOI PP]]+Proj[[#This Row],[TOI PK]]</f>
        <v>24.298675213119804</v>
      </c>
      <c r="N1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1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45</v>
      </c>
      <c r="P119" s="10">
        <f>Proj[[#This Row],[Goals]]+Proj[[#This Row],[Assists]]</f>
        <v>55</v>
      </c>
      <c r="Q119" s="10">
        <f>ROUND(_xlfn.IFNA(INDEX(Table2[],MATCH(Proj[[#This Row],[Player]],Table2[Player],0),11)/60,IF(Proj[[#This Row],[Pos]] = "D", 'Per 60 PP'!$K$527,'Per 60 PP'!$K$526)/60)*Proj[[#This Row],[TOI PP]]*Proj[[#This Row],[GP]],0)</f>
        <v>2</v>
      </c>
      <c r="R119" s="10">
        <f>ROUND(_xlfn.IFNA(INDEX(Table2[],MATCH(Proj[[#This Row],[Player]],Table2[Player],0),7)/60,IF(Proj[[#This Row],[Pos]] = "D", 'Per 60 PP'!$G$527,'Per 60 PP'!$G$526)/60)*Proj[[#This Row],[TOI PP]]*Proj[[#This Row],[GP]],0)</f>
        <v>18</v>
      </c>
      <c r="S119" s="10">
        <f>Proj[[#This Row],[PPG]]+Proj[[#This Row],[PPA]]</f>
        <v>20</v>
      </c>
      <c r="T119">
        <f>ROUND((_xlfn.IFNA(INDEX(Table3[],MATCH(Proj[[#This Row],[Player]],Table3[Player],0),6)/60,IF(Proj[[#This Row],[Pos]] ="D", 'Per 60 PK'!$F$623, 'Per 60 PK'!$F$622)/60)+_xlfn.IFNA(INDEX(Table3[],MATCH(Proj[[#This Row],[Player]],Table3[Player],0),8)/60,IF(Proj[[#This Row],[Pos]] ="D", 'Per 60 PK'!$H$623, 'Per 60 PK'!$H$622)/60))*Proj[[#This Row],[TOI PK]]*Proj[[#This Row],[GP]],0)</f>
        <v>0</v>
      </c>
      <c r="U1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137</v>
      </c>
      <c r="V1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160</v>
      </c>
      <c r="W1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67</v>
      </c>
      <c r="X1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132</v>
      </c>
      <c r="AA1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716.25966113709887</v>
      </c>
      <c r="AB119" s="10">
        <f>_xlfn.RANK.EQ(Proj[[#This Row],[VOR]],Proj[VOR])</f>
        <v>23</v>
      </c>
      <c r="AC119" s="10">
        <f>INDEX(Std[],MATCH(Proj[[#This Row],[Player]],Std[Player],0),20)</f>
        <v>823.62442885656333</v>
      </c>
      <c r="AD1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537.25</v>
      </c>
    </row>
    <row r="120" spans="1:30" x14ac:dyDescent="0.25">
      <c r="A120" t="s">
        <v>518</v>
      </c>
      <c r="B120">
        <v>32</v>
      </c>
      <c r="C120" t="s">
        <v>102</v>
      </c>
      <c r="D120" t="s">
        <v>16</v>
      </c>
      <c r="E120" s="9">
        <f>INDEX(Table1[],MATCH(Proj[[#This Row],[Player]],Table1[Player],0),5)</f>
        <v>13.457906080879299</v>
      </c>
      <c r="F120" s="9">
        <f>_xlfn.IFNA(INDEX(Table2[],MATCH(Proj[[#This Row],[Player]],Table2[Player],0),5),0)</f>
        <v>2.5499999999999998</v>
      </c>
      <c r="G120" s="9">
        <f>_xlfn.IFNA(INDEX(Table3[],MATCH(Proj[[#This Row],[Player]],Table3[Player],0),5),0)</f>
        <v>0</v>
      </c>
      <c r="H120" s="10">
        <v>78</v>
      </c>
      <c r="I120">
        <v>78</v>
      </c>
      <c r="J120" s="9">
        <v>13.457906080879299</v>
      </c>
      <c r="K120" s="9">
        <v>2.5499999999999998</v>
      </c>
      <c r="L120" s="9">
        <v>0</v>
      </c>
      <c r="M120" s="9">
        <f>Proj[[#This Row],[TOI ES]]+Proj[[#This Row],[TOI PP]]+Proj[[#This Row],[TOI PK]]</f>
        <v>16.007906080879298</v>
      </c>
      <c r="N1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1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20" s="10">
        <f>Proj[[#This Row],[Goals]]+Proj[[#This Row],[Assists]]</f>
        <v>54</v>
      </c>
      <c r="Q120" s="10">
        <f>ROUND(_xlfn.IFNA(INDEX(Table2[],MATCH(Proj[[#This Row],[Player]],Table2[Player],0),11)/60,IF(Proj[[#This Row],[Pos]] = "D", 'Per 60 PP'!$K$527,'Per 60 PP'!$K$526)/60)*Proj[[#This Row],[TOI PP]]*Proj[[#This Row],[GP]],0)</f>
        <v>7</v>
      </c>
      <c r="R120" s="10">
        <f>ROUND(_xlfn.IFNA(INDEX(Table2[],MATCH(Proj[[#This Row],[Player]],Table2[Player],0),7)/60,IF(Proj[[#This Row],[Pos]] = "D", 'Per 60 PP'!$G$527,'Per 60 PP'!$G$526)/60)*Proj[[#This Row],[TOI PP]]*Proj[[#This Row],[GP]],0)</f>
        <v>5</v>
      </c>
      <c r="S120" s="10">
        <f>Proj[[#This Row],[PPG]]+Proj[[#This Row],[PPA]]</f>
        <v>12</v>
      </c>
      <c r="T120">
        <f>ROUND((_xlfn.IFNA(INDEX(Table3[],MATCH(Proj[[#This Row],[Player]],Table3[Player],0),6)/60,IF(Proj[[#This Row],[Pos]] ="D", 'Per 60 PK'!$F$623, 'Per 60 PK'!$F$622)/60)+_xlfn.IFNA(INDEX(Table3[],MATCH(Proj[[#This Row],[Player]],Table3[Player],0),8)/60,IF(Proj[[#This Row],[Pos]] ="D", 'Per 60 PK'!$H$623, 'Per 60 PK'!$H$622)/60))*Proj[[#This Row],[TOI PK]]*Proj[[#This Row],[GP]],0)</f>
        <v>0</v>
      </c>
      <c r="U1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22</v>
      </c>
      <c r="V1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v>
      </c>
      <c r="W1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1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70</v>
      </c>
      <c r="Y1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93</v>
      </c>
      <c r="Z1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222</v>
      </c>
      <c r="AA1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-204.62639078765523</v>
      </c>
      <c r="AB120" s="10">
        <f>_xlfn.RANK.EQ(Proj[[#This Row],[VOR]],Proj[VOR])</f>
        <v>248</v>
      </c>
      <c r="AC120" s="10">
        <f>INDEX(Std[],MATCH(Proj[[#This Row],[Player]],Std[Player],0),20)</f>
        <v>266.91833360259363</v>
      </c>
      <c r="AD1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432.9</v>
      </c>
    </row>
    <row r="121" spans="1:30" x14ac:dyDescent="0.25">
      <c r="A121" t="s">
        <v>326</v>
      </c>
      <c r="B121">
        <v>27</v>
      </c>
      <c r="C121" t="s">
        <v>3</v>
      </c>
      <c r="D121" t="s">
        <v>23</v>
      </c>
      <c r="E121" s="9">
        <f>INDEX(Table1[],MATCH(Proj[[#This Row],[Player]],Table1[Player],0),5)</f>
        <v>20.1886299582848</v>
      </c>
      <c r="F121" s="9">
        <f>_xlfn.IFNA(INDEX(Table2[],MATCH(Proj[[#This Row],[Player]],Table2[Player],0),5),0)</f>
        <v>2.72</v>
      </c>
      <c r="G121" s="9">
        <f>_xlfn.IFNA(INDEX(Table3[],MATCH(Proj[[#This Row],[Player]],Table3[Player],0),5),0)</f>
        <v>1.27</v>
      </c>
      <c r="H121" s="10">
        <v>80</v>
      </c>
      <c r="I121">
        <v>80</v>
      </c>
      <c r="J121" s="9">
        <v>20.1886299582848</v>
      </c>
      <c r="K121" s="9">
        <v>2.72</v>
      </c>
      <c r="L121" s="9">
        <v>1.27</v>
      </c>
      <c r="M121" s="9">
        <f>Proj[[#This Row],[TOI ES]]+Proj[[#This Row],[TOI PP]]+Proj[[#This Row],[TOI PK]]</f>
        <v>24.178629958284798</v>
      </c>
      <c r="N1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1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41</v>
      </c>
      <c r="P121" s="10">
        <f>Proj[[#This Row],[Goals]]+Proj[[#This Row],[Assists]]</f>
        <v>54</v>
      </c>
      <c r="Q121" s="10">
        <f>ROUND(_xlfn.IFNA(INDEX(Table2[],MATCH(Proj[[#This Row],[Player]],Table2[Player],0),11)/60,IF(Proj[[#This Row],[Pos]] = "D", 'Per 60 PP'!$K$527,'Per 60 PP'!$K$526)/60)*Proj[[#This Row],[TOI PP]]*Proj[[#This Row],[GP]],0)</f>
        <v>2</v>
      </c>
      <c r="R121" s="10">
        <f>ROUND(_xlfn.IFNA(INDEX(Table2[],MATCH(Proj[[#This Row],[Player]],Table2[Player],0),7)/60,IF(Proj[[#This Row],[Pos]] = "D", 'Per 60 PP'!$G$527,'Per 60 PP'!$G$526)/60)*Proj[[#This Row],[TOI PP]]*Proj[[#This Row],[GP]],0)</f>
        <v>11</v>
      </c>
      <c r="S121" s="10">
        <f>Proj[[#This Row],[PPG]]+Proj[[#This Row],[PPA]]</f>
        <v>13</v>
      </c>
      <c r="T121">
        <f>ROUND((_xlfn.IFNA(INDEX(Table3[],MATCH(Proj[[#This Row],[Player]],Table3[Player],0),6)/60,IF(Proj[[#This Row],[Pos]] ="D", 'Per 60 PK'!$F$623, 'Per 60 PK'!$F$622)/60)+_xlfn.IFNA(INDEX(Table3[],MATCH(Proj[[#This Row],[Player]],Table3[Player],0),8)/60,IF(Proj[[#This Row],[Pos]] ="D", 'Per 60 PK'!$H$623, 'Per 60 PK'!$H$622)/60))*Proj[[#This Row],[TOI PK]]*Proj[[#This Row],[GP]],0)</f>
        <v>0</v>
      </c>
      <c r="U1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28</v>
      </c>
      <c r="V1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148</v>
      </c>
      <c r="W1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1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226</v>
      </c>
      <c r="AA1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331.91730399572691</v>
      </c>
      <c r="AB121" s="10">
        <f>_xlfn.RANK.EQ(Proj[[#This Row],[VOR]],Proj[VOR])</f>
        <v>75</v>
      </c>
      <c r="AC121" s="10">
        <f>INDEX(Std[],MATCH(Proj[[#This Row],[Player]],Std[Player],0),20)</f>
        <v>439.28207171519136</v>
      </c>
      <c r="AD1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485.35</v>
      </c>
    </row>
    <row r="122" spans="1:30" x14ac:dyDescent="0.25">
      <c r="A122" t="s">
        <v>423</v>
      </c>
      <c r="B122">
        <v>29</v>
      </c>
      <c r="C122" t="s">
        <v>102</v>
      </c>
      <c r="D122" t="s">
        <v>25</v>
      </c>
      <c r="E122" s="9">
        <f>INDEX(Table1[],MATCH(Proj[[#This Row],[Player]],Table1[Player],0),5)</f>
        <v>13.0101491860507</v>
      </c>
      <c r="F122" s="9">
        <f>_xlfn.IFNA(INDEX(Table2[],MATCH(Proj[[#This Row],[Player]],Table2[Player],0),5),0)</f>
        <v>2.56</v>
      </c>
      <c r="G122" s="9">
        <f>_xlfn.IFNA(INDEX(Table3[],MATCH(Proj[[#This Row],[Player]],Table3[Player],0),5),0)</f>
        <v>0</v>
      </c>
      <c r="H122" s="10">
        <v>81</v>
      </c>
      <c r="I122">
        <v>81</v>
      </c>
      <c r="J122" s="9">
        <v>13.0101491860507</v>
      </c>
      <c r="K122" s="9">
        <v>2.56</v>
      </c>
      <c r="L122" s="9">
        <v>0</v>
      </c>
      <c r="M122" s="9">
        <f>Proj[[#This Row],[TOI ES]]+Proj[[#This Row],[TOI PP]]+Proj[[#This Row],[TOI PK]]</f>
        <v>15.570149186050701</v>
      </c>
      <c r="N1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122" s="10">
        <f>Proj[[#This Row],[Goals]]+Proj[[#This Row],[Assists]]</f>
        <v>54</v>
      </c>
      <c r="Q122" s="10">
        <f>ROUND(_xlfn.IFNA(INDEX(Table2[],MATCH(Proj[[#This Row],[Player]],Table2[Player],0),11)/60,IF(Proj[[#This Row],[Pos]] = "D", 'Per 60 PP'!$K$527,'Per 60 PP'!$K$526)/60)*Proj[[#This Row],[TOI PP]]*Proj[[#This Row],[GP]],0)</f>
        <v>7</v>
      </c>
      <c r="R122" s="10">
        <f>ROUND(_xlfn.IFNA(INDEX(Table2[],MATCH(Proj[[#This Row],[Player]],Table2[Player],0),7)/60,IF(Proj[[#This Row],[Pos]] = "D", 'Per 60 PP'!$G$527,'Per 60 PP'!$G$526)/60)*Proj[[#This Row],[TOI PP]]*Proj[[#This Row],[GP]],0)</f>
        <v>9</v>
      </c>
      <c r="S122" s="10">
        <f>Proj[[#This Row],[PPG]]+Proj[[#This Row],[PPA]]</f>
        <v>16</v>
      </c>
      <c r="T122">
        <f>ROUND((_xlfn.IFNA(INDEX(Table3[],MATCH(Proj[[#This Row],[Player]],Table3[Player],0),6)/60,IF(Proj[[#This Row],[Pos]] ="D", 'Per 60 PK'!$F$623, 'Per 60 PK'!$F$622)/60)+_xlfn.IFNA(INDEX(Table3[],MATCH(Proj[[#This Row],[Player]],Table3[Player],0),8)/60,IF(Proj[[#This Row],[Pos]] ="D", 'Per 60 PK'!$H$623, 'Per 60 PK'!$H$622)/60))*Proj[[#This Row],[TOI PK]]*Proj[[#This Row],[GP]],0)</f>
        <v>0</v>
      </c>
      <c r="U1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57</v>
      </c>
      <c r="V1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1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75</v>
      </c>
      <c r="X1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1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v>
      </c>
      <c r="Z1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167</v>
      </c>
      <c r="AA1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-39.50380996085147</v>
      </c>
      <c r="AB122" s="10">
        <f>_xlfn.RANK.EQ(Proj[[#This Row],[VOR]],Proj[VOR])</f>
        <v>179</v>
      </c>
      <c r="AC122" s="10">
        <f>INDEX(Std[],MATCH(Proj[[#This Row],[Player]],Std[Player],0),20)</f>
        <v>432.04091442939739</v>
      </c>
      <c r="AD1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435.6</v>
      </c>
    </row>
    <row r="123" spans="1:30" x14ac:dyDescent="0.25">
      <c r="A123" t="s">
        <v>1000</v>
      </c>
      <c r="B123">
        <v>21</v>
      </c>
      <c r="C123" t="s">
        <v>103</v>
      </c>
      <c r="D123" t="s">
        <v>13</v>
      </c>
      <c r="E123" s="9">
        <f>INDEX(Table1[],MATCH(Proj[[#This Row],[Player]],Table1[Player],0),5)</f>
        <v>14.15</v>
      </c>
      <c r="F123" s="9">
        <f>_xlfn.IFNA(INDEX(Table2[],MATCH(Proj[[#This Row],[Player]],Table2[Player],0),5),0)</f>
        <v>2.99</v>
      </c>
      <c r="G123" s="9">
        <f>_xlfn.IFNA(INDEX(Table3[],MATCH(Proj[[#This Row],[Player]],Table3[Player],0),5),0)</f>
        <v>1.03</v>
      </c>
      <c r="H123" s="10">
        <v>78</v>
      </c>
      <c r="I123">
        <v>78</v>
      </c>
      <c r="J123" s="9">
        <v>14.15</v>
      </c>
      <c r="K123" s="9">
        <v>2.99</v>
      </c>
      <c r="L123" s="9">
        <v>1.03</v>
      </c>
      <c r="M123" s="9">
        <f>Proj[[#This Row],[TOI ES]]+Proj[[#This Row],[TOI PP]]+Proj[[#This Row],[TOI PK]]</f>
        <v>18.170000000000002</v>
      </c>
      <c r="N1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23" s="10">
        <f>Proj[[#This Row],[Goals]]+Proj[[#This Row],[Assists]]</f>
        <v>54</v>
      </c>
      <c r="Q123" s="10">
        <f>ROUND(_xlfn.IFNA(INDEX(Table2[],MATCH(Proj[[#This Row],[Player]],Table2[Player],0),11)/60,IF(Proj[[#This Row],[Pos]] = "D", 'Per 60 PP'!$K$527,'Per 60 PP'!$K$526)/60)*Proj[[#This Row],[TOI PP]]*Proj[[#This Row],[GP]],0)</f>
        <v>11</v>
      </c>
      <c r="R123" s="10">
        <f>ROUND(_xlfn.IFNA(INDEX(Table2[],MATCH(Proj[[#This Row],[Player]],Table2[Player],0),7)/60,IF(Proj[[#This Row],[Pos]] = "D", 'Per 60 PP'!$G$527,'Per 60 PP'!$G$526)/60)*Proj[[#This Row],[TOI PP]]*Proj[[#This Row],[GP]],0)</f>
        <v>9</v>
      </c>
      <c r="S123" s="10">
        <f>Proj[[#This Row],[PPG]]+Proj[[#This Row],[PPA]]</f>
        <v>20</v>
      </c>
      <c r="T123">
        <f>ROUND((_xlfn.IFNA(INDEX(Table3[],MATCH(Proj[[#This Row],[Player]],Table3[Player],0),6)/60,IF(Proj[[#This Row],[Pos]] ="D", 'Per 60 PK'!$F$623, 'Per 60 PK'!$F$622)/60)+_xlfn.IFNA(INDEX(Table3[],MATCH(Proj[[#This Row],[Player]],Table3[Player],0),8)/60,IF(Proj[[#This Row],[Pos]] ="D", 'Per 60 PK'!$H$623, 'Per 60 PK'!$H$622)/60))*Proj[[#This Row],[TOI PK]]*Proj[[#This Row],[GP]],0)</f>
        <v>1</v>
      </c>
      <c r="U1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1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1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1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35</v>
      </c>
      <c r="Y1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57</v>
      </c>
      <c r="Z1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210</v>
      </c>
      <c r="AA1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-12.696447572654165</v>
      </c>
      <c r="AB123" s="10">
        <f>_xlfn.RANK.EQ(Proj[[#This Row],[VOR]],Proj[VOR])</f>
        <v>170</v>
      </c>
      <c r="AC123" s="10">
        <f>INDEX(Std[],MATCH(Proj[[#This Row],[Player]],Std[Player],0),20)</f>
        <v>433.84827681759469</v>
      </c>
      <c r="AD1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466.6</v>
      </c>
    </row>
    <row r="124" spans="1:30" x14ac:dyDescent="0.25">
      <c r="A124" t="s">
        <v>501</v>
      </c>
      <c r="B124">
        <v>29</v>
      </c>
      <c r="C124" t="s">
        <v>102</v>
      </c>
      <c r="D124" t="s">
        <v>11</v>
      </c>
      <c r="E124" s="9">
        <f>INDEX(Table1[],MATCH(Proj[[#This Row],[Player]],Table1[Player],0),5)</f>
        <v>15.4059350353991</v>
      </c>
      <c r="F124" s="9">
        <f>_xlfn.IFNA(INDEX(Table2[],MATCH(Proj[[#This Row],[Player]],Table2[Player],0),5),0)</f>
        <v>3.66</v>
      </c>
      <c r="G124" s="9">
        <f>_xlfn.IFNA(INDEX(Table3[],MATCH(Proj[[#This Row],[Player]],Table3[Player],0),5),0)</f>
        <v>1.81</v>
      </c>
      <c r="H124" s="10">
        <v>63</v>
      </c>
      <c r="I124">
        <v>63</v>
      </c>
      <c r="J124" s="9">
        <v>15.4059350353991</v>
      </c>
      <c r="K124" s="9">
        <v>3.66</v>
      </c>
      <c r="L124" s="9">
        <v>1.81</v>
      </c>
      <c r="M124" s="9">
        <f>Proj[[#This Row],[TOI ES]]+Proj[[#This Row],[TOI PP]]+Proj[[#This Row],[TOI PK]]</f>
        <v>20.875935035399099</v>
      </c>
      <c r="N1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27</v>
      </c>
      <c r="O1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24" s="10">
        <f>Proj[[#This Row],[Goals]]+Proj[[#This Row],[Assists]]</f>
        <v>54</v>
      </c>
      <c r="Q124" s="10">
        <f>ROUND(_xlfn.IFNA(INDEX(Table2[],MATCH(Proj[[#This Row],[Player]],Table2[Player],0),11)/60,IF(Proj[[#This Row],[Pos]] = "D", 'Per 60 PP'!$K$527,'Per 60 PP'!$K$526)/60)*Proj[[#This Row],[TOI PP]]*Proj[[#This Row],[GP]],0)</f>
        <v>13</v>
      </c>
      <c r="R124" s="10">
        <f>ROUND(_xlfn.IFNA(INDEX(Table2[],MATCH(Proj[[#This Row],[Player]],Table2[Player],0),7)/60,IF(Proj[[#This Row],[Pos]] = "D", 'Per 60 PP'!$G$527,'Per 60 PP'!$G$526)/60)*Proj[[#This Row],[TOI PP]]*Proj[[#This Row],[GP]],0)</f>
        <v>5</v>
      </c>
      <c r="S124" s="10">
        <f>Proj[[#This Row],[PPG]]+Proj[[#This Row],[PPA]]</f>
        <v>18</v>
      </c>
      <c r="T124">
        <f>ROUND((_xlfn.IFNA(INDEX(Table3[],MATCH(Proj[[#This Row],[Player]],Table3[Player],0),6)/60,IF(Proj[[#This Row],[Pos]] ="D", 'Per 60 PK'!$F$623, 'Per 60 PK'!$F$622)/60)+_xlfn.IFNA(INDEX(Table3[],MATCH(Proj[[#This Row],[Player]],Table3[Player],0),8)/60,IF(Proj[[#This Row],[Pos]] ="D", 'Per 60 PK'!$H$623, 'Per 60 PK'!$H$622)/60))*Proj[[#This Row],[TOI PK]]*Proj[[#This Row],[GP]],0)</f>
        <v>2</v>
      </c>
      <c r="U1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1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1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1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1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v>
      </c>
      <c r="Z1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184</v>
      </c>
      <c r="AA1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-180.71386871515853</v>
      </c>
      <c r="AB124" s="10">
        <f>_xlfn.RANK.EQ(Proj[[#This Row],[VOR]],Proj[VOR])</f>
        <v>241</v>
      </c>
      <c r="AC124" s="10">
        <f>INDEX(Std[],MATCH(Proj[[#This Row],[Player]],Std[Player],0),20)</f>
        <v>290.83085567509033</v>
      </c>
      <c r="AD1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447.45</v>
      </c>
    </row>
    <row r="125" spans="1:30" x14ac:dyDescent="0.25">
      <c r="A125" t="s">
        <v>340</v>
      </c>
      <c r="B125">
        <v>33</v>
      </c>
      <c r="C125" t="s">
        <v>101</v>
      </c>
      <c r="D125" t="s">
        <v>14</v>
      </c>
      <c r="E125" s="9">
        <f>INDEX(Table1[],MATCH(Proj[[#This Row],[Player]],Table1[Player],0),5)</f>
        <v>14.417478870919499</v>
      </c>
      <c r="F125" s="9">
        <f>_xlfn.IFNA(INDEX(Table2[],MATCH(Proj[[#This Row],[Player]],Table2[Player],0),5),0)</f>
        <v>2.39</v>
      </c>
      <c r="G125" s="9">
        <f>_xlfn.IFNA(INDEX(Table3[],MATCH(Proj[[#This Row],[Player]],Table3[Player],0),5),0)</f>
        <v>0.86</v>
      </c>
      <c r="H125" s="10">
        <v>82</v>
      </c>
      <c r="I125">
        <v>82</v>
      </c>
      <c r="J125" s="9">
        <v>14.417478870919499</v>
      </c>
      <c r="K125" s="9">
        <v>2.39</v>
      </c>
      <c r="L125" s="9">
        <v>0.86</v>
      </c>
      <c r="M125" s="9">
        <f>Proj[[#This Row],[TOI ES]]+Proj[[#This Row],[TOI PP]]+Proj[[#This Row],[TOI PK]]</f>
        <v>17.667478870919499</v>
      </c>
      <c r="N1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125" s="10">
        <f>Proj[[#This Row],[Goals]]+Proj[[#This Row],[Assists]]</f>
        <v>54</v>
      </c>
      <c r="Q125" s="10">
        <f>ROUND(_xlfn.IFNA(INDEX(Table2[],MATCH(Proj[[#This Row],[Player]],Table2[Player],0),11)/60,IF(Proj[[#This Row],[Pos]] = "D", 'Per 60 PP'!$K$527,'Per 60 PP'!$K$526)/60)*Proj[[#This Row],[TOI PP]]*Proj[[#This Row],[GP]],0)</f>
        <v>6</v>
      </c>
      <c r="R125" s="10">
        <f>ROUND(_xlfn.IFNA(INDEX(Table2[],MATCH(Proj[[#This Row],[Player]],Table2[Player],0),7)/60,IF(Proj[[#This Row],[Pos]] = "D", 'Per 60 PP'!$G$527,'Per 60 PP'!$G$526)/60)*Proj[[#This Row],[TOI PP]]*Proj[[#This Row],[GP]],0)</f>
        <v>8</v>
      </c>
      <c r="S125" s="10">
        <f>Proj[[#This Row],[PPG]]+Proj[[#This Row],[PPA]]</f>
        <v>14</v>
      </c>
      <c r="T125">
        <f>ROUND((_xlfn.IFNA(INDEX(Table3[],MATCH(Proj[[#This Row],[Player]],Table3[Player],0),6)/60,IF(Proj[[#This Row],[Pos]] ="D", 'Per 60 PK'!$F$623, 'Per 60 PK'!$F$622)/60)+_xlfn.IFNA(INDEX(Table3[],MATCH(Proj[[#This Row],[Player]],Table3[Player],0),8)/60,IF(Proj[[#This Row],[Pos]] ="D", 'Per 60 PK'!$H$623, 'Per 60 PK'!$H$622)/60))*Proj[[#This Row],[TOI PK]]*Proj[[#This Row],[GP]],0)</f>
        <v>1</v>
      </c>
      <c r="U1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145</v>
      </c>
      <c r="V1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1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47</v>
      </c>
      <c r="X1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432</v>
      </c>
      <c r="Y1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457</v>
      </c>
      <c r="Z1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151</v>
      </c>
      <c r="AA1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228.51475533793399</v>
      </c>
      <c r="AB125" s="10">
        <f>_xlfn.RANK.EQ(Proj[[#This Row],[VOR]],Proj[VOR])</f>
        <v>96</v>
      </c>
      <c r="AC125" s="10">
        <f>INDEX(Std[],MATCH(Proj[[#This Row],[Player]],Std[Player],0),20)</f>
        <v>700.05947972818285</v>
      </c>
      <c r="AD1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522.5</v>
      </c>
    </row>
    <row r="126" spans="1:30" x14ac:dyDescent="0.25">
      <c r="A126" t="s">
        <v>593</v>
      </c>
      <c r="B126">
        <v>26</v>
      </c>
      <c r="C126" t="s">
        <v>105</v>
      </c>
      <c r="D126" t="s">
        <v>22</v>
      </c>
      <c r="E126" s="9">
        <f>INDEX(Table1[],MATCH(Proj[[#This Row],[Player]],Table1[Player],0),5)</f>
        <v>13.320982885230899</v>
      </c>
      <c r="F126" s="9">
        <f>_xlfn.IFNA(INDEX(Table2[],MATCH(Proj[[#This Row],[Player]],Table2[Player],0),5),0)</f>
        <v>2.2599999999999998</v>
      </c>
      <c r="G126" s="9">
        <f>_xlfn.IFNA(INDEX(Table3[],MATCH(Proj[[#This Row],[Player]],Table3[Player],0),5),0)</f>
        <v>1.63</v>
      </c>
      <c r="H126" s="10">
        <v>81</v>
      </c>
      <c r="I126">
        <v>81</v>
      </c>
      <c r="J126" s="9">
        <v>13.320982885230899</v>
      </c>
      <c r="K126" s="9">
        <v>2.2599999999999998</v>
      </c>
      <c r="L126" s="9">
        <v>1.63</v>
      </c>
      <c r="M126" s="9">
        <f>Proj[[#This Row],[TOI ES]]+Proj[[#This Row],[TOI PP]]+Proj[[#This Row],[TOI PK]]</f>
        <v>17.210982885230898</v>
      </c>
      <c r="N1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1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126" s="10">
        <f>Proj[[#This Row],[Goals]]+Proj[[#This Row],[Assists]]</f>
        <v>53</v>
      </c>
      <c r="Q126" s="10">
        <f>ROUND(_xlfn.IFNA(INDEX(Table2[],MATCH(Proj[[#This Row],[Player]],Table2[Player],0),11)/60,IF(Proj[[#This Row],[Pos]] = "D", 'Per 60 PP'!$K$527,'Per 60 PP'!$K$526)/60)*Proj[[#This Row],[TOI PP]]*Proj[[#This Row],[GP]],0)</f>
        <v>6</v>
      </c>
      <c r="R126" s="10">
        <f>ROUND(_xlfn.IFNA(INDEX(Table2[],MATCH(Proj[[#This Row],[Player]],Table2[Player],0),7)/60,IF(Proj[[#This Row],[Pos]] = "D", 'Per 60 PP'!$G$527,'Per 60 PP'!$G$526)/60)*Proj[[#This Row],[TOI PP]]*Proj[[#This Row],[GP]],0)</f>
        <v>9</v>
      </c>
      <c r="S126" s="10">
        <f>Proj[[#This Row],[PPG]]+Proj[[#This Row],[PPA]]</f>
        <v>15</v>
      </c>
      <c r="T126">
        <f>ROUND((_xlfn.IFNA(INDEX(Table3[],MATCH(Proj[[#This Row],[Player]],Table3[Player],0),6)/60,IF(Proj[[#This Row],[Pos]] ="D", 'Per 60 PK'!$F$623, 'Per 60 PK'!$F$622)/60)+_xlfn.IFNA(INDEX(Table3[],MATCH(Proj[[#This Row],[Player]],Table3[Player],0),8)/60,IF(Proj[[#This Row],[Pos]] ="D", 'Per 60 PK'!$H$623, 'Per 60 PK'!$H$622)/60))*Proj[[#This Row],[TOI PK]]*Proj[[#This Row],[GP]],0)</f>
        <v>4</v>
      </c>
      <c r="U1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v>
      </c>
      <c r="V1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1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1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119</v>
      </c>
      <c r="Y1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183</v>
      </c>
      <c r="Z1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176</v>
      </c>
      <c r="AA1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-248.93848970243374</v>
      </c>
      <c r="AB126" s="10">
        <f>_xlfn.RANK.EQ(Proj[[#This Row],[VOR]],Proj[VOR])</f>
        <v>278</v>
      </c>
      <c r="AC126" s="10">
        <f>INDEX(Std[],MATCH(Proj[[#This Row],[Player]],Std[Player],0),20)</f>
        <v>197.60623468781512</v>
      </c>
      <c r="AD1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414.4</v>
      </c>
    </row>
    <row r="127" spans="1:30" x14ac:dyDescent="0.25">
      <c r="A127" t="s">
        <v>1147</v>
      </c>
      <c r="B127">
        <v>21</v>
      </c>
      <c r="C127" t="s">
        <v>74</v>
      </c>
      <c r="D127" t="s">
        <v>17</v>
      </c>
      <c r="E127" s="9">
        <f>INDEX(Table1[],MATCH(Proj[[#This Row],[Player]],Table1[Player],0),5)</f>
        <v>14</v>
      </c>
      <c r="F127" s="9">
        <f>_xlfn.IFNA(INDEX(Table2[],MATCH(Proj[[#This Row],[Player]],Table2[Player],0),5),0)</f>
        <v>2.25</v>
      </c>
      <c r="G127" s="9">
        <f>_xlfn.IFNA(INDEX(Table3[],MATCH(Proj[[#This Row],[Player]],Table3[Player],0),5),0)</f>
        <v>0</v>
      </c>
      <c r="H127" s="10">
        <v>79</v>
      </c>
      <c r="I127">
        <v>79</v>
      </c>
      <c r="J127" s="9">
        <v>14</v>
      </c>
      <c r="K127" s="9">
        <v>2.25</v>
      </c>
      <c r="L127" s="9">
        <v>0</v>
      </c>
      <c r="M127" s="9">
        <f>Proj[[#This Row],[TOI ES]]+Proj[[#This Row],[TOI PP]]+Proj[[#This Row],[TOI PK]]</f>
        <v>16.25</v>
      </c>
      <c r="N1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27" s="10">
        <f>Proj[[#This Row],[Goals]]+Proj[[#This Row],[Assists]]</f>
        <v>53</v>
      </c>
      <c r="Q127" s="10">
        <f>ROUND(_xlfn.IFNA(INDEX(Table2[],MATCH(Proj[[#This Row],[Player]],Table2[Player],0),11)/60,IF(Proj[[#This Row],[Pos]] = "D", 'Per 60 PP'!$K$527,'Per 60 PP'!$K$526)/60)*Proj[[#This Row],[TOI PP]]*Proj[[#This Row],[GP]],0)</f>
        <v>6</v>
      </c>
      <c r="R127" s="10">
        <f>ROUND(_xlfn.IFNA(INDEX(Table2[],MATCH(Proj[[#This Row],[Player]],Table2[Player],0),7)/60,IF(Proj[[#This Row],[Pos]] = "D", 'Per 60 PP'!$G$527,'Per 60 PP'!$G$526)/60)*Proj[[#This Row],[TOI PP]]*Proj[[#This Row],[GP]],0)</f>
        <v>7</v>
      </c>
      <c r="S127" s="10">
        <f>Proj[[#This Row],[PPG]]+Proj[[#This Row],[PPA]]</f>
        <v>13</v>
      </c>
      <c r="T127">
        <f>ROUND((_xlfn.IFNA(INDEX(Table3[],MATCH(Proj[[#This Row],[Player]],Table3[Player],0),6)/60,IF(Proj[[#This Row],[Pos]] ="D", 'Per 60 PK'!$F$623, 'Per 60 PK'!$F$622)/60)+_xlfn.IFNA(INDEX(Table3[],MATCH(Proj[[#This Row],[Player]],Table3[Player],0),8)/60,IF(Proj[[#This Row],[Pos]] ="D", 'Per 60 PK'!$H$623, 'Per 60 PK'!$H$622)/60))*Proj[[#This Row],[TOI PK]]*Proj[[#This Row],[GP]],0)</f>
        <v>0</v>
      </c>
      <c r="U1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1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1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1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90</v>
      </c>
      <c r="Y1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75</v>
      </c>
      <c r="Z1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187</v>
      </c>
      <c r="AA1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-414.89778488133572</v>
      </c>
      <c r="AB127" s="10">
        <f>_xlfn.RANK.EQ(Proj[[#This Row],[VOR]],Proj[VOR])</f>
        <v>381</v>
      </c>
      <c r="AC127" s="10">
        <f>INDEX(Std[],MATCH(Proj[[#This Row],[Player]],Std[Player],0),20)</f>
        <v>319.73606942896288</v>
      </c>
      <c r="AD1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450.5</v>
      </c>
    </row>
    <row r="128" spans="1:30" x14ac:dyDescent="0.25">
      <c r="A128" t="s">
        <v>328</v>
      </c>
      <c r="B128">
        <v>25</v>
      </c>
      <c r="C128" t="s">
        <v>74</v>
      </c>
      <c r="D128" t="s">
        <v>15</v>
      </c>
      <c r="E128" s="9">
        <f>INDEX(Table1[],MATCH(Proj[[#This Row],[Player]],Table1[Player],0),5)</f>
        <v>13.819016222570699</v>
      </c>
      <c r="F128" s="9">
        <f>_xlfn.IFNA(INDEX(Table2[],MATCH(Proj[[#This Row],[Player]],Table2[Player],0),5),0)</f>
        <v>3.2</v>
      </c>
      <c r="G128" s="9">
        <f>_xlfn.IFNA(INDEX(Table3[],MATCH(Proj[[#This Row],[Player]],Table3[Player],0),5),0)</f>
        <v>0.98</v>
      </c>
      <c r="H128" s="10">
        <v>78</v>
      </c>
      <c r="I128">
        <v>78</v>
      </c>
      <c r="J128" s="9">
        <v>13.819016222570699</v>
      </c>
      <c r="K128" s="9">
        <v>3.2</v>
      </c>
      <c r="L128" s="9">
        <v>0.98</v>
      </c>
      <c r="M128" s="9">
        <f>Proj[[#This Row],[TOI ES]]+Proj[[#This Row],[TOI PP]]+Proj[[#This Row],[TOI PK]]</f>
        <v>17.999016222570699</v>
      </c>
      <c r="N1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1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28" s="10">
        <f>Proj[[#This Row],[Goals]]+Proj[[#This Row],[Assists]]</f>
        <v>53</v>
      </c>
      <c r="Q128" s="10">
        <f>ROUND(_xlfn.IFNA(INDEX(Table2[],MATCH(Proj[[#This Row],[Player]],Table2[Player],0),11)/60,IF(Proj[[#This Row],[Pos]] = "D", 'Per 60 PP'!$K$527,'Per 60 PP'!$K$526)/60)*Proj[[#This Row],[TOI PP]]*Proj[[#This Row],[GP]],0)</f>
        <v>9</v>
      </c>
      <c r="R128" s="10">
        <f>ROUND(_xlfn.IFNA(INDEX(Table2[],MATCH(Proj[[#This Row],[Player]],Table2[Player],0),7)/60,IF(Proj[[#This Row],[Pos]] = "D", 'Per 60 PP'!$G$527,'Per 60 PP'!$G$526)/60)*Proj[[#This Row],[TOI PP]]*Proj[[#This Row],[GP]],0)</f>
        <v>12</v>
      </c>
      <c r="S128" s="10">
        <f>Proj[[#This Row],[PPG]]+Proj[[#This Row],[PPA]]</f>
        <v>21</v>
      </c>
      <c r="T128">
        <f>ROUND((_xlfn.IFNA(INDEX(Table3[],MATCH(Proj[[#This Row],[Player]],Table3[Player],0),6)/60,IF(Proj[[#This Row],[Pos]] ="D", 'Per 60 PK'!$F$623, 'Per 60 PK'!$F$622)/60)+_xlfn.IFNA(INDEX(Table3[],MATCH(Proj[[#This Row],[Player]],Table3[Player],0),8)/60,IF(Proj[[#This Row],[Pos]] ="D", 'Per 60 PK'!$H$623, 'Per 60 PK'!$H$622)/60))*Proj[[#This Row],[TOI PK]]*Proj[[#This Row],[GP]],0)</f>
        <v>1</v>
      </c>
      <c r="U1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108</v>
      </c>
      <c r="V1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1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1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519</v>
      </c>
      <c r="Y1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478</v>
      </c>
      <c r="Z1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181</v>
      </c>
      <c r="AA1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4.5990169841170427</v>
      </c>
      <c r="AB128" s="10">
        <f>_xlfn.RANK.EQ(Proj[[#This Row],[VOR]],Proj[VOR])</f>
        <v>158</v>
      </c>
      <c r="AC128" s="10">
        <f>INDEX(Std[],MATCH(Proj[[#This Row],[Player]],Std[Player],0),20)</f>
        <v>739.23287129441565</v>
      </c>
      <c r="AD1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528.95000000000005</v>
      </c>
    </row>
    <row r="129" spans="1:30" x14ac:dyDescent="0.25">
      <c r="A129" t="s">
        <v>681</v>
      </c>
      <c r="B129">
        <v>26</v>
      </c>
      <c r="C129" t="s">
        <v>74</v>
      </c>
      <c r="D129" t="s">
        <v>11</v>
      </c>
      <c r="E129" s="9">
        <f>INDEX(Table1[],MATCH(Proj[[#This Row],[Player]],Table1[Player],0),5)</f>
        <v>14.7723203588928</v>
      </c>
      <c r="F129" s="9">
        <f>_xlfn.IFNA(INDEX(Table2[],MATCH(Proj[[#This Row],[Player]],Table2[Player],0),5),0)</f>
        <v>2.36</v>
      </c>
      <c r="G129" s="9">
        <f>_xlfn.IFNA(INDEX(Table3[],MATCH(Proj[[#This Row],[Player]],Table3[Player],0),5),0)</f>
        <v>0.5</v>
      </c>
      <c r="H129" s="10">
        <v>81</v>
      </c>
      <c r="I129">
        <v>81</v>
      </c>
      <c r="J129" s="9">
        <v>14.7723203588928</v>
      </c>
      <c r="K129" s="9">
        <v>2.36</v>
      </c>
      <c r="L129" s="9">
        <v>0.5</v>
      </c>
      <c r="M129" s="9">
        <f>Proj[[#This Row],[TOI ES]]+Proj[[#This Row],[TOI PP]]+Proj[[#This Row],[TOI PK]]</f>
        <v>17.632320358892802</v>
      </c>
      <c r="N1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1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129" s="10">
        <f>Proj[[#This Row],[Goals]]+Proj[[#This Row],[Assists]]</f>
        <v>52</v>
      </c>
      <c r="Q129" s="10">
        <f>ROUND(_xlfn.IFNA(INDEX(Table2[],MATCH(Proj[[#This Row],[Player]],Table2[Player],0),11)/60,IF(Proj[[#This Row],[Pos]] = "D", 'Per 60 PP'!$K$527,'Per 60 PP'!$K$526)/60)*Proj[[#This Row],[TOI PP]]*Proj[[#This Row],[GP]],0)</f>
        <v>3</v>
      </c>
      <c r="R129" s="10">
        <f>ROUND(_xlfn.IFNA(INDEX(Table2[],MATCH(Proj[[#This Row],[Player]],Table2[Player],0),7)/60,IF(Proj[[#This Row],[Pos]] = "D", 'Per 60 PP'!$G$527,'Per 60 PP'!$G$526)/60)*Proj[[#This Row],[TOI PP]]*Proj[[#This Row],[GP]],0)</f>
        <v>8</v>
      </c>
      <c r="S129" s="10">
        <f>Proj[[#This Row],[PPG]]+Proj[[#This Row],[PPA]]</f>
        <v>11</v>
      </c>
      <c r="T129">
        <f>ROUND((_xlfn.IFNA(INDEX(Table3[],MATCH(Proj[[#This Row],[Player]],Table3[Player],0),6)/60,IF(Proj[[#This Row],[Pos]] ="D", 'Per 60 PK'!$F$623, 'Per 60 PK'!$F$622)/60)+_xlfn.IFNA(INDEX(Table3[],MATCH(Proj[[#This Row],[Player]],Table3[Player],0),8)/60,IF(Proj[[#This Row],[Pos]] ="D", 'Per 60 PK'!$H$623, 'Per 60 PK'!$H$622)/60))*Proj[[#This Row],[TOI PK]]*Proj[[#This Row],[GP]],0)</f>
        <v>1</v>
      </c>
      <c r="U1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v>
      </c>
      <c r="V1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1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1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484</v>
      </c>
      <c r="Y1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561</v>
      </c>
      <c r="Z1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139</v>
      </c>
      <c r="AA1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-474.05802147566141</v>
      </c>
      <c r="AB129" s="10">
        <f>_xlfn.RANK.EQ(Proj[[#This Row],[VOR]],Proj[VOR])</f>
        <v>409</v>
      </c>
      <c r="AC129" s="10">
        <f>INDEX(Std[],MATCH(Proj[[#This Row],[Player]],Std[Player],0),20)</f>
        <v>260.5758328346372</v>
      </c>
      <c r="AD1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413.1</v>
      </c>
    </row>
    <row r="130" spans="1:30" x14ac:dyDescent="0.25">
      <c r="A130" t="s">
        <v>366</v>
      </c>
      <c r="B130">
        <v>26</v>
      </c>
      <c r="C130" t="s">
        <v>102</v>
      </c>
      <c r="D130" t="s">
        <v>6</v>
      </c>
      <c r="E130" s="9">
        <f>INDEX(Table1[],MATCH(Proj[[#This Row],[Player]],Table1[Player],0),5)</f>
        <v>14.25</v>
      </c>
      <c r="F130" s="9">
        <f>_xlfn.IFNA(INDEX(Table2[],MATCH(Proj[[#This Row],[Player]],Table2[Player],0),5),0)</f>
        <v>2.94</v>
      </c>
      <c r="G130" s="9">
        <f>_xlfn.IFNA(INDEX(Table3[],MATCH(Proj[[#This Row],[Player]],Table3[Player],0),5),0)</f>
        <v>0</v>
      </c>
      <c r="H130" s="10">
        <v>72</v>
      </c>
      <c r="I130">
        <v>72</v>
      </c>
      <c r="J130" s="9">
        <v>14.25</v>
      </c>
      <c r="K130" s="9">
        <v>2.94</v>
      </c>
      <c r="L130" s="9">
        <v>0</v>
      </c>
      <c r="M130" s="9">
        <f>Proj[[#This Row],[TOI ES]]+Proj[[#This Row],[TOI PP]]+Proj[[#This Row],[TOI PK]]</f>
        <v>17.190000000000001</v>
      </c>
      <c r="N1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1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30" s="10">
        <f>Proj[[#This Row],[Goals]]+Proj[[#This Row],[Assists]]</f>
        <v>52</v>
      </c>
      <c r="Q130" s="10">
        <f>ROUND(_xlfn.IFNA(INDEX(Table2[],MATCH(Proj[[#This Row],[Player]],Table2[Player],0),11)/60,IF(Proj[[#This Row],[Pos]] = "D", 'Per 60 PP'!$K$527,'Per 60 PP'!$K$526)/60)*Proj[[#This Row],[TOI PP]]*Proj[[#This Row],[GP]],0)</f>
        <v>6</v>
      </c>
      <c r="R130" s="10">
        <f>ROUND(_xlfn.IFNA(INDEX(Table2[],MATCH(Proj[[#This Row],[Player]],Table2[Player],0),7)/60,IF(Proj[[#This Row],[Pos]] = "D", 'Per 60 PP'!$G$527,'Per 60 PP'!$G$526)/60)*Proj[[#This Row],[TOI PP]]*Proj[[#This Row],[GP]],0)</f>
        <v>8</v>
      </c>
      <c r="S130" s="10">
        <f>Proj[[#This Row],[PPG]]+Proj[[#This Row],[PPA]]</f>
        <v>14</v>
      </c>
      <c r="T130">
        <f>ROUND((_xlfn.IFNA(INDEX(Table3[],MATCH(Proj[[#This Row],[Player]],Table3[Player],0),6)/60,IF(Proj[[#This Row],[Pos]] ="D", 'Per 60 PK'!$F$623, 'Per 60 PK'!$F$622)/60)+_xlfn.IFNA(INDEX(Table3[],MATCH(Proj[[#This Row],[Player]],Table3[Player],0),8)/60,IF(Proj[[#This Row],[Pos]] ="D", 'Per 60 PK'!$H$623, 'Per 60 PK'!$H$622)/60))*Proj[[#This Row],[TOI PK]]*Proj[[#This Row],[GP]],0)</f>
        <v>0</v>
      </c>
      <c r="U1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1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1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1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110</v>
      </c>
      <c r="Y1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182</v>
      </c>
      <c r="Z1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191</v>
      </c>
      <c r="AA1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-210.39019955764735</v>
      </c>
      <c r="AB130" s="10">
        <f>_xlfn.RANK.EQ(Proj[[#This Row],[VOR]],Proj[VOR])</f>
        <v>257</v>
      </c>
      <c r="AC130" s="10">
        <f>INDEX(Std[],MATCH(Proj[[#This Row],[Player]],Std[Player],0),20)</f>
        <v>261.15452483260151</v>
      </c>
      <c r="AD1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427.95</v>
      </c>
    </row>
    <row r="131" spans="1:30" x14ac:dyDescent="0.25">
      <c r="A131" t="s">
        <v>580</v>
      </c>
      <c r="B131">
        <v>29</v>
      </c>
      <c r="C131" t="s">
        <v>102</v>
      </c>
      <c r="D131" t="s">
        <v>11</v>
      </c>
      <c r="E131" s="9">
        <f>INDEX(Table1[],MATCH(Proj[[#This Row],[Player]],Table1[Player],0),5)</f>
        <v>14.197471369653</v>
      </c>
      <c r="F131" s="9">
        <f>_xlfn.IFNA(INDEX(Table2[],MATCH(Proj[[#This Row],[Player]],Table2[Player],0),5),0)</f>
        <v>3.27</v>
      </c>
      <c r="G131" s="9">
        <f>_xlfn.IFNA(INDEX(Table3[],MATCH(Proj[[#This Row],[Player]],Table3[Player],0),5),0)</f>
        <v>0</v>
      </c>
      <c r="H131" s="10">
        <v>78</v>
      </c>
      <c r="I131">
        <v>78</v>
      </c>
      <c r="J131" s="9">
        <v>14.197471369653</v>
      </c>
      <c r="K131" s="9">
        <v>3.27</v>
      </c>
      <c r="L131" s="9">
        <v>0</v>
      </c>
      <c r="M131" s="9">
        <f>Proj[[#This Row],[TOI ES]]+Proj[[#This Row],[TOI PP]]+Proj[[#This Row],[TOI PK]]</f>
        <v>17.467471369653001</v>
      </c>
      <c r="N1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1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131" s="10">
        <f>Proj[[#This Row],[Goals]]+Proj[[#This Row],[Assists]]</f>
        <v>52</v>
      </c>
      <c r="Q131" s="10">
        <f>ROUND(_xlfn.IFNA(INDEX(Table2[],MATCH(Proj[[#This Row],[Player]],Table2[Player],0),11)/60,IF(Proj[[#This Row],[Pos]] = "D", 'Per 60 PP'!$K$527,'Per 60 PP'!$K$526)/60)*Proj[[#This Row],[TOI PP]]*Proj[[#This Row],[GP]],0)</f>
        <v>3</v>
      </c>
      <c r="R131" s="10">
        <f>ROUND(_xlfn.IFNA(INDEX(Table2[],MATCH(Proj[[#This Row],[Player]],Table2[Player],0),7)/60,IF(Proj[[#This Row],[Pos]] = "D", 'Per 60 PP'!$G$527,'Per 60 PP'!$G$526)/60)*Proj[[#This Row],[TOI PP]]*Proj[[#This Row],[GP]],0)</f>
        <v>16</v>
      </c>
      <c r="S131" s="10">
        <f>Proj[[#This Row],[PPG]]+Proj[[#This Row],[PPA]]</f>
        <v>19</v>
      </c>
      <c r="T131">
        <f>ROUND((_xlfn.IFNA(INDEX(Table3[],MATCH(Proj[[#This Row],[Player]],Table3[Player],0),6)/60,IF(Proj[[#This Row],[Pos]] ="D", 'Per 60 PK'!$F$623, 'Per 60 PK'!$F$622)/60)+_xlfn.IFNA(INDEX(Table3[],MATCH(Proj[[#This Row],[Player]],Table3[Player],0),8)/60,IF(Proj[[#This Row],[Pos]] ="D", 'Per 60 PK'!$H$623, 'Per 60 PK'!$H$622)/60))*Proj[[#This Row],[TOI PK]]*Proj[[#This Row],[GP]],0)</f>
        <v>0</v>
      </c>
      <c r="U1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1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1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76</v>
      </c>
      <c r="Y1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79</v>
      </c>
      <c r="Z1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1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-287.46989276278555</v>
      </c>
      <c r="AB131" s="10">
        <f>_xlfn.RANK.EQ(Proj[[#This Row],[VOR]],Proj[VOR])</f>
        <v>299</v>
      </c>
      <c r="AC131" s="10">
        <f>INDEX(Std[],MATCH(Proj[[#This Row],[Player]],Std[Player],0),20)</f>
        <v>184.07483162746331</v>
      </c>
      <c r="AD1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381.1</v>
      </c>
    </row>
    <row r="132" spans="1:30" x14ac:dyDescent="0.25">
      <c r="A132" t="s">
        <v>447</v>
      </c>
      <c r="B132">
        <v>32</v>
      </c>
      <c r="C132" t="s">
        <v>105</v>
      </c>
      <c r="D132" t="s">
        <v>154</v>
      </c>
      <c r="E132" s="9">
        <f>INDEX(Table1[],MATCH(Proj[[#This Row],[Player]],Table1[Player],0),5)</f>
        <v>15.478097627839301</v>
      </c>
      <c r="F132" s="9">
        <f>_xlfn.IFNA(INDEX(Table2[],MATCH(Proj[[#This Row],[Player]],Table2[Player],0),5),0)</f>
        <v>2.76</v>
      </c>
      <c r="G132" s="9">
        <f>_xlfn.IFNA(INDEX(Table3[],MATCH(Proj[[#This Row],[Player]],Table3[Player],0),5),0)</f>
        <v>1.92</v>
      </c>
      <c r="H132" s="10">
        <v>76</v>
      </c>
      <c r="I132">
        <v>76</v>
      </c>
      <c r="J132" s="9">
        <v>15.478097627839301</v>
      </c>
      <c r="K132" s="9">
        <v>2.76</v>
      </c>
      <c r="L132" s="9">
        <v>1.92</v>
      </c>
      <c r="M132" s="9">
        <f>Proj[[#This Row],[TOI ES]]+Proj[[#This Row],[TOI PP]]+Proj[[#This Row],[TOI PK]]</f>
        <v>20.158097627839304</v>
      </c>
      <c r="N1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1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132" s="10">
        <f>Proj[[#This Row],[Goals]]+Proj[[#This Row],[Assists]]</f>
        <v>52</v>
      </c>
      <c r="Q132" s="10">
        <f>ROUND(_xlfn.IFNA(INDEX(Table2[],MATCH(Proj[[#This Row],[Player]],Table2[Player],0),11)/60,IF(Proj[[#This Row],[Pos]] = "D", 'Per 60 PP'!$K$527,'Per 60 PP'!$K$526)/60)*Proj[[#This Row],[TOI PP]]*Proj[[#This Row],[GP]],0)</f>
        <v>2</v>
      </c>
      <c r="R132" s="10">
        <f>ROUND(_xlfn.IFNA(INDEX(Table2[],MATCH(Proj[[#This Row],[Player]],Table2[Player],0),7)/60,IF(Proj[[#This Row],[Pos]] = "D", 'Per 60 PP'!$G$527,'Per 60 PP'!$G$526)/60)*Proj[[#This Row],[TOI PP]]*Proj[[#This Row],[GP]],0)</f>
        <v>16</v>
      </c>
      <c r="S132" s="10">
        <f>Proj[[#This Row],[PPG]]+Proj[[#This Row],[PPA]]</f>
        <v>18</v>
      </c>
      <c r="T132">
        <f>ROUND((_xlfn.IFNA(INDEX(Table3[],MATCH(Proj[[#This Row],[Player]],Table3[Player],0),6)/60,IF(Proj[[#This Row],[Pos]] ="D", 'Per 60 PK'!$F$623, 'Per 60 PK'!$F$622)/60)+_xlfn.IFNA(INDEX(Table3[],MATCH(Proj[[#This Row],[Player]],Table3[Player],0),8)/60,IF(Proj[[#This Row],[Pos]] ="D", 'Per 60 PK'!$H$623, 'Per 60 PK'!$H$622)/60))*Proj[[#This Row],[TOI PK]]*Proj[[#This Row],[GP]],0)</f>
        <v>1</v>
      </c>
      <c r="U1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1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61</v>
      </c>
      <c r="W1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1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471</v>
      </c>
      <c r="Y1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553</v>
      </c>
      <c r="Z1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128</v>
      </c>
      <c r="AA1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23.385574371655878</v>
      </c>
      <c r="AB132" s="10">
        <f>_xlfn.RANK.EQ(Proj[[#This Row],[VOR]],Proj[VOR])</f>
        <v>147</v>
      </c>
      <c r="AC132" s="10">
        <f>INDEX(Std[],MATCH(Proj[[#This Row],[Player]],Std[Player],0),20)</f>
        <v>469.93029876190474</v>
      </c>
      <c r="AD1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451.55000000000007</v>
      </c>
    </row>
    <row r="133" spans="1:30" x14ac:dyDescent="0.25">
      <c r="A133" t="s">
        <v>310</v>
      </c>
      <c r="B133">
        <v>29</v>
      </c>
      <c r="C133" t="s">
        <v>102</v>
      </c>
      <c r="D133" t="s">
        <v>21</v>
      </c>
      <c r="E133" s="9">
        <f>INDEX(Table1[],MATCH(Proj[[#This Row],[Player]],Table1[Player],0),5)</f>
        <v>14.3768343871236</v>
      </c>
      <c r="F133" s="9">
        <f>_xlfn.IFNA(INDEX(Table2[],MATCH(Proj[[#This Row],[Player]],Table2[Player],0),5),0)</f>
        <v>3</v>
      </c>
      <c r="G133" s="9">
        <f>_xlfn.IFNA(INDEX(Table3[],MATCH(Proj[[#This Row],[Player]],Table3[Player],0),5),0)</f>
        <v>0</v>
      </c>
      <c r="H133" s="10">
        <v>80</v>
      </c>
      <c r="I133">
        <v>80</v>
      </c>
      <c r="J133" s="9">
        <v>14.3768343871236</v>
      </c>
      <c r="K133" s="9">
        <v>3</v>
      </c>
      <c r="L133" s="9">
        <v>0</v>
      </c>
      <c r="M133" s="9">
        <f>Proj[[#This Row],[TOI ES]]+Proj[[#This Row],[TOI PP]]+Proj[[#This Row],[TOI PK]]</f>
        <v>17.376834387123601</v>
      </c>
      <c r="N1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33" s="10">
        <f>Proj[[#This Row],[Goals]]+Proj[[#This Row],[Assists]]</f>
        <v>52</v>
      </c>
      <c r="Q133" s="10">
        <f>ROUND(_xlfn.IFNA(INDEX(Table2[],MATCH(Proj[[#This Row],[Player]],Table2[Player],0),11)/60,IF(Proj[[#This Row],[Pos]] = "D", 'Per 60 PP'!$K$527,'Per 60 PP'!$K$526)/60)*Proj[[#This Row],[TOI PP]]*Proj[[#This Row],[GP]],0)</f>
        <v>8</v>
      </c>
      <c r="R133" s="10">
        <f>ROUND(_xlfn.IFNA(INDEX(Table2[],MATCH(Proj[[#This Row],[Player]],Table2[Player],0),7)/60,IF(Proj[[#This Row],[Pos]] = "D", 'Per 60 PP'!$G$527,'Per 60 PP'!$G$526)/60)*Proj[[#This Row],[TOI PP]]*Proj[[#This Row],[GP]],0)</f>
        <v>6</v>
      </c>
      <c r="S133" s="10">
        <f>Proj[[#This Row],[PPG]]+Proj[[#This Row],[PPA]]</f>
        <v>14</v>
      </c>
      <c r="T133">
        <f>ROUND((_xlfn.IFNA(INDEX(Table3[],MATCH(Proj[[#This Row],[Player]],Table3[Player],0),6)/60,IF(Proj[[#This Row],[Pos]] ="D", 'Per 60 PK'!$F$623, 'Per 60 PK'!$F$622)/60)+_xlfn.IFNA(INDEX(Table3[],MATCH(Proj[[#This Row],[Player]],Table3[Player],0),8)/60,IF(Proj[[#This Row],[Pos]] ="D", 'Per 60 PK'!$H$623, 'Per 60 PK'!$H$622)/60))*Proj[[#This Row],[TOI PK]]*Proj[[#This Row],[GP]],0)</f>
        <v>0</v>
      </c>
      <c r="U1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89</v>
      </c>
      <c r="V1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44</v>
      </c>
      <c r="W1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56</v>
      </c>
      <c r="X1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1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1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176</v>
      </c>
      <c r="AA1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-46.088476172676337</v>
      </c>
      <c r="AB133" s="10">
        <f>_xlfn.RANK.EQ(Proj[[#This Row],[VOR]],Proj[VOR])</f>
        <v>182</v>
      </c>
      <c r="AC133" s="10">
        <f>INDEX(Std[],MATCH(Proj[[#This Row],[Player]],Std[Player],0),20)</f>
        <v>425.45624821757252</v>
      </c>
      <c r="AD1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454.94999999999993</v>
      </c>
    </row>
    <row r="134" spans="1:30" x14ac:dyDescent="0.25">
      <c r="A134" t="s">
        <v>274</v>
      </c>
      <c r="B134">
        <v>35</v>
      </c>
      <c r="C134" t="s">
        <v>3</v>
      </c>
      <c r="D134" t="s">
        <v>155</v>
      </c>
      <c r="E134" s="9">
        <f>INDEX(Table1[],MATCH(Proj[[#This Row],[Player]],Table1[Player],0),5)</f>
        <v>20.319542306967801</v>
      </c>
      <c r="F134" s="9">
        <f>_xlfn.IFNA(INDEX(Table2[],MATCH(Proj[[#This Row],[Player]],Table2[Player],0),5),0)</f>
        <v>3.11</v>
      </c>
      <c r="G134" s="9">
        <f>_xlfn.IFNA(INDEX(Table3[],MATCH(Proj[[#This Row],[Player]],Table3[Player],0),5),0)</f>
        <v>2.25</v>
      </c>
      <c r="H134" s="10">
        <v>81</v>
      </c>
      <c r="I134">
        <v>81</v>
      </c>
      <c r="J134" s="9">
        <v>20.319542306967801</v>
      </c>
      <c r="K134" s="9">
        <v>3.11</v>
      </c>
      <c r="L134" s="9">
        <v>2.25</v>
      </c>
      <c r="M134" s="9">
        <f>Proj[[#This Row],[TOI ES]]+Proj[[#This Row],[TOI PP]]+Proj[[#This Row],[TOI PK]]</f>
        <v>25.6795423069678</v>
      </c>
      <c r="N1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1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41</v>
      </c>
      <c r="P134" s="10">
        <f>Proj[[#This Row],[Goals]]+Proj[[#This Row],[Assists]]</f>
        <v>52</v>
      </c>
      <c r="Q134" s="10">
        <f>ROUND(_xlfn.IFNA(INDEX(Table2[],MATCH(Proj[[#This Row],[Player]],Table2[Player],0),11)/60,IF(Proj[[#This Row],[Pos]] = "D", 'Per 60 PP'!$K$527,'Per 60 PP'!$K$526)/60)*Proj[[#This Row],[TOI PP]]*Proj[[#This Row],[GP]],0)</f>
        <v>5</v>
      </c>
      <c r="R134" s="10">
        <f>ROUND(_xlfn.IFNA(INDEX(Table2[],MATCH(Proj[[#This Row],[Player]],Table2[Player],0),7)/60,IF(Proj[[#This Row],[Pos]] = "D", 'Per 60 PP'!$G$527,'Per 60 PP'!$G$526)/60)*Proj[[#This Row],[TOI PP]]*Proj[[#This Row],[GP]],0)</f>
        <v>18</v>
      </c>
      <c r="S134" s="10">
        <f>Proj[[#This Row],[PPG]]+Proj[[#This Row],[PPA]]</f>
        <v>23</v>
      </c>
      <c r="T134">
        <f>ROUND((_xlfn.IFNA(INDEX(Table3[],MATCH(Proj[[#This Row],[Player]],Table3[Player],0),6)/60,IF(Proj[[#This Row],[Pos]] ="D", 'Per 60 PK'!$F$623, 'Per 60 PK'!$F$622)/60)+_xlfn.IFNA(INDEX(Table3[],MATCH(Proj[[#This Row],[Player]],Table3[Player],0),8)/60,IF(Proj[[#This Row],[Pos]] ="D", 'Per 60 PK'!$H$623, 'Per 60 PK'!$H$622)/60))*Proj[[#This Row],[TOI PK]]*Proj[[#This Row],[GP]],0)</f>
        <v>0</v>
      </c>
      <c r="U1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100</v>
      </c>
      <c r="V1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132</v>
      </c>
      <c r="W1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1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144</v>
      </c>
      <c r="AA1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509.78720188851946</v>
      </c>
      <c r="AB134" s="10">
        <f>_xlfn.RANK.EQ(Proj[[#This Row],[VOR]],Proj[VOR])</f>
        <v>41</v>
      </c>
      <c r="AC134" s="10">
        <f>INDEX(Std[],MATCH(Proj[[#This Row],[Player]],Std[Player],0),20)</f>
        <v>617.15196960798392</v>
      </c>
      <c r="AD1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488.15</v>
      </c>
    </row>
    <row r="135" spans="1:30" x14ac:dyDescent="0.25">
      <c r="A135" t="s">
        <v>1007</v>
      </c>
      <c r="B135">
        <v>23</v>
      </c>
      <c r="C135" t="s">
        <v>103</v>
      </c>
      <c r="D135" t="s">
        <v>4</v>
      </c>
      <c r="E135" s="9">
        <f>INDEX(Table1[],MATCH(Proj[[#This Row],[Player]],Table1[Player],0),5)</f>
        <v>14.042381713089201</v>
      </c>
      <c r="F135" s="9">
        <f>_xlfn.IFNA(INDEX(Table2[],MATCH(Proj[[#This Row],[Player]],Table2[Player],0),5),0)</f>
        <v>2.75</v>
      </c>
      <c r="G135" s="9">
        <f>_xlfn.IFNA(INDEX(Table3[],MATCH(Proj[[#This Row],[Player]],Table3[Player],0),5),0)</f>
        <v>0</v>
      </c>
      <c r="H135" s="10">
        <v>81</v>
      </c>
      <c r="I135">
        <v>81</v>
      </c>
      <c r="J135" s="9">
        <v>14.042381713089201</v>
      </c>
      <c r="K135" s="9">
        <v>2.75</v>
      </c>
      <c r="L135" s="9">
        <v>0</v>
      </c>
      <c r="M135" s="9">
        <f>Proj[[#This Row],[TOI ES]]+Proj[[#This Row],[TOI PP]]+Proj[[#This Row],[TOI PK]]</f>
        <v>16.792381713089199</v>
      </c>
      <c r="N1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35" s="10">
        <f>Proj[[#This Row],[Goals]]+Proj[[#This Row],[Assists]]</f>
        <v>51</v>
      </c>
      <c r="Q135" s="10">
        <f>ROUND(_xlfn.IFNA(INDEX(Table2[],MATCH(Proj[[#This Row],[Player]],Table2[Player],0),11)/60,IF(Proj[[#This Row],[Pos]] = "D", 'Per 60 PP'!$K$527,'Per 60 PP'!$K$526)/60)*Proj[[#This Row],[TOI PP]]*Proj[[#This Row],[GP]],0)</f>
        <v>5</v>
      </c>
      <c r="R135" s="10">
        <f>ROUND(_xlfn.IFNA(INDEX(Table2[],MATCH(Proj[[#This Row],[Player]],Table2[Player],0),7)/60,IF(Proj[[#This Row],[Pos]] = "D", 'Per 60 PP'!$G$527,'Per 60 PP'!$G$526)/60)*Proj[[#This Row],[TOI PP]]*Proj[[#This Row],[GP]],0)</f>
        <v>8</v>
      </c>
      <c r="S135" s="10">
        <f>Proj[[#This Row],[PPG]]+Proj[[#This Row],[PPA]]</f>
        <v>13</v>
      </c>
      <c r="T135">
        <f>ROUND((_xlfn.IFNA(INDEX(Table3[],MATCH(Proj[[#This Row],[Player]],Table3[Player],0),6)/60,IF(Proj[[#This Row],[Pos]] ="D", 'Per 60 PK'!$F$623, 'Per 60 PK'!$F$622)/60)+_xlfn.IFNA(INDEX(Table3[],MATCH(Proj[[#This Row],[Player]],Table3[Player],0),8)/60,IF(Proj[[#This Row],[Pos]] ="D", 'Per 60 PK'!$H$623, 'Per 60 PK'!$H$622)/60))*Proj[[#This Row],[TOI PK]]*Proj[[#This Row],[GP]],0)</f>
        <v>0</v>
      </c>
      <c r="U1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1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1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1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v>
      </c>
      <c r="Y1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v>
      </c>
      <c r="Z1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208</v>
      </c>
      <c r="AA1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-280.09115237838091</v>
      </c>
      <c r="AB135" s="10">
        <f>_xlfn.RANK.EQ(Proj[[#This Row],[VOR]],Proj[VOR])</f>
        <v>296</v>
      </c>
      <c r="AC135" s="10">
        <f>INDEX(Std[],MATCH(Proj[[#This Row],[Player]],Std[Player],0),20)</f>
        <v>166.45357201186798</v>
      </c>
      <c r="AD1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405.35</v>
      </c>
    </row>
    <row r="136" spans="1:30" x14ac:dyDescent="0.25">
      <c r="A136" t="s">
        <v>807</v>
      </c>
      <c r="B136">
        <v>25</v>
      </c>
      <c r="C136" t="s">
        <v>105</v>
      </c>
      <c r="D136" t="s">
        <v>9</v>
      </c>
      <c r="E136" s="9">
        <f>INDEX(Table1[],MATCH(Proj[[#This Row],[Player]],Table1[Player],0),5)</f>
        <v>13.3694958456165</v>
      </c>
      <c r="F136" s="9">
        <f>_xlfn.IFNA(INDEX(Table2[],MATCH(Proj[[#This Row],[Player]],Table2[Player],0),5),0)</f>
        <v>3.24</v>
      </c>
      <c r="G136" s="9">
        <f>_xlfn.IFNA(INDEX(Table3[],MATCH(Proj[[#This Row],[Player]],Table3[Player],0),5),0)</f>
        <v>0</v>
      </c>
      <c r="H136" s="10">
        <v>78</v>
      </c>
      <c r="I136">
        <v>78</v>
      </c>
      <c r="J136" s="9">
        <v>13.3694958456165</v>
      </c>
      <c r="K136" s="9">
        <v>3.24</v>
      </c>
      <c r="L136" s="9">
        <v>0</v>
      </c>
      <c r="M136" s="9">
        <f>Proj[[#This Row],[TOI ES]]+Proj[[#This Row],[TOI PP]]+Proj[[#This Row],[TOI PK]]</f>
        <v>16.6094958456165</v>
      </c>
      <c r="N1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30</v>
      </c>
      <c r="O1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136" s="10">
        <f>Proj[[#This Row],[Goals]]+Proj[[#This Row],[Assists]]</f>
        <v>51</v>
      </c>
      <c r="Q136" s="10">
        <f>ROUND(_xlfn.IFNA(INDEX(Table2[],MATCH(Proj[[#This Row],[Player]],Table2[Player],0),11)/60,IF(Proj[[#This Row],[Pos]] = "D", 'Per 60 PP'!$K$527,'Per 60 PP'!$K$526)/60)*Proj[[#This Row],[TOI PP]]*Proj[[#This Row],[GP]],0)</f>
        <v>11</v>
      </c>
      <c r="R136" s="10">
        <f>ROUND(_xlfn.IFNA(INDEX(Table2[],MATCH(Proj[[#This Row],[Player]],Table2[Player],0),7)/60,IF(Proj[[#This Row],[Pos]] = "D", 'Per 60 PP'!$G$527,'Per 60 PP'!$G$526)/60)*Proj[[#This Row],[TOI PP]]*Proj[[#This Row],[GP]],0)</f>
        <v>6</v>
      </c>
      <c r="S136" s="10">
        <f>Proj[[#This Row],[PPG]]+Proj[[#This Row],[PPA]]</f>
        <v>17</v>
      </c>
      <c r="T136">
        <f>ROUND((_xlfn.IFNA(INDEX(Table3[],MATCH(Proj[[#This Row],[Player]],Table3[Player],0),6)/60,IF(Proj[[#This Row],[Pos]] ="D", 'Per 60 PK'!$F$623, 'Per 60 PK'!$F$622)/60)+_xlfn.IFNA(INDEX(Table3[],MATCH(Proj[[#This Row],[Player]],Table3[Player],0),8)/60,IF(Proj[[#This Row],[Pos]] ="D", 'Per 60 PK'!$H$623, 'Per 60 PK'!$H$622)/60))*Proj[[#This Row],[TOI PK]]*Proj[[#This Row],[GP]],0)</f>
        <v>0</v>
      </c>
      <c r="U1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1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1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1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75</v>
      </c>
      <c r="Y1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92</v>
      </c>
      <c r="Z1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175</v>
      </c>
      <c r="AA1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-217.23743135688815</v>
      </c>
      <c r="AB136" s="10">
        <f>_xlfn.RANK.EQ(Proj[[#This Row],[VOR]],Proj[VOR])</f>
        <v>261</v>
      </c>
      <c r="AC136" s="10">
        <f>INDEX(Std[],MATCH(Proj[[#This Row],[Player]],Std[Player],0),20)</f>
        <v>229.30729303336071</v>
      </c>
      <c r="AD1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417.05</v>
      </c>
    </row>
    <row r="137" spans="1:30" x14ac:dyDescent="0.25">
      <c r="A137" t="s">
        <v>442</v>
      </c>
      <c r="B137">
        <v>23</v>
      </c>
      <c r="C137" t="s">
        <v>74</v>
      </c>
      <c r="D137" t="s">
        <v>5</v>
      </c>
      <c r="E137" s="9">
        <f>INDEX(Table1[],MATCH(Proj[[#This Row],[Player]],Table1[Player],0),5)</f>
        <v>14.7134340099299</v>
      </c>
      <c r="F137" s="9">
        <f>_xlfn.IFNA(INDEX(Table2[],MATCH(Proj[[#This Row],[Player]],Table2[Player],0),5),0)</f>
        <v>2.69</v>
      </c>
      <c r="G137" s="9">
        <f>_xlfn.IFNA(INDEX(Table3[],MATCH(Proj[[#This Row],[Player]],Table3[Player],0),5),0)</f>
        <v>0</v>
      </c>
      <c r="H137" s="10">
        <v>80</v>
      </c>
      <c r="I137">
        <v>80</v>
      </c>
      <c r="J137" s="9">
        <v>14.7134340099299</v>
      </c>
      <c r="K137" s="9">
        <v>2.69</v>
      </c>
      <c r="L137" s="9">
        <v>0</v>
      </c>
      <c r="M137" s="9">
        <f>Proj[[#This Row],[TOI ES]]+Proj[[#This Row],[TOI PP]]+Proj[[#This Row],[TOI PK]]</f>
        <v>17.403434009929899</v>
      </c>
      <c r="N1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137" s="10">
        <f>Proj[[#This Row],[Goals]]+Proj[[#This Row],[Assists]]</f>
        <v>51</v>
      </c>
      <c r="Q137" s="10">
        <f>ROUND(_xlfn.IFNA(INDEX(Table2[],MATCH(Proj[[#This Row],[Player]],Table2[Player],0),11)/60,IF(Proj[[#This Row],[Pos]] = "D", 'Per 60 PP'!$K$527,'Per 60 PP'!$K$526)/60)*Proj[[#This Row],[TOI PP]]*Proj[[#This Row],[GP]],0)</f>
        <v>5</v>
      </c>
      <c r="R137" s="10">
        <f>ROUND(_xlfn.IFNA(INDEX(Table2[],MATCH(Proj[[#This Row],[Player]],Table2[Player],0),7)/60,IF(Proj[[#This Row],[Pos]] = "D", 'Per 60 PP'!$G$527,'Per 60 PP'!$G$526)/60)*Proj[[#This Row],[TOI PP]]*Proj[[#This Row],[GP]],0)</f>
        <v>5</v>
      </c>
      <c r="S137" s="10">
        <f>Proj[[#This Row],[PPG]]+Proj[[#This Row],[PPA]]</f>
        <v>10</v>
      </c>
      <c r="T137">
        <f>ROUND((_xlfn.IFNA(INDEX(Table3[],MATCH(Proj[[#This Row],[Player]],Table3[Player],0),6)/60,IF(Proj[[#This Row],[Pos]] ="D", 'Per 60 PK'!$F$623, 'Per 60 PK'!$F$622)/60)+_xlfn.IFNA(INDEX(Table3[],MATCH(Proj[[#This Row],[Player]],Table3[Player],0),8)/60,IF(Proj[[#This Row],[Pos]] ="D", 'Per 60 PK'!$H$623, 'Per 60 PK'!$H$622)/60))*Proj[[#This Row],[TOI PK]]*Proj[[#This Row],[GP]],0)</f>
        <v>0</v>
      </c>
      <c r="U1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1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1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66</v>
      </c>
      <c r="X1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158</v>
      </c>
      <c r="Y1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243</v>
      </c>
      <c r="Z1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185</v>
      </c>
      <c r="AA1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-343.81234674944079</v>
      </c>
      <c r="AB137" s="10">
        <f>_xlfn.RANK.EQ(Proj[[#This Row],[VOR]],Proj[VOR])</f>
        <v>340</v>
      </c>
      <c r="AC137" s="10">
        <f>INDEX(Std[],MATCH(Proj[[#This Row],[Player]],Std[Player],0),20)</f>
        <v>390.82150756085781</v>
      </c>
      <c r="AD1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433.25</v>
      </c>
    </row>
    <row r="138" spans="1:30" x14ac:dyDescent="0.25">
      <c r="A138" t="s">
        <v>499</v>
      </c>
      <c r="B138">
        <v>32</v>
      </c>
      <c r="C138" t="s">
        <v>74</v>
      </c>
      <c r="D138" t="s">
        <v>28</v>
      </c>
      <c r="E138" s="9">
        <f>INDEX(Table1[],MATCH(Proj[[#This Row],[Player]],Table1[Player],0),5)</f>
        <v>13.334891892060201</v>
      </c>
      <c r="F138" s="9">
        <f>_xlfn.IFNA(INDEX(Table2[],MATCH(Proj[[#This Row],[Player]],Table2[Player],0),5),0)</f>
        <v>2.27</v>
      </c>
      <c r="G138" s="9">
        <f>_xlfn.IFNA(INDEX(Table3[],MATCH(Proj[[#This Row],[Player]],Table3[Player],0),5),0)</f>
        <v>1.8</v>
      </c>
      <c r="H138" s="10">
        <v>77</v>
      </c>
      <c r="I138">
        <v>77</v>
      </c>
      <c r="J138" s="9">
        <v>13.334891892060201</v>
      </c>
      <c r="K138" s="9">
        <v>2.27</v>
      </c>
      <c r="L138" s="9">
        <v>1.8</v>
      </c>
      <c r="M138" s="9">
        <f>Proj[[#This Row],[TOI ES]]+Proj[[#This Row],[TOI PP]]+Proj[[#This Row],[TOI PK]]</f>
        <v>17.404891892060199</v>
      </c>
      <c r="N1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1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38" s="10">
        <f>Proj[[#This Row],[Goals]]+Proj[[#This Row],[Assists]]</f>
        <v>51</v>
      </c>
      <c r="Q138" s="10">
        <f>ROUND(_xlfn.IFNA(INDEX(Table2[],MATCH(Proj[[#This Row],[Player]],Table2[Player],0),11)/60,IF(Proj[[#This Row],[Pos]] = "D", 'Per 60 PP'!$K$527,'Per 60 PP'!$K$526)/60)*Proj[[#This Row],[TOI PP]]*Proj[[#This Row],[GP]],0)</f>
        <v>5</v>
      </c>
      <c r="R138" s="10">
        <f>ROUND(_xlfn.IFNA(INDEX(Table2[],MATCH(Proj[[#This Row],[Player]],Table2[Player],0),7)/60,IF(Proj[[#This Row],[Pos]] = "D", 'Per 60 PP'!$G$527,'Per 60 PP'!$G$526)/60)*Proj[[#This Row],[TOI PP]]*Proj[[#This Row],[GP]],0)</f>
        <v>6</v>
      </c>
      <c r="S138" s="10">
        <f>Proj[[#This Row],[PPG]]+Proj[[#This Row],[PPA]]</f>
        <v>11</v>
      </c>
      <c r="T138">
        <f>ROUND((_xlfn.IFNA(INDEX(Table3[],MATCH(Proj[[#This Row],[Player]],Table3[Player],0),6)/60,IF(Proj[[#This Row],[Pos]] ="D", 'Per 60 PK'!$F$623, 'Per 60 PK'!$F$622)/60)+_xlfn.IFNA(INDEX(Table3[],MATCH(Proj[[#This Row],[Player]],Table3[Player],0),8)/60,IF(Proj[[#This Row],[Pos]] ="D", 'Per 60 PK'!$H$623, 'Per 60 PK'!$H$622)/60))*Proj[[#This Row],[TOI PK]]*Proj[[#This Row],[GP]],0)</f>
        <v>3</v>
      </c>
      <c r="U1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1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1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1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578</v>
      </c>
      <c r="Y1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466</v>
      </c>
      <c r="Z1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168</v>
      </c>
      <c r="AA1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-324.80505178013033</v>
      </c>
      <c r="AB138" s="10">
        <f>_xlfn.RANK.EQ(Proj[[#This Row],[VOR]],Proj[VOR])</f>
        <v>326</v>
      </c>
      <c r="AC138" s="10">
        <f>INDEX(Std[],MATCH(Proj[[#This Row],[Player]],Std[Player],0),20)</f>
        <v>409.82880253016828</v>
      </c>
      <c r="AD1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459.00000000000006</v>
      </c>
    </row>
    <row r="139" spans="1:30" x14ac:dyDescent="0.25">
      <c r="A139" t="s">
        <v>435</v>
      </c>
      <c r="B139">
        <v>30</v>
      </c>
      <c r="C139" t="s">
        <v>74</v>
      </c>
      <c r="D139" t="s">
        <v>87</v>
      </c>
      <c r="E139" s="9">
        <f>INDEX(Table1[],MATCH(Proj[[#This Row],[Player]],Table1[Player],0),5)</f>
        <v>14.1890927391579</v>
      </c>
      <c r="F139" s="9">
        <f>_xlfn.IFNA(INDEX(Table2[],MATCH(Proj[[#This Row],[Player]],Table2[Player],0),5),0)</f>
        <v>2.68</v>
      </c>
      <c r="G139" s="9">
        <f>_xlfn.IFNA(INDEX(Table3[],MATCH(Proj[[#This Row],[Player]],Table3[Player],0),5),0)</f>
        <v>1.55</v>
      </c>
      <c r="H139" s="10">
        <v>78</v>
      </c>
      <c r="I139">
        <v>78</v>
      </c>
      <c r="J139" s="9">
        <v>14.1890927391579</v>
      </c>
      <c r="K139" s="9">
        <v>2.68</v>
      </c>
      <c r="L139" s="9">
        <v>1.55</v>
      </c>
      <c r="M139" s="9">
        <f>Proj[[#This Row],[TOI ES]]+Proj[[#This Row],[TOI PP]]+Proj[[#This Row],[TOI PK]]</f>
        <v>18.4190927391579</v>
      </c>
      <c r="N1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1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139">
        <f>Proj[[#This Row],[Goals]]+Proj[[#This Row],[Assists]]</f>
        <v>51</v>
      </c>
      <c r="Q139" s="10">
        <f>ROUND(_xlfn.IFNA(INDEX(Table2[],MATCH(Proj[[#This Row],[Player]],Table2[Player],0),11)/60,IF(Proj[[#This Row],[Pos]] = "D", 'Per 60 PP'!$K$527,'Per 60 PP'!$K$526)/60)*Proj[[#This Row],[TOI PP]]*Proj[[#This Row],[GP]],0)</f>
        <v>5</v>
      </c>
      <c r="R139" s="10">
        <f>ROUND(_xlfn.IFNA(INDEX(Table2[],MATCH(Proj[[#This Row],[Player]],Table2[Player],0),7)/60,IF(Proj[[#This Row],[Pos]] = "D", 'Per 60 PP'!$G$527,'Per 60 PP'!$G$526)/60)*Proj[[#This Row],[TOI PP]]*Proj[[#This Row],[GP]],0)</f>
        <v>9</v>
      </c>
      <c r="S139" s="10">
        <f>Proj[[#This Row],[PPG]]+Proj[[#This Row],[PPA]]</f>
        <v>14</v>
      </c>
      <c r="T139">
        <f>ROUND((_xlfn.IFNA(INDEX(Table3[],MATCH(Proj[[#This Row],[Player]],Table3[Player],0),6)/60,IF(Proj[[#This Row],[Pos]] ="D", 'Per 60 PK'!$F$623, 'Per 60 PK'!$F$622)/60)+_xlfn.IFNA(INDEX(Table3[],MATCH(Proj[[#This Row],[Player]],Table3[Player],0),8)/60,IF(Proj[[#This Row],[Pos]] ="D", 'Per 60 PK'!$H$623, 'Per 60 PK'!$H$622)/60))*Proj[[#This Row],[TOI PK]]*Proj[[#This Row],[GP]],0)</f>
        <v>2</v>
      </c>
      <c r="U1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1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1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1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573</v>
      </c>
      <c r="Y1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515</v>
      </c>
      <c r="Z1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102</v>
      </c>
      <c r="AA1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-375.16592087223779</v>
      </c>
      <c r="AB139" s="10">
        <f>_xlfn.RANK.EQ(Proj[[#This Row],[VOR]],Proj[VOR])</f>
        <v>362</v>
      </c>
      <c r="AC139" s="10">
        <f>INDEX(Std[],MATCH(Proj[[#This Row],[Player]],Std[Player],0),20)</f>
        <v>359.46793343806081</v>
      </c>
      <c r="AD1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425.00000000000006</v>
      </c>
    </row>
    <row r="140" spans="1:30" x14ac:dyDescent="0.25">
      <c r="A140" t="s">
        <v>331</v>
      </c>
      <c r="B140">
        <v>29</v>
      </c>
      <c r="C140" t="s">
        <v>103</v>
      </c>
      <c r="D140" t="s">
        <v>87</v>
      </c>
      <c r="E140" s="9">
        <f>INDEX(Table1[],MATCH(Proj[[#This Row],[Player]],Table1[Player],0),5)</f>
        <v>13.749676318733</v>
      </c>
      <c r="F140" s="9">
        <f>_xlfn.IFNA(INDEX(Table2[],MATCH(Proj[[#This Row],[Player]],Table2[Player],0),5),0)</f>
        <v>2.29</v>
      </c>
      <c r="G140" s="9">
        <f>_xlfn.IFNA(INDEX(Table3[],MATCH(Proj[[#This Row],[Player]],Table3[Player],0),5),0)</f>
        <v>0</v>
      </c>
      <c r="H140" s="10">
        <v>82</v>
      </c>
      <c r="I140">
        <v>82</v>
      </c>
      <c r="J140" s="9">
        <v>13.749676318733</v>
      </c>
      <c r="K140" s="9">
        <v>2.29</v>
      </c>
      <c r="L140" s="9">
        <v>0</v>
      </c>
      <c r="M140" s="9">
        <f>Proj[[#This Row],[TOI ES]]+Proj[[#This Row],[TOI PP]]+Proj[[#This Row],[TOI PK]]</f>
        <v>16.039676318733001</v>
      </c>
      <c r="N1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140" s="10">
        <f>Proj[[#This Row],[Goals]]+Proj[[#This Row],[Assists]]</f>
        <v>51</v>
      </c>
      <c r="Q140" s="10">
        <f>ROUND(_xlfn.IFNA(INDEX(Table2[],MATCH(Proj[[#This Row],[Player]],Table2[Player],0),11)/60,IF(Proj[[#This Row],[Pos]] = "D", 'Per 60 PP'!$K$527,'Per 60 PP'!$K$526)/60)*Proj[[#This Row],[TOI PP]]*Proj[[#This Row],[GP]],0)</f>
        <v>6</v>
      </c>
      <c r="R140" s="10">
        <f>ROUND(_xlfn.IFNA(INDEX(Table2[],MATCH(Proj[[#This Row],[Player]],Table2[Player],0),7)/60,IF(Proj[[#This Row],[Pos]] = "D", 'Per 60 PP'!$G$527,'Per 60 PP'!$G$526)/60)*Proj[[#This Row],[TOI PP]]*Proj[[#This Row],[GP]],0)</f>
        <v>10</v>
      </c>
      <c r="S140" s="10">
        <f>Proj[[#This Row],[PPG]]+Proj[[#This Row],[PPA]]</f>
        <v>16</v>
      </c>
      <c r="T140">
        <f>ROUND((_xlfn.IFNA(INDEX(Table3[],MATCH(Proj[[#This Row],[Player]],Table3[Player],0),6)/60,IF(Proj[[#This Row],[Pos]] ="D", 'Per 60 PK'!$F$623, 'Per 60 PK'!$F$622)/60)+_xlfn.IFNA(INDEX(Table3[],MATCH(Proj[[#This Row],[Player]],Table3[Player],0),8)/60,IF(Proj[[#This Row],[Pos]] ="D", 'Per 60 PK'!$H$623, 'Per 60 PK'!$H$622)/60))*Proj[[#This Row],[TOI PK]]*Proj[[#This Row],[GP]],0)</f>
        <v>0</v>
      </c>
      <c r="U1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1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1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1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1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1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187</v>
      </c>
      <c r="AA1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-263.98189317018466</v>
      </c>
      <c r="AB140" s="10">
        <f>_xlfn.RANK.EQ(Proj[[#This Row],[VOR]],Proj[VOR])</f>
        <v>287</v>
      </c>
      <c r="AC140" s="10">
        <f>INDEX(Std[],MATCH(Proj[[#This Row],[Player]],Std[Player],0),20)</f>
        <v>182.56283122006417</v>
      </c>
      <c r="AD1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416.15</v>
      </c>
    </row>
    <row r="141" spans="1:30" x14ac:dyDescent="0.25">
      <c r="A141" t="s">
        <v>352</v>
      </c>
      <c r="B141">
        <v>33</v>
      </c>
      <c r="C141" t="s">
        <v>105</v>
      </c>
      <c r="D141" t="s">
        <v>17</v>
      </c>
      <c r="E141" s="9">
        <f>INDEX(Table1[],MATCH(Proj[[#This Row],[Player]],Table1[Player],0),5)</f>
        <v>13.6925422318687</v>
      </c>
      <c r="F141" s="9">
        <f>_xlfn.IFNA(INDEX(Table2[],MATCH(Proj[[#This Row],[Player]],Table2[Player],0),5),0)</f>
        <v>1.73</v>
      </c>
      <c r="G141" s="9">
        <f>_xlfn.IFNA(INDEX(Table3[],MATCH(Proj[[#This Row],[Player]],Table3[Player],0),5),0)</f>
        <v>1.08</v>
      </c>
      <c r="H141" s="10">
        <v>78</v>
      </c>
      <c r="I141">
        <v>78</v>
      </c>
      <c r="J141" s="9">
        <v>13.6925422318687</v>
      </c>
      <c r="K141" s="9">
        <v>1.73</v>
      </c>
      <c r="L141" s="9">
        <v>1.08</v>
      </c>
      <c r="M141" s="9">
        <f>Proj[[#This Row],[TOI ES]]+Proj[[#This Row],[TOI PP]]+Proj[[#This Row],[TOI PK]]</f>
        <v>16.502542231868702</v>
      </c>
      <c r="N1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141" s="10">
        <f>Proj[[#This Row],[Goals]]+Proj[[#This Row],[Assists]]</f>
        <v>51</v>
      </c>
      <c r="Q141" s="10">
        <f>ROUND(_xlfn.IFNA(INDEX(Table2[],MATCH(Proj[[#This Row],[Player]],Table2[Player],0),11)/60,IF(Proj[[#This Row],[Pos]] = "D", 'Per 60 PP'!$K$527,'Per 60 PP'!$K$526)/60)*Proj[[#This Row],[TOI PP]]*Proj[[#This Row],[GP]],0)</f>
        <v>4</v>
      </c>
      <c r="R141" s="10">
        <f>ROUND(_xlfn.IFNA(INDEX(Table2[],MATCH(Proj[[#This Row],[Player]],Table2[Player],0),7)/60,IF(Proj[[#This Row],[Pos]] = "D", 'Per 60 PP'!$G$527,'Per 60 PP'!$G$526)/60)*Proj[[#This Row],[TOI PP]]*Proj[[#This Row],[GP]],0)</f>
        <v>5</v>
      </c>
      <c r="S141" s="10">
        <f>Proj[[#This Row],[PPG]]+Proj[[#This Row],[PPA]]</f>
        <v>9</v>
      </c>
      <c r="T141">
        <f>ROUND((_xlfn.IFNA(INDEX(Table3[],MATCH(Proj[[#This Row],[Player]],Table3[Player],0),6)/60,IF(Proj[[#This Row],[Pos]] ="D", 'Per 60 PK'!$F$623, 'Per 60 PK'!$F$622)/60)+_xlfn.IFNA(INDEX(Table3[],MATCH(Proj[[#This Row],[Player]],Table3[Player],0),8)/60,IF(Proj[[#This Row],[Pos]] ="D", 'Per 60 PK'!$H$623, 'Per 60 PK'!$H$622)/60))*Proj[[#This Row],[TOI PK]]*Proj[[#This Row],[GP]],0)</f>
        <v>2</v>
      </c>
      <c r="U1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1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1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1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404</v>
      </c>
      <c r="Y1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318</v>
      </c>
      <c r="Z1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175</v>
      </c>
      <c r="AA1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-91.663034272350103</v>
      </c>
      <c r="AB141" s="10">
        <f>_xlfn.RANK.EQ(Proj[[#This Row],[VOR]],Proj[VOR])</f>
        <v>197</v>
      </c>
      <c r="AC141" s="10">
        <f>INDEX(Std[],MATCH(Proj[[#This Row],[Player]],Std[Player],0),20)</f>
        <v>354.88169011789876</v>
      </c>
      <c r="AD1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450.79999999999995</v>
      </c>
    </row>
    <row r="142" spans="1:30" x14ac:dyDescent="0.25">
      <c r="A142" t="s">
        <v>412</v>
      </c>
      <c r="B142">
        <v>35</v>
      </c>
      <c r="C142" t="s">
        <v>74</v>
      </c>
      <c r="D142" t="s">
        <v>154</v>
      </c>
      <c r="E142" s="9">
        <f>INDEX(Table1[],MATCH(Proj[[#This Row],[Player]],Table1[Player],0),5)</f>
        <v>13.7081131964944</v>
      </c>
      <c r="F142" s="9">
        <f>_xlfn.IFNA(INDEX(Table2[],MATCH(Proj[[#This Row],[Player]],Table2[Player],0),5),0)</f>
        <v>2.73</v>
      </c>
      <c r="G142" s="9">
        <f>_xlfn.IFNA(INDEX(Table3[],MATCH(Proj[[#This Row],[Player]],Table3[Player],0),5),0)</f>
        <v>2.19</v>
      </c>
      <c r="H142" s="10">
        <v>70</v>
      </c>
      <c r="I142">
        <v>70</v>
      </c>
      <c r="J142" s="9">
        <v>13.7081131964944</v>
      </c>
      <c r="K142" s="9">
        <v>2.73</v>
      </c>
      <c r="L142" s="9">
        <v>2.19</v>
      </c>
      <c r="M142" s="9">
        <f>Proj[[#This Row],[TOI ES]]+Proj[[#This Row],[TOI PP]]+Proj[[#This Row],[TOI PK]]</f>
        <v>18.6281131964944</v>
      </c>
      <c r="N1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1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42" s="10">
        <f>Proj[[#This Row],[Goals]]+Proj[[#This Row],[Assists]]</f>
        <v>51</v>
      </c>
      <c r="Q142" s="10">
        <f>ROUND(_xlfn.IFNA(INDEX(Table2[],MATCH(Proj[[#This Row],[Player]],Table2[Player],0),11)/60,IF(Proj[[#This Row],[Pos]] = "D", 'Per 60 PP'!$K$527,'Per 60 PP'!$K$526)/60)*Proj[[#This Row],[TOI PP]]*Proj[[#This Row],[GP]],0)</f>
        <v>6</v>
      </c>
      <c r="R142" s="10">
        <f>ROUND(_xlfn.IFNA(INDEX(Table2[],MATCH(Proj[[#This Row],[Player]],Table2[Player],0),7)/60,IF(Proj[[#This Row],[Pos]] = "D", 'Per 60 PP'!$G$527,'Per 60 PP'!$G$526)/60)*Proj[[#This Row],[TOI PP]]*Proj[[#This Row],[GP]],0)</f>
        <v>11</v>
      </c>
      <c r="S142" s="10">
        <f>Proj[[#This Row],[PPG]]+Proj[[#This Row],[PPA]]</f>
        <v>17</v>
      </c>
      <c r="T142">
        <f>ROUND((_xlfn.IFNA(INDEX(Table3[],MATCH(Proj[[#This Row],[Player]],Table3[Player],0),6)/60,IF(Proj[[#This Row],[Pos]] ="D", 'Per 60 PK'!$F$623, 'Per 60 PK'!$F$622)/60)+_xlfn.IFNA(INDEX(Table3[],MATCH(Proj[[#This Row],[Player]],Table3[Player],0),8)/60,IF(Proj[[#This Row],[Pos]] ="D", 'Per 60 PK'!$H$623, 'Per 60 PK'!$H$622)/60))*Proj[[#This Row],[TOI PK]]*Proj[[#This Row],[GP]],0)</f>
        <v>1</v>
      </c>
      <c r="U1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1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60</v>
      </c>
      <c r="W1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536</v>
      </c>
      <c r="Y1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535</v>
      </c>
      <c r="Z1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1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-172.79365155455162</v>
      </c>
      <c r="AB142" s="10">
        <f>_xlfn.RANK.EQ(Proj[[#This Row],[VOR]],Proj[VOR])</f>
        <v>234</v>
      </c>
      <c r="AC142" s="10">
        <f>INDEX(Std[],MATCH(Proj[[#This Row],[Player]],Std[Player],0),20)</f>
        <v>561.84020275574699</v>
      </c>
      <c r="AD1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492.5</v>
      </c>
    </row>
    <row r="143" spans="1:30" x14ac:dyDescent="0.25">
      <c r="A143" t="s">
        <v>244</v>
      </c>
      <c r="B143">
        <v>37</v>
      </c>
      <c r="C143" t="s">
        <v>3</v>
      </c>
      <c r="D143" t="s">
        <v>25</v>
      </c>
      <c r="E143" s="9">
        <f>INDEX(Table1[],MATCH(Proj[[#This Row],[Player]],Table1[Player],0),5)</f>
        <v>20.083518031966701</v>
      </c>
      <c r="F143" s="9">
        <f>_xlfn.IFNA(INDEX(Table2[],MATCH(Proj[[#This Row],[Player]],Table2[Player],0),5),0)</f>
        <v>2</v>
      </c>
      <c r="G143" s="9">
        <f>_xlfn.IFNA(INDEX(Table3[],MATCH(Proj[[#This Row],[Player]],Table3[Player],0),5),0)</f>
        <v>2.11</v>
      </c>
      <c r="H143" s="10">
        <v>81</v>
      </c>
      <c r="I143">
        <v>81</v>
      </c>
      <c r="J143" s="9">
        <v>20.083518031966701</v>
      </c>
      <c r="K143" s="9">
        <v>2.29</v>
      </c>
      <c r="L143" s="9">
        <v>2.11</v>
      </c>
      <c r="M143" s="9">
        <f>Proj[[#This Row],[TOI ES]]+Proj[[#This Row],[TOI PP]]+Proj[[#This Row],[TOI PK]]</f>
        <v>24.4835180319667</v>
      </c>
      <c r="N1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1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42</v>
      </c>
      <c r="P143" s="10">
        <f>Proj[[#This Row],[Goals]]+Proj[[#This Row],[Assists]]</f>
        <v>51</v>
      </c>
      <c r="Q143" s="10">
        <f>ROUND(_xlfn.IFNA(INDEX(Table2[],MATCH(Proj[[#This Row],[Player]],Table2[Player],0),11)/60,IF(Proj[[#This Row],[Pos]] = "D", 'Per 60 PP'!$K$527,'Per 60 PP'!$K$526)/60)*Proj[[#This Row],[TOI PP]]*Proj[[#This Row],[GP]],0)</f>
        <v>2</v>
      </c>
      <c r="R143" s="10">
        <f>ROUND(_xlfn.IFNA(INDEX(Table2[],MATCH(Proj[[#This Row],[Player]],Table2[Player],0),7)/60,IF(Proj[[#This Row],[Pos]] = "D", 'Per 60 PP'!$G$527,'Per 60 PP'!$G$526)/60)*Proj[[#This Row],[TOI PP]]*Proj[[#This Row],[GP]],0)</f>
        <v>10</v>
      </c>
      <c r="S143" s="10">
        <f>Proj[[#This Row],[PPG]]+Proj[[#This Row],[PPA]]</f>
        <v>12</v>
      </c>
      <c r="T143">
        <f>ROUND((_xlfn.IFNA(INDEX(Table3[],MATCH(Proj[[#This Row],[Player]],Table3[Player],0),6)/60,IF(Proj[[#This Row],[Pos]] ="D", 'Per 60 PK'!$F$623, 'Per 60 PK'!$F$622)/60)+_xlfn.IFNA(INDEX(Table3[],MATCH(Proj[[#This Row],[Player]],Table3[Player],0),8)/60,IF(Proj[[#This Row],[Pos]] ="D", 'Per 60 PK'!$H$623, 'Per 60 PK'!$H$622)/60))*Proj[[#This Row],[TOI PK]]*Proj[[#This Row],[GP]],0)</f>
        <v>2</v>
      </c>
      <c r="U1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134</v>
      </c>
      <c r="V1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140</v>
      </c>
      <c r="W1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1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169</v>
      </c>
      <c r="AA1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506.09519021436358</v>
      </c>
      <c r="AB143" s="10">
        <f>_xlfn.RANK.EQ(Proj[[#This Row],[VOR]],Proj[VOR])</f>
        <v>42</v>
      </c>
      <c r="AC143" s="10">
        <f>INDEX(Std[],MATCH(Proj[[#This Row],[Player]],Std[Player],0),20)</f>
        <v>613.45995793382804</v>
      </c>
      <c r="AD1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508.9</v>
      </c>
    </row>
    <row r="144" spans="1:30" x14ac:dyDescent="0.25">
      <c r="A144" t="s">
        <v>314</v>
      </c>
      <c r="B144">
        <v>28</v>
      </c>
      <c r="C144" t="s">
        <v>74</v>
      </c>
      <c r="D144" t="s">
        <v>31</v>
      </c>
      <c r="E144" s="9">
        <f>INDEX(Table1[],MATCH(Proj[[#This Row],[Player]],Table1[Player],0),5)</f>
        <v>14.0472655963961</v>
      </c>
      <c r="F144" s="9">
        <f>_xlfn.IFNA(INDEX(Table2[],MATCH(Proj[[#This Row],[Player]],Table2[Player],0),5),0)</f>
        <v>1.99</v>
      </c>
      <c r="G144" s="9">
        <f>_xlfn.IFNA(INDEX(Table3[],MATCH(Proj[[#This Row],[Player]],Table3[Player],0),5),0)</f>
        <v>0.69</v>
      </c>
      <c r="H144" s="10">
        <v>78</v>
      </c>
      <c r="I144">
        <v>78</v>
      </c>
      <c r="J144" s="9">
        <v>14.0472655963961</v>
      </c>
      <c r="K144" s="9">
        <v>1.99</v>
      </c>
      <c r="L144" s="9">
        <v>0.69</v>
      </c>
      <c r="M144" s="9">
        <f>Proj[[#This Row],[TOI ES]]+Proj[[#This Row],[TOI PP]]+Proj[[#This Row],[TOI PK]]</f>
        <v>16.727265596396101</v>
      </c>
      <c r="N1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44" s="10">
        <f>Proj[[#This Row],[Goals]]+Proj[[#This Row],[Assists]]</f>
        <v>51</v>
      </c>
      <c r="Q144" s="10">
        <f>ROUND(_xlfn.IFNA(INDEX(Table2[],MATCH(Proj[[#This Row],[Player]],Table2[Player],0),11)/60,IF(Proj[[#This Row],[Pos]] = "D", 'Per 60 PP'!$K$527,'Per 60 PP'!$K$526)/60)*Proj[[#This Row],[TOI PP]]*Proj[[#This Row],[GP]],0)</f>
        <v>6</v>
      </c>
      <c r="R144" s="10">
        <f>ROUND(_xlfn.IFNA(INDEX(Table2[],MATCH(Proj[[#This Row],[Player]],Table2[Player],0),7)/60,IF(Proj[[#This Row],[Pos]] = "D", 'Per 60 PP'!$G$527,'Per 60 PP'!$G$526)/60)*Proj[[#This Row],[TOI PP]]*Proj[[#This Row],[GP]],0)</f>
        <v>8</v>
      </c>
      <c r="S144" s="10">
        <f>Proj[[#This Row],[PPG]]+Proj[[#This Row],[PPA]]</f>
        <v>14</v>
      </c>
      <c r="T144">
        <f>ROUND((_xlfn.IFNA(INDEX(Table3[],MATCH(Proj[[#This Row],[Player]],Table3[Player],0),6)/60,IF(Proj[[#This Row],[Pos]] ="D", 'Per 60 PK'!$F$623, 'Per 60 PK'!$F$622)/60)+_xlfn.IFNA(INDEX(Table3[],MATCH(Proj[[#This Row],[Player]],Table3[Player],0),8)/60,IF(Proj[[#This Row],[Pos]] ="D", 'Per 60 PK'!$H$623, 'Per 60 PK'!$H$622)/60))*Proj[[#This Row],[TOI PK]]*Proj[[#This Row],[GP]],0)</f>
        <v>1</v>
      </c>
      <c r="U1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162</v>
      </c>
      <c r="V1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1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80</v>
      </c>
      <c r="X1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441</v>
      </c>
      <c r="Y1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527</v>
      </c>
      <c r="Z1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213</v>
      </c>
      <c r="AA1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229.31668163777829</v>
      </c>
      <c r="AB144" s="10">
        <f>_xlfn.RANK.EQ(Proj[[#This Row],[VOR]],Proj[VOR])</f>
        <v>95</v>
      </c>
      <c r="AC144" s="10">
        <f>INDEX(Std[],MATCH(Proj[[#This Row],[Player]],Std[Player],0),20)</f>
        <v>963.95053594807689</v>
      </c>
      <c r="AD1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568.15</v>
      </c>
    </row>
    <row r="145" spans="1:30" x14ac:dyDescent="0.25">
      <c r="A145" t="s">
        <v>854</v>
      </c>
      <c r="B145">
        <v>23</v>
      </c>
      <c r="C145" t="s">
        <v>74</v>
      </c>
      <c r="D145" t="s">
        <v>18</v>
      </c>
      <c r="E145" s="9">
        <f>INDEX(Table1[],MATCH(Proj[[#This Row],[Player]],Table1[Player],0),5)</f>
        <v>14.5</v>
      </c>
      <c r="F145" s="9">
        <f>_xlfn.IFNA(INDEX(Table2[],MATCH(Proj[[#This Row],[Player]],Table2[Player],0),5),0)</f>
        <v>2.2999999999999998</v>
      </c>
      <c r="G145" s="9">
        <f>_xlfn.IFNA(INDEX(Table3[],MATCH(Proj[[#This Row],[Player]],Table3[Player],0),5),0)</f>
        <v>0</v>
      </c>
      <c r="H145" s="10">
        <v>77</v>
      </c>
      <c r="I145">
        <v>77</v>
      </c>
      <c r="J145" s="9">
        <v>14.5</v>
      </c>
      <c r="K145" s="9">
        <v>2.2999999999999998</v>
      </c>
      <c r="L145" s="9">
        <v>0</v>
      </c>
      <c r="M145" s="9">
        <f>Proj[[#This Row],[TOI ES]]+Proj[[#This Row],[TOI PP]]+Proj[[#This Row],[TOI PK]]</f>
        <v>16.8</v>
      </c>
      <c r="N1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1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145" s="10">
        <f>Proj[[#This Row],[Goals]]+Proj[[#This Row],[Assists]]</f>
        <v>50</v>
      </c>
      <c r="Q145" s="10">
        <f>ROUND(_xlfn.IFNA(INDEX(Table2[],MATCH(Proj[[#This Row],[Player]],Table2[Player],0),11)/60,IF(Proj[[#This Row],[Pos]] = "D", 'Per 60 PP'!$K$527,'Per 60 PP'!$K$526)/60)*Proj[[#This Row],[TOI PP]]*Proj[[#This Row],[GP]],0)</f>
        <v>5</v>
      </c>
      <c r="R145" s="10">
        <f>ROUND(_xlfn.IFNA(INDEX(Table2[],MATCH(Proj[[#This Row],[Player]],Table2[Player],0),7)/60,IF(Proj[[#This Row],[Pos]] = "D", 'Per 60 PP'!$G$527,'Per 60 PP'!$G$526)/60)*Proj[[#This Row],[TOI PP]]*Proj[[#This Row],[GP]],0)</f>
        <v>6</v>
      </c>
      <c r="S145" s="10">
        <f>Proj[[#This Row],[PPG]]+Proj[[#This Row],[PPA]]</f>
        <v>11</v>
      </c>
      <c r="T145">
        <f>ROUND((_xlfn.IFNA(INDEX(Table3[],MATCH(Proj[[#This Row],[Player]],Table3[Player],0),6)/60,IF(Proj[[#This Row],[Pos]] ="D", 'Per 60 PK'!$F$623, 'Per 60 PK'!$F$622)/60)+_xlfn.IFNA(INDEX(Table3[],MATCH(Proj[[#This Row],[Player]],Table3[Player],0),8)/60,IF(Proj[[#This Row],[Pos]] ="D", 'Per 60 PK'!$H$623, 'Per 60 PK'!$H$622)/60))*Proj[[#This Row],[TOI PK]]*Proj[[#This Row],[GP]],0)</f>
        <v>0</v>
      </c>
      <c r="U1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1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1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1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341</v>
      </c>
      <c r="Y1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378</v>
      </c>
      <c r="Z1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141</v>
      </c>
      <c r="AA1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-416.63778733820965</v>
      </c>
      <c r="AB145" s="10">
        <f>_xlfn.RANK.EQ(Proj[[#This Row],[VOR]],Proj[VOR])</f>
        <v>383</v>
      </c>
      <c r="AC145" s="10">
        <f>INDEX(Std[],MATCH(Proj[[#This Row],[Player]],Std[Player],0),20)</f>
        <v>317.99606697208895</v>
      </c>
      <c r="AD1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420.95</v>
      </c>
    </row>
    <row r="146" spans="1:30" x14ac:dyDescent="0.25">
      <c r="A146" t="s">
        <v>391</v>
      </c>
      <c r="B146">
        <v>28</v>
      </c>
      <c r="C146" t="s">
        <v>3</v>
      </c>
      <c r="D146" t="s">
        <v>28</v>
      </c>
      <c r="E146" s="9">
        <f>INDEX(Table1[],MATCH(Proj[[#This Row],[Player]],Table1[Player],0),5)</f>
        <v>19.202819837447301</v>
      </c>
      <c r="F146" s="9">
        <f>_xlfn.IFNA(INDEX(Table2[],MATCH(Proj[[#This Row],[Player]],Table2[Player],0),5),0)</f>
        <v>2.75</v>
      </c>
      <c r="G146" s="9">
        <f>_xlfn.IFNA(INDEX(Table3[],MATCH(Proj[[#This Row],[Player]],Table3[Player],0),5),0)</f>
        <v>2.36</v>
      </c>
      <c r="H146" s="10">
        <v>81</v>
      </c>
      <c r="I146">
        <v>81</v>
      </c>
      <c r="J146" s="9">
        <v>19.202819837447301</v>
      </c>
      <c r="K146" s="9">
        <v>2.75</v>
      </c>
      <c r="L146" s="9">
        <v>2.36</v>
      </c>
      <c r="M146" s="9">
        <f>Proj[[#This Row],[TOI ES]]+Proj[[#This Row],[TOI PP]]+Proj[[#This Row],[TOI PK]]</f>
        <v>24.3128198374473</v>
      </c>
      <c r="N1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1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146" s="10">
        <f>Proj[[#This Row],[Goals]]+Proj[[#This Row],[Assists]]</f>
        <v>50</v>
      </c>
      <c r="Q146" s="10">
        <f>ROUND(_xlfn.IFNA(INDEX(Table2[],MATCH(Proj[[#This Row],[Player]],Table2[Player],0),11)/60,IF(Proj[[#This Row],[Pos]] = "D", 'Per 60 PP'!$K$527,'Per 60 PP'!$K$526)/60)*Proj[[#This Row],[TOI PP]]*Proj[[#This Row],[GP]],0)</f>
        <v>3</v>
      </c>
      <c r="R146" s="10">
        <f>ROUND(_xlfn.IFNA(INDEX(Table2[],MATCH(Proj[[#This Row],[Player]],Table2[Player],0),7)/60,IF(Proj[[#This Row],[Pos]] = "D", 'Per 60 PP'!$G$527,'Per 60 PP'!$G$526)/60)*Proj[[#This Row],[TOI PP]]*Proj[[#This Row],[GP]],0)</f>
        <v>13</v>
      </c>
      <c r="S146" s="10">
        <f>Proj[[#This Row],[PPG]]+Proj[[#This Row],[PPA]]</f>
        <v>16</v>
      </c>
      <c r="T146">
        <f>ROUND((_xlfn.IFNA(INDEX(Table3[],MATCH(Proj[[#This Row],[Player]],Table3[Player],0),6)/60,IF(Proj[[#This Row],[Pos]] ="D", 'Per 60 PK'!$F$623, 'Per 60 PK'!$F$622)/60)+_xlfn.IFNA(INDEX(Table3[],MATCH(Proj[[#This Row],[Player]],Table3[Player],0),8)/60,IF(Proj[[#This Row],[Pos]] ="D", 'Per 60 PK'!$H$623, 'Per 60 PK'!$H$622)/60))*Proj[[#This Row],[TOI PK]]*Proj[[#This Row],[GP]],0)</f>
        <v>3</v>
      </c>
      <c r="U1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1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130</v>
      </c>
      <c r="W1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1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180</v>
      </c>
      <c r="AA1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293.23944117545102</v>
      </c>
      <c r="AB146" s="10">
        <f>_xlfn.RANK.EQ(Proj[[#This Row],[VOR]],Proj[VOR])</f>
        <v>79</v>
      </c>
      <c r="AC146" s="10">
        <f>INDEX(Std[],MATCH(Proj[[#This Row],[Player]],Std[Player],0),20)</f>
        <v>400.60420889491547</v>
      </c>
      <c r="AD1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456.65000000000003</v>
      </c>
    </row>
    <row r="147" spans="1:30" x14ac:dyDescent="0.25">
      <c r="A147" t="s">
        <v>634</v>
      </c>
      <c r="B147">
        <v>23</v>
      </c>
      <c r="C147" t="s">
        <v>74</v>
      </c>
      <c r="D147" t="s">
        <v>4</v>
      </c>
      <c r="E147" s="9">
        <f>INDEX(Table1[],MATCH(Proj[[#This Row],[Player]],Table1[Player],0),5)</f>
        <v>13.325281650537899</v>
      </c>
      <c r="F147" s="9">
        <f>_xlfn.IFNA(INDEX(Table2[],MATCH(Proj[[#This Row],[Player]],Table2[Player],0),5),0)</f>
        <v>2.42</v>
      </c>
      <c r="G147" s="9">
        <f>_xlfn.IFNA(INDEX(Table3[],MATCH(Proj[[#This Row],[Player]],Table3[Player],0),5),0)</f>
        <v>1.52</v>
      </c>
      <c r="H147" s="10">
        <v>79</v>
      </c>
      <c r="I147">
        <v>79</v>
      </c>
      <c r="J147" s="9">
        <v>13.325281650537899</v>
      </c>
      <c r="K147" s="9">
        <v>2.42</v>
      </c>
      <c r="L147" s="9">
        <v>1.52</v>
      </c>
      <c r="M147" s="9">
        <f>Proj[[#This Row],[TOI ES]]+Proj[[#This Row],[TOI PP]]+Proj[[#This Row],[TOI PK]]</f>
        <v>17.265281650537901</v>
      </c>
      <c r="N1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147" s="10">
        <f>Proj[[#This Row],[Goals]]+Proj[[#This Row],[Assists]]</f>
        <v>50</v>
      </c>
      <c r="Q147" s="10">
        <f>ROUND(_xlfn.IFNA(INDEX(Table2[],MATCH(Proj[[#This Row],[Player]],Table2[Player],0),11)/60,IF(Proj[[#This Row],[Pos]] = "D", 'Per 60 PP'!$K$527,'Per 60 PP'!$K$526)/60)*Proj[[#This Row],[TOI PP]]*Proj[[#This Row],[GP]],0)</f>
        <v>4</v>
      </c>
      <c r="R147" s="10">
        <f>ROUND(_xlfn.IFNA(INDEX(Table2[],MATCH(Proj[[#This Row],[Player]],Table2[Player],0),7)/60,IF(Proj[[#This Row],[Pos]] = "D", 'Per 60 PP'!$G$527,'Per 60 PP'!$G$526)/60)*Proj[[#This Row],[TOI PP]]*Proj[[#This Row],[GP]],0)</f>
        <v>7</v>
      </c>
      <c r="S147" s="10">
        <f>Proj[[#This Row],[PPG]]+Proj[[#This Row],[PPA]]</f>
        <v>11</v>
      </c>
      <c r="T147">
        <f>ROUND((_xlfn.IFNA(INDEX(Table3[],MATCH(Proj[[#This Row],[Player]],Table3[Player],0),6)/60,IF(Proj[[#This Row],[Pos]] ="D", 'Per 60 PK'!$F$623, 'Per 60 PK'!$F$622)/60)+_xlfn.IFNA(INDEX(Table3[],MATCH(Proj[[#This Row],[Player]],Table3[Player],0),8)/60,IF(Proj[[#This Row],[Pos]] ="D", 'Per 60 PK'!$H$623, 'Per 60 PK'!$H$622)/60))*Proj[[#This Row],[TOI PK]]*Proj[[#This Row],[GP]],0)</f>
        <v>3</v>
      </c>
      <c r="U1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1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1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1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498</v>
      </c>
      <c r="Y1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588</v>
      </c>
      <c r="Z1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197</v>
      </c>
      <c r="AA1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-179.7104720058901</v>
      </c>
      <c r="AB147" s="10">
        <f>_xlfn.RANK.EQ(Proj[[#This Row],[VOR]],Proj[VOR])</f>
        <v>239</v>
      </c>
      <c r="AC147" s="10">
        <f>INDEX(Std[],MATCH(Proj[[#This Row],[Player]],Std[Player],0),20)</f>
        <v>554.92338230440851</v>
      </c>
      <c r="AD1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482.1</v>
      </c>
    </row>
    <row r="148" spans="1:30" x14ac:dyDescent="0.25">
      <c r="A148" t="s">
        <v>297</v>
      </c>
      <c r="B148">
        <v>26</v>
      </c>
      <c r="C148" t="s">
        <v>3</v>
      </c>
      <c r="D148" t="s">
        <v>1240</v>
      </c>
      <c r="E148" s="9">
        <f>INDEX(Table1[],MATCH(Proj[[#This Row],[Player]],Table1[Player],0),5)</f>
        <v>18.476536077324599</v>
      </c>
      <c r="F148" s="9">
        <f>_xlfn.IFNA(INDEX(Table2[],MATCH(Proj[[#This Row],[Player]],Table2[Player],0),5),0)</f>
        <v>1.93</v>
      </c>
      <c r="G148" s="9">
        <f>_xlfn.IFNA(INDEX(Table3[],MATCH(Proj[[#This Row],[Player]],Table3[Player],0),5),0)</f>
        <v>2.3199999999999998</v>
      </c>
      <c r="H148" s="10">
        <v>80</v>
      </c>
      <c r="I148">
        <v>80</v>
      </c>
      <c r="J148" s="9">
        <v>18.476536077324599</v>
      </c>
      <c r="K148" s="9">
        <v>1.93</v>
      </c>
      <c r="L148" s="9">
        <v>2.3199999999999998</v>
      </c>
      <c r="M148" s="9">
        <f>Proj[[#This Row],[TOI ES]]+Proj[[#This Row],[TOI PP]]+Proj[[#This Row],[TOI PK]]</f>
        <v>22.726536077324599</v>
      </c>
      <c r="N1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1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43</v>
      </c>
      <c r="P148" s="10">
        <f>Proj[[#This Row],[Goals]]+Proj[[#This Row],[Assists]]</f>
        <v>50</v>
      </c>
      <c r="Q148" s="10">
        <f>ROUND(_xlfn.IFNA(INDEX(Table2[],MATCH(Proj[[#This Row],[Player]],Table2[Player],0),11)/60,IF(Proj[[#This Row],[Pos]] = "D", 'Per 60 PP'!$K$527,'Per 60 PP'!$K$526)/60)*Proj[[#This Row],[TOI PP]]*Proj[[#This Row],[GP]],0)</f>
        <v>1</v>
      </c>
      <c r="R148" s="10">
        <f>ROUND(_xlfn.IFNA(INDEX(Table2[],MATCH(Proj[[#This Row],[Player]],Table2[Player],0),7)/60,IF(Proj[[#This Row],[Pos]] = "D", 'Per 60 PP'!$G$527,'Per 60 PP'!$G$526)/60)*Proj[[#This Row],[TOI PP]]*Proj[[#This Row],[GP]],0)</f>
        <v>17</v>
      </c>
      <c r="S148" s="10">
        <f>Proj[[#This Row],[PPG]]+Proj[[#This Row],[PPA]]</f>
        <v>18</v>
      </c>
      <c r="T148">
        <f>ROUND((_xlfn.IFNA(INDEX(Table3[],MATCH(Proj[[#This Row],[Player]],Table3[Player],0),6)/60,IF(Proj[[#This Row],[Pos]] ="D", 'Per 60 PK'!$F$623, 'Per 60 PK'!$F$622)/60)+_xlfn.IFNA(INDEX(Table3[],MATCH(Proj[[#This Row],[Player]],Table3[Player],0),8)/60,IF(Proj[[#This Row],[Pos]] ="D", 'Per 60 PK'!$H$623, 'Per 60 PK'!$H$622)/60))*Proj[[#This Row],[TOI PK]]*Proj[[#This Row],[GP]],0)</f>
        <v>1</v>
      </c>
      <c r="U1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1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159</v>
      </c>
      <c r="W1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1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133</v>
      </c>
      <c r="AA1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447.57862734657704</v>
      </c>
      <c r="AB148" s="10">
        <f>_xlfn.RANK.EQ(Proj[[#This Row],[VOR]],Proj[VOR])</f>
        <v>53</v>
      </c>
      <c r="AC148" s="10">
        <f>INDEX(Std[],MATCH(Proj[[#This Row],[Player]],Std[Player],0),20)</f>
        <v>554.94339506604149</v>
      </c>
      <c r="AD1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473.34999999999997</v>
      </c>
    </row>
    <row r="149" spans="1:30" x14ac:dyDescent="0.25">
      <c r="A149" t="s">
        <v>817</v>
      </c>
      <c r="B149">
        <v>24</v>
      </c>
      <c r="C149" t="s">
        <v>102</v>
      </c>
      <c r="D149" t="s">
        <v>1240</v>
      </c>
      <c r="E149" s="9">
        <f>INDEX(Table1[],MATCH(Proj[[#This Row],[Player]],Table1[Player],0),5)</f>
        <v>14.0175728396318</v>
      </c>
      <c r="F149" s="9">
        <f>_xlfn.IFNA(INDEX(Table2[],MATCH(Proj[[#This Row],[Player]],Table2[Player],0),5),0)</f>
        <v>2.04</v>
      </c>
      <c r="G149" s="9">
        <f>_xlfn.IFNA(INDEX(Table3[],MATCH(Proj[[#This Row],[Player]],Table3[Player],0),5),0)</f>
        <v>0.56999999999999995</v>
      </c>
      <c r="H149" s="10">
        <v>81</v>
      </c>
      <c r="I149">
        <v>81</v>
      </c>
      <c r="J149" s="9">
        <v>14.0175728396318</v>
      </c>
      <c r="K149" s="9">
        <v>2.04</v>
      </c>
      <c r="L149" s="9">
        <v>0.56999999999999995</v>
      </c>
      <c r="M149" s="9">
        <f>Proj[[#This Row],[TOI ES]]+Proj[[#This Row],[TOI PP]]+Proj[[#This Row],[TOI PK]]</f>
        <v>16.627572839631799</v>
      </c>
      <c r="N1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1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35</v>
      </c>
      <c r="P149" s="10">
        <f>Proj[[#This Row],[Goals]]+Proj[[#This Row],[Assists]]</f>
        <v>49</v>
      </c>
      <c r="Q149" s="10">
        <f>ROUND(_xlfn.IFNA(INDEX(Table2[],MATCH(Proj[[#This Row],[Player]],Table2[Player],0),11)/60,IF(Proj[[#This Row],[Pos]] = "D", 'Per 60 PP'!$K$527,'Per 60 PP'!$K$526)/60)*Proj[[#This Row],[TOI PP]]*Proj[[#This Row],[GP]],0)</f>
        <v>2</v>
      </c>
      <c r="R149" s="10">
        <f>ROUND(_xlfn.IFNA(INDEX(Table2[],MATCH(Proj[[#This Row],[Player]],Table2[Player],0),7)/60,IF(Proj[[#This Row],[Pos]] = "D", 'Per 60 PP'!$G$527,'Per 60 PP'!$G$526)/60)*Proj[[#This Row],[TOI PP]]*Proj[[#This Row],[GP]],0)</f>
        <v>9</v>
      </c>
      <c r="S149" s="10">
        <f>Proj[[#This Row],[PPG]]+Proj[[#This Row],[PPA]]</f>
        <v>11</v>
      </c>
      <c r="T149">
        <f>ROUND((_xlfn.IFNA(INDEX(Table3[],MATCH(Proj[[#This Row],[Player]],Table3[Player],0),6)/60,IF(Proj[[#This Row],[Pos]] ="D", 'Per 60 PK'!$F$623, 'Per 60 PK'!$F$622)/60)+_xlfn.IFNA(INDEX(Table3[],MATCH(Proj[[#This Row],[Player]],Table3[Player],0),8)/60,IF(Proj[[#This Row],[Pos]] ="D", 'Per 60 PK'!$H$623, 'Per 60 PK'!$H$622)/60))*Proj[[#This Row],[TOI PK]]*Proj[[#This Row],[GP]],0)</f>
        <v>0</v>
      </c>
      <c r="U1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1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1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1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v>
      </c>
      <c r="Z1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1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-562.52499430243222</v>
      </c>
      <c r="AB149" s="10">
        <f>_xlfn.RANK.EQ(Proj[[#This Row],[VOR]],Proj[VOR])</f>
        <v>461</v>
      </c>
      <c r="AC149" s="10">
        <f>INDEX(Std[],MATCH(Proj[[#This Row],[Player]],Std[Player],0),20)</f>
        <v>-90.98026991218336</v>
      </c>
      <c r="AD1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339.15</v>
      </c>
    </row>
    <row r="150" spans="1:30" x14ac:dyDescent="0.25">
      <c r="A150" t="s">
        <v>615</v>
      </c>
      <c r="B150">
        <v>30</v>
      </c>
      <c r="C150" t="s">
        <v>74</v>
      </c>
      <c r="D150" t="s">
        <v>23</v>
      </c>
      <c r="E150" s="9">
        <f>INDEX(Table1[],MATCH(Proj[[#This Row],[Player]],Table1[Player],0),5)</f>
        <v>13.2162259756909</v>
      </c>
      <c r="F150" s="9">
        <f>_xlfn.IFNA(INDEX(Table2[],MATCH(Proj[[#This Row],[Player]],Table2[Player],0),5),0)</f>
        <v>3.11</v>
      </c>
      <c r="G150" s="9">
        <f>_xlfn.IFNA(INDEX(Table3[],MATCH(Proj[[#This Row],[Player]],Table3[Player],0),5),0)</f>
        <v>1.38</v>
      </c>
      <c r="H150" s="10">
        <v>79</v>
      </c>
      <c r="I150">
        <v>79</v>
      </c>
      <c r="J150" s="9">
        <v>13.2162259756909</v>
      </c>
      <c r="K150" s="9">
        <v>3.11</v>
      </c>
      <c r="L150" s="9">
        <v>1.38</v>
      </c>
      <c r="M150" s="9">
        <f>Proj[[#This Row],[TOI ES]]+Proj[[#This Row],[TOI PP]]+Proj[[#This Row],[TOI PK]]</f>
        <v>17.706225975690899</v>
      </c>
      <c r="N1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50" s="10">
        <f>Proj[[#This Row],[Goals]]+Proj[[#This Row],[Assists]]</f>
        <v>49</v>
      </c>
      <c r="Q150" s="10">
        <f>ROUND(_xlfn.IFNA(INDEX(Table2[],MATCH(Proj[[#This Row],[Player]],Table2[Player],0),11)/60,IF(Proj[[#This Row],[Pos]] = "D", 'Per 60 PP'!$K$527,'Per 60 PP'!$K$526)/60)*Proj[[#This Row],[TOI PP]]*Proj[[#This Row],[GP]],0)</f>
        <v>7</v>
      </c>
      <c r="R150" s="10">
        <f>ROUND(_xlfn.IFNA(INDEX(Table2[],MATCH(Proj[[#This Row],[Player]],Table2[Player],0),7)/60,IF(Proj[[#This Row],[Pos]] = "D", 'Per 60 PP'!$G$527,'Per 60 PP'!$G$526)/60)*Proj[[#This Row],[TOI PP]]*Proj[[#This Row],[GP]],0)</f>
        <v>10</v>
      </c>
      <c r="S150" s="10">
        <f>Proj[[#This Row],[PPG]]+Proj[[#This Row],[PPA]]</f>
        <v>17</v>
      </c>
      <c r="T150">
        <f>ROUND((_xlfn.IFNA(INDEX(Table3[],MATCH(Proj[[#This Row],[Player]],Table3[Player],0),6)/60,IF(Proj[[#This Row],[Pos]] ="D", 'Per 60 PK'!$F$623, 'Per 60 PK'!$F$622)/60)+_xlfn.IFNA(INDEX(Table3[],MATCH(Proj[[#This Row],[Player]],Table3[Player],0),8)/60,IF(Proj[[#This Row],[Pos]] ="D", 'Per 60 PK'!$H$623, 'Per 60 PK'!$H$622)/60))*Proj[[#This Row],[TOI PK]]*Proj[[#This Row],[GP]],0)</f>
        <v>1</v>
      </c>
      <c r="U1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1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1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1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612</v>
      </c>
      <c r="Y1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510</v>
      </c>
      <c r="Z1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1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-307.08551585512367</v>
      </c>
      <c r="AB150" s="10">
        <f>_xlfn.RANK.EQ(Proj[[#This Row],[VOR]],Proj[VOR])</f>
        <v>315</v>
      </c>
      <c r="AC150" s="10">
        <f>INDEX(Std[],MATCH(Proj[[#This Row],[Player]],Std[Player],0),20)</f>
        <v>427.54833845517493</v>
      </c>
      <c r="AD1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442.95</v>
      </c>
    </row>
    <row r="151" spans="1:30" x14ac:dyDescent="0.25">
      <c r="A151" t="s">
        <v>271</v>
      </c>
      <c r="B151">
        <v>39</v>
      </c>
      <c r="C151" t="s">
        <v>3</v>
      </c>
      <c r="D151" t="s">
        <v>34</v>
      </c>
      <c r="E151" s="9">
        <f>INDEX(Table1[],MATCH(Proj[[#This Row],[Player]],Table1[Player],0),5)</f>
        <v>16.7574872056083</v>
      </c>
      <c r="F151" s="9">
        <f>_xlfn.IFNA(INDEX(Table2[],MATCH(Proj[[#This Row],[Player]],Table2[Player],0),5),0)</f>
        <v>2.65</v>
      </c>
      <c r="G151" s="9">
        <f>_xlfn.IFNA(INDEX(Table3[],MATCH(Proj[[#This Row],[Player]],Table3[Player],0),5),0)</f>
        <v>2.25</v>
      </c>
      <c r="H151" s="10">
        <v>82</v>
      </c>
      <c r="I151">
        <v>82</v>
      </c>
      <c r="J151" s="9">
        <v>16.7574872056083</v>
      </c>
      <c r="K151" s="9">
        <v>2.65</v>
      </c>
      <c r="L151" s="9">
        <v>2.25</v>
      </c>
      <c r="M151" s="9">
        <f>Proj[[#This Row],[TOI ES]]+Proj[[#This Row],[TOI PP]]+Proj[[#This Row],[TOI PK]]</f>
        <v>21.657487205608298</v>
      </c>
      <c r="N1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1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151" s="10">
        <f>Proj[[#This Row],[Goals]]+Proj[[#This Row],[Assists]]</f>
        <v>49</v>
      </c>
      <c r="Q151" s="10">
        <f>ROUND(_xlfn.IFNA(INDEX(Table2[],MATCH(Proj[[#This Row],[Player]],Table2[Player],0),11)/60,IF(Proj[[#This Row],[Pos]] = "D", 'Per 60 PP'!$K$527,'Per 60 PP'!$K$526)/60)*Proj[[#This Row],[TOI PP]]*Proj[[#This Row],[GP]],0)</f>
        <v>4</v>
      </c>
      <c r="R151" s="10">
        <f>ROUND(_xlfn.IFNA(INDEX(Table2[],MATCH(Proj[[#This Row],[Player]],Table2[Player],0),7)/60,IF(Proj[[#This Row],[Pos]] = "D", 'Per 60 PP'!$G$527,'Per 60 PP'!$G$526)/60)*Proj[[#This Row],[TOI PP]]*Proj[[#This Row],[GP]],0)</f>
        <v>18</v>
      </c>
      <c r="S151" s="10">
        <f>Proj[[#This Row],[PPG]]+Proj[[#This Row],[PPA]]</f>
        <v>22</v>
      </c>
      <c r="T151">
        <f>ROUND((_xlfn.IFNA(INDEX(Table3[],MATCH(Proj[[#This Row],[Player]],Table3[Player],0),6)/60,IF(Proj[[#This Row],[Pos]] ="D", 'Per 60 PK'!$F$623, 'Per 60 PK'!$F$622)/60)+_xlfn.IFNA(INDEX(Table3[],MATCH(Proj[[#This Row],[Player]],Table3[Player],0),8)/60,IF(Proj[[#This Row],[Pos]] ="D", 'Per 60 PK'!$H$623, 'Per 60 PK'!$H$622)/60))*Proj[[#This Row],[TOI PK]]*Proj[[#This Row],[GP]],0)</f>
        <v>1</v>
      </c>
      <c r="U1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36</v>
      </c>
      <c r="V1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104</v>
      </c>
      <c r="W1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1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191</v>
      </c>
      <c r="AA1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272.0004509626873</v>
      </c>
      <c r="AB151" s="10">
        <f>_xlfn.RANK.EQ(Proj[[#This Row],[VOR]],Proj[VOR])</f>
        <v>84</v>
      </c>
      <c r="AC151" s="10">
        <f>INDEX(Std[],MATCH(Proj[[#This Row],[Player]],Std[Player],0),20)</f>
        <v>379.36521868215181</v>
      </c>
      <c r="AD1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435.05</v>
      </c>
    </row>
    <row r="152" spans="1:30" x14ac:dyDescent="0.25">
      <c r="A152" t="s">
        <v>1106</v>
      </c>
      <c r="B152">
        <v>20</v>
      </c>
      <c r="C152" t="s">
        <v>74</v>
      </c>
      <c r="D152" t="s">
        <v>1240</v>
      </c>
      <c r="E152" s="9">
        <f>INDEX(Table1[],MATCH(Proj[[#This Row],[Player]],Table1[Player],0),5)</f>
        <v>14.12548</v>
      </c>
      <c r="F152" s="9">
        <f>_xlfn.IFNA(INDEX(Table2[],MATCH(Proj[[#This Row],[Player]],Table2[Player],0),5),0)</f>
        <v>2.8</v>
      </c>
      <c r="G152" s="9">
        <f>_xlfn.IFNA(INDEX(Table3[],MATCH(Proj[[#This Row],[Player]],Table3[Player],0),5),0)</f>
        <v>0.54</v>
      </c>
      <c r="H152" s="10">
        <v>82</v>
      </c>
      <c r="I152">
        <v>82</v>
      </c>
      <c r="J152" s="9">
        <v>14.12548</v>
      </c>
      <c r="K152" s="9">
        <v>2.44</v>
      </c>
      <c r="L152" s="9">
        <v>0.54</v>
      </c>
      <c r="M152" s="9">
        <f>Proj[[#This Row],[TOI ES]]+Proj[[#This Row],[TOI PP]]+Proj[[#This Row],[TOI PK]]</f>
        <v>17.10548</v>
      </c>
      <c r="N1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52" s="10">
        <f>Proj[[#This Row],[Goals]]+Proj[[#This Row],[Assists]]</f>
        <v>49</v>
      </c>
      <c r="Q152" s="10">
        <f>ROUND(_xlfn.IFNA(INDEX(Table2[],MATCH(Proj[[#This Row],[Player]],Table2[Player],0),11)/60,IF(Proj[[#This Row],[Pos]] = "D", 'Per 60 PP'!$K$527,'Per 60 PP'!$K$526)/60)*Proj[[#This Row],[TOI PP]]*Proj[[#This Row],[GP]],0)</f>
        <v>4</v>
      </c>
      <c r="R152" s="10">
        <f>ROUND(_xlfn.IFNA(INDEX(Table2[],MATCH(Proj[[#This Row],[Player]],Table2[Player],0),7)/60,IF(Proj[[#This Row],[Pos]] = "D", 'Per 60 PP'!$G$527,'Per 60 PP'!$G$526)/60)*Proj[[#This Row],[TOI PP]]*Proj[[#This Row],[GP]],0)</f>
        <v>8</v>
      </c>
      <c r="S152" s="10">
        <f>Proj[[#This Row],[PPG]]+Proj[[#This Row],[PPA]]</f>
        <v>12</v>
      </c>
      <c r="T152">
        <f>ROUND((_xlfn.IFNA(INDEX(Table3[],MATCH(Proj[[#This Row],[Player]],Table3[Player],0),6)/60,IF(Proj[[#This Row],[Pos]] ="D", 'Per 60 PK'!$F$623, 'Per 60 PK'!$F$622)/60)+_xlfn.IFNA(INDEX(Table3[],MATCH(Proj[[#This Row],[Player]],Table3[Player],0),8)/60,IF(Proj[[#This Row],[Pos]] ="D", 'Per 60 PK'!$H$623, 'Per 60 PK'!$H$622)/60))*Proj[[#This Row],[TOI PK]]*Proj[[#This Row],[GP]],0)</f>
        <v>1</v>
      </c>
      <c r="U1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53</v>
      </c>
      <c r="V1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1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1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300</v>
      </c>
      <c r="Y1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429</v>
      </c>
      <c r="Z1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1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-464.80620189109032</v>
      </c>
      <c r="AB152" s="10">
        <f>_xlfn.RANK.EQ(Proj[[#This Row],[VOR]],Proj[VOR])</f>
        <v>408</v>
      </c>
      <c r="AC152" s="10">
        <f>INDEX(Std[],MATCH(Proj[[#This Row],[Player]],Std[Player],0),20)</f>
        <v>269.82765241920828</v>
      </c>
      <c r="AD1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423.34999999999997</v>
      </c>
    </row>
    <row r="153" spans="1:30" x14ac:dyDescent="0.25">
      <c r="A153" t="s">
        <v>346</v>
      </c>
      <c r="B153">
        <v>30</v>
      </c>
      <c r="C153" t="s">
        <v>3</v>
      </c>
      <c r="D153" t="s">
        <v>11</v>
      </c>
      <c r="E153" s="9">
        <f>INDEX(Table1[],MATCH(Proj[[#This Row],[Player]],Table1[Player],0),5)</f>
        <v>19.009054320336599</v>
      </c>
      <c r="F153" s="9">
        <f>_xlfn.IFNA(INDEX(Table2[],MATCH(Proj[[#This Row],[Player]],Table2[Player],0),5),0)</f>
        <v>1.75</v>
      </c>
      <c r="G153" s="9">
        <f>_xlfn.IFNA(INDEX(Table3[],MATCH(Proj[[#This Row],[Player]],Table3[Player],0),5),0)</f>
        <v>2.9</v>
      </c>
      <c r="H153" s="10">
        <v>81</v>
      </c>
      <c r="I153">
        <v>81</v>
      </c>
      <c r="J153" s="9">
        <v>19.009054320336599</v>
      </c>
      <c r="K153" s="9">
        <v>1.75</v>
      </c>
      <c r="L153" s="9">
        <v>2.9</v>
      </c>
      <c r="M153" s="9">
        <f>Proj[[#This Row],[TOI ES]]+Proj[[#This Row],[TOI PP]]+Proj[[#This Row],[TOI PK]]</f>
        <v>23.659054320336597</v>
      </c>
      <c r="N1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1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39</v>
      </c>
      <c r="P153">
        <f>Proj[[#This Row],[Goals]]+Proj[[#This Row],[Assists]]</f>
        <v>49</v>
      </c>
      <c r="Q153" s="10">
        <f>ROUND(_xlfn.IFNA(INDEX(Table2[],MATCH(Proj[[#This Row],[Player]],Table2[Player],0),11)/60,IF(Proj[[#This Row],[Pos]] = "D", 'Per 60 PP'!$K$527,'Per 60 PP'!$K$526)/60)*Proj[[#This Row],[TOI PP]]*Proj[[#This Row],[GP]],0)</f>
        <v>1</v>
      </c>
      <c r="R153" s="10">
        <f>ROUND(_xlfn.IFNA(INDEX(Table2[],MATCH(Proj[[#This Row],[Player]],Table2[Player],0),7)/60,IF(Proj[[#This Row],[Pos]] = "D", 'Per 60 PP'!$G$527,'Per 60 PP'!$G$526)/60)*Proj[[#This Row],[TOI PP]]*Proj[[#This Row],[GP]],0)</f>
        <v>5</v>
      </c>
      <c r="S153" s="10">
        <f>Proj[[#This Row],[PPG]]+Proj[[#This Row],[PPA]]</f>
        <v>6</v>
      </c>
      <c r="T153">
        <f>ROUND((_xlfn.IFNA(INDEX(Table3[],MATCH(Proj[[#This Row],[Player]],Table3[Player],0),6)/60,IF(Proj[[#This Row],[Pos]] ="D", 'Per 60 PK'!$F$623, 'Per 60 PK'!$F$622)/60)+_xlfn.IFNA(INDEX(Table3[],MATCH(Proj[[#This Row],[Player]],Table3[Player],0),8)/60,IF(Proj[[#This Row],[Pos]] ="D", 'Per 60 PK'!$H$623, 'Per 60 PK'!$H$622)/60))*Proj[[#This Row],[TOI PK]]*Proj[[#This Row],[GP]],0)</f>
        <v>1</v>
      </c>
      <c r="U1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1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123</v>
      </c>
      <c r="W1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1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156</v>
      </c>
      <c r="AA1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108.20897179511795</v>
      </c>
      <c r="AB153" s="10">
        <f>_xlfn.RANK.EQ(Proj[[#This Row],[VOR]],Proj[VOR])</f>
        <v>122</v>
      </c>
      <c r="AC153" s="10">
        <f>INDEX(Std[],MATCH(Proj[[#This Row],[Player]],Std[Player],0),20)</f>
        <v>215.57373951458243</v>
      </c>
      <c r="AD1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428.35</v>
      </c>
    </row>
    <row r="154" spans="1:30" x14ac:dyDescent="0.25">
      <c r="A154" t="s">
        <v>482</v>
      </c>
      <c r="B154">
        <v>31</v>
      </c>
      <c r="C154" t="s">
        <v>74</v>
      </c>
      <c r="D154" t="s">
        <v>155</v>
      </c>
      <c r="E154" s="9">
        <f>INDEX(Table1[],MATCH(Proj[[#This Row],[Player]],Table1[Player],0),5)</f>
        <v>14.3123523413883</v>
      </c>
      <c r="F154" s="9">
        <f>_xlfn.IFNA(INDEX(Table2[],MATCH(Proj[[#This Row],[Player]],Table2[Player],0),5),0)</f>
        <v>1.79</v>
      </c>
      <c r="G154" s="9">
        <f>_xlfn.IFNA(INDEX(Table3[],MATCH(Proj[[#This Row],[Player]],Table3[Player],0),5),0)</f>
        <v>1.78</v>
      </c>
      <c r="H154" s="10">
        <v>81</v>
      </c>
      <c r="I154">
        <v>81</v>
      </c>
      <c r="J154" s="9">
        <v>14.3123523413883</v>
      </c>
      <c r="K154" s="9">
        <v>1.79</v>
      </c>
      <c r="L154" s="9">
        <v>1.78</v>
      </c>
      <c r="M154" s="9">
        <f>Proj[[#This Row],[TOI ES]]+Proj[[#This Row],[TOI PP]]+Proj[[#This Row],[TOI PK]]</f>
        <v>17.882352341388302</v>
      </c>
      <c r="N1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54" s="10">
        <f>Proj[[#This Row],[Goals]]+Proj[[#This Row],[Assists]]</f>
        <v>49</v>
      </c>
      <c r="Q154" s="10">
        <f>ROUND(_xlfn.IFNA(INDEX(Table2[],MATCH(Proj[[#This Row],[Player]],Table2[Player],0),11)/60,IF(Proj[[#This Row],[Pos]] = "D", 'Per 60 PP'!$K$527,'Per 60 PP'!$K$526)/60)*Proj[[#This Row],[TOI PP]]*Proj[[#This Row],[GP]],0)</f>
        <v>2</v>
      </c>
      <c r="R154" s="10">
        <f>ROUND(_xlfn.IFNA(INDEX(Table2[],MATCH(Proj[[#This Row],[Player]],Table2[Player],0),7)/60,IF(Proj[[#This Row],[Pos]] = "D", 'Per 60 PP'!$G$527,'Per 60 PP'!$G$526)/60)*Proj[[#This Row],[TOI PP]]*Proj[[#This Row],[GP]],0)</f>
        <v>6</v>
      </c>
      <c r="S154" s="10">
        <f>Proj[[#This Row],[PPG]]+Proj[[#This Row],[PPA]]</f>
        <v>8</v>
      </c>
      <c r="T154">
        <f>ROUND((_xlfn.IFNA(INDEX(Table3[],MATCH(Proj[[#This Row],[Player]],Table3[Player],0),6)/60,IF(Proj[[#This Row],[Pos]] ="D", 'Per 60 PK'!$F$623, 'Per 60 PK'!$F$622)/60)+_xlfn.IFNA(INDEX(Table3[],MATCH(Proj[[#This Row],[Player]],Table3[Player],0),8)/60,IF(Proj[[#This Row],[Pos]] ="D", 'Per 60 PK'!$H$623, 'Per 60 PK'!$H$622)/60))*Proj[[#This Row],[TOI PK]]*Proj[[#This Row],[GP]],0)</f>
        <v>3</v>
      </c>
      <c r="U1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1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66</v>
      </c>
      <c r="W1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1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614</v>
      </c>
      <c r="Y1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567</v>
      </c>
      <c r="Z1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1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-202.65266870414041</v>
      </c>
      <c r="AB154" s="10">
        <f>_xlfn.RANK.EQ(Proj[[#This Row],[VOR]],Proj[VOR])</f>
        <v>247</v>
      </c>
      <c r="AC154" s="10">
        <f>INDEX(Std[],MATCH(Proj[[#This Row],[Player]],Std[Player],0),20)</f>
        <v>531.98118560615819</v>
      </c>
      <c r="AD1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478.5</v>
      </c>
    </row>
    <row r="155" spans="1:30" x14ac:dyDescent="0.25">
      <c r="A155" t="s">
        <v>504</v>
      </c>
      <c r="B155">
        <v>33</v>
      </c>
      <c r="C155" t="s">
        <v>103</v>
      </c>
      <c r="D155" t="s">
        <v>20</v>
      </c>
      <c r="E155" s="9">
        <f>INDEX(Table1[],MATCH(Proj[[#This Row],[Player]],Table1[Player],0),5)</f>
        <v>13.8653032247922</v>
      </c>
      <c r="F155" s="9">
        <f>_xlfn.IFNA(INDEX(Table2[],MATCH(Proj[[#This Row],[Player]],Table2[Player],0),5),0)</f>
        <v>2.5</v>
      </c>
      <c r="G155" s="9">
        <f>_xlfn.IFNA(INDEX(Table3[],MATCH(Proj[[#This Row],[Player]],Table3[Player],0),5),0)</f>
        <v>0.57999999999999996</v>
      </c>
      <c r="H155" s="10">
        <v>79</v>
      </c>
      <c r="I155">
        <v>79</v>
      </c>
      <c r="J155" s="9">
        <v>13.8653032247922</v>
      </c>
      <c r="K155" s="9">
        <v>2.5</v>
      </c>
      <c r="L155" s="9">
        <v>0.57999999999999996</v>
      </c>
      <c r="M155" s="9">
        <f>Proj[[#This Row],[TOI ES]]+Proj[[#This Row],[TOI PP]]+Proj[[#This Row],[TOI PK]]</f>
        <v>16.945303224792198</v>
      </c>
      <c r="N1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1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155" s="10">
        <f>Proj[[#This Row],[Goals]]+Proj[[#This Row],[Assists]]</f>
        <v>49</v>
      </c>
      <c r="Q155" s="10">
        <f>ROUND(_xlfn.IFNA(INDEX(Table2[],MATCH(Proj[[#This Row],[Player]],Table2[Player],0),11)/60,IF(Proj[[#This Row],[Pos]] = "D", 'Per 60 PP'!$K$527,'Per 60 PP'!$K$526)/60)*Proj[[#This Row],[TOI PP]]*Proj[[#This Row],[GP]],0)</f>
        <v>8</v>
      </c>
      <c r="R155" s="10">
        <f>ROUND(_xlfn.IFNA(INDEX(Table2[],MATCH(Proj[[#This Row],[Player]],Table2[Player],0),7)/60,IF(Proj[[#This Row],[Pos]] = "D", 'Per 60 PP'!$G$527,'Per 60 PP'!$G$526)/60)*Proj[[#This Row],[TOI PP]]*Proj[[#This Row],[GP]],0)</f>
        <v>6</v>
      </c>
      <c r="S155" s="10">
        <f>Proj[[#This Row],[PPG]]+Proj[[#This Row],[PPA]]</f>
        <v>14</v>
      </c>
      <c r="T155">
        <f>ROUND((_xlfn.IFNA(INDEX(Table3[],MATCH(Proj[[#This Row],[Player]],Table3[Player],0),6)/60,IF(Proj[[#This Row],[Pos]] ="D", 'Per 60 PK'!$F$623, 'Per 60 PK'!$F$622)/60)+_xlfn.IFNA(INDEX(Table3[],MATCH(Proj[[#This Row],[Player]],Table3[Player],0),8)/60,IF(Proj[[#This Row],[Pos]] ="D", 'Per 60 PK'!$H$623, 'Per 60 PK'!$H$622)/60))*Proj[[#This Row],[TOI PK]]*Proj[[#This Row],[GP]],0)</f>
        <v>0</v>
      </c>
      <c r="U1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81</v>
      </c>
      <c r="V1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1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1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1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v>
      </c>
      <c r="Z1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192</v>
      </c>
      <c r="AA1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-113.90820863672786</v>
      </c>
      <c r="AB155" s="10">
        <f>_xlfn.RANK.EQ(Proj[[#This Row],[VOR]],Proj[VOR])</f>
        <v>205</v>
      </c>
      <c r="AC155" s="10">
        <f>INDEX(Std[],MATCH(Proj[[#This Row],[Player]],Std[Player],0),20)</f>
        <v>332.636515753521</v>
      </c>
      <c r="AD1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439.55</v>
      </c>
    </row>
    <row r="156" spans="1:30" x14ac:dyDescent="0.25">
      <c r="A156" t="s">
        <v>547</v>
      </c>
      <c r="B156">
        <v>29</v>
      </c>
      <c r="C156" t="s">
        <v>104</v>
      </c>
      <c r="D156" t="s">
        <v>155</v>
      </c>
      <c r="E156" s="9">
        <f>INDEX(Table1[],MATCH(Proj[[#This Row],[Player]],Table1[Player],0),5)</f>
        <v>14.230362742743001</v>
      </c>
      <c r="F156" s="9">
        <f>_xlfn.IFNA(INDEX(Table2[],MATCH(Proj[[#This Row],[Player]],Table2[Player],0),5),0)</f>
        <v>1.83</v>
      </c>
      <c r="G156" s="9">
        <f>_xlfn.IFNA(INDEX(Table3[],MATCH(Proj[[#This Row],[Player]],Table3[Player],0),5),0)</f>
        <v>1.55</v>
      </c>
      <c r="H156" s="10">
        <v>82</v>
      </c>
      <c r="I156">
        <v>82</v>
      </c>
      <c r="J156" s="9">
        <v>14.230362742743001</v>
      </c>
      <c r="K156" s="9">
        <v>1.83</v>
      </c>
      <c r="L156" s="9">
        <v>1.55</v>
      </c>
      <c r="M156" s="9">
        <f>Proj[[#This Row],[TOI ES]]+Proj[[#This Row],[TOI PP]]+Proj[[#This Row],[TOI PK]]</f>
        <v>17.610362742743003</v>
      </c>
      <c r="N1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156" s="10">
        <f>Proj[[#This Row],[Goals]]+Proj[[#This Row],[Assists]]</f>
        <v>49</v>
      </c>
      <c r="Q156" s="10">
        <f>ROUND(_xlfn.IFNA(INDEX(Table2[],MATCH(Proj[[#This Row],[Player]],Table2[Player],0),11)/60,IF(Proj[[#This Row],[Pos]] = "D", 'Per 60 PP'!$K$527,'Per 60 PP'!$K$526)/60)*Proj[[#This Row],[TOI PP]]*Proj[[#This Row],[GP]],0)</f>
        <v>3</v>
      </c>
      <c r="R156" s="10">
        <f>ROUND(_xlfn.IFNA(INDEX(Table2[],MATCH(Proj[[#This Row],[Player]],Table2[Player],0),7)/60,IF(Proj[[#This Row],[Pos]] = "D", 'Per 60 PP'!$G$527,'Per 60 PP'!$G$526)/60)*Proj[[#This Row],[TOI PP]]*Proj[[#This Row],[GP]],0)</f>
        <v>3</v>
      </c>
      <c r="S156" s="10">
        <f>Proj[[#This Row],[PPG]]+Proj[[#This Row],[PPA]]</f>
        <v>6</v>
      </c>
      <c r="T156">
        <f>ROUND((_xlfn.IFNA(INDEX(Table3[],MATCH(Proj[[#This Row],[Player]],Table3[Player],0),6)/60,IF(Proj[[#This Row],[Pos]] ="D", 'Per 60 PK'!$F$623, 'Per 60 PK'!$F$622)/60)+_xlfn.IFNA(INDEX(Table3[],MATCH(Proj[[#This Row],[Player]],Table3[Player],0),8)/60,IF(Proj[[#This Row],[Pos]] ="D", 'Per 60 PK'!$H$623, 'Per 60 PK'!$H$622)/60))*Proj[[#This Row],[TOI PK]]*Proj[[#This Row],[GP]],0)</f>
        <v>3</v>
      </c>
      <c r="U1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83</v>
      </c>
      <c r="V1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1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1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v>
      </c>
      <c r="Y1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42</v>
      </c>
      <c r="Z1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231</v>
      </c>
      <c r="AA1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-191.99362085862995</v>
      </c>
      <c r="AB156" s="10">
        <f>_xlfn.RANK.EQ(Proj[[#This Row],[VOR]],Proj[VOR])</f>
        <v>242</v>
      </c>
      <c r="AC156" s="10">
        <f>INDEX(Std[],MATCH(Proj[[#This Row],[Player]],Std[Player],0),20)</f>
        <v>254.55110353161891</v>
      </c>
      <c r="AD1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451.45000000000005</v>
      </c>
    </row>
    <row r="157" spans="1:30" x14ac:dyDescent="0.25">
      <c r="A157" t="s">
        <v>1098</v>
      </c>
      <c r="B157">
        <v>20</v>
      </c>
      <c r="C157" t="s">
        <v>74</v>
      </c>
      <c r="D157" t="s">
        <v>23</v>
      </c>
      <c r="E157" s="9">
        <f>INDEX(Table1[],MATCH(Proj[[#This Row],[Player]],Table1[Player],0),5)</f>
        <v>14</v>
      </c>
      <c r="F157" s="9">
        <f>_xlfn.IFNA(INDEX(Table2[],MATCH(Proj[[#This Row],[Player]],Table2[Player],0),5),0)</f>
        <v>2.87</v>
      </c>
      <c r="G157" s="9">
        <f>_xlfn.IFNA(INDEX(Table3[],MATCH(Proj[[#This Row],[Player]],Table3[Player],0),5),0)</f>
        <v>0</v>
      </c>
      <c r="H157" s="10">
        <v>80</v>
      </c>
      <c r="I157">
        <v>80</v>
      </c>
      <c r="J157" s="9">
        <v>14</v>
      </c>
      <c r="K157" s="9">
        <v>2.87</v>
      </c>
      <c r="L157" s="9">
        <v>0</v>
      </c>
      <c r="M157" s="9">
        <f>Proj[[#This Row],[TOI ES]]+Proj[[#This Row],[TOI PP]]+Proj[[#This Row],[TOI PK]]</f>
        <v>16.87</v>
      </c>
      <c r="N1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57" s="10">
        <f>Proj[[#This Row],[Goals]]+Proj[[#This Row],[Assists]]</f>
        <v>49</v>
      </c>
      <c r="Q157" s="10">
        <f>ROUND(_xlfn.IFNA(INDEX(Table2[],MATCH(Proj[[#This Row],[Player]],Table2[Player],0),11)/60,IF(Proj[[#This Row],[Pos]] = "D", 'Per 60 PP'!$K$527,'Per 60 PP'!$K$526)/60)*Proj[[#This Row],[TOI PP]]*Proj[[#This Row],[GP]],0)</f>
        <v>5</v>
      </c>
      <c r="R157" s="10">
        <f>ROUND(_xlfn.IFNA(INDEX(Table2[],MATCH(Proj[[#This Row],[Player]],Table2[Player],0),7)/60,IF(Proj[[#This Row],[Pos]] = "D", 'Per 60 PP'!$G$527,'Per 60 PP'!$G$526)/60)*Proj[[#This Row],[TOI PP]]*Proj[[#This Row],[GP]],0)</f>
        <v>7</v>
      </c>
      <c r="S157" s="10">
        <f>Proj[[#This Row],[PPG]]+Proj[[#This Row],[PPA]]</f>
        <v>12</v>
      </c>
      <c r="T157">
        <f>ROUND((_xlfn.IFNA(INDEX(Table3[],MATCH(Proj[[#This Row],[Player]],Table3[Player],0),6)/60,IF(Proj[[#This Row],[Pos]] ="D", 'Per 60 PK'!$F$623, 'Per 60 PK'!$F$622)/60)+_xlfn.IFNA(INDEX(Table3[],MATCH(Proj[[#This Row],[Player]],Table3[Player],0),8)/60,IF(Proj[[#This Row],[Pos]] ="D", 'Per 60 PK'!$H$623, 'Per 60 PK'!$H$622)/60))*Proj[[#This Row],[TOI PK]]*Proj[[#This Row],[GP]],0)</f>
        <v>0</v>
      </c>
      <c r="U1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1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1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1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281</v>
      </c>
      <c r="Y1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348</v>
      </c>
      <c r="Z1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204</v>
      </c>
      <c r="AA1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-291.98910788406869</v>
      </c>
      <c r="AB157" s="10">
        <f>_xlfn.RANK.EQ(Proj[[#This Row],[VOR]],Proj[VOR])</f>
        <v>301</v>
      </c>
      <c r="AC157" s="10">
        <f>INDEX(Std[],MATCH(Proj[[#This Row],[Player]],Std[Player],0),20)</f>
        <v>442.64474642622991</v>
      </c>
      <c r="AD1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468.90000000000003</v>
      </c>
    </row>
    <row r="158" spans="1:30" x14ac:dyDescent="0.25">
      <c r="A158" t="s">
        <v>262</v>
      </c>
      <c r="B158">
        <v>32</v>
      </c>
      <c r="C158" t="s">
        <v>102</v>
      </c>
      <c r="D158" t="s">
        <v>11</v>
      </c>
      <c r="E158" s="9">
        <f>INDEX(Table1[],MATCH(Proj[[#This Row],[Player]],Table1[Player],0),5)</f>
        <v>14.75</v>
      </c>
      <c r="F158" s="9">
        <f>_xlfn.IFNA(INDEX(Table2[],MATCH(Proj[[#This Row],[Player]],Table2[Player],0),5),0)</f>
        <v>3.35</v>
      </c>
      <c r="G158" s="9">
        <f>_xlfn.IFNA(INDEX(Table3[],MATCH(Proj[[#This Row],[Player]],Table3[Player],0),5),0)</f>
        <v>0</v>
      </c>
      <c r="H158" s="10">
        <v>65</v>
      </c>
      <c r="I158">
        <v>65</v>
      </c>
      <c r="J158" s="9">
        <v>14.75</v>
      </c>
      <c r="K158" s="9">
        <v>3.35</v>
      </c>
      <c r="L158" s="9">
        <v>0</v>
      </c>
      <c r="M158" s="9">
        <f>Proj[[#This Row],[TOI ES]]+Proj[[#This Row],[TOI PP]]+Proj[[#This Row],[TOI PK]]</f>
        <v>18.100000000000001</v>
      </c>
      <c r="N1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58" s="10">
        <f>Proj[[#This Row],[Goals]]+Proj[[#This Row],[Assists]]</f>
        <v>49</v>
      </c>
      <c r="Q158" s="10">
        <f>ROUND(_xlfn.IFNA(INDEX(Table2[],MATCH(Proj[[#This Row],[Player]],Table2[Player],0),11)/60,IF(Proj[[#This Row],[Pos]] = "D", 'Per 60 PP'!$K$527,'Per 60 PP'!$K$526)/60)*Proj[[#This Row],[TOI PP]]*Proj[[#This Row],[GP]],0)</f>
        <v>7</v>
      </c>
      <c r="R158" s="10">
        <f>ROUND(_xlfn.IFNA(INDEX(Table2[],MATCH(Proj[[#This Row],[Player]],Table2[Player],0),7)/60,IF(Proj[[#This Row],[Pos]] = "D", 'Per 60 PP'!$G$527,'Per 60 PP'!$G$526)/60)*Proj[[#This Row],[TOI PP]]*Proj[[#This Row],[GP]],0)</f>
        <v>8</v>
      </c>
      <c r="S158" s="10">
        <f>Proj[[#This Row],[PPG]]+Proj[[#This Row],[PPA]]</f>
        <v>15</v>
      </c>
      <c r="T158">
        <f>ROUND((_xlfn.IFNA(INDEX(Table3[],MATCH(Proj[[#This Row],[Player]],Table3[Player],0),6)/60,IF(Proj[[#This Row],[Pos]] ="D", 'Per 60 PK'!$F$623, 'Per 60 PK'!$F$622)/60)+_xlfn.IFNA(INDEX(Table3[],MATCH(Proj[[#This Row],[Player]],Table3[Player],0),8)/60,IF(Proj[[#This Row],[Pos]] ="D", 'Per 60 PK'!$H$623, 'Per 60 PK'!$H$622)/60))*Proj[[#This Row],[TOI PK]]*Proj[[#This Row],[GP]],0)</f>
        <v>0</v>
      </c>
      <c r="U1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1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1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1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237</v>
      </c>
      <c r="Y1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203</v>
      </c>
      <c r="Z1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160</v>
      </c>
      <c r="AA1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-5.7487145861367708</v>
      </c>
      <c r="AB158" s="10">
        <f>_xlfn.RANK.EQ(Proj[[#This Row],[VOR]],Proj[VOR])</f>
        <v>165</v>
      </c>
      <c r="AC158" s="10">
        <f>INDEX(Std[],MATCH(Proj[[#This Row],[Player]],Std[Player],0),20)</f>
        <v>465.79600980411209</v>
      </c>
      <c r="AD1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453.9</v>
      </c>
    </row>
    <row r="159" spans="1:30" x14ac:dyDescent="0.25">
      <c r="A159" t="s">
        <v>373</v>
      </c>
      <c r="B159">
        <v>33</v>
      </c>
      <c r="C159" t="s">
        <v>105</v>
      </c>
      <c r="D159" t="s">
        <v>22</v>
      </c>
      <c r="E159" s="9">
        <f>INDEX(Table1[],MATCH(Proj[[#This Row],[Player]],Table1[Player],0),5)</f>
        <v>14.340278818664</v>
      </c>
      <c r="F159" s="9">
        <f>_xlfn.IFNA(INDEX(Table2[],MATCH(Proj[[#This Row],[Player]],Table2[Player],0),5),0)</f>
        <v>1</v>
      </c>
      <c r="G159" s="9">
        <f>_xlfn.IFNA(INDEX(Table3[],MATCH(Proj[[#This Row],[Player]],Table3[Player],0),5),0)</f>
        <v>1.5</v>
      </c>
      <c r="H159" s="10">
        <v>81</v>
      </c>
      <c r="I159">
        <v>81</v>
      </c>
      <c r="J159" s="9">
        <v>14.340278818664</v>
      </c>
      <c r="K159" s="9">
        <v>1</v>
      </c>
      <c r="L159" s="9">
        <v>1.5</v>
      </c>
      <c r="M159" s="9">
        <f>Proj[[#This Row],[TOI ES]]+Proj[[#This Row],[TOI PP]]+Proj[[#This Row],[TOI PK]]</f>
        <v>16.840278818664</v>
      </c>
      <c r="N1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159" s="10">
        <f>Proj[[#This Row],[Goals]]+Proj[[#This Row],[Assists]]</f>
        <v>49</v>
      </c>
      <c r="Q159" s="10">
        <f>ROUND(_xlfn.IFNA(INDEX(Table2[],MATCH(Proj[[#This Row],[Player]],Table2[Player],0),11)/60,IF(Proj[[#This Row],[Pos]] = "D", 'Per 60 PP'!$K$527,'Per 60 PP'!$K$526)/60)*Proj[[#This Row],[TOI PP]]*Proj[[#This Row],[GP]],0)</f>
        <v>3</v>
      </c>
      <c r="R159" s="10">
        <f>ROUND(_xlfn.IFNA(INDEX(Table2[],MATCH(Proj[[#This Row],[Player]],Table2[Player],0),7)/60,IF(Proj[[#This Row],[Pos]] = "D", 'Per 60 PP'!$G$527,'Per 60 PP'!$G$526)/60)*Proj[[#This Row],[TOI PP]]*Proj[[#This Row],[GP]],0)</f>
        <v>2</v>
      </c>
      <c r="S159" s="10">
        <f>Proj[[#This Row],[PPG]]+Proj[[#This Row],[PPA]]</f>
        <v>5</v>
      </c>
      <c r="T159">
        <f>ROUND((_xlfn.IFNA(INDEX(Table3[],MATCH(Proj[[#This Row],[Player]],Table3[Player],0),6)/60,IF(Proj[[#This Row],[Pos]] ="D", 'Per 60 PK'!$F$623, 'Per 60 PK'!$F$622)/60)+_xlfn.IFNA(INDEX(Table3[],MATCH(Proj[[#This Row],[Player]],Table3[Player],0),8)/60,IF(Proj[[#This Row],[Pos]] ="D", 'Per 60 PK'!$H$623, 'Per 60 PK'!$H$622)/60))*Proj[[#This Row],[TOI PK]]*Proj[[#This Row],[GP]],0)</f>
        <v>4</v>
      </c>
      <c r="U1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122</v>
      </c>
      <c r="V1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54</v>
      </c>
      <c r="W1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63</v>
      </c>
      <c r="X1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v>
      </c>
      <c r="Y1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41</v>
      </c>
      <c r="Z1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202</v>
      </c>
      <c r="AA1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22.334247232493283</v>
      </c>
      <c r="AB159" s="10">
        <f>_xlfn.RANK.EQ(Proj[[#This Row],[VOR]],Proj[VOR])</f>
        <v>149</v>
      </c>
      <c r="AC159" s="10">
        <f>INDEX(Std[],MATCH(Proj[[#This Row],[Player]],Std[Player],0),20)</f>
        <v>468.87897162274214</v>
      </c>
      <c r="AD1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478.44999999999993</v>
      </c>
    </row>
    <row r="160" spans="1:30" x14ac:dyDescent="0.25">
      <c r="A160" t="s">
        <v>510</v>
      </c>
      <c r="B160">
        <v>34</v>
      </c>
      <c r="C160" t="s">
        <v>103</v>
      </c>
      <c r="D160" t="s">
        <v>87</v>
      </c>
      <c r="E160" s="9">
        <f>INDEX(Table1[],MATCH(Proj[[#This Row],[Player]],Table1[Player],0),5)</f>
        <v>14.6609429721412</v>
      </c>
      <c r="F160" s="9">
        <f>_xlfn.IFNA(INDEX(Table2[],MATCH(Proj[[#This Row],[Player]],Table2[Player],0),5),0)</f>
        <v>2.4500000000000002</v>
      </c>
      <c r="G160" s="9">
        <f>_xlfn.IFNA(INDEX(Table3[],MATCH(Proj[[#This Row],[Player]],Table3[Player],0),5),0)</f>
        <v>0</v>
      </c>
      <c r="H160" s="10">
        <v>79</v>
      </c>
      <c r="I160">
        <v>79</v>
      </c>
      <c r="J160" s="9">
        <v>14.6609429721412</v>
      </c>
      <c r="K160" s="9">
        <v>2.4500000000000002</v>
      </c>
      <c r="L160" s="9">
        <v>0</v>
      </c>
      <c r="M160" s="9">
        <f>Proj[[#This Row],[TOI ES]]+Proj[[#This Row],[TOI PP]]+Proj[[#This Row],[TOI PK]]</f>
        <v>17.110942972141199</v>
      </c>
      <c r="N1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60" s="10">
        <f>Proj[[#This Row],[Goals]]+Proj[[#This Row],[Assists]]</f>
        <v>48</v>
      </c>
      <c r="Q160" s="10">
        <f>ROUND(_xlfn.IFNA(INDEX(Table2[],MATCH(Proj[[#This Row],[Player]],Table2[Player],0),11)/60,IF(Proj[[#This Row],[Pos]] = "D", 'Per 60 PP'!$K$527,'Per 60 PP'!$K$526)/60)*Proj[[#This Row],[TOI PP]]*Proj[[#This Row],[GP]],0)</f>
        <v>5</v>
      </c>
      <c r="R160" s="10">
        <f>ROUND(_xlfn.IFNA(INDEX(Table2[],MATCH(Proj[[#This Row],[Player]],Table2[Player],0),7)/60,IF(Proj[[#This Row],[Pos]] = "D", 'Per 60 PP'!$G$527,'Per 60 PP'!$G$526)/60)*Proj[[#This Row],[TOI PP]]*Proj[[#This Row],[GP]],0)</f>
        <v>7</v>
      </c>
      <c r="S160" s="10">
        <f>Proj[[#This Row],[PPG]]+Proj[[#This Row],[PPA]]</f>
        <v>12</v>
      </c>
      <c r="T160">
        <f>ROUND((_xlfn.IFNA(INDEX(Table3[],MATCH(Proj[[#This Row],[Player]],Table3[Player],0),6)/60,IF(Proj[[#This Row],[Pos]] ="D", 'Per 60 PK'!$F$623, 'Per 60 PK'!$F$622)/60)+_xlfn.IFNA(INDEX(Table3[],MATCH(Proj[[#This Row],[Player]],Table3[Player],0),8)/60,IF(Proj[[#This Row],[Pos]] ="D", 'Per 60 PK'!$H$623, 'Per 60 PK'!$H$622)/60))*Proj[[#This Row],[TOI PK]]*Proj[[#This Row],[GP]],0)</f>
        <v>0</v>
      </c>
      <c r="U1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1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1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1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32</v>
      </c>
      <c r="Y1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42</v>
      </c>
      <c r="Z1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162</v>
      </c>
      <c r="AA1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-411.51415969785148</v>
      </c>
      <c r="AB160" s="10">
        <f>_xlfn.RANK.EQ(Proj[[#This Row],[VOR]],Proj[VOR])</f>
        <v>377</v>
      </c>
      <c r="AC160" s="10">
        <f>INDEX(Std[],MATCH(Proj[[#This Row],[Player]],Std[Player],0),20)</f>
        <v>35.030564692397348</v>
      </c>
      <c r="AD1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370.34999999999997</v>
      </c>
    </row>
    <row r="161" spans="1:30" x14ac:dyDescent="0.25">
      <c r="A161" t="s">
        <v>367</v>
      </c>
      <c r="B161">
        <v>31</v>
      </c>
      <c r="C161" t="s">
        <v>3</v>
      </c>
      <c r="D161" t="s">
        <v>34</v>
      </c>
      <c r="E161" s="9">
        <f>INDEX(Table1[],MATCH(Proj[[#This Row],[Player]],Table1[Player],0),5)</f>
        <v>15.693235373034</v>
      </c>
      <c r="F161" s="9">
        <f>_xlfn.IFNA(INDEX(Table2[],MATCH(Proj[[#This Row],[Player]],Table2[Player],0),5),0)</f>
        <v>3.1</v>
      </c>
      <c r="G161" s="9">
        <f>_xlfn.IFNA(INDEX(Table3[],MATCH(Proj[[#This Row],[Player]],Table3[Player],0),5),0)</f>
        <v>0.44</v>
      </c>
      <c r="H161" s="10">
        <v>81</v>
      </c>
      <c r="I161">
        <v>81</v>
      </c>
      <c r="J161" s="9">
        <v>15.693235373034</v>
      </c>
      <c r="K161" s="9">
        <v>3.1</v>
      </c>
      <c r="L161" s="9">
        <v>0.44</v>
      </c>
      <c r="M161" s="9">
        <f>Proj[[#This Row],[TOI ES]]+Proj[[#This Row],[TOI PP]]+Proj[[#This Row],[TOI PK]]</f>
        <v>19.233235373034002</v>
      </c>
      <c r="N1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1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38</v>
      </c>
      <c r="P161" s="10">
        <f>Proj[[#This Row],[Goals]]+Proj[[#This Row],[Assists]]</f>
        <v>48</v>
      </c>
      <c r="Q161" s="10">
        <f>ROUND(_xlfn.IFNA(INDEX(Table2[],MATCH(Proj[[#This Row],[Player]],Table2[Player],0),11)/60,IF(Proj[[#This Row],[Pos]] = "D", 'Per 60 PP'!$K$527,'Per 60 PP'!$K$526)/60)*Proj[[#This Row],[TOI PP]]*Proj[[#This Row],[GP]],0)</f>
        <v>4</v>
      </c>
      <c r="R161" s="10">
        <f>ROUND(_xlfn.IFNA(INDEX(Table2[],MATCH(Proj[[#This Row],[Player]],Table2[Player],0),7)/60,IF(Proj[[#This Row],[Pos]] = "D", 'Per 60 PP'!$G$527,'Per 60 PP'!$G$526)/60)*Proj[[#This Row],[TOI PP]]*Proj[[#This Row],[GP]],0)</f>
        <v>20</v>
      </c>
      <c r="S161" s="10">
        <f>Proj[[#This Row],[PPG]]+Proj[[#This Row],[PPA]]</f>
        <v>24</v>
      </c>
      <c r="T161">
        <f>ROUND((_xlfn.IFNA(INDEX(Table3[],MATCH(Proj[[#This Row],[Player]],Table3[Player],0),6)/60,IF(Proj[[#This Row],[Pos]] ="D", 'Per 60 PK'!$F$623, 'Per 60 PK'!$F$622)/60)+_xlfn.IFNA(INDEX(Table3[],MATCH(Proj[[#This Row],[Player]],Table3[Player],0),8)/60,IF(Proj[[#This Row],[Pos]] ="D", 'Per 60 PK'!$H$623, 'Per 60 PK'!$H$622)/60))*Proj[[#This Row],[TOI PK]]*Proj[[#This Row],[GP]],0)</f>
        <v>0</v>
      </c>
      <c r="U1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1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90</v>
      </c>
      <c r="W1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1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139</v>
      </c>
      <c r="AA1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132.93156989794571</v>
      </c>
      <c r="AB161" s="10">
        <f>_xlfn.RANK.EQ(Proj[[#This Row],[VOR]],Proj[VOR])</f>
        <v>119</v>
      </c>
      <c r="AC161" s="10">
        <f>INDEX(Std[],MATCH(Proj[[#This Row],[Player]],Std[Player],0),20)</f>
        <v>240.29633761741019</v>
      </c>
      <c r="AD1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394.79999999999995</v>
      </c>
    </row>
    <row r="162" spans="1:30" x14ac:dyDescent="0.25">
      <c r="A162" t="s">
        <v>404</v>
      </c>
      <c r="B162">
        <v>28</v>
      </c>
      <c r="C162" t="s">
        <v>103</v>
      </c>
      <c r="D162" t="s">
        <v>8</v>
      </c>
      <c r="E162" s="9">
        <f>INDEX(Table1[],MATCH(Proj[[#This Row],[Player]],Table1[Player],0),5)</f>
        <v>13.0063360459681</v>
      </c>
      <c r="F162" s="9">
        <f>_xlfn.IFNA(INDEX(Table2[],MATCH(Proj[[#This Row],[Player]],Table2[Player],0),5),0)</f>
        <v>1.67</v>
      </c>
      <c r="G162" s="9">
        <f>_xlfn.IFNA(INDEX(Table3[],MATCH(Proj[[#This Row],[Player]],Table3[Player],0),5),0)</f>
        <v>0</v>
      </c>
      <c r="H162" s="10">
        <v>82</v>
      </c>
      <c r="I162">
        <v>82</v>
      </c>
      <c r="J162" s="9">
        <v>13.0063360459681</v>
      </c>
      <c r="K162" s="9">
        <v>1.67</v>
      </c>
      <c r="L162" s="9">
        <v>0</v>
      </c>
      <c r="M162" s="9">
        <f>Proj[[#This Row],[TOI ES]]+Proj[[#This Row],[TOI PP]]+Proj[[#This Row],[TOI PK]]</f>
        <v>14.6763360459681</v>
      </c>
      <c r="N1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62" s="10">
        <f>Proj[[#This Row],[Goals]]+Proj[[#This Row],[Assists]]</f>
        <v>48</v>
      </c>
      <c r="Q162" s="10">
        <f>ROUND(_xlfn.IFNA(INDEX(Table2[],MATCH(Proj[[#This Row],[Player]],Table2[Player],0),11)/60,IF(Proj[[#This Row],[Pos]] = "D", 'Per 60 PP'!$K$527,'Per 60 PP'!$K$526)/60)*Proj[[#This Row],[TOI PP]]*Proj[[#This Row],[GP]],0)</f>
        <v>2</v>
      </c>
      <c r="R162" s="10">
        <f>ROUND(_xlfn.IFNA(INDEX(Table2[],MATCH(Proj[[#This Row],[Player]],Table2[Player],0),7)/60,IF(Proj[[#This Row],[Pos]] = "D", 'Per 60 PP'!$G$527,'Per 60 PP'!$G$526)/60)*Proj[[#This Row],[TOI PP]]*Proj[[#This Row],[GP]],0)</f>
        <v>6</v>
      </c>
      <c r="S162" s="10">
        <f>Proj[[#This Row],[PPG]]+Proj[[#This Row],[PPA]]</f>
        <v>8</v>
      </c>
      <c r="T162">
        <f>ROUND((_xlfn.IFNA(INDEX(Table3[],MATCH(Proj[[#This Row],[Player]],Table3[Player],0),6)/60,IF(Proj[[#This Row],[Pos]] ="D", 'Per 60 PK'!$F$623, 'Per 60 PK'!$F$622)/60)+_xlfn.IFNA(INDEX(Table3[],MATCH(Proj[[#This Row],[Player]],Table3[Player],0),8)/60,IF(Proj[[#This Row],[Pos]] ="D", 'Per 60 PK'!$H$623, 'Per 60 PK'!$H$622)/60))*Proj[[#This Row],[TOI PK]]*Proj[[#This Row],[GP]],0)</f>
        <v>0</v>
      </c>
      <c r="U1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1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1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1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1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v>
      </c>
      <c r="Z1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188</v>
      </c>
      <c r="AA1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-354.43363184497071</v>
      </c>
      <c r="AB162" s="10">
        <f>_xlfn.RANK.EQ(Proj[[#This Row],[VOR]],Proj[VOR])</f>
        <v>350</v>
      </c>
      <c r="AC162" s="10">
        <f>INDEX(Std[],MATCH(Proj[[#This Row],[Player]],Std[Player],0),20)</f>
        <v>92.111092545278183</v>
      </c>
      <c r="AD1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388.65</v>
      </c>
    </row>
    <row r="163" spans="1:30" x14ac:dyDescent="0.25">
      <c r="A163" t="s">
        <v>529</v>
      </c>
      <c r="B163">
        <v>35</v>
      </c>
      <c r="C163" t="s">
        <v>101</v>
      </c>
      <c r="D163" t="s">
        <v>22</v>
      </c>
      <c r="E163" s="9">
        <f>INDEX(Table1[],MATCH(Proj[[#This Row],[Player]],Table1[Player],0),5)</f>
        <v>14.7146282077649</v>
      </c>
      <c r="F163" s="9">
        <f>_xlfn.IFNA(INDEX(Table2[],MATCH(Proj[[#This Row],[Player]],Table2[Player],0),5),0)</f>
        <v>1.7</v>
      </c>
      <c r="G163" s="9">
        <f>_xlfn.IFNA(INDEX(Table3[],MATCH(Proj[[#This Row],[Player]],Table3[Player],0),5),0)</f>
        <v>2.36</v>
      </c>
      <c r="H163" s="10">
        <v>82</v>
      </c>
      <c r="I163">
        <v>82</v>
      </c>
      <c r="J163" s="9">
        <v>14.7146282077649</v>
      </c>
      <c r="K163" s="9">
        <v>1.7</v>
      </c>
      <c r="L163" s="9">
        <v>2.36</v>
      </c>
      <c r="M163" s="9">
        <f>Proj[[#This Row],[TOI ES]]+Proj[[#This Row],[TOI PP]]+Proj[[#This Row],[TOI PK]]</f>
        <v>18.774628207764898</v>
      </c>
      <c r="N1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63" s="10">
        <f>Proj[[#This Row],[Goals]]+Proj[[#This Row],[Assists]]</f>
        <v>48</v>
      </c>
      <c r="Q163" s="10">
        <f>ROUND(_xlfn.IFNA(INDEX(Table2[],MATCH(Proj[[#This Row],[Player]],Table2[Player],0),11)/60,IF(Proj[[#This Row],[Pos]] = "D", 'Per 60 PP'!$K$527,'Per 60 PP'!$K$526)/60)*Proj[[#This Row],[TOI PP]]*Proj[[#This Row],[GP]],0)</f>
        <v>3</v>
      </c>
      <c r="R163" s="10">
        <f>ROUND(_xlfn.IFNA(INDEX(Table2[],MATCH(Proj[[#This Row],[Player]],Table2[Player],0),7)/60,IF(Proj[[#This Row],[Pos]] = "D", 'Per 60 PP'!$G$527,'Per 60 PP'!$G$526)/60)*Proj[[#This Row],[TOI PP]]*Proj[[#This Row],[GP]],0)</f>
        <v>4</v>
      </c>
      <c r="S163" s="10">
        <f>Proj[[#This Row],[PPG]]+Proj[[#This Row],[PPA]]</f>
        <v>7</v>
      </c>
      <c r="T163">
        <f>ROUND((_xlfn.IFNA(INDEX(Table3[],MATCH(Proj[[#This Row],[Player]],Table3[Player],0),6)/60,IF(Proj[[#This Row],[Pos]] ="D", 'Per 60 PK'!$F$623, 'Per 60 PK'!$F$622)/60)+_xlfn.IFNA(INDEX(Table3[],MATCH(Proj[[#This Row],[Player]],Table3[Player],0),8)/60,IF(Proj[[#This Row],[Pos]] ="D", 'Per 60 PK'!$H$623, 'Per 60 PK'!$H$622)/60))*Proj[[#This Row],[TOI PK]]*Proj[[#This Row],[GP]],0)</f>
        <v>4</v>
      </c>
      <c r="U1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65</v>
      </c>
      <c r="V1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1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1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726</v>
      </c>
      <c r="Y1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721</v>
      </c>
      <c r="Z1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219</v>
      </c>
      <c r="AA1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88.930415128863785</v>
      </c>
      <c r="AB163" s="10">
        <f>_xlfn.RANK.EQ(Proj[[#This Row],[VOR]],Proj[VOR])</f>
        <v>130</v>
      </c>
      <c r="AC163" s="10">
        <f>INDEX(Std[],MATCH(Proj[[#This Row],[Player]],Std[Player],0),20)</f>
        <v>560.47513951911264</v>
      </c>
      <c r="AD1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490.45</v>
      </c>
    </row>
    <row r="164" spans="1:30" x14ac:dyDescent="0.25">
      <c r="A164" t="s">
        <v>353</v>
      </c>
      <c r="B164">
        <v>35</v>
      </c>
      <c r="C164" t="s">
        <v>101</v>
      </c>
      <c r="D164" t="s">
        <v>5</v>
      </c>
      <c r="E164" s="9">
        <f>INDEX(Table1[],MATCH(Proj[[#This Row],[Player]],Table1[Player],0),5)</f>
        <v>14.6962750566372</v>
      </c>
      <c r="F164" s="9">
        <f>_xlfn.IFNA(INDEX(Table2[],MATCH(Proj[[#This Row],[Player]],Table2[Player],0),5),0)</f>
        <v>2.11</v>
      </c>
      <c r="G164" s="9">
        <f>_xlfn.IFNA(INDEX(Table3[],MATCH(Proj[[#This Row],[Player]],Table3[Player],0),5),0)</f>
        <v>1.45</v>
      </c>
      <c r="H164" s="10">
        <v>77</v>
      </c>
      <c r="I164">
        <v>77</v>
      </c>
      <c r="J164" s="9">
        <v>14.6962750566372</v>
      </c>
      <c r="K164" s="9">
        <v>2.11</v>
      </c>
      <c r="L164" s="9">
        <v>1.45</v>
      </c>
      <c r="M164" s="9">
        <f>Proj[[#This Row],[TOI ES]]+Proj[[#This Row],[TOI PP]]+Proj[[#This Row],[TOI PK]]</f>
        <v>18.2562750566372</v>
      </c>
      <c r="N1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164" s="10">
        <f>Proj[[#This Row],[Goals]]+Proj[[#This Row],[Assists]]</f>
        <v>48</v>
      </c>
      <c r="Q164" s="10">
        <f>ROUND(_xlfn.IFNA(INDEX(Table2[],MATCH(Proj[[#This Row],[Player]],Table2[Player],0),11)/60,IF(Proj[[#This Row],[Pos]] = "D", 'Per 60 PP'!$K$527,'Per 60 PP'!$K$526)/60)*Proj[[#This Row],[TOI PP]]*Proj[[#This Row],[GP]],0)</f>
        <v>5</v>
      </c>
      <c r="R164" s="10">
        <f>ROUND(_xlfn.IFNA(INDEX(Table2[],MATCH(Proj[[#This Row],[Player]],Table2[Player],0),7)/60,IF(Proj[[#This Row],[Pos]] = "D", 'Per 60 PP'!$G$527,'Per 60 PP'!$G$526)/60)*Proj[[#This Row],[TOI PP]]*Proj[[#This Row],[GP]],0)</f>
        <v>2</v>
      </c>
      <c r="S164" s="10">
        <f>Proj[[#This Row],[PPG]]+Proj[[#This Row],[PPA]]</f>
        <v>7</v>
      </c>
      <c r="T164">
        <f>ROUND((_xlfn.IFNA(INDEX(Table3[],MATCH(Proj[[#This Row],[Player]],Table3[Player],0),6)/60,IF(Proj[[#This Row],[Pos]] ="D", 'Per 60 PK'!$F$623, 'Per 60 PK'!$F$622)/60)+_xlfn.IFNA(INDEX(Table3[],MATCH(Proj[[#This Row],[Player]],Table3[Player],0),8)/60,IF(Proj[[#This Row],[Pos]] ="D", 'Per 60 PK'!$H$623, 'Per 60 PK'!$H$622)/60))*Proj[[#This Row],[TOI PK]]*Proj[[#This Row],[GP]],0)</f>
        <v>1</v>
      </c>
      <c r="U1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1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1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1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1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156</v>
      </c>
      <c r="AA1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-243.99209286687756</v>
      </c>
      <c r="AB164" s="10">
        <f>_xlfn.RANK.EQ(Proj[[#This Row],[VOR]],Proj[VOR])</f>
        <v>274</v>
      </c>
      <c r="AC164" s="10">
        <f>INDEX(Std[],MATCH(Proj[[#This Row],[Player]],Std[Player],0),20)</f>
        <v>227.5526315233713</v>
      </c>
      <c r="AD1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408.40000000000003</v>
      </c>
    </row>
    <row r="165" spans="1:30" x14ac:dyDescent="0.25">
      <c r="A165" t="s">
        <v>636</v>
      </c>
      <c r="B165">
        <v>23</v>
      </c>
      <c r="C165" t="s">
        <v>104</v>
      </c>
      <c r="D165" t="s">
        <v>10</v>
      </c>
      <c r="E165" s="9">
        <f>INDEX(Table1[],MATCH(Proj[[#This Row],[Player]],Table1[Player],0),5)</f>
        <v>15.362509386170601</v>
      </c>
      <c r="F165" s="9">
        <f>_xlfn.IFNA(INDEX(Table2[],MATCH(Proj[[#This Row],[Player]],Table2[Player],0),5),0)</f>
        <v>1.54</v>
      </c>
      <c r="G165" s="9">
        <f>_xlfn.IFNA(INDEX(Table3[],MATCH(Proj[[#This Row],[Player]],Table3[Player],0),5),0)</f>
        <v>0</v>
      </c>
      <c r="H165" s="10">
        <v>82</v>
      </c>
      <c r="I165">
        <v>82</v>
      </c>
      <c r="J165" s="9">
        <v>15.362509386170601</v>
      </c>
      <c r="K165" s="9">
        <v>1.54</v>
      </c>
      <c r="L165" s="9">
        <v>0</v>
      </c>
      <c r="M165" s="9">
        <f>Proj[[#This Row],[TOI ES]]+Proj[[#This Row],[TOI PP]]+Proj[[#This Row],[TOI PK]]</f>
        <v>16.9025093861706</v>
      </c>
      <c r="N1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24</v>
      </c>
      <c r="O1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165" s="10">
        <f>Proj[[#This Row],[Goals]]+Proj[[#This Row],[Assists]]</f>
        <v>48</v>
      </c>
      <c r="Q165" s="10">
        <f>ROUND(_xlfn.IFNA(INDEX(Table2[],MATCH(Proj[[#This Row],[Player]],Table2[Player],0),11)/60,IF(Proj[[#This Row],[Pos]] = "D", 'Per 60 PP'!$K$527,'Per 60 PP'!$K$526)/60)*Proj[[#This Row],[TOI PP]]*Proj[[#This Row],[GP]],0)</f>
        <v>3</v>
      </c>
      <c r="R165" s="10">
        <f>ROUND(_xlfn.IFNA(INDEX(Table2[],MATCH(Proj[[#This Row],[Player]],Table2[Player],0),7)/60,IF(Proj[[#This Row],[Pos]] = "D", 'Per 60 PP'!$G$527,'Per 60 PP'!$G$526)/60)*Proj[[#This Row],[TOI PP]]*Proj[[#This Row],[GP]],0)</f>
        <v>3</v>
      </c>
      <c r="S165" s="10">
        <f>Proj[[#This Row],[PPG]]+Proj[[#This Row],[PPA]]</f>
        <v>6</v>
      </c>
      <c r="T165">
        <f>ROUND((_xlfn.IFNA(INDEX(Table3[],MATCH(Proj[[#This Row],[Player]],Table3[Player],0),6)/60,IF(Proj[[#This Row],[Pos]] ="D", 'Per 60 PK'!$F$623, 'Per 60 PK'!$F$622)/60)+_xlfn.IFNA(INDEX(Table3[],MATCH(Proj[[#This Row],[Player]],Table3[Player],0),8)/60,IF(Proj[[#This Row],[Pos]] ="D", 'Per 60 PK'!$H$623, 'Per 60 PK'!$H$622)/60))*Proj[[#This Row],[TOI PK]]*Proj[[#This Row],[GP]],0)</f>
        <v>0</v>
      </c>
      <c r="U1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1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1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1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v>
      </c>
      <c r="Y1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52</v>
      </c>
      <c r="Z1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183</v>
      </c>
      <c r="AA1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-261.34639207788803</v>
      </c>
      <c r="AB165" s="10">
        <f>_xlfn.RANK.EQ(Proj[[#This Row],[VOR]],Proj[VOR])</f>
        <v>286</v>
      </c>
      <c r="AC165" s="10">
        <f>INDEX(Std[],MATCH(Proj[[#This Row],[Player]],Std[Player],0),20)</f>
        <v>185.19833231236086</v>
      </c>
      <c r="AD1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414.4</v>
      </c>
    </row>
    <row r="166" spans="1:30" x14ac:dyDescent="0.25">
      <c r="A166" t="s">
        <v>879</v>
      </c>
      <c r="B166">
        <v>28</v>
      </c>
      <c r="C166" t="s">
        <v>104</v>
      </c>
      <c r="D166" t="s">
        <v>8</v>
      </c>
      <c r="E166" s="9">
        <f>INDEX(Table1[],MATCH(Proj[[#This Row],[Player]],Table1[Player],0),5)</f>
        <v>13.310039188711499</v>
      </c>
      <c r="F166" s="9">
        <f>_xlfn.IFNA(INDEX(Table2[],MATCH(Proj[[#This Row],[Player]],Table2[Player],0),5),0)</f>
        <v>1.89</v>
      </c>
      <c r="G166" s="9">
        <f>_xlfn.IFNA(INDEX(Table3[],MATCH(Proj[[#This Row],[Player]],Table3[Player],0),5),0)</f>
        <v>1.56</v>
      </c>
      <c r="H166" s="10">
        <v>80</v>
      </c>
      <c r="I166">
        <v>80</v>
      </c>
      <c r="J166" s="9">
        <v>13.310039188711499</v>
      </c>
      <c r="K166" s="9">
        <v>1.89</v>
      </c>
      <c r="L166" s="9">
        <v>1.56</v>
      </c>
      <c r="M166" s="9">
        <f>Proj[[#This Row],[TOI ES]]+Proj[[#This Row],[TOI PP]]+Proj[[#This Row],[TOI PK]]</f>
        <v>16.760039188711499</v>
      </c>
      <c r="N1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1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166" s="10">
        <f>Proj[[#This Row],[Goals]]+Proj[[#This Row],[Assists]]</f>
        <v>48</v>
      </c>
      <c r="Q166" s="10">
        <f>ROUND(_xlfn.IFNA(INDEX(Table2[],MATCH(Proj[[#This Row],[Player]],Table2[Player],0),11)/60,IF(Proj[[#This Row],[Pos]] = "D", 'Per 60 PP'!$K$527,'Per 60 PP'!$K$526)/60)*Proj[[#This Row],[TOI PP]]*Proj[[#This Row],[GP]],0)</f>
        <v>4</v>
      </c>
      <c r="R166" s="10">
        <f>ROUND(_xlfn.IFNA(INDEX(Table2[],MATCH(Proj[[#This Row],[Player]],Table2[Player],0),7)/60,IF(Proj[[#This Row],[Pos]] = "D", 'Per 60 PP'!$G$527,'Per 60 PP'!$G$526)/60)*Proj[[#This Row],[TOI PP]]*Proj[[#This Row],[GP]],0)</f>
        <v>6</v>
      </c>
      <c r="S166" s="10">
        <f>Proj[[#This Row],[PPG]]+Proj[[#This Row],[PPA]]</f>
        <v>10</v>
      </c>
      <c r="T166">
        <f>ROUND((_xlfn.IFNA(INDEX(Table3[],MATCH(Proj[[#This Row],[Player]],Table3[Player],0),6)/60,IF(Proj[[#This Row],[Pos]] ="D", 'Per 60 PK'!$F$623, 'Per 60 PK'!$F$622)/60)+_xlfn.IFNA(INDEX(Table3[],MATCH(Proj[[#This Row],[Player]],Table3[Player],0),8)/60,IF(Proj[[#This Row],[Pos]] ="D", 'Per 60 PK'!$H$623, 'Per 60 PK'!$H$622)/60))*Proj[[#This Row],[TOI PK]]*Proj[[#This Row],[GP]],0)</f>
        <v>2</v>
      </c>
      <c r="U1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1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1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1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v>
      </c>
      <c r="Z1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195</v>
      </c>
      <c r="AA1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-257.7057833294723</v>
      </c>
      <c r="AB166" s="10">
        <f>_xlfn.RANK.EQ(Proj[[#This Row],[VOR]],Proj[VOR])</f>
        <v>283</v>
      </c>
      <c r="AC166" s="10">
        <f>INDEX(Std[],MATCH(Proj[[#This Row],[Player]],Std[Player],0),20)</f>
        <v>188.83894106077656</v>
      </c>
      <c r="AD1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429.25</v>
      </c>
    </row>
    <row r="167" spans="1:30" x14ac:dyDescent="0.25">
      <c r="A167" t="s">
        <v>596</v>
      </c>
      <c r="B167">
        <v>32</v>
      </c>
      <c r="C167" t="s">
        <v>74</v>
      </c>
      <c r="D167" t="s">
        <v>12</v>
      </c>
      <c r="E167" s="9">
        <f>INDEX(Table1[],MATCH(Proj[[#This Row],[Player]],Table1[Player],0),5)</f>
        <v>13.706112515668201</v>
      </c>
      <c r="F167" s="9">
        <f>_xlfn.IFNA(INDEX(Table2[],MATCH(Proj[[#This Row],[Player]],Table2[Player],0),5),0)</f>
        <v>1.54</v>
      </c>
      <c r="G167" s="9">
        <f>_xlfn.IFNA(INDEX(Table3[],MATCH(Proj[[#This Row],[Player]],Table3[Player],0),5),0)</f>
        <v>2.48</v>
      </c>
      <c r="H167" s="10">
        <v>82</v>
      </c>
      <c r="I167">
        <v>82</v>
      </c>
      <c r="J167" s="9">
        <v>13.706112515668201</v>
      </c>
      <c r="K167" s="9">
        <v>1.54</v>
      </c>
      <c r="L167" s="9">
        <v>2.48</v>
      </c>
      <c r="M167" s="9">
        <f>Proj[[#This Row],[TOI ES]]+Proj[[#This Row],[TOI PP]]+Proj[[#This Row],[TOI PK]]</f>
        <v>17.726112515668202</v>
      </c>
      <c r="N1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67" s="10">
        <f>Proj[[#This Row],[Goals]]+Proj[[#This Row],[Assists]]</f>
        <v>48</v>
      </c>
      <c r="Q167" s="10">
        <f>ROUND(_xlfn.IFNA(INDEX(Table2[],MATCH(Proj[[#This Row],[Player]],Table2[Player],0),11)/60,IF(Proj[[#This Row],[Pos]] = "D", 'Per 60 PP'!$K$527,'Per 60 PP'!$K$526)/60)*Proj[[#This Row],[TOI PP]]*Proj[[#This Row],[GP]],0)</f>
        <v>3</v>
      </c>
      <c r="R167" s="10">
        <f>ROUND(_xlfn.IFNA(INDEX(Table2[],MATCH(Proj[[#This Row],[Player]],Table2[Player],0),7)/60,IF(Proj[[#This Row],[Pos]] = "D", 'Per 60 PP'!$G$527,'Per 60 PP'!$G$526)/60)*Proj[[#This Row],[TOI PP]]*Proj[[#This Row],[GP]],0)</f>
        <v>3</v>
      </c>
      <c r="S167" s="10">
        <f>Proj[[#This Row],[PPG]]+Proj[[#This Row],[PPA]]</f>
        <v>6</v>
      </c>
      <c r="T167">
        <f>ROUND((_xlfn.IFNA(INDEX(Table3[],MATCH(Proj[[#This Row],[Player]],Table3[Player],0),6)/60,IF(Proj[[#This Row],[Pos]] ="D", 'Per 60 PK'!$F$623, 'Per 60 PK'!$F$622)/60)+_xlfn.IFNA(INDEX(Table3[],MATCH(Proj[[#This Row],[Player]],Table3[Player],0),8)/60,IF(Proj[[#This Row],[Pos]] ="D", 'Per 60 PK'!$H$623, 'Per 60 PK'!$H$622)/60))*Proj[[#This Row],[TOI PK]]*Proj[[#This Row],[GP]],0)</f>
        <v>4</v>
      </c>
      <c r="U1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100</v>
      </c>
      <c r="V1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61</v>
      </c>
      <c r="W1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1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672</v>
      </c>
      <c r="Y1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641</v>
      </c>
      <c r="Z1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134</v>
      </c>
      <c r="AA1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-204.8583866336196</v>
      </c>
      <c r="AB167" s="10">
        <f>_xlfn.RANK.EQ(Proj[[#This Row],[VOR]],Proj[VOR])</f>
        <v>249</v>
      </c>
      <c r="AC167" s="10">
        <f>INDEX(Std[],MATCH(Proj[[#This Row],[Player]],Std[Player],0),20)</f>
        <v>529.775467676679</v>
      </c>
      <c r="AD1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478.95</v>
      </c>
    </row>
    <row r="168" spans="1:30" x14ac:dyDescent="0.25">
      <c r="A168" t="s">
        <v>1217</v>
      </c>
      <c r="B168">
        <v>21</v>
      </c>
      <c r="C168" t="s">
        <v>102</v>
      </c>
      <c r="D168" t="s">
        <v>5</v>
      </c>
      <c r="E168" s="9">
        <f>INDEX(Table1[],MATCH(Proj[[#This Row],[Player]],Table1[Player],0),5)</f>
        <v>14</v>
      </c>
      <c r="F168" s="9">
        <f>_xlfn.IFNA(INDEX(Table2[],MATCH(Proj[[#This Row],[Player]],Table2[Player],0),5),0)</f>
        <v>2.5</v>
      </c>
      <c r="G168" s="9">
        <f>_xlfn.IFNA(INDEX(Table3[],MATCH(Proj[[#This Row],[Player]],Table3[Player],0),5),0)</f>
        <v>0</v>
      </c>
      <c r="H168" s="10">
        <v>76</v>
      </c>
      <c r="I168">
        <v>76</v>
      </c>
      <c r="J168" s="9">
        <v>14</v>
      </c>
      <c r="K168" s="9">
        <v>2.5</v>
      </c>
      <c r="L168" s="9">
        <v>0</v>
      </c>
      <c r="M168" s="9">
        <f>Proj[[#This Row],[TOI ES]]+Proj[[#This Row],[TOI PP]]+Proj[[#This Row],[TOI PK]]</f>
        <v>16.5</v>
      </c>
      <c r="N1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168">
        <f>Proj[[#This Row],[Goals]]+Proj[[#This Row],[Assists]]</f>
        <v>48</v>
      </c>
      <c r="Q168">
        <f>ROUND(_xlfn.IFNA(INDEX(Table2[],MATCH(Proj[[#This Row],[Player]],Table2[Player],0),11)/60,IF(Proj[[#This Row],[Pos]] = "D", 'Per 60 PP'!$K$527,'Per 60 PP'!$K$526)/60)*Proj[[#This Row],[TOI PP]]*Proj[[#This Row],[GP]],0)</f>
        <v>6</v>
      </c>
      <c r="R168">
        <f>ROUND(_xlfn.IFNA(INDEX(Table2[],MATCH(Proj[[#This Row],[Player]],Table2[Player],0),7)/60,IF(Proj[[#This Row],[Pos]] = "D", 'Per 60 PP'!$G$527,'Per 60 PP'!$G$526)/60)*Proj[[#This Row],[TOI PP]]*Proj[[#This Row],[GP]],0)</f>
        <v>7</v>
      </c>
      <c r="S168" s="10">
        <f>Proj[[#This Row],[PPG]]+Proj[[#This Row],[PPA]]</f>
        <v>13</v>
      </c>
      <c r="T168">
        <f>ROUND((_xlfn.IFNA(INDEX(Table3[],MATCH(Proj[[#This Row],[Player]],Table3[Player],0),6)/60,IF(Proj[[#This Row],[Pos]] ="D", 'Per 60 PK'!$F$623, 'Per 60 PK'!$F$622)/60)+_xlfn.IFNA(INDEX(Table3[],MATCH(Proj[[#This Row],[Player]],Table3[Player],0),8)/60,IF(Proj[[#This Row],[Pos]] ="D", 'Per 60 PK'!$H$623, 'Per 60 PK'!$H$622)/60))*Proj[[#This Row],[TOI PK]]*Proj[[#This Row],[GP]],0)</f>
        <v>0</v>
      </c>
      <c r="U1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105</v>
      </c>
      <c r="V1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1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55</v>
      </c>
      <c r="X1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177</v>
      </c>
      <c r="Y1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182</v>
      </c>
      <c r="Z1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184</v>
      </c>
      <c r="AA1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15.710705234597697</v>
      </c>
      <c r="AB168" s="10">
        <f>_xlfn.RANK.EQ(Proj[[#This Row],[VOR]],Proj[VOR])</f>
        <v>153</v>
      </c>
      <c r="AC168" s="10">
        <f>INDEX(Std[],MATCH(Proj[[#This Row],[Player]],Std[Player],0),20)</f>
        <v>487.25542962484656</v>
      </c>
      <c r="AD1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465.05</v>
      </c>
    </row>
    <row r="169" spans="1:30" x14ac:dyDescent="0.25">
      <c r="A169" t="s">
        <v>409</v>
      </c>
      <c r="B169">
        <v>31</v>
      </c>
      <c r="C169" t="s">
        <v>101</v>
      </c>
      <c r="D169" t="s">
        <v>23</v>
      </c>
      <c r="E169" s="9">
        <f>INDEX(Table1[],MATCH(Proj[[#This Row],[Player]],Table1[Player],0),5)</f>
        <v>15.607825138175</v>
      </c>
      <c r="F169" s="9">
        <f>_xlfn.IFNA(INDEX(Table2[],MATCH(Proj[[#This Row],[Player]],Table2[Player],0),5),0)</f>
        <v>2.67</v>
      </c>
      <c r="G169" s="9">
        <f>_xlfn.IFNA(INDEX(Table3[],MATCH(Proj[[#This Row],[Player]],Table3[Player],0),5),0)</f>
        <v>1.48</v>
      </c>
      <c r="H169" s="10">
        <v>76</v>
      </c>
      <c r="I169">
        <v>76</v>
      </c>
      <c r="J169" s="9">
        <v>15.607825138175</v>
      </c>
      <c r="K169" s="9">
        <v>2.67</v>
      </c>
      <c r="L169" s="9">
        <v>1.48</v>
      </c>
      <c r="M169" s="9">
        <f>Proj[[#This Row],[TOI ES]]+Proj[[#This Row],[TOI PP]]+Proj[[#This Row],[TOI PK]]</f>
        <v>19.757825138175001</v>
      </c>
      <c r="N1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28</v>
      </c>
      <c r="O1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169" s="10">
        <f>Proj[[#This Row],[Goals]]+Proj[[#This Row],[Assists]]</f>
        <v>48</v>
      </c>
      <c r="Q169" s="10">
        <f>ROUND(_xlfn.IFNA(INDEX(Table2[],MATCH(Proj[[#This Row],[Player]],Table2[Player],0),11)/60,IF(Proj[[#This Row],[Pos]] = "D", 'Per 60 PP'!$K$527,'Per 60 PP'!$K$526)/60)*Proj[[#This Row],[TOI PP]]*Proj[[#This Row],[GP]],0)</f>
        <v>7</v>
      </c>
      <c r="R169" s="10">
        <f>ROUND(_xlfn.IFNA(INDEX(Table2[],MATCH(Proj[[#This Row],[Player]],Table2[Player],0),7)/60,IF(Proj[[#This Row],[Pos]] = "D", 'Per 60 PP'!$G$527,'Per 60 PP'!$G$526)/60)*Proj[[#This Row],[TOI PP]]*Proj[[#This Row],[GP]],0)</f>
        <v>3</v>
      </c>
      <c r="S169" s="10">
        <f>Proj[[#This Row],[PPG]]+Proj[[#This Row],[PPA]]</f>
        <v>10</v>
      </c>
      <c r="T169">
        <f>ROUND((_xlfn.IFNA(INDEX(Table3[],MATCH(Proj[[#This Row],[Player]],Table3[Player],0),6)/60,IF(Proj[[#This Row],[Pos]] ="D", 'Per 60 PK'!$F$623, 'Per 60 PK'!$F$622)/60)+_xlfn.IFNA(INDEX(Table3[],MATCH(Proj[[#This Row],[Player]],Table3[Player],0),8)/60,IF(Proj[[#This Row],[Pos]] ="D", 'Per 60 PK'!$H$623, 'Per 60 PK'!$H$622)/60))*Proj[[#This Row],[TOI PK]]*Proj[[#This Row],[GP]],0)</f>
        <v>1</v>
      </c>
      <c r="U1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130</v>
      </c>
      <c r="V1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90</v>
      </c>
      <c r="W1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1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776</v>
      </c>
      <c r="Y1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660</v>
      </c>
      <c r="Z1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200</v>
      </c>
      <c r="AA1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445.58956698275034</v>
      </c>
      <c r="AB169" s="10">
        <f>_xlfn.RANK.EQ(Proj[[#This Row],[VOR]],Proj[VOR])</f>
        <v>55</v>
      </c>
      <c r="AC169" s="10">
        <f>INDEX(Std[],MATCH(Proj[[#This Row],[Player]],Std[Player],0),20)</f>
        <v>917.1342913729992</v>
      </c>
      <c r="AD1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575.4</v>
      </c>
    </row>
    <row r="170" spans="1:30" x14ac:dyDescent="0.25">
      <c r="A170" t="s">
        <v>953</v>
      </c>
      <c r="B170">
        <v>22</v>
      </c>
      <c r="C170" t="s">
        <v>74</v>
      </c>
      <c r="D170" t="s">
        <v>87</v>
      </c>
      <c r="E170" s="9">
        <f>INDEX(Table1[],MATCH(Proj[[#This Row],[Player]],Table1[Player],0),5)</f>
        <v>15.0092726354418</v>
      </c>
      <c r="F170" s="9">
        <f>_xlfn.IFNA(INDEX(Table2[],MATCH(Proj[[#This Row],[Player]],Table2[Player],0),5),0)</f>
        <v>2.69</v>
      </c>
      <c r="G170" s="9">
        <f>_xlfn.IFNA(INDEX(Table3[],MATCH(Proj[[#This Row],[Player]],Table3[Player],0),5),0)</f>
        <v>0.39</v>
      </c>
      <c r="H170" s="10">
        <v>80</v>
      </c>
      <c r="I170">
        <v>80</v>
      </c>
      <c r="J170" s="9">
        <v>15.0092726354418</v>
      </c>
      <c r="K170" s="9">
        <v>2.69</v>
      </c>
      <c r="L170" s="9">
        <v>0.39</v>
      </c>
      <c r="M170" s="9">
        <f>Proj[[#This Row],[TOI ES]]+Proj[[#This Row],[TOI PP]]+Proj[[#This Row],[TOI PK]]</f>
        <v>18.089272635441802</v>
      </c>
      <c r="N1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70" s="10">
        <f>Proj[[#This Row],[Goals]]+Proj[[#This Row],[Assists]]</f>
        <v>47</v>
      </c>
      <c r="Q170" s="10">
        <f>ROUND(_xlfn.IFNA(INDEX(Table2[],MATCH(Proj[[#This Row],[Player]],Table2[Player],0),11)/60,IF(Proj[[#This Row],[Pos]] = "D", 'Per 60 PP'!$K$527,'Per 60 PP'!$K$526)/60)*Proj[[#This Row],[TOI PP]]*Proj[[#This Row],[GP]],0)</f>
        <v>6</v>
      </c>
      <c r="R170" s="10">
        <f>ROUND(_xlfn.IFNA(INDEX(Table2[],MATCH(Proj[[#This Row],[Player]],Table2[Player],0),7)/60,IF(Proj[[#This Row],[Pos]] = "D", 'Per 60 PP'!$G$527,'Per 60 PP'!$G$526)/60)*Proj[[#This Row],[TOI PP]]*Proj[[#This Row],[GP]],0)</f>
        <v>7</v>
      </c>
      <c r="S170" s="10">
        <f>Proj[[#This Row],[PPG]]+Proj[[#This Row],[PPA]]</f>
        <v>13</v>
      </c>
      <c r="T170">
        <f>ROUND((_xlfn.IFNA(INDEX(Table3[],MATCH(Proj[[#This Row],[Player]],Table3[Player],0),6)/60,IF(Proj[[#This Row],[Pos]] ="D", 'Per 60 PK'!$F$623, 'Per 60 PK'!$F$622)/60)+_xlfn.IFNA(INDEX(Table3[],MATCH(Proj[[#This Row],[Player]],Table3[Player],0),8)/60,IF(Proj[[#This Row],[Pos]] ="D", 'Per 60 PK'!$H$623, 'Per 60 PK'!$H$622)/60))*Proj[[#This Row],[TOI PK]]*Proj[[#This Row],[GP]],0)</f>
        <v>0</v>
      </c>
      <c r="U1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1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1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1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506</v>
      </c>
      <c r="Y1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579</v>
      </c>
      <c r="Z1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149</v>
      </c>
      <c r="AA1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-414.76653882059583</v>
      </c>
      <c r="AB170" s="10">
        <f>_xlfn.RANK.EQ(Proj[[#This Row],[VOR]],Proj[VOR])</f>
        <v>380</v>
      </c>
      <c r="AC170" s="10">
        <f>INDEX(Std[],MATCH(Proj[[#This Row],[Player]],Std[Player],0),20)</f>
        <v>319.86731548970278</v>
      </c>
      <c r="AD1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431.25</v>
      </c>
    </row>
    <row r="171" spans="1:30" x14ac:dyDescent="0.25">
      <c r="A171" t="s">
        <v>478</v>
      </c>
      <c r="B171">
        <v>30</v>
      </c>
      <c r="C171" t="s">
        <v>3</v>
      </c>
      <c r="D171" t="s">
        <v>6</v>
      </c>
      <c r="E171" s="9">
        <f>INDEX(Table1[],MATCH(Proj[[#This Row],[Player]],Table1[Player],0),5)</f>
        <v>18.849555599309401</v>
      </c>
      <c r="F171" s="9">
        <f>_xlfn.IFNA(INDEX(Table2[],MATCH(Proj[[#This Row],[Player]],Table2[Player],0),5),0)</f>
        <v>2.5</v>
      </c>
      <c r="G171" s="9">
        <f>_xlfn.IFNA(INDEX(Table3[],MATCH(Proj[[#This Row],[Player]],Table3[Player],0),5),0)</f>
        <v>2.8</v>
      </c>
      <c r="H171" s="10">
        <v>79</v>
      </c>
      <c r="I171">
        <v>79</v>
      </c>
      <c r="J171" s="9">
        <v>18.849555599309401</v>
      </c>
      <c r="K171" s="9">
        <v>2.5</v>
      </c>
      <c r="L171" s="9">
        <v>2.8</v>
      </c>
      <c r="M171" s="9">
        <f>Proj[[#This Row],[TOI ES]]+Proj[[#This Row],[TOI PP]]+Proj[[#This Row],[TOI PK]]</f>
        <v>24.149555599309402</v>
      </c>
      <c r="N1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1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37</v>
      </c>
      <c r="P171" s="10">
        <f>Proj[[#This Row],[Goals]]+Proj[[#This Row],[Assists]]</f>
        <v>47</v>
      </c>
      <c r="Q171" s="10">
        <f>ROUND(_xlfn.IFNA(INDEX(Table2[],MATCH(Proj[[#This Row],[Player]],Table2[Player],0),11)/60,IF(Proj[[#This Row],[Pos]] = "D", 'Per 60 PP'!$K$527,'Per 60 PP'!$K$526)/60)*Proj[[#This Row],[TOI PP]]*Proj[[#This Row],[GP]],0)</f>
        <v>2</v>
      </c>
      <c r="R171" s="10">
        <f>ROUND(_xlfn.IFNA(INDEX(Table2[],MATCH(Proj[[#This Row],[Player]],Table2[Player],0),7)/60,IF(Proj[[#This Row],[Pos]] = "D", 'Per 60 PP'!$G$527,'Per 60 PP'!$G$526)/60)*Proj[[#This Row],[TOI PP]]*Proj[[#This Row],[GP]],0)</f>
        <v>13</v>
      </c>
      <c r="S171" s="10">
        <f>Proj[[#This Row],[PPG]]+Proj[[#This Row],[PPA]]</f>
        <v>15</v>
      </c>
      <c r="T171">
        <f>ROUND((_xlfn.IFNA(INDEX(Table3[],MATCH(Proj[[#This Row],[Player]],Table3[Player],0),6)/60,IF(Proj[[#This Row],[Pos]] ="D", 'Per 60 PK'!$F$623, 'Per 60 PK'!$F$622)/60)+_xlfn.IFNA(INDEX(Table3[],MATCH(Proj[[#This Row],[Player]],Table3[Player],0),8)/60,IF(Proj[[#This Row],[Pos]] ="D", 'Per 60 PK'!$H$623, 'Per 60 PK'!$H$622)/60))*Proj[[#This Row],[TOI PK]]*Proj[[#This Row],[GP]],0)</f>
        <v>2</v>
      </c>
      <c r="U1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1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160</v>
      </c>
      <c r="W1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47</v>
      </c>
      <c r="X1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1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377.31294887327056</v>
      </c>
      <c r="AB171" s="10">
        <f>_xlfn.RANK.EQ(Proj[[#This Row],[VOR]],Proj[VOR])</f>
        <v>68</v>
      </c>
      <c r="AC171" s="10">
        <f>INDEX(Std[],MATCH(Proj[[#This Row],[Player]],Std[Player],0),20)</f>
        <v>484.67771659273507</v>
      </c>
      <c r="AD1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461.05</v>
      </c>
    </row>
    <row r="172" spans="1:30" x14ac:dyDescent="0.25">
      <c r="A172" t="s">
        <v>863</v>
      </c>
      <c r="B172">
        <v>24</v>
      </c>
      <c r="C172" t="s">
        <v>74</v>
      </c>
      <c r="D172" t="s">
        <v>15</v>
      </c>
      <c r="E172" s="9">
        <f>INDEX(Table1[],MATCH(Proj[[#This Row],[Player]],Table1[Player],0),5)</f>
        <v>14.9460872411865</v>
      </c>
      <c r="F172" s="9">
        <f>_xlfn.IFNA(INDEX(Table2[],MATCH(Proj[[#This Row],[Player]],Table2[Player],0),5),0)</f>
        <v>2.46</v>
      </c>
      <c r="G172" s="9">
        <f>_xlfn.IFNA(INDEX(Table3[],MATCH(Proj[[#This Row],[Player]],Table3[Player],0),5),0)</f>
        <v>0.49</v>
      </c>
      <c r="H172" s="10">
        <v>77</v>
      </c>
      <c r="I172">
        <v>77</v>
      </c>
      <c r="J172" s="9">
        <v>14.9460872411865</v>
      </c>
      <c r="K172" s="9">
        <v>2.46</v>
      </c>
      <c r="L172" s="9">
        <v>0.49</v>
      </c>
      <c r="M172" s="9">
        <f>Proj[[#This Row],[TOI ES]]+Proj[[#This Row],[TOI PP]]+Proj[[#This Row],[TOI PK]]</f>
        <v>17.8960872411865</v>
      </c>
      <c r="N1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1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72" s="10">
        <f>Proj[[#This Row],[Goals]]+Proj[[#This Row],[Assists]]</f>
        <v>47</v>
      </c>
      <c r="Q172" s="10">
        <f>ROUND(_xlfn.IFNA(INDEX(Table2[],MATCH(Proj[[#This Row],[Player]],Table2[Player],0),11)/60,IF(Proj[[#This Row],[Pos]] = "D", 'Per 60 PP'!$K$527,'Per 60 PP'!$K$526)/60)*Proj[[#This Row],[TOI PP]]*Proj[[#This Row],[GP]],0)</f>
        <v>8</v>
      </c>
      <c r="R172" s="10">
        <f>ROUND(_xlfn.IFNA(INDEX(Table2[],MATCH(Proj[[#This Row],[Player]],Table2[Player],0),7)/60,IF(Proj[[#This Row],[Pos]] = "D", 'Per 60 PP'!$G$527,'Per 60 PP'!$G$526)/60)*Proj[[#This Row],[TOI PP]]*Proj[[#This Row],[GP]],0)</f>
        <v>4</v>
      </c>
      <c r="S172" s="10">
        <f>Proj[[#This Row],[PPG]]+Proj[[#This Row],[PPA]]</f>
        <v>12</v>
      </c>
      <c r="T172">
        <f>ROUND((_xlfn.IFNA(INDEX(Table3[],MATCH(Proj[[#This Row],[Player]],Table3[Player],0),6)/60,IF(Proj[[#This Row],[Pos]] ="D", 'Per 60 PK'!$F$623, 'Per 60 PK'!$F$622)/60)+_xlfn.IFNA(INDEX(Table3[],MATCH(Proj[[#This Row],[Player]],Table3[Player],0),8)/60,IF(Proj[[#This Row],[Pos]] ="D", 'Per 60 PK'!$H$623, 'Per 60 PK'!$H$622)/60))*Proj[[#This Row],[TOI PK]]*Proj[[#This Row],[GP]],0)</f>
        <v>0</v>
      </c>
      <c r="U1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1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1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1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453</v>
      </c>
      <c r="Y1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436</v>
      </c>
      <c r="Z1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191</v>
      </c>
      <c r="AA1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-288.86410639170157</v>
      </c>
      <c r="AB172" s="10">
        <f>_xlfn.RANK.EQ(Proj[[#This Row],[VOR]],Proj[VOR])</f>
        <v>300</v>
      </c>
      <c r="AC172" s="10">
        <f>INDEX(Std[],MATCH(Proj[[#This Row],[Player]],Std[Player],0),20)</f>
        <v>445.76974791859703</v>
      </c>
      <c r="AD1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465.00000000000006</v>
      </c>
    </row>
    <row r="173" spans="1:30" x14ac:dyDescent="0.25">
      <c r="A173" t="s">
        <v>853</v>
      </c>
      <c r="B173">
        <v>23</v>
      </c>
      <c r="C173" t="s">
        <v>103</v>
      </c>
      <c r="D173" t="s">
        <v>4</v>
      </c>
      <c r="E173" s="9">
        <f>INDEX(Table1[],MATCH(Proj[[#This Row],[Player]],Table1[Player],0),5)</f>
        <v>12.5145649310848</v>
      </c>
      <c r="F173" s="9">
        <f>_xlfn.IFNA(INDEX(Table2[],MATCH(Proj[[#This Row],[Player]],Table2[Player],0),5),0)</f>
        <v>2.04</v>
      </c>
      <c r="G173" s="9">
        <f>_xlfn.IFNA(INDEX(Table3[],MATCH(Proj[[#This Row],[Player]],Table3[Player],0),5),0)</f>
        <v>1.02</v>
      </c>
      <c r="H173" s="10">
        <v>80</v>
      </c>
      <c r="I173">
        <v>80</v>
      </c>
      <c r="J173" s="9">
        <v>12.5145649310848</v>
      </c>
      <c r="K173" s="9">
        <v>2.04</v>
      </c>
      <c r="L173" s="9">
        <v>1.02</v>
      </c>
      <c r="M173" s="9">
        <f>Proj[[#This Row],[TOI ES]]+Proj[[#This Row],[TOI PP]]+Proj[[#This Row],[TOI PK]]</f>
        <v>15.574564931084801</v>
      </c>
      <c r="N1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173" s="10">
        <f>Proj[[#This Row],[Goals]]+Proj[[#This Row],[Assists]]</f>
        <v>47</v>
      </c>
      <c r="Q173" s="10">
        <f>ROUND(_xlfn.IFNA(INDEX(Table2[],MATCH(Proj[[#This Row],[Player]],Table2[Player],0),11)/60,IF(Proj[[#This Row],[Pos]] = "D", 'Per 60 PP'!$K$527,'Per 60 PP'!$K$526)/60)*Proj[[#This Row],[TOI PP]]*Proj[[#This Row],[GP]],0)</f>
        <v>4</v>
      </c>
      <c r="R173" s="10">
        <f>ROUND(_xlfn.IFNA(INDEX(Table2[],MATCH(Proj[[#This Row],[Player]],Table2[Player],0),7)/60,IF(Proj[[#This Row],[Pos]] = "D", 'Per 60 PP'!$G$527,'Per 60 PP'!$G$526)/60)*Proj[[#This Row],[TOI PP]]*Proj[[#This Row],[GP]],0)</f>
        <v>4</v>
      </c>
      <c r="S173" s="10">
        <f>Proj[[#This Row],[PPG]]+Proj[[#This Row],[PPA]]</f>
        <v>8</v>
      </c>
      <c r="T173">
        <f>ROUND((_xlfn.IFNA(INDEX(Table3[],MATCH(Proj[[#This Row],[Player]],Table3[Player],0),6)/60,IF(Proj[[#This Row],[Pos]] ="D", 'Per 60 PK'!$F$623, 'Per 60 PK'!$F$622)/60)+_xlfn.IFNA(INDEX(Table3[],MATCH(Proj[[#This Row],[Player]],Table3[Player],0),8)/60,IF(Proj[[#This Row],[Pos]] ="D", 'Per 60 PK'!$H$623, 'Per 60 PK'!$H$622)/60))*Proj[[#This Row],[TOI PK]]*Proj[[#This Row],[GP]],0)</f>
        <v>1</v>
      </c>
      <c r="U1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73</v>
      </c>
      <c r="V1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1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1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v>
      </c>
      <c r="Y1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36</v>
      </c>
      <c r="Z1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1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-371.21086431869975</v>
      </c>
      <c r="AB173" s="10">
        <f>_xlfn.RANK.EQ(Proj[[#This Row],[VOR]],Proj[VOR])</f>
        <v>359</v>
      </c>
      <c r="AC173" s="10">
        <f>INDEX(Std[],MATCH(Proj[[#This Row],[Player]],Std[Player],0),20)</f>
        <v>75.333860071549125</v>
      </c>
      <c r="AD1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392.7</v>
      </c>
    </row>
    <row r="174" spans="1:30" x14ac:dyDescent="0.25">
      <c r="A174" t="s">
        <v>430</v>
      </c>
      <c r="B174">
        <v>29</v>
      </c>
      <c r="C174" t="s">
        <v>102</v>
      </c>
      <c r="D174" t="s">
        <v>17</v>
      </c>
      <c r="E174" s="9">
        <f>INDEX(Table1[],MATCH(Proj[[#This Row],[Player]],Table1[Player],0),5)</f>
        <v>13.5532707113064</v>
      </c>
      <c r="F174" s="9">
        <f>_xlfn.IFNA(INDEX(Table2[],MATCH(Proj[[#This Row],[Player]],Table2[Player],0),5),0)</f>
        <v>1.46</v>
      </c>
      <c r="G174" s="9">
        <f>_xlfn.IFNA(INDEX(Table3[],MATCH(Proj[[#This Row],[Player]],Table3[Player],0),5),0)</f>
        <v>0</v>
      </c>
      <c r="H174" s="10">
        <v>77</v>
      </c>
      <c r="I174">
        <v>77</v>
      </c>
      <c r="J174" s="9">
        <v>13.5532707113064</v>
      </c>
      <c r="K174" s="9">
        <v>1.46</v>
      </c>
      <c r="L174" s="9">
        <v>0</v>
      </c>
      <c r="M174" s="9">
        <f>Proj[[#This Row],[TOI ES]]+Proj[[#This Row],[TOI PP]]+Proj[[#This Row],[TOI PK]]</f>
        <v>15.013270711306401</v>
      </c>
      <c r="N1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174">
        <f>Proj[[#This Row],[Goals]]+Proj[[#This Row],[Assists]]</f>
        <v>47</v>
      </c>
      <c r="Q174" s="10">
        <f>ROUND(_xlfn.IFNA(INDEX(Table2[],MATCH(Proj[[#This Row],[Player]],Table2[Player],0),11)/60,IF(Proj[[#This Row],[Pos]] = "D", 'Per 60 PP'!$K$527,'Per 60 PP'!$K$526)/60)*Proj[[#This Row],[TOI PP]]*Proj[[#This Row],[GP]],0)</f>
        <v>4</v>
      </c>
      <c r="R174" s="10">
        <f>ROUND(_xlfn.IFNA(INDEX(Table2[],MATCH(Proj[[#This Row],[Player]],Table2[Player],0),7)/60,IF(Proj[[#This Row],[Pos]] = "D", 'Per 60 PP'!$G$527,'Per 60 PP'!$G$526)/60)*Proj[[#This Row],[TOI PP]]*Proj[[#This Row],[GP]],0)</f>
        <v>4</v>
      </c>
      <c r="S174" s="10">
        <f>Proj[[#This Row],[PPG]]+Proj[[#This Row],[PPA]]</f>
        <v>8</v>
      </c>
      <c r="T174">
        <f>ROUND((_xlfn.IFNA(INDEX(Table3[],MATCH(Proj[[#This Row],[Player]],Table3[Player],0),6)/60,IF(Proj[[#This Row],[Pos]] ="D", 'Per 60 PK'!$F$623, 'Per 60 PK'!$F$622)/60)+_xlfn.IFNA(INDEX(Table3[],MATCH(Proj[[#This Row],[Player]],Table3[Player],0),8)/60,IF(Proj[[#This Row],[Pos]] ="D", 'Per 60 PK'!$H$623, 'Per 60 PK'!$H$622)/60))*Proj[[#This Row],[TOI PK]]*Proj[[#This Row],[GP]],0)</f>
        <v>0</v>
      </c>
      <c r="U1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95</v>
      </c>
      <c r="V1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74</v>
      </c>
      <c r="X1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1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1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151</v>
      </c>
      <c r="AA1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-154.81127164908787</v>
      </c>
      <c r="AB174" s="10">
        <f>_xlfn.RANK.EQ(Proj[[#This Row],[VOR]],Proj[VOR])</f>
        <v>223</v>
      </c>
      <c r="AC174" s="10">
        <f>INDEX(Std[],MATCH(Proj[[#This Row],[Player]],Std[Player],0),20)</f>
        <v>316.73345274116099</v>
      </c>
      <c r="AD1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414.50000000000006</v>
      </c>
    </row>
    <row r="175" spans="1:30" x14ac:dyDescent="0.25">
      <c r="A175" t="s">
        <v>387</v>
      </c>
      <c r="B175">
        <v>27</v>
      </c>
      <c r="C175" t="s">
        <v>3</v>
      </c>
      <c r="D175" t="s">
        <v>8</v>
      </c>
      <c r="E175" s="9">
        <f>INDEX(Table1[],MATCH(Proj[[#This Row],[Player]],Table1[Player],0),5)</f>
        <v>19.450208890572799</v>
      </c>
      <c r="F175" s="9">
        <f>_xlfn.IFNA(INDEX(Table2[],MATCH(Proj[[#This Row],[Player]],Table2[Player],0),5),0)</f>
        <v>1.86</v>
      </c>
      <c r="G175" s="9">
        <f>_xlfn.IFNA(INDEX(Table3[],MATCH(Proj[[#This Row],[Player]],Table3[Player],0),5),0)</f>
        <v>1.89</v>
      </c>
      <c r="H175" s="10">
        <v>79</v>
      </c>
      <c r="I175">
        <v>79</v>
      </c>
      <c r="J175" s="9">
        <v>19.450208890572799</v>
      </c>
      <c r="K175" s="9">
        <v>1.86</v>
      </c>
      <c r="L175" s="9">
        <v>1.89</v>
      </c>
      <c r="M175" s="9">
        <f>Proj[[#This Row],[TOI ES]]+Proj[[#This Row],[TOI PP]]+Proj[[#This Row],[TOI PK]]</f>
        <v>23.200208890572799</v>
      </c>
      <c r="N1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1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40</v>
      </c>
      <c r="P175" s="10">
        <f>Proj[[#This Row],[Goals]]+Proj[[#This Row],[Assists]]</f>
        <v>47</v>
      </c>
      <c r="Q175" s="10">
        <f>ROUND(_xlfn.IFNA(INDEX(Table2[],MATCH(Proj[[#This Row],[Player]],Table2[Player],0),11)/60,IF(Proj[[#This Row],[Pos]] = "D", 'Per 60 PP'!$K$527,'Per 60 PP'!$K$526)/60)*Proj[[#This Row],[TOI PP]]*Proj[[#This Row],[GP]],0)</f>
        <v>2</v>
      </c>
      <c r="R175" s="10">
        <f>ROUND(_xlfn.IFNA(INDEX(Table2[],MATCH(Proj[[#This Row],[Player]],Table2[Player],0),7)/60,IF(Proj[[#This Row],[Pos]] = "D", 'Per 60 PP'!$G$527,'Per 60 PP'!$G$526)/60)*Proj[[#This Row],[TOI PP]]*Proj[[#This Row],[GP]],0)</f>
        <v>10</v>
      </c>
      <c r="S175" s="10">
        <f>Proj[[#This Row],[PPG]]+Proj[[#This Row],[PPA]]</f>
        <v>12</v>
      </c>
      <c r="T175">
        <f>ROUND((_xlfn.IFNA(INDEX(Table3[],MATCH(Proj[[#This Row],[Player]],Table3[Player],0),6)/60,IF(Proj[[#This Row],[Pos]] ="D", 'Per 60 PK'!$F$623, 'Per 60 PK'!$F$622)/60)+_xlfn.IFNA(INDEX(Table3[],MATCH(Proj[[#This Row],[Player]],Table3[Player],0),8)/60,IF(Proj[[#This Row],[Pos]] ="D", 'Per 60 PK'!$H$623, 'Per 60 PK'!$H$622)/60))*Proj[[#This Row],[TOI PK]]*Proj[[#This Row],[GP]],0)</f>
        <v>0</v>
      </c>
      <c r="U1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96</v>
      </c>
      <c r="V1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94</v>
      </c>
      <c r="W1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1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142</v>
      </c>
      <c r="AA1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208.32255385170035</v>
      </c>
      <c r="AB175" s="10">
        <f>_xlfn.RANK.EQ(Proj[[#This Row],[VOR]],Proj[VOR])</f>
        <v>101</v>
      </c>
      <c r="AC175" s="10">
        <f>INDEX(Std[],MATCH(Proj[[#This Row],[Player]],Std[Player],0),20)</f>
        <v>315.68732157116483</v>
      </c>
      <c r="AD1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423.9</v>
      </c>
    </row>
    <row r="176" spans="1:30" x14ac:dyDescent="0.25">
      <c r="A176" t="s">
        <v>601</v>
      </c>
      <c r="B176">
        <v>30</v>
      </c>
      <c r="C176" t="s">
        <v>101</v>
      </c>
      <c r="D176" t="s">
        <v>5</v>
      </c>
      <c r="E176" s="9">
        <f>INDEX(Table1[],MATCH(Proj[[#This Row],[Player]],Table1[Player],0),5)</f>
        <v>13.723153881709401</v>
      </c>
      <c r="F176" s="9">
        <f>_xlfn.IFNA(INDEX(Table2[],MATCH(Proj[[#This Row],[Player]],Table2[Player],0),5),0)</f>
        <v>2.19</v>
      </c>
      <c r="G176" s="9">
        <f>_xlfn.IFNA(INDEX(Table3[],MATCH(Proj[[#This Row],[Player]],Table3[Player],0),5),0)</f>
        <v>1.73</v>
      </c>
      <c r="H176" s="10">
        <v>81</v>
      </c>
      <c r="I176">
        <v>81</v>
      </c>
      <c r="J176" s="9">
        <v>13.723153881709401</v>
      </c>
      <c r="K176" s="9">
        <v>2.19</v>
      </c>
      <c r="L176" s="9">
        <v>1.73</v>
      </c>
      <c r="M176" s="9">
        <f>Proj[[#This Row],[TOI ES]]+Proj[[#This Row],[TOI PP]]+Proj[[#This Row],[TOI PK]]</f>
        <v>17.643153881709399</v>
      </c>
      <c r="N1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27</v>
      </c>
      <c r="O1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176" s="10">
        <f>Proj[[#This Row],[Goals]]+Proj[[#This Row],[Assists]]</f>
        <v>47</v>
      </c>
      <c r="Q176" s="10">
        <f>ROUND(_xlfn.IFNA(INDEX(Table2[],MATCH(Proj[[#This Row],[Player]],Table2[Player],0),11)/60,IF(Proj[[#This Row],[Pos]] = "D", 'Per 60 PP'!$K$527,'Per 60 PP'!$K$526)/60)*Proj[[#This Row],[TOI PP]]*Proj[[#This Row],[GP]],0)</f>
        <v>7</v>
      </c>
      <c r="R176" s="10">
        <f>ROUND(_xlfn.IFNA(INDEX(Table2[],MATCH(Proj[[#This Row],[Player]],Table2[Player],0),7)/60,IF(Proj[[#This Row],[Pos]] = "D", 'Per 60 PP'!$G$527,'Per 60 PP'!$G$526)/60)*Proj[[#This Row],[TOI PP]]*Proj[[#This Row],[GP]],0)</f>
        <v>5</v>
      </c>
      <c r="S176" s="10">
        <f>Proj[[#This Row],[PPG]]+Proj[[#This Row],[PPA]]</f>
        <v>12</v>
      </c>
      <c r="T176">
        <f>ROUND((_xlfn.IFNA(INDEX(Table3[],MATCH(Proj[[#This Row],[Player]],Table3[Player],0),6)/60,IF(Proj[[#This Row],[Pos]] ="D", 'Per 60 PK'!$F$623, 'Per 60 PK'!$F$622)/60)+_xlfn.IFNA(INDEX(Table3[],MATCH(Proj[[#This Row],[Player]],Table3[Player],0),8)/60,IF(Proj[[#This Row],[Pos]] ="D", 'Per 60 PK'!$H$623, 'Per 60 PK'!$H$622)/60))*Proj[[#This Row],[TOI PK]]*Proj[[#This Row],[GP]],0)</f>
        <v>1</v>
      </c>
      <c r="U1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119</v>
      </c>
      <c r="V1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1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60</v>
      </c>
      <c r="X1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1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v>
      </c>
      <c r="Z1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245</v>
      </c>
      <c r="AA1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137.73224302573163</v>
      </c>
      <c r="AB176" s="10">
        <f>_xlfn.RANK.EQ(Proj[[#This Row],[VOR]],Proj[VOR])</f>
        <v>117</v>
      </c>
      <c r="AC176" s="10">
        <f>INDEX(Std[],MATCH(Proj[[#This Row],[Player]],Std[Player],0),20)</f>
        <v>609.27696741598049</v>
      </c>
      <c r="AD1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507.5</v>
      </c>
    </row>
    <row r="177" spans="1:30" x14ac:dyDescent="0.25">
      <c r="A177" t="s">
        <v>587</v>
      </c>
      <c r="B177">
        <v>25</v>
      </c>
      <c r="C177" t="s">
        <v>104</v>
      </c>
      <c r="D177" t="s">
        <v>32</v>
      </c>
      <c r="E177" s="9">
        <f>INDEX(Table1[],MATCH(Proj[[#This Row],[Player]],Table1[Player],0),5)</f>
        <v>13.7366170600688</v>
      </c>
      <c r="F177" s="9">
        <f>_xlfn.IFNA(INDEX(Table2[],MATCH(Proj[[#This Row],[Player]],Table2[Player],0),5),0)</f>
        <v>2.68</v>
      </c>
      <c r="G177" s="9">
        <f>_xlfn.IFNA(INDEX(Table3[],MATCH(Proj[[#This Row],[Player]],Table3[Player],0),5),0)</f>
        <v>0.56999999999999995</v>
      </c>
      <c r="H177" s="10">
        <v>80</v>
      </c>
      <c r="I177">
        <v>80</v>
      </c>
      <c r="J177" s="9">
        <v>13.7366170600688</v>
      </c>
      <c r="K177" s="9">
        <v>2.68</v>
      </c>
      <c r="L177" s="9">
        <v>0.56999999999999995</v>
      </c>
      <c r="M177" s="9">
        <f>Proj[[#This Row],[TOI ES]]+Proj[[#This Row],[TOI PP]]+Proj[[#This Row],[TOI PK]]</f>
        <v>16.986617060068802</v>
      </c>
      <c r="N1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26</v>
      </c>
      <c r="O1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177" s="10">
        <f>Proj[[#This Row],[Goals]]+Proj[[#This Row],[Assists]]</f>
        <v>47</v>
      </c>
      <c r="Q177" s="10">
        <f>ROUND(_xlfn.IFNA(INDEX(Table2[],MATCH(Proj[[#This Row],[Player]],Table2[Player],0),11)/60,IF(Proj[[#This Row],[Pos]] = "D", 'Per 60 PP'!$K$527,'Per 60 PP'!$K$526)/60)*Proj[[#This Row],[TOI PP]]*Proj[[#This Row],[GP]],0)</f>
        <v>6</v>
      </c>
      <c r="R177" s="10">
        <f>ROUND(_xlfn.IFNA(INDEX(Table2[],MATCH(Proj[[#This Row],[Player]],Table2[Player],0),7)/60,IF(Proj[[#This Row],[Pos]] = "D", 'Per 60 PP'!$G$527,'Per 60 PP'!$G$526)/60)*Proj[[#This Row],[TOI PP]]*Proj[[#This Row],[GP]],0)</f>
        <v>4</v>
      </c>
      <c r="S177" s="10">
        <f>Proj[[#This Row],[PPG]]+Proj[[#This Row],[PPA]]</f>
        <v>10</v>
      </c>
      <c r="T177">
        <f>ROUND((_xlfn.IFNA(INDEX(Table3[],MATCH(Proj[[#This Row],[Player]],Table3[Player],0),6)/60,IF(Proj[[#This Row],[Pos]] ="D", 'Per 60 PK'!$F$623, 'Per 60 PK'!$F$622)/60)+_xlfn.IFNA(INDEX(Table3[],MATCH(Proj[[#This Row],[Player]],Table3[Player],0),8)/60,IF(Proj[[#This Row],[Pos]] ="D", 'Per 60 PK'!$H$623, 'Per 60 PK'!$H$622)/60))*Proj[[#This Row],[TOI PK]]*Proj[[#This Row],[GP]],0)</f>
        <v>0</v>
      </c>
      <c r="U1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125</v>
      </c>
      <c r="V1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1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v>
      </c>
      <c r="Y1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v>
      </c>
      <c r="Z1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260</v>
      </c>
      <c r="AA1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-57.029415717911775</v>
      </c>
      <c r="AB177" s="10">
        <f>_xlfn.RANK.EQ(Proj[[#This Row],[VOR]],Proj[VOR])</f>
        <v>185</v>
      </c>
      <c r="AC177" s="10">
        <f>INDEX(Std[],MATCH(Proj[[#This Row],[Player]],Std[Player],0),20)</f>
        <v>389.51530867233708</v>
      </c>
      <c r="AD1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488.95</v>
      </c>
    </row>
    <row r="178" spans="1:30" x14ac:dyDescent="0.25">
      <c r="A178" t="s">
        <v>457</v>
      </c>
      <c r="B178">
        <v>29</v>
      </c>
      <c r="C178" t="s">
        <v>101</v>
      </c>
      <c r="D178" t="s">
        <v>28</v>
      </c>
      <c r="E178" s="9">
        <f>INDEX(Table1[],MATCH(Proj[[#This Row],[Player]],Table1[Player],0),5)</f>
        <v>14.1095736004106</v>
      </c>
      <c r="F178" s="9">
        <f>_xlfn.IFNA(INDEX(Table2[],MATCH(Proj[[#This Row],[Player]],Table2[Player],0),5),0)</f>
        <v>1.82</v>
      </c>
      <c r="G178" s="9">
        <f>_xlfn.IFNA(INDEX(Table3[],MATCH(Proj[[#This Row],[Player]],Table3[Player],0),5),0)</f>
        <v>0.87</v>
      </c>
      <c r="H178" s="10">
        <v>81</v>
      </c>
      <c r="I178">
        <v>81</v>
      </c>
      <c r="J178" s="9">
        <v>14.1095736004106</v>
      </c>
      <c r="K178" s="9">
        <v>1.82</v>
      </c>
      <c r="L178" s="9">
        <v>0.87</v>
      </c>
      <c r="M178" s="9">
        <f>Proj[[#This Row],[TOI ES]]+Proj[[#This Row],[TOI PP]]+Proj[[#This Row],[TOI PK]]</f>
        <v>16.7995736004106</v>
      </c>
      <c r="N1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78" s="10">
        <f>Proj[[#This Row],[Goals]]+Proj[[#This Row],[Assists]]</f>
        <v>47</v>
      </c>
      <c r="Q178" s="10">
        <f>ROUND(_xlfn.IFNA(INDEX(Table2[],MATCH(Proj[[#This Row],[Player]],Table2[Player],0),11)/60,IF(Proj[[#This Row],[Pos]] = "D", 'Per 60 PP'!$K$527,'Per 60 PP'!$K$526)/60)*Proj[[#This Row],[TOI PP]]*Proj[[#This Row],[GP]],0)</f>
        <v>3</v>
      </c>
      <c r="R178" s="10">
        <f>ROUND(_xlfn.IFNA(INDEX(Table2[],MATCH(Proj[[#This Row],[Player]],Table2[Player],0),7)/60,IF(Proj[[#This Row],[Pos]] = "D", 'Per 60 PP'!$G$527,'Per 60 PP'!$G$526)/60)*Proj[[#This Row],[TOI PP]]*Proj[[#This Row],[GP]],0)</f>
        <v>2</v>
      </c>
      <c r="S178" s="10">
        <f>Proj[[#This Row],[PPG]]+Proj[[#This Row],[PPA]]</f>
        <v>5</v>
      </c>
      <c r="T178">
        <f>ROUND((_xlfn.IFNA(INDEX(Table3[],MATCH(Proj[[#This Row],[Player]],Table3[Player],0),6)/60,IF(Proj[[#This Row],[Pos]] ="D", 'Per 60 PK'!$F$623, 'Per 60 PK'!$F$622)/60)+_xlfn.IFNA(INDEX(Table3[],MATCH(Proj[[#This Row],[Player]],Table3[Player],0),8)/60,IF(Proj[[#This Row],[Pos]] ="D", 'Per 60 PK'!$H$623, 'Per 60 PK'!$H$622)/60))*Proj[[#This Row],[TOI PK]]*Proj[[#This Row],[GP]],0)</f>
        <v>1</v>
      </c>
      <c r="U1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158</v>
      </c>
      <c r="V1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1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1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56</v>
      </c>
      <c r="Y1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81</v>
      </c>
      <c r="Z1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1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-206.56788182959195</v>
      </c>
      <c r="AB178" s="10">
        <f>_xlfn.RANK.EQ(Proj[[#This Row],[VOR]],Proj[VOR])</f>
        <v>252</v>
      </c>
      <c r="AC178" s="10">
        <f>INDEX(Std[],MATCH(Proj[[#This Row],[Player]],Std[Player],0),20)</f>
        <v>264.97684256065691</v>
      </c>
      <c r="AD1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434.65000000000003</v>
      </c>
    </row>
    <row r="179" spans="1:30" x14ac:dyDescent="0.25">
      <c r="A179" t="s">
        <v>1097</v>
      </c>
      <c r="B179">
        <v>20</v>
      </c>
      <c r="C179" t="s">
        <v>74</v>
      </c>
      <c r="D179" t="s">
        <v>5</v>
      </c>
      <c r="E179" s="9">
        <f>INDEX(Table1[],MATCH(Proj[[#This Row],[Player]],Table1[Player],0),5)</f>
        <v>15.3775650183737</v>
      </c>
      <c r="F179" s="9">
        <f>_xlfn.IFNA(INDEX(Table2[],MATCH(Proj[[#This Row],[Player]],Table2[Player],0),5),0)</f>
        <v>2.57</v>
      </c>
      <c r="G179" s="9">
        <f>_xlfn.IFNA(INDEX(Table3[],MATCH(Proj[[#This Row],[Player]],Table3[Player],0),5),0)</f>
        <v>0</v>
      </c>
      <c r="H179" s="10">
        <v>74</v>
      </c>
      <c r="I179">
        <v>74</v>
      </c>
      <c r="J179" s="9">
        <v>15.3775650183737</v>
      </c>
      <c r="K179" s="9">
        <v>2.57</v>
      </c>
      <c r="L179" s="9">
        <v>0</v>
      </c>
      <c r="M179" s="9">
        <f>Proj[[#This Row],[TOI ES]]+Proj[[#This Row],[TOI PP]]+Proj[[#This Row],[TOI PK]]</f>
        <v>17.947565018373698</v>
      </c>
      <c r="N1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1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79" s="10">
        <f>Proj[[#This Row],[Goals]]+Proj[[#This Row],[Assists]]</f>
        <v>46</v>
      </c>
      <c r="Q179" s="10">
        <f>ROUND(_xlfn.IFNA(INDEX(Table2[],MATCH(Proj[[#This Row],[Player]],Table2[Player],0),11)/60,IF(Proj[[#This Row],[Pos]] = "D", 'Per 60 PP'!$K$527,'Per 60 PP'!$K$526)/60)*Proj[[#This Row],[TOI PP]]*Proj[[#This Row],[GP]],0)</f>
        <v>5</v>
      </c>
      <c r="R179" s="10">
        <f>ROUND(_xlfn.IFNA(INDEX(Table2[],MATCH(Proj[[#This Row],[Player]],Table2[Player],0),7)/60,IF(Proj[[#This Row],[Pos]] = "D", 'Per 60 PP'!$G$527,'Per 60 PP'!$G$526)/60)*Proj[[#This Row],[TOI PP]]*Proj[[#This Row],[GP]],0)</f>
        <v>8</v>
      </c>
      <c r="S179" s="10">
        <f>Proj[[#This Row],[PPG]]+Proj[[#This Row],[PPA]]</f>
        <v>13</v>
      </c>
      <c r="T179">
        <f>ROUND((_xlfn.IFNA(INDEX(Table3[],MATCH(Proj[[#This Row],[Player]],Table3[Player],0),6)/60,IF(Proj[[#This Row],[Pos]] ="D", 'Per 60 PK'!$F$623, 'Per 60 PK'!$F$622)/60)+_xlfn.IFNA(INDEX(Table3[],MATCH(Proj[[#This Row],[Player]],Table3[Player],0),8)/60,IF(Proj[[#This Row],[Pos]] ="D", 'Per 60 PK'!$H$623, 'Per 60 PK'!$H$622)/60))*Proj[[#This Row],[TOI PK]]*Proj[[#This Row],[GP]],0)</f>
        <v>0</v>
      </c>
      <c r="U1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1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1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1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305</v>
      </c>
      <c r="Y1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446</v>
      </c>
      <c r="Z1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150</v>
      </c>
      <c r="AA1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-548.66630907660146</v>
      </c>
      <c r="AB179" s="10">
        <f>_xlfn.RANK.EQ(Proj[[#This Row],[VOR]],Proj[VOR])</f>
        <v>452</v>
      </c>
      <c r="AC179" s="10">
        <f>INDEX(Std[],MATCH(Proj[[#This Row],[Player]],Std[Player],0),20)</f>
        <v>185.96754523369719</v>
      </c>
      <c r="AD1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391.15000000000003</v>
      </c>
    </row>
    <row r="180" spans="1:30" x14ac:dyDescent="0.25">
      <c r="A180" t="s">
        <v>377</v>
      </c>
      <c r="B180">
        <v>33</v>
      </c>
      <c r="C180" t="s">
        <v>102</v>
      </c>
      <c r="D180" t="s">
        <v>21</v>
      </c>
      <c r="E180" s="9">
        <f>INDEX(Table1[],MATCH(Proj[[#This Row],[Player]],Table1[Player],0),5)</f>
        <v>13.4388892271188</v>
      </c>
      <c r="F180" s="9">
        <f>_xlfn.IFNA(INDEX(Table2[],MATCH(Proj[[#This Row],[Player]],Table2[Player],0),5),0)</f>
        <v>3.11</v>
      </c>
      <c r="G180" s="9">
        <f>_xlfn.IFNA(INDEX(Table3[],MATCH(Proj[[#This Row],[Player]],Table3[Player],0),5),0)</f>
        <v>0</v>
      </c>
      <c r="H180" s="10">
        <v>75</v>
      </c>
      <c r="I180">
        <v>75</v>
      </c>
      <c r="J180" s="9">
        <v>13.4388892271188</v>
      </c>
      <c r="K180" s="9">
        <v>3.11</v>
      </c>
      <c r="L180" s="9">
        <v>0</v>
      </c>
      <c r="M180" s="9">
        <f>Proj[[#This Row],[TOI ES]]+Proj[[#This Row],[TOI PP]]+Proj[[#This Row],[TOI PK]]</f>
        <v>16.548889227118799</v>
      </c>
      <c r="N1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1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180" s="10">
        <f>Proj[[#This Row],[Goals]]+Proj[[#This Row],[Assists]]</f>
        <v>46</v>
      </c>
      <c r="Q180" s="10">
        <f>ROUND(_xlfn.IFNA(INDEX(Table2[],MATCH(Proj[[#This Row],[Player]],Table2[Player],0),11)/60,IF(Proj[[#This Row],[Pos]] = "D", 'Per 60 PP'!$K$527,'Per 60 PP'!$K$526)/60)*Proj[[#This Row],[TOI PP]]*Proj[[#This Row],[GP]],0)</f>
        <v>4</v>
      </c>
      <c r="R180" s="10">
        <f>ROUND(_xlfn.IFNA(INDEX(Table2[],MATCH(Proj[[#This Row],[Player]],Table2[Player],0),7)/60,IF(Proj[[#This Row],[Pos]] = "D", 'Per 60 PP'!$G$527,'Per 60 PP'!$G$526)/60)*Proj[[#This Row],[TOI PP]]*Proj[[#This Row],[GP]],0)</f>
        <v>8</v>
      </c>
      <c r="S180" s="10">
        <f>Proj[[#This Row],[PPG]]+Proj[[#This Row],[PPA]]</f>
        <v>12</v>
      </c>
      <c r="T180">
        <f>ROUND((_xlfn.IFNA(INDEX(Table3[],MATCH(Proj[[#This Row],[Player]],Table3[Player],0),6)/60,IF(Proj[[#This Row],[Pos]] ="D", 'Per 60 PK'!$F$623, 'Per 60 PK'!$F$622)/60)+_xlfn.IFNA(INDEX(Table3[],MATCH(Proj[[#This Row],[Player]],Table3[Player],0),8)/60,IF(Proj[[#This Row],[Pos]] ="D", 'Per 60 PK'!$H$623, 'Per 60 PK'!$H$622)/60))*Proj[[#This Row],[TOI PK]]*Proj[[#This Row],[GP]],0)</f>
        <v>0</v>
      </c>
      <c r="U1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44</v>
      </c>
      <c r="V1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1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1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1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1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180</v>
      </c>
      <c r="AA1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-338.5852038228424</v>
      </c>
      <c r="AB180" s="10">
        <f>_xlfn.RANK.EQ(Proj[[#This Row],[VOR]],Proj[VOR])</f>
        <v>334</v>
      </c>
      <c r="AC180" s="10">
        <f>INDEX(Std[],MATCH(Proj[[#This Row],[Player]],Std[Player],0),20)</f>
        <v>132.95952056740646</v>
      </c>
      <c r="AD1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385.95</v>
      </c>
    </row>
    <row r="181" spans="1:30" x14ac:dyDescent="0.25">
      <c r="A181" t="s">
        <v>416</v>
      </c>
      <c r="B181">
        <v>28</v>
      </c>
      <c r="C181" t="s">
        <v>103</v>
      </c>
      <c r="D181" t="s">
        <v>29</v>
      </c>
      <c r="E181" s="9">
        <f>INDEX(Table1[],MATCH(Proj[[#This Row],[Player]],Table1[Player],0),5)</f>
        <v>13.874314528754701</v>
      </c>
      <c r="F181" s="9">
        <f>_xlfn.IFNA(INDEX(Table2[],MATCH(Proj[[#This Row],[Player]],Table2[Player],0),5),0)</f>
        <v>1.35</v>
      </c>
      <c r="G181" s="9">
        <f>_xlfn.IFNA(INDEX(Table3[],MATCH(Proj[[#This Row],[Player]],Table3[Player],0),5),0)</f>
        <v>0.82</v>
      </c>
      <c r="H181" s="10">
        <v>80</v>
      </c>
      <c r="I181">
        <v>80</v>
      </c>
      <c r="J181" s="9">
        <v>13.874314528754701</v>
      </c>
      <c r="K181" s="9">
        <v>1.35</v>
      </c>
      <c r="L181" s="9">
        <v>0.82</v>
      </c>
      <c r="M181" s="9">
        <f>Proj[[#This Row],[TOI ES]]+Proj[[#This Row],[TOI PP]]+Proj[[#This Row],[TOI PK]]</f>
        <v>16.0443145287547</v>
      </c>
      <c r="N1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81" s="10">
        <f>Proj[[#This Row],[Goals]]+Proj[[#This Row],[Assists]]</f>
        <v>46</v>
      </c>
      <c r="Q181" s="10">
        <f>ROUND(_xlfn.IFNA(INDEX(Table2[],MATCH(Proj[[#This Row],[Player]],Table2[Player],0),11)/60,IF(Proj[[#This Row],[Pos]] = "D", 'Per 60 PP'!$K$527,'Per 60 PP'!$K$526)/60)*Proj[[#This Row],[TOI PP]]*Proj[[#This Row],[GP]],0)</f>
        <v>3</v>
      </c>
      <c r="R181" s="10">
        <f>ROUND(_xlfn.IFNA(INDEX(Table2[],MATCH(Proj[[#This Row],[Player]],Table2[Player],0),7)/60,IF(Proj[[#This Row],[Pos]] = "D", 'Per 60 PP'!$G$527,'Per 60 PP'!$G$526)/60)*Proj[[#This Row],[TOI PP]]*Proj[[#This Row],[GP]],0)</f>
        <v>2</v>
      </c>
      <c r="S181" s="10">
        <f>Proj[[#This Row],[PPG]]+Proj[[#This Row],[PPA]]</f>
        <v>5</v>
      </c>
      <c r="T181">
        <f>ROUND((_xlfn.IFNA(INDEX(Table3[],MATCH(Proj[[#This Row],[Player]],Table3[Player],0),6)/60,IF(Proj[[#This Row],[Pos]] ="D", 'Per 60 PK'!$F$623, 'Per 60 PK'!$F$622)/60)+_xlfn.IFNA(INDEX(Table3[],MATCH(Proj[[#This Row],[Player]],Table3[Player],0),8)/60,IF(Proj[[#This Row],[Pos]] ="D", 'Per 60 PK'!$H$623, 'Per 60 PK'!$H$622)/60))*Proj[[#This Row],[TOI PK]]*Proj[[#This Row],[GP]],0)</f>
        <v>1</v>
      </c>
      <c r="U1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80</v>
      </c>
      <c r="V1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1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1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1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1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147</v>
      </c>
      <c r="AA1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-360.11565102915347</v>
      </c>
      <c r="AB181" s="10">
        <f>_xlfn.RANK.EQ(Proj[[#This Row],[VOR]],Proj[VOR])</f>
        <v>352</v>
      </c>
      <c r="AC181" s="10">
        <f>INDEX(Std[],MATCH(Proj[[#This Row],[Player]],Std[Player],0),20)</f>
        <v>86.429073361095391</v>
      </c>
      <c r="AD1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385.2</v>
      </c>
    </row>
    <row r="182" spans="1:30" x14ac:dyDescent="0.25">
      <c r="A182" t="s">
        <v>298</v>
      </c>
      <c r="B182">
        <v>26</v>
      </c>
      <c r="C182" t="s">
        <v>101</v>
      </c>
      <c r="D182" t="s">
        <v>29</v>
      </c>
      <c r="E182" s="9">
        <f>INDEX(Table1[],MATCH(Proj[[#This Row],[Player]],Table1[Player],0),5)</f>
        <v>13.7812956600782</v>
      </c>
      <c r="F182" s="9">
        <f>_xlfn.IFNA(INDEX(Table2[],MATCH(Proj[[#This Row],[Player]],Table2[Player],0),5),0)</f>
        <v>2.41</v>
      </c>
      <c r="G182" s="9">
        <f>_xlfn.IFNA(INDEX(Table3[],MATCH(Proj[[#This Row],[Player]],Table3[Player],0),5),0)</f>
        <v>0</v>
      </c>
      <c r="H182" s="10">
        <v>81</v>
      </c>
      <c r="I182">
        <v>81</v>
      </c>
      <c r="J182" s="9">
        <v>13.7812956600782</v>
      </c>
      <c r="K182" s="9">
        <v>2.41</v>
      </c>
      <c r="L182" s="9">
        <v>0</v>
      </c>
      <c r="M182" s="9">
        <f>Proj[[#This Row],[TOI ES]]+Proj[[#This Row],[TOI PP]]+Proj[[#This Row],[TOI PK]]</f>
        <v>16.1912956600782</v>
      </c>
      <c r="N1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82">
        <f>Proj[[#This Row],[Goals]]+Proj[[#This Row],[Assists]]</f>
        <v>46</v>
      </c>
      <c r="Q182" s="10">
        <f>ROUND(_xlfn.IFNA(INDEX(Table2[],MATCH(Proj[[#This Row],[Player]],Table2[Player],0),11)/60,IF(Proj[[#This Row],[Pos]] = "D", 'Per 60 PP'!$K$527,'Per 60 PP'!$K$526)/60)*Proj[[#This Row],[TOI PP]]*Proj[[#This Row],[GP]],0)</f>
        <v>8</v>
      </c>
      <c r="R182" s="10">
        <f>ROUND(_xlfn.IFNA(INDEX(Table2[],MATCH(Proj[[#This Row],[Player]],Table2[Player],0),7)/60,IF(Proj[[#This Row],[Pos]] = "D", 'Per 60 PP'!$G$527,'Per 60 PP'!$G$526)/60)*Proj[[#This Row],[TOI PP]]*Proj[[#This Row],[GP]],0)</f>
        <v>4</v>
      </c>
      <c r="S182" s="10">
        <f>Proj[[#This Row],[PPG]]+Proj[[#This Row],[PPA]]</f>
        <v>12</v>
      </c>
      <c r="T182">
        <f>ROUND((_xlfn.IFNA(INDEX(Table3[],MATCH(Proj[[#This Row],[Player]],Table3[Player],0),6)/60,IF(Proj[[#This Row],[Pos]] ="D", 'Per 60 PK'!$F$623, 'Per 60 PK'!$F$622)/60)+_xlfn.IFNA(INDEX(Table3[],MATCH(Proj[[#This Row],[Player]],Table3[Player],0),8)/60,IF(Proj[[#This Row],[Pos]] ="D", 'Per 60 PK'!$H$623, 'Per 60 PK'!$H$622)/60))*Proj[[#This Row],[TOI PK]]*Proj[[#This Row],[GP]],0)</f>
        <v>0</v>
      </c>
      <c r="U1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1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1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77</v>
      </c>
      <c r="X1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438</v>
      </c>
      <c r="Y1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461</v>
      </c>
      <c r="Z1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1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145.09308979185033</v>
      </c>
      <c r="AB182" s="10">
        <f>_xlfn.RANK.EQ(Proj[[#This Row],[VOR]],Proj[VOR])</f>
        <v>112</v>
      </c>
      <c r="AC182" s="10">
        <f>INDEX(Std[],MATCH(Proj[[#This Row],[Player]],Std[Player],0),20)</f>
        <v>616.63781418209919</v>
      </c>
      <c r="AD1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465.7</v>
      </c>
    </row>
    <row r="183" spans="1:30" x14ac:dyDescent="0.25">
      <c r="A183" t="s">
        <v>451</v>
      </c>
      <c r="B183">
        <v>31</v>
      </c>
      <c r="C183" t="s">
        <v>105</v>
      </c>
      <c r="D183" t="s">
        <v>25</v>
      </c>
      <c r="E183" s="9">
        <f>INDEX(Table1[],MATCH(Proj[[#This Row],[Player]],Table1[Player],0),5)</f>
        <v>14.284480759173199</v>
      </c>
      <c r="F183" s="9">
        <f>_xlfn.IFNA(INDEX(Table2[],MATCH(Proj[[#This Row],[Player]],Table2[Player],0),5),0)</f>
        <v>2.4</v>
      </c>
      <c r="G183" s="9">
        <f>_xlfn.IFNA(INDEX(Table3[],MATCH(Proj[[#This Row],[Player]],Table3[Player],0),5),0)</f>
        <v>0</v>
      </c>
      <c r="H183" s="10">
        <v>77</v>
      </c>
      <c r="I183">
        <v>77</v>
      </c>
      <c r="J183" s="9">
        <v>14.284480759173199</v>
      </c>
      <c r="K183" s="9">
        <v>2.4</v>
      </c>
      <c r="L183" s="9">
        <v>0</v>
      </c>
      <c r="M183" s="9">
        <f>Proj[[#This Row],[TOI ES]]+Proj[[#This Row],[TOI PP]]+Proj[[#This Row],[TOI PK]]</f>
        <v>16.684480759173198</v>
      </c>
      <c r="N1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83" s="10">
        <f>Proj[[#This Row],[Goals]]+Proj[[#This Row],[Assists]]</f>
        <v>46</v>
      </c>
      <c r="Q183" s="10">
        <f>ROUND(_xlfn.IFNA(INDEX(Table2[],MATCH(Proj[[#This Row],[Player]],Table2[Player],0),11)/60,IF(Proj[[#This Row],[Pos]] = "D", 'Per 60 PP'!$K$527,'Per 60 PP'!$K$526)/60)*Proj[[#This Row],[TOI PP]]*Proj[[#This Row],[GP]],0)</f>
        <v>6</v>
      </c>
      <c r="R183" s="10">
        <f>ROUND(_xlfn.IFNA(INDEX(Table2[],MATCH(Proj[[#This Row],[Player]],Table2[Player],0),7)/60,IF(Proj[[#This Row],[Pos]] = "D", 'Per 60 PP'!$G$527,'Per 60 PP'!$G$526)/60)*Proj[[#This Row],[TOI PP]]*Proj[[#This Row],[GP]],0)</f>
        <v>7</v>
      </c>
      <c r="S183" s="10">
        <f>Proj[[#This Row],[PPG]]+Proj[[#This Row],[PPA]]</f>
        <v>13</v>
      </c>
      <c r="T183">
        <f>ROUND((_xlfn.IFNA(INDEX(Table3[],MATCH(Proj[[#This Row],[Player]],Table3[Player],0),6)/60,IF(Proj[[#This Row],[Pos]] ="D", 'Per 60 PK'!$F$623, 'Per 60 PK'!$F$622)/60)+_xlfn.IFNA(INDEX(Table3[],MATCH(Proj[[#This Row],[Player]],Table3[Player],0),8)/60,IF(Proj[[#This Row],[Pos]] ="D", 'Per 60 PK'!$H$623, 'Per 60 PK'!$H$622)/60))*Proj[[#This Row],[TOI PK]]*Proj[[#This Row],[GP]],0)</f>
        <v>0</v>
      </c>
      <c r="U1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111</v>
      </c>
      <c r="V1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1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1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1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1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185</v>
      </c>
      <c r="AA1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-225.94483465282633</v>
      </c>
      <c r="AB183" s="10">
        <f>_xlfn.RANK.EQ(Proj[[#This Row],[VOR]],Proj[VOR])</f>
        <v>266</v>
      </c>
      <c r="AC183" s="10">
        <f>INDEX(Std[],MATCH(Proj[[#This Row],[Player]],Std[Player],0),20)</f>
        <v>220.59988973742253</v>
      </c>
      <c r="AD1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429.2</v>
      </c>
    </row>
    <row r="184" spans="1:30" x14ac:dyDescent="0.25">
      <c r="A184" t="s">
        <v>747</v>
      </c>
      <c r="B184">
        <v>25</v>
      </c>
      <c r="C184" t="s">
        <v>105</v>
      </c>
      <c r="D184" t="s">
        <v>21</v>
      </c>
      <c r="E184" s="9">
        <f>INDEX(Table1[],MATCH(Proj[[#This Row],[Player]],Table1[Player],0),5)</f>
        <v>15.173257123544801</v>
      </c>
      <c r="F184" s="9">
        <f>_xlfn.IFNA(INDEX(Table2[],MATCH(Proj[[#This Row],[Player]],Table2[Player],0),5),0)</f>
        <v>2.82</v>
      </c>
      <c r="G184" s="9">
        <f>_xlfn.IFNA(INDEX(Table3[],MATCH(Proj[[#This Row],[Player]],Table3[Player],0),5),0)</f>
        <v>0.54</v>
      </c>
      <c r="H184" s="10">
        <v>78</v>
      </c>
      <c r="I184">
        <v>78</v>
      </c>
      <c r="J184" s="9">
        <v>15.173257123544801</v>
      </c>
      <c r="K184" s="9">
        <v>2.82</v>
      </c>
      <c r="L184" s="9">
        <v>0.54</v>
      </c>
      <c r="M184" s="9">
        <f>Proj[[#This Row],[TOI ES]]+Proj[[#This Row],[TOI PP]]+Proj[[#This Row],[TOI PK]]</f>
        <v>18.5332571235448</v>
      </c>
      <c r="N1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1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84" s="10">
        <f>Proj[[#This Row],[Goals]]+Proj[[#This Row],[Assists]]</f>
        <v>45</v>
      </c>
      <c r="Q184" s="10">
        <f>ROUND(_xlfn.IFNA(INDEX(Table2[],MATCH(Proj[[#This Row],[Player]],Table2[Player],0),11)/60,IF(Proj[[#This Row],[Pos]] = "D", 'Per 60 PP'!$K$527,'Per 60 PP'!$K$526)/60)*Proj[[#This Row],[TOI PP]]*Proj[[#This Row],[GP]],0)</f>
        <v>5</v>
      </c>
      <c r="R184" s="10">
        <f>ROUND(_xlfn.IFNA(INDEX(Table2[],MATCH(Proj[[#This Row],[Player]],Table2[Player],0),7)/60,IF(Proj[[#This Row],[Pos]] = "D", 'Per 60 PP'!$G$527,'Per 60 PP'!$G$526)/60)*Proj[[#This Row],[TOI PP]]*Proj[[#This Row],[GP]],0)</f>
        <v>11</v>
      </c>
      <c r="S184" s="10">
        <f>Proj[[#This Row],[PPG]]+Proj[[#This Row],[PPA]]</f>
        <v>16</v>
      </c>
      <c r="T184">
        <f>ROUND((_xlfn.IFNA(INDEX(Table3[],MATCH(Proj[[#This Row],[Player]],Table3[Player],0),6)/60,IF(Proj[[#This Row],[Pos]] ="D", 'Per 60 PK'!$F$623, 'Per 60 PK'!$F$622)/60)+_xlfn.IFNA(INDEX(Table3[],MATCH(Proj[[#This Row],[Player]],Table3[Player],0),8)/60,IF(Proj[[#This Row],[Pos]] ="D", 'Per 60 PK'!$H$623, 'Per 60 PK'!$H$622)/60))*Proj[[#This Row],[TOI PK]]*Proj[[#This Row],[GP]],0)</f>
        <v>0</v>
      </c>
      <c r="U1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1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1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1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122</v>
      </c>
      <c r="Y1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144</v>
      </c>
      <c r="Z1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132</v>
      </c>
      <c r="AA1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-383.25385212019086</v>
      </c>
      <c r="AB184" s="10">
        <f>_xlfn.RANK.EQ(Proj[[#This Row],[VOR]],Proj[VOR])</f>
        <v>365</v>
      </c>
      <c r="AC184" s="10">
        <f>INDEX(Std[],MATCH(Proj[[#This Row],[Player]],Std[Player],0),20)</f>
        <v>63.29087227005801</v>
      </c>
      <c r="AD1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358.99999999999994</v>
      </c>
    </row>
    <row r="185" spans="1:30" x14ac:dyDescent="0.25">
      <c r="A185" t="s">
        <v>1016</v>
      </c>
      <c r="B185">
        <v>22</v>
      </c>
      <c r="C185" t="s">
        <v>102</v>
      </c>
      <c r="D185" t="s">
        <v>154</v>
      </c>
      <c r="E185" s="9">
        <f>INDEX(Table1[],MATCH(Proj[[#This Row],[Player]],Table1[Player],0),5)</f>
        <v>14.921616135563401</v>
      </c>
      <c r="F185" s="9">
        <f>_xlfn.IFNA(INDEX(Table2[],MATCH(Proj[[#This Row],[Player]],Table2[Player],0),5),0)</f>
        <v>3.02</v>
      </c>
      <c r="G185" s="9">
        <f>_xlfn.IFNA(INDEX(Table3[],MATCH(Proj[[#This Row],[Player]],Table3[Player],0),5),0)</f>
        <v>0.91</v>
      </c>
      <c r="H185" s="10">
        <v>79</v>
      </c>
      <c r="I185">
        <v>79</v>
      </c>
      <c r="J185" s="9">
        <v>14.921616135563401</v>
      </c>
      <c r="K185" s="9">
        <v>3.02</v>
      </c>
      <c r="L185" s="9">
        <v>0.91</v>
      </c>
      <c r="M185" s="9">
        <f>Proj[[#This Row],[TOI ES]]+Proj[[#This Row],[TOI PP]]+Proj[[#This Row],[TOI PK]]</f>
        <v>18.8516161355634</v>
      </c>
      <c r="N1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1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185" s="10">
        <f>Proj[[#This Row],[Goals]]+Proj[[#This Row],[Assists]]</f>
        <v>45</v>
      </c>
      <c r="Q185" s="10">
        <f>ROUND(_xlfn.IFNA(INDEX(Table2[],MATCH(Proj[[#This Row],[Player]],Table2[Player],0),11)/60,IF(Proj[[#This Row],[Pos]] = "D", 'Per 60 PP'!$K$527,'Per 60 PP'!$K$526)/60)*Proj[[#This Row],[TOI PP]]*Proj[[#This Row],[GP]],0)</f>
        <v>6</v>
      </c>
      <c r="R185" s="10">
        <f>ROUND(_xlfn.IFNA(INDEX(Table2[],MATCH(Proj[[#This Row],[Player]],Table2[Player],0),7)/60,IF(Proj[[#This Row],[Pos]] = "D", 'Per 60 PP'!$G$527,'Per 60 PP'!$G$526)/60)*Proj[[#This Row],[TOI PP]]*Proj[[#This Row],[GP]],0)</f>
        <v>10</v>
      </c>
      <c r="S185" s="10">
        <f>Proj[[#This Row],[PPG]]+Proj[[#This Row],[PPA]]</f>
        <v>16</v>
      </c>
      <c r="T185">
        <f>ROUND((_xlfn.IFNA(INDEX(Table3[],MATCH(Proj[[#This Row],[Player]],Table3[Player],0),6)/60,IF(Proj[[#This Row],[Pos]] ="D", 'Per 60 PK'!$F$623, 'Per 60 PK'!$F$622)/60)+_xlfn.IFNA(INDEX(Table3[],MATCH(Proj[[#This Row],[Player]],Table3[Player],0),8)/60,IF(Proj[[#This Row],[Pos]] ="D", 'Per 60 PK'!$H$623, 'Per 60 PK'!$H$622)/60))*Proj[[#This Row],[TOI PK]]*Proj[[#This Row],[GP]],0)</f>
        <v>1</v>
      </c>
      <c r="U1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1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68</v>
      </c>
      <c r="W1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1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86</v>
      </c>
      <c r="Y1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161</v>
      </c>
      <c r="Z1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128</v>
      </c>
      <c r="AA1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-313.81494444225626</v>
      </c>
      <c r="AB185" s="10">
        <f>_xlfn.RANK.EQ(Proj[[#This Row],[VOR]],Proj[VOR])</f>
        <v>320</v>
      </c>
      <c r="AC185" s="10">
        <f>INDEX(Std[],MATCH(Proj[[#This Row],[Player]],Std[Player],0),20)</f>
        <v>157.7297799479926</v>
      </c>
      <c r="AD1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374.8</v>
      </c>
    </row>
    <row r="186" spans="1:30" x14ac:dyDescent="0.25">
      <c r="A186" t="s">
        <v>563</v>
      </c>
      <c r="B186">
        <v>34</v>
      </c>
      <c r="C186" t="s">
        <v>101</v>
      </c>
      <c r="D186" t="s">
        <v>16</v>
      </c>
      <c r="E186" s="9">
        <f>INDEX(Table1[],MATCH(Proj[[#This Row],[Player]],Table1[Player],0),5)</f>
        <v>13.003344709835799</v>
      </c>
      <c r="F186" s="9">
        <f>_xlfn.IFNA(INDEX(Table2[],MATCH(Proj[[#This Row],[Player]],Table2[Player],0),5),0)</f>
        <v>1.86</v>
      </c>
      <c r="G186" s="9">
        <f>_xlfn.IFNA(INDEX(Table3[],MATCH(Proj[[#This Row],[Player]],Table3[Player],0),5),0)</f>
        <v>2.21</v>
      </c>
      <c r="H186" s="10">
        <v>81</v>
      </c>
      <c r="I186">
        <v>81</v>
      </c>
      <c r="J186" s="9">
        <v>13.003344709835799</v>
      </c>
      <c r="K186" s="9">
        <v>1.86</v>
      </c>
      <c r="L186" s="9">
        <v>2.21</v>
      </c>
      <c r="M186" s="9">
        <f>Proj[[#This Row],[TOI ES]]+Proj[[#This Row],[TOI PP]]+Proj[[#This Row],[TOI PK]]</f>
        <v>17.073344709835798</v>
      </c>
      <c r="N1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1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186" s="10">
        <f>Proj[[#This Row],[Goals]]+Proj[[#This Row],[Assists]]</f>
        <v>45</v>
      </c>
      <c r="Q186" s="10">
        <f>ROUND(_xlfn.IFNA(INDEX(Table2[],MATCH(Proj[[#This Row],[Player]],Table2[Player],0),11)/60,IF(Proj[[#This Row],[Pos]] = "D", 'Per 60 PP'!$K$527,'Per 60 PP'!$K$526)/60)*Proj[[#This Row],[TOI PP]]*Proj[[#This Row],[GP]],0)</f>
        <v>5</v>
      </c>
      <c r="R186" s="10">
        <f>ROUND(_xlfn.IFNA(INDEX(Table2[],MATCH(Proj[[#This Row],[Player]],Table2[Player],0),7)/60,IF(Proj[[#This Row],[Pos]] = "D", 'Per 60 PP'!$G$527,'Per 60 PP'!$G$526)/60)*Proj[[#This Row],[TOI PP]]*Proj[[#This Row],[GP]],0)</f>
        <v>4</v>
      </c>
      <c r="S186" s="10">
        <f>Proj[[#This Row],[PPG]]+Proj[[#This Row],[PPA]]</f>
        <v>9</v>
      </c>
      <c r="T186">
        <f>ROUND((_xlfn.IFNA(INDEX(Table3[],MATCH(Proj[[#This Row],[Player]],Table3[Player],0),6)/60,IF(Proj[[#This Row],[Pos]] ="D", 'Per 60 PK'!$F$623, 'Per 60 PK'!$F$622)/60)+_xlfn.IFNA(INDEX(Table3[],MATCH(Proj[[#This Row],[Player]],Table3[Player],0),8)/60,IF(Proj[[#This Row],[Pos]] ="D", 'Per 60 PK'!$H$623, 'Per 60 PK'!$H$622)/60))*Proj[[#This Row],[TOI PK]]*Proj[[#This Row],[GP]],0)</f>
        <v>2</v>
      </c>
      <c r="U1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1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1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1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519</v>
      </c>
      <c r="Y1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466</v>
      </c>
      <c r="Z1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147</v>
      </c>
      <c r="AA1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-54.628372736503024</v>
      </c>
      <c r="AB186" s="10">
        <f>_xlfn.RANK.EQ(Proj[[#This Row],[VOR]],Proj[VOR])</f>
        <v>184</v>
      </c>
      <c r="AC186" s="10">
        <f>INDEX(Std[],MATCH(Proj[[#This Row],[Player]],Std[Player],0),20)</f>
        <v>416.91635165374583</v>
      </c>
      <c r="AD1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452.40000000000009</v>
      </c>
    </row>
    <row r="187" spans="1:30" x14ac:dyDescent="0.25">
      <c r="A187" t="s">
        <v>1002</v>
      </c>
      <c r="B187">
        <v>25</v>
      </c>
      <c r="C187" t="s">
        <v>104</v>
      </c>
      <c r="D187" t="s">
        <v>154</v>
      </c>
      <c r="E187" s="9">
        <f>INDEX(Table1[],MATCH(Proj[[#This Row],[Player]],Table1[Player],0),5)</f>
        <v>14.905672706545801</v>
      </c>
      <c r="F187" s="9">
        <f>_xlfn.IFNA(INDEX(Table2[],MATCH(Proj[[#This Row],[Player]],Table2[Player],0),5),0)</f>
        <v>2.2799999999999998</v>
      </c>
      <c r="G187" s="9">
        <f>_xlfn.IFNA(INDEX(Table3[],MATCH(Proj[[#This Row],[Player]],Table3[Player],0),5),0)</f>
        <v>0.77</v>
      </c>
      <c r="H187" s="10">
        <v>80</v>
      </c>
      <c r="I187">
        <v>80</v>
      </c>
      <c r="J187" s="9">
        <v>14.905672706545801</v>
      </c>
      <c r="K187" s="9">
        <v>2.2799999999999998</v>
      </c>
      <c r="L187" s="9">
        <v>0.77</v>
      </c>
      <c r="M187" s="9">
        <f>Proj[[#This Row],[TOI ES]]+Proj[[#This Row],[TOI PP]]+Proj[[#This Row],[TOI PK]]</f>
        <v>17.955672706545801</v>
      </c>
      <c r="N1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187" s="10">
        <f>Proj[[#This Row],[Goals]]+Proj[[#This Row],[Assists]]</f>
        <v>45</v>
      </c>
      <c r="Q187" s="10">
        <f>ROUND(_xlfn.IFNA(INDEX(Table2[],MATCH(Proj[[#This Row],[Player]],Table2[Player],0),11)/60,IF(Proj[[#This Row],[Pos]] = "D", 'Per 60 PP'!$K$527,'Per 60 PP'!$K$526)/60)*Proj[[#This Row],[TOI PP]]*Proj[[#This Row],[GP]],0)</f>
        <v>5</v>
      </c>
      <c r="R187" s="10">
        <f>ROUND(_xlfn.IFNA(INDEX(Table2[],MATCH(Proj[[#This Row],[Player]],Table2[Player],0),7)/60,IF(Proj[[#This Row],[Pos]] = "D", 'Per 60 PP'!$G$527,'Per 60 PP'!$G$526)/60)*Proj[[#This Row],[TOI PP]]*Proj[[#This Row],[GP]],0)</f>
        <v>7</v>
      </c>
      <c r="S187" s="10">
        <f>Proj[[#This Row],[PPG]]+Proj[[#This Row],[PPA]]</f>
        <v>12</v>
      </c>
      <c r="T187">
        <f>ROUND((_xlfn.IFNA(INDEX(Table3[],MATCH(Proj[[#This Row],[Player]],Table3[Player],0),6)/60,IF(Proj[[#This Row],[Pos]] ="D", 'Per 60 PK'!$F$623, 'Per 60 PK'!$F$622)/60)+_xlfn.IFNA(INDEX(Table3[],MATCH(Proj[[#This Row],[Player]],Table3[Player],0),8)/60,IF(Proj[[#This Row],[Pos]] ="D", 'Per 60 PK'!$H$623, 'Per 60 PK'!$H$622)/60))*Proj[[#This Row],[TOI PK]]*Proj[[#This Row],[GP]],0)</f>
        <v>1</v>
      </c>
      <c r="U1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89</v>
      </c>
      <c r="V1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57</v>
      </c>
      <c r="W1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1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v>
      </c>
      <c r="Y1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52</v>
      </c>
      <c r="Z1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203</v>
      </c>
      <c r="AA1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-214.06582556118349</v>
      </c>
      <c r="AB187" s="10">
        <f>_xlfn.RANK.EQ(Proj[[#This Row],[VOR]],Proj[VOR])</f>
        <v>259</v>
      </c>
      <c r="AC187" s="10">
        <f>INDEX(Std[],MATCH(Proj[[#This Row],[Player]],Std[Player],0),20)</f>
        <v>232.47889882906537</v>
      </c>
      <c r="AD1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429.04999999999995</v>
      </c>
    </row>
    <row r="188" spans="1:30" x14ac:dyDescent="0.25">
      <c r="A188" t="s">
        <v>996</v>
      </c>
      <c r="B188">
        <v>27</v>
      </c>
      <c r="C188" t="s">
        <v>74</v>
      </c>
      <c r="D188" t="s">
        <v>7</v>
      </c>
      <c r="E188" s="9">
        <f>INDEX(Table1[],MATCH(Proj[[#This Row],[Player]],Table1[Player],0),5)</f>
        <v>11.946224692862399</v>
      </c>
      <c r="F188" s="9">
        <f>_xlfn.IFNA(INDEX(Table2[],MATCH(Proj[[#This Row],[Player]],Table2[Player],0),5),0)</f>
        <v>2.13</v>
      </c>
      <c r="G188" s="9">
        <f>_xlfn.IFNA(INDEX(Table3[],MATCH(Proj[[#This Row],[Player]],Table3[Player],0),5),0)</f>
        <v>0</v>
      </c>
      <c r="H188" s="10">
        <v>78</v>
      </c>
      <c r="I188">
        <v>78</v>
      </c>
      <c r="J188" s="9">
        <v>11.946224692862399</v>
      </c>
      <c r="K188" s="9">
        <v>2.13</v>
      </c>
      <c r="L188" s="9">
        <v>0</v>
      </c>
      <c r="M188" s="9">
        <f>Proj[[#This Row],[TOI ES]]+Proj[[#This Row],[TOI PP]]+Proj[[#This Row],[TOI PK]]</f>
        <v>14.0762246928624</v>
      </c>
      <c r="N1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1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188" s="10">
        <f>Proj[[#This Row],[Goals]]+Proj[[#This Row],[Assists]]</f>
        <v>44</v>
      </c>
      <c r="Q188" s="10">
        <f>ROUND(_xlfn.IFNA(INDEX(Table2[],MATCH(Proj[[#This Row],[Player]],Table2[Player],0),11)/60,IF(Proj[[#This Row],[Pos]] = "D", 'Per 60 PP'!$K$527,'Per 60 PP'!$K$526)/60)*Proj[[#This Row],[TOI PP]]*Proj[[#This Row],[GP]],0)</f>
        <v>6</v>
      </c>
      <c r="R188" s="10">
        <f>ROUND(_xlfn.IFNA(INDEX(Table2[],MATCH(Proj[[#This Row],[Player]],Table2[Player],0),7)/60,IF(Proj[[#This Row],[Pos]] = "D", 'Per 60 PP'!$G$527,'Per 60 PP'!$G$526)/60)*Proj[[#This Row],[TOI PP]]*Proj[[#This Row],[GP]],0)</f>
        <v>7</v>
      </c>
      <c r="S188" s="10">
        <f>Proj[[#This Row],[PPG]]+Proj[[#This Row],[PPA]]</f>
        <v>13</v>
      </c>
      <c r="T188">
        <f>ROUND((_xlfn.IFNA(INDEX(Table3[],MATCH(Proj[[#This Row],[Player]],Table3[Player],0),6)/60,IF(Proj[[#This Row],[Pos]] ="D", 'Per 60 PK'!$F$623, 'Per 60 PK'!$F$622)/60)+_xlfn.IFNA(INDEX(Table3[],MATCH(Proj[[#This Row],[Player]],Table3[Player],0),8)/60,IF(Proj[[#This Row],[Pos]] ="D", 'Per 60 PK'!$H$623, 'Per 60 PK'!$H$622)/60))*Proj[[#This Row],[TOI PK]]*Proj[[#This Row],[GP]],0)</f>
        <v>0</v>
      </c>
      <c r="U1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v>
      </c>
      <c r="V1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1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228</v>
      </c>
      <c r="Y1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305</v>
      </c>
      <c r="Z1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118</v>
      </c>
      <c r="AA1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-809.04983452932106</v>
      </c>
      <c r="AB188" s="10">
        <f>_xlfn.RANK.EQ(Proj[[#This Row],[VOR]],Proj[VOR])</f>
        <v>596</v>
      </c>
      <c r="AC188" s="10">
        <f>INDEX(Std[],MATCH(Proj[[#This Row],[Player]],Std[Player],0),20)</f>
        <v>-74.415980219022444</v>
      </c>
      <c r="AD1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330.8</v>
      </c>
    </row>
    <row r="189" spans="1:30" x14ac:dyDescent="0.25">
      <c r="A189" t="s">
        <v>883</v>
      </c>
      <c r="B189">
        <v>29</v>
      </c>
      <c r="C189" t="s">
        <v>1108</v>
      </c>
      <c r="D189" t="s">
        <v>2</v>
      </c>
      <c r="E189" s="9">
        <f>INDEX(Table1[],MATCH(Proj[[#This Row],[Player]],Table1[Player],0),5)</f>
        <v>14.353526999154001</v>
      </c>
      <c r="F189" s="9">
        <f>_xlfn.IFNA(INDEX(Table2[],MATCH(Proj[[#This Row],[Player]],Table2[Player],0),5),0)</f>
        <v>2.4700000000000002</v>
      </c>
      <c r="G189" s="9">
        <f>_xlfn.IFNA(INDEX(Table3[],MATCH(Proj[[#This Row],[Player]],Table3[Player],0),5),0)</f>
        <v>2.37</v>
      </c>
      <c r="H189" s="10">
        <v>79</v>
      </c>
      <c r="I189">
        <v>79</v>
      </c>
      <c r="J189" s="9">
        <v>14.353526999154001</v>
      </c>
      <c r="K189" s="9">
        <v>2.4700000000000002</v>
      </c>
      <c r="L189" s="9">
        <v>2.37</v>
      </c>
      <c r="M189" s="9">
        <f>Proj[[#This Row],[TOI ES]]+Proj[[#This Row],[TOI PP]]+Proj[[#This Row],[TOI PK]]</f>
        <v>19.193526999154003</v>
      </c>
      <c r="N1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1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89" s="10">
        <f>Proj[[#This Row],[Goals]]+Proj[[#This Row],[Assists]]</f>
        <v>44</v>
      </c>
      <c r="Q189" s="10">
        <f>ROUND(_xlfn.IFNA(INDEX(Table2[],MATCH(Proj[[#This Row],[Player]],Table2[Player],0),11)/60,IF(Proj[[#This Row],[Pos]] = "D", 'Per 60 PP'!$K$527,'Per 60 PP'!$K$526)/60)*Proj[[#This Row],[TOI PP]]*Proj[[#This Row],[GP]],0)</f>
        <v>6</v>
      </c>
      <c r="R189" s="10">
        <f>ROUND(_xlfn.IFNA(INDEX(Table2[],MATCH(Proj[[#This Row],[Player]],Table2[Player],0),7)/60,IF(Proj[[#This Row],[Pos]] = "D", 'Per 60 PP'!$G$527,'Per 60 PP'!$G$526)/60)*Proj[[#This Row],[TOI PP]]*Proj[[#This Row],[GP]],0)</f>
        <v>5</v>
      </c>
      <c r="S189" s="10">
        <f>Proj[[#This Row],[PPG]]+Proj[[#This Row],[PPA]]</f>
        <v>11</v>
      </c>
      <c r="T189">
        <f>ROUND((_xlfn.IFNA(INDEX(Table3[],MATCH(Proj[[#This Row],[Player]],Table3[Player],0),6)/60,IF(Proj[[#This Row],[Pos]] ="D", 'Per 60 PK'!$F$623, 'Per 60 PK'!$F$622)/60)+_xlfn.IFNA(INDEX(Table3[],MATCH(Proj[[#This Row],[Player]],Table3[Player],0),8)/60,IF(Proj[[#This Row],[Pos]] ="D", 'Per 60 PK'!$H$623, 'Per 60 PK'!$H$622)/60))*Proj[[#This Row],[TOI PK]]*Proj[[#This Row],[GP]],0)</f>
        <v>1</v>
      </c>
      <c r="U1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1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1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1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500</v>
      </c>
      <c r="Y1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583</v>
      </c>
      <c r="Z1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117</v>
      </c>
      <c r="AA1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-152.5224344542487</v>
      </c>
      <c r="AB189" s="10">
        <f>_xlfn.RANK.EQ(Proj[[#This Row],[VOR]],Proj[VOR])</f>
        <v>222</v>
      </c>
      <c r="AC189" s="10">
        <f>INDEX(Std[],MATCH(Proj[[#This Row],[Player]],Std[Player],0),20)</f>
        <v>294.02228993600016</v>
      </c>
      <c r="AD1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408.20000000000005</v>
      </c>
    </row>
    <row r="190" spans="1:30" x14ac:dyDescent="0.25">
      <c r="A190" t="s">
        <v>303</v>
      </c>
      <c r="B190">
        <v>28</v>
      </c>
      <c r="C190" t="s">
        <v>3</v>
      </c>
      <c r="D190" t="s">
        <v>22</v>
      </c>
      <c r="E190" s="9">
        <f>INDEX(Table1[],MATCH(Proj[[#This Row],[Player]],Table1[Player],0),5)</f>
        <v>19.129707537955401</v>
      </c>
      <c r="F190" s="9">
        <f>_xlfn.IFNA(INDEX(Table2[],MATCH(Proj[[#This Row],[Player]],Table2[Player],0),5),0)</f>
        <v>2.4300000000000002</v>
      </c>
      <c r="G190" s="9">
        <f>_xlfn.IFNA(INDEX(Table3[],MATCH(Proj[[#This Row],[Player]],Table3[Player],0),5),0)</f>
        <v>2.27</v>
      </c>
      <c r="H190" s="10">
        <v>80</v>
      </c>
      <c r="I190">
        <v>80</v>
      </c>
      <c r="J190" s="9">
        <v>19.129707537955401</v>
      </c>
      <c r="K190" s="9">
        <v>2.4300000000000002</v>
      </c>
      <c r="L190" s="9">
        <v>2.27</v>
      </c>
      <c r="M190" s="9">
        <f>Proj[[#This Row],[TOI ES]]+Proj[[#This Row],[TOI PP]]+Proj[[#This Row],[TOI PK]]</f>
        <v>23.8297075379554</v>
      </c>
      <c r="N1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1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36</v>
      </c>
      <c r="P190" s="10">
        <f>Proj[[#This Row],[Goals]]+Proj[[#This Row],[Assists]]</f>
        <v>44</v>
      </c>
      <c r="Q190" s="10">
        <f>ROUND(_xlfn.IFNA(INDEX(Table2[],MATCH(Proj[[#This Row],[Player]],Table2[Player],0),11)/60,IF(Proj[[#This Row],[Pos]] = "D", 'Per 60 PP'!$K$527,'Per 60 PP'!$K$526)/60)*Proj[[#This Row],[TOI PP]]*Proj[[#This Row],[GP]],0)</f>
        <v>2</v>
      </c>
      <c r="R190" s="10">
        <f>ROUND(_xlfn.IFNA(INDEX(Table2[],MATCH(Proj[[#This Row],[Player]],Table2[Player],0),7)/60,IF(Proj[[#This Row],[Pos]] = "D", 'Per 60 PP'!$G$527,'Per 60 PP'!$G$526)/60)*Proj[[#This Row],[TOI PP]]*Proj[[#This Row],[GP]],0)</f>
        <v>12</v>
      </c>
      <c r="S190" s="10">
        <f>Proj[[#This Row],[PPG]]+Proj[[#This Row],[PPA]]</f>
        <v>14</v>
      </c>
      <c r="T190">
        <f>ROUND((_xlfn.IFNA(INDEX(Table3[],MATCH(Proj[[#This Row],[Player]],Table3[Player],0),6)/60,IF(Proj[[#This Row],[Pos]] ="D", 'Per 60 PK'!$F$623, 'Per 60 PK'!$F$622)/60)+_xlfn.IFNA(INDEX(Table3[],MATCH(Proj[[#This Row],[Player]],Table3[Player],0),8)/60,IF(Proj[[#This Row],[Pos]] ="D", 'Per 60 PK'!$H$623, 'Per 60 PK'!$H$622)/60))*Proj[[#This Row],[TOI PK]]*Proj[[#This Row],[GP]],0)</f>
        <v>3</v>
      </c>
      <c r="U1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1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169</v>
      </c>
      <c r="W1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1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153</v>
      </c>
      <c r="AA1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239.35741995568512</v>
      </c>
      <c r="AB190" s="10">
        <f>_xlfn.RANK.EQ(Proj[[#This Row],[VOR]],Proj[VOR])</f>
        <v>90</v>
      </c>
      <c r="AC190" s="10">
        <f>INDEX(Std[],MATCH(Proj[[#This Row],[Player]],Std[Player],0),20)</f>
        <v>346.7221876751496</v>
      </c>
      <c r="AD1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429.09999999999997</v>
      </c>
    </row>
    <row r="191" spans="1:30" x14ac:dyDescent="0.25">
      <c r="A191" t="s">
        <v>717</v>
      </c>
      <c r="B191">
        <v>29</v>
      </c>
      <c r="C191" t="s">
        <v>102</v>
      </c>
      <c r="D191" t="s">
        <v>20</v>
      </c>
      <c r="E191" s="9">
        <f>INDEX(Table1[],MATCH(Proj[[#This Row],[Player]],Table1[Player],0),5)</f>
        <v>13.709684377080301</v>
      </c>
      <c r="F191" s="9">
        <f>_xlfn.IFNA(INDEX(Table2[],MATCH(Proj[[#This Row],[Player]],Table2[Player],0),5),0)</f>
        <v>1.82</v>
      </c>
      <c r="G191" s="9">
        <f>_xlfn.IFNA(INDEX(Table3[],MATCH(Proj[[#This Row],[Player]],Table3[Player],0),5),0)</f>
        <v>0</v>
      </c>
      <c r="H191" s="10">
        <v>76</v>
      </c>
      <c r="I191">
        <v>76</v>
      </c>
      <c r="J191" s="9">
        <v>13.709684377080301</v>
      </c>
      <c r="K191" s="9">
        <v>1.82</v>
      </c>
      <c r="L191" s="9">
        <v>0</v>
      </c>
      <c r="M191" s="9">
        <f>Proj[[#This Row],[TOI ES]]+Proj[[#This Row],[TOI PP]]+Proj[[#This Row],[TOI PK]]</f>
        <v>15.529684377080301</v>
      </c>
      <c r="N1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191" s="10">
        <f>Proj[[#This Row],[Goals]]+Proj[[#This Row],[Assists]]</f>
        <v>44</v>
      </c>
      <c r="Q191" s="10">
        <f>ROUND(_xlfn.IFNA(INDEX(Table2[],MATCH(Proj[[#This Row],[Player]],Table2[Player],0),11)/60,IF(Proj[[#This Row],[Pos]] = "D", 'Per 60 PP'!$K$527,'Per 60 PP'!$K$526)/60)*Proj[[#This Row],[TOI PP]]*Proj[[#This Row],[GP]],0)</f>
        <v>5</v>
      </c>
      <c r="R191" s="10">
        <f>ROUND(_xlfn.IFNA(INDEX(Table2[],MATCH(Proj[[#This Row],[Player]],Table2[Player],0),7)/60,IF(Proj[[#This Row],[Pos]] = "D", 'Per 60 PP'!$G$527,'Per 60 PP'!$G$526)/60)*Proj[[#This Row],[TOI PP]]*Proj[[#This Row],[GP]],0)</f>
        <v>5</v>
      </c>
      <c r="S191" s="10">
        <f>Proj[[#This Row],[PPG]]+Proj[[#This Row],[PPA]]</f>
        <v>10</v>
      </c>
      <c r="T191">
        <f>ROUND((_xlfn.IFNA(INDEX(Table3[],MATCH(Proj[[#This Row],[Player]],Table3[Player],0),6)/60,IF(Proj[[#This Row],[Pos]] ="D", 'Per 60 PK'!$F$623, 'Per 60 PK'!$F$622)/60)+_xlfn.IFNA(INDEX(Table3[],MATCH(Proj[[#This Row],[Player]],Table3[Player],0),8)/60,IF(Proj[[#This Row],[Pos]] ="D", 'Per 60 PK'!$H$623, 'Per 60 PK'!$H$622)/60))*Proj[[#This Row],[TOI PK]]*Proj[[#This Row],[GP]],0)</f>
        <v>0</v>
      </c>
      <c r="U1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1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1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1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1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29</v>
      </c>
      <c r="Z1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149</v>
      </c>
      <c r="AA1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-463.49415433094293</v>
      </c>
      <c r="AB191" s="10">
        <f>_xlfn.RANK.EQ(Proj[[#This Row],[VOR]],Proj[VOR])</f>
        <v>405</v>
      </c>
      <c r="AC191" s="10">
        <f>INDEX(Std[],MATCH(Proj[[#This Row],[Player]],Std[Player],0),20)</f>
        <v>8.0505700593059277</v>
      </c>
      <c r="AD1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360.79999999999995</v>
      </c>
    </row>
    <row r="192" spans="1:30" x14ac:dyDescent="0.25">
      <c r="A192" t="s">
        <v>532</v>
      </c>
      <c r="B192">
        <v>27</v>
      </c>
      <c r="C192" t="s">
        <v>74</v>
      </c>
      <c r="D192" t="s">
        <v>153</v>
      </c>
      <c r="E192" s="9">
        <f>INDEX(Table1[],MATCH(Proj[[#This Row],[Player]],Table1[Player],0),5)</f>
        <v>14.6447695362879</v>
      </c>
      <c r="F192" s="9">
        <f>_xlfn.IFNA(INDEX(Table2[],MATCH(Proj[[#This Row],[Player]],Table2[Player],0),5),0)</f>
        <v>1.37</v>
      </c>
      <c r="G192" s="9">
        <f>_xlfn.IFNA(INDEX(Table3[],MATCH(Proj[[#This Row],[Player]],Table3[Player],0),5),0)</f>
        <v>2.23</v>
      </c>
      <c r="H192" s="10">
        <v>77</v>
      </c>
      <c r="I192">
        <v>77</v>
      </c>
      <c r="J192" s="9">
        <v>14.6447695362879</v>
      </c>
      <c r="K192" s="9">
        <v>1.37</v>
      </c>
      <c r="L192" s="9">
        <v>2.23</v>
      </c>
      <c r="M192" s="9">
        <f>Proj[[#This Row],[TOI ES]]+Proj[[#This Row],[TOI PP]]+Proj[[#This Row],[TOI PK]]</f>
        <v>18.244769536287901</v>
      </c>
      <c r="N1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1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192" s="10">
        <f>Proj[[#This Row],[Goals]]+Proj[[#This Row],[Assists]]</f>
        <v>44</v>
      </c>
      <c r="Q192" s="10">
        <f>ROUND(_xlfn.IFNA(INDEX(Table2[],MATCH(Proj[[#This Row],[Player]],Table2[Player],0),11)/60,IF(Proj[[#This Row],[Pos]] = "D", 'Per 60 PP'!$K$527,'Per 60 PP'!$K$526)/60)*Proj[[#This Row],[TOI PP]]*Proj[[#This Row],[GP]],0)</f>
        <v>3</v>
      </c>
      <c r="R192" s="10">
        <f>ROUND(_xlfn.IFNA(INDEX(Table2[],MATCH(Proj[[#This Row],[Player]],Table2[Player],0),7)/60,IF(Proj[[#This Row],[Pos]] = "D", 'Per 60 PP'!$G$527,'Per 60 PP'!$G$526)/60)*Proj[[#This Row],[TOI PP]]*Proj[[#This Row],[GP]],0)</f>
        <v>4</v>
      </c>
      <c r="S192" s="10">
        <f>Proj[[#This Row],[PPG]]+Proj[[#This Row],[PPA]]</f>
        <v>7</v>
      </c>
      <c r="T192">
        <f>ROUND((_xlfn.IFNA(INDEX(Table3[],MATCH(Proj[[#This Row],[Player]],Table3[Player],0),6)/60,IF(Proj[[#This Row],[Pos]] ="D", 'Per 60 PK'!$F$623, 'Per 60 PK'!$F$622)/60)+_xlfn.IFNA(INDEX(Table3[],MATCH(Proj[[#This Row],[Player]],Table3[Player],0),8)/60,IF(Proj[[#This Row],[Pos]] ="D", 'Per 60 PK'!$H$623, 'Per 60 PK'!$H$622)/60))*Proj[[#This Row],[TOI PK]]*Proj[[#This Row],[GP]],0)</f>
        <v>4</v>
      </c>
      <c r="U1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1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1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1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464</v>
      </c>
      <c r="Y1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477</v>
      </c>
      <c r="Z1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132</v>
      </c>
      <c r="AA1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-367.69247195371781</v>
      </c>
      <c r="AB192" s="10">
        <f>_xlfn.RANK.EQ(Proj[[#This Row],[VOR]],Proj[VOR])</f>
        <v>357</v>
      </c>
      <c r="AC192" s="10">
        <f>INDEX(Std[],MATCH(Proj[[#This Row],[Player]],Std[Player],0),20)</f>
        <v>366.94138235658079</v>
      </c>
      <c r="AD1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422.25</v>
      </c>
    </row>
    <row r="193" spans="1:30" x14ac:dyDescent="0.25">
      <c r="A193" t="s">
        <v>456</v>
      </c>
      <c r="B193">
        <v>33</v>
      </c>
      <c r="C193" t="s">
        <v>103</v>
      </c>
      <c r="D193" t="s">
        <v>10</v>
      </c>
      <c r="E193" s="9">
        <f>INDEX(Table1[],MATCH(Proj[[#This Row],[Player]],Table1[Player],0),5)</f>
        <v>13.5055088931298</v>
      </c>
      <c r="F193" s="9">
        <f>_xlfn.IFNA(INDEX(Table2[],MATCH(Proj[[#This Row],[Player]],Table2[Player],0),5),0)</f>
        <v>1.7</v>
      </c>
      <c r="G193" s="9">
        <f>_xlfn.IFNA(INDEX(Table3[],MATCH(Proj[[#This Row],[Player]],Table3[Player],0),5),0)</f>
        <v>0.91</v>
      </c>
      <c r="H193" s="10">
        <v>80</v>
      </c>
      <c r="I193">
        <v>80</v>
      </c>
      <c r="J193" s="9">
        <v>13.5055088931298</v>
      </c>
      <c r="K193" s="9">
        <v>1.7</v>
      </c>
      <c r="L193" s="9">
        <v>0.91</v>
      </c>
      <c r="M193" s="9">
        <f>Proj[[#This Row],[TOI ES]]+Proj[[#This Row],[TOI PP]]+Proj[[#This Row],[TOI PK]]</f>
        <v>16.1155088931298</v>
      </c>
      <c r="N1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1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193" s="10">
        <f>Proj[[#This Row],[Goals]]+Proj[[#This Row],[Assists]]</f>
        <v>44</v>
      </c>
      <c r="Q193" s="10">
        <f>ROUND(_xlfn.IFNA(INDEX(Table2[],MATCH(Proj[[#This Row],[Player]],Table2[Player],0),11)/60,IF(Proj[[#This Row],[Pos]] = "D", 'Per 60 PP'!$K$527,'Per 60 PP'!$K$526)/60)*Proj[[#This Row],[TOI PP]]*Proj[[#This Row],[GP]],0)</f>
        <v>3</v>
      </c>
      <c r="R193" s="10">
        <f>ROUND(_xlfn.IFNA(INDEX(Table2[],MATCH(Proj[[#This Row],[Player]],Table2[Player],0),7)/60,IF(Proj[[#This Row],[Pos]] = "D", 'Per 60 PP'!$G$527,'Per 60 PP'!$G$526)/60)*Proj[[#This Row],[TOI PP]]*Proj[[#This Row],[GP]],0)</f>
        <v>5</v>
      </c>
      <c r="S193" s="10">
        <f>Proj[[#This Row],[PPG]]+Proj[[#This Row],[PPA]]</f>
        <v>8</v>
      </c>
      <c r="T193">
        <f>ROUND((_xlfn.IFNA(INDEX(Table3[],MATCH(Proj[[#This Row],[Player]],Table3[Player],0),6)/60,IF(Proj[[#This Row],[Pos]] ="D", 'Per 60 PK'!$F$623, 'Per 60 PK'!$F$622)/60)+_xlfn.IFNA(INDEX(Table3[],MATCH(Proj[[#This Row],[Player]],Table3[Player],0),8)/60,IF(Proj[[#This Row],[Pos]] ="D", 'Per 60 PK'!$H$623, 'Per 60 PK'!$H$622)/60))*Proj[[#This Row],[TOI PK]]*Proj[[#This Row],[GP]],0)</f>
        <v>1</v>
      </c>
      <c r="U1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1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1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1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1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1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165</v>
      </c>
      <c r="AA1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-492.25875898707181</v>
      </c>
      <c r="AB193" s="10">
        <f>_xlfn.RANK.EQ(Proj[[#This Row],[VOR]],Proj[VOR])</f>
        <v>417</v>
      </c>
      <c r="AC193" s="10">
        <f>INDEX(Std[],MATCH(Proj[[#This Row],[Player]],Std[Player],0),20)</f>
        <v>-45.714034596822984</v>
      </c>
      <c r="AD1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360.90000000000003</v>
      </c>
    </row>
    <row r="194" spans="1:30" x14ac:dyDescent="0.25">
      <c r="A194" t="s">
        <v>1074</v>
      </c>
      <c r="B194">
        <v>22</v>
      </c>
      <c r="C194" t="s">
        <v>3</v>
      </c>
      <c r="D194" t="s">
        <v>18</v>
      </c>
      <c r="E194" s="9">
        <f>INDEX(Table1[],MATCH(Proj[[#This Row],[Player]],Table1[Player],0),5)</f>
        <v>19.124876403623698</v>
      </c>
      <c r="F194" s="9">
        <f>_xlfn.IFNA(INDEX(Table2[],MATCH(Proj[[#This Row],[Player]],Table2[Player],0),5),0)</f>
        <v>2.4900000000000002</v>
      </c>
      <c r="G194" s="9">
        <f>_xlfn.IFNA(INDEX(Table3[],MATCH(Proj[[#This Row],[Player]],Table3[Player],0),5),0)</f>
        <v>2.93</v>
      </c>
      <c r="H194" s="10">
        <v>82</v>
      </c>
      <c r="I194">
        <v>82</v>
      </c>
      <c r="J194" s="9">
        <v>19.124876403623698</v>
      </c>
      <c r="K194" s="9">
        <v>2.4900000000000002</v>
      </c>
      <c r="L194" s="9">
        <v>2.93</v>
      </c>
      <c r="M194" s="9">
        <f>Proj[[#This Row],[TOI ES]]+Proj[[#This Row],[TOI PP]]+Proj[[#This Row],[TOI PK]]</f>
        <v>24.544876403623697</v>
      </c>
      <c r="N1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1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37</v>
      </c>
      <c r="P194" s="10">
        <f>Proj[[#This Row],[Goals]]+Proj[[#This Row],[Assists]]</f>
        <v>44</v>
      </c>
      <c r="Q194" s="10">
        <f>ROUND(_xlfn.IFNA(INDEX(Table2[],MATCH(Proj[[#This Row],[Player]],Table2[Player],0),11)/60,IF(Proj[[#This Row],[Pos]] = "D", 'Per 60 PP'!$K$527,'Per 60 PP'!$K$526)/60)*Proj[[#This Row],[TOI PP]]*Proj[[#This Row],[GP]],0)</f>
        <v>2</v>
      </c>
      <c r="R194" s="10">
        <f>ROUND(_xlfn.IFNA(INDEX(Table2[],MATCH(Proj[[#This Row],[Player]],Table2[Player],0),7)/60,IF(Proj[[#This Row],[Pos]] = "D", 'Per 60 PP'!$G$527,'Per 60 PP'!$G$526)/60)*Proj[[#This Row],[TOI PP]]*Proj[[#This Row],[GP]],0)</f>
        <v>15</v>
      </c>
      <c r="S194" s="10">
        <f>Proj[[#This Row],[PPG]]+Proj[[#This Row],[PPA]]</f>
        <v>17</v>
      </c>
      <c r="T194">
        <f>ROUND((_xlfn.IFNA(INDEX(Table3[],MATCH(Proj[[#This Row],[Player]],Table3[Player],0),6)/60,IF(Proj[[#This Row],[Pos]] ="D", 'Per 60 PK'!$F$623, 'Per 60 PK'!$F$622)/60)+_xlfn.IFNA(INDEX(Table3[],MATCH(Proj[[#This Row],[Player]],Table3[Player],0),8)/60,IF(Proj[[#This Row],[Pos]] ="D", 'Per 60 PK'!$H$623, 'Per 60 PK'!$H$622)/60))*Proj[[#This Row],[TOI PK]]*Proj[[#This Row],[GP]],0)</f>
        <v>1</v>
      </c>
      <c r="U1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1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150</v>
      </c>
      <c r="W1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1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1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218.42405474360484</v>
      </c>
      <c r="AB194" s="10">
        <f>_xlfn.RANK.EQ(Proj[[#This Row],[VOR]],Proj[VOR])</f>
        <v>99</v>
      </c>
      <c r="AC194" s="10">
        <f>INDEX(Std[],MATCH(Proj[[#This Row],[Player]],Std[Player],0),20)</f>
        <v>325.78882246306932</v>
      </c>
      <c r="AD1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420.65</v>
      </c>
    </row>
    <row r="195" spans="1:30" x14ac:dyDescent="0.25">
      <c r="A195" t="s">
        <v>337</v>
      </c>
      <c r="B195">
        <v>30</v>
      </c>
      <c r="C195" t="s">
        <v>105</v>
      </c>
      <c r="D195" t="s">
        <v>18</v>
      </c>
      <c r="E195" s="9">
        <f>INDEX(Table1[],MATCH(Proj[[#This Row],[Player]],Table1[Player],0),5)</f>
        <v>13.7313881571687</v>
      </c>
      <c r="F195" s="9">
        <f>_xlfn.IFNA(INDEX(Table2[],MATCH(Proj[[#This Row],[Player]],Table2[Player],0),5),0)</f>
        <v>1.67</v>
      </c>
      <c r="G195" s="9">
        <f>_xlfn.IFNA(INDEX(Table3[],MATCH(Proj[[#This Row],[Player]],Table3[Player],0),5),0)</f>
        <v>1</v>
      </c>
      <c r="H195" s="10">
        <v>75</v>
      </c>
      <c r="I195">
        <v>75</v>
      </c>
      <c r="J195" s="9">
        <v>13.7313881571687</v>
      </c>
      <c r="K195" s="9">
        <v>1.67</v>
      </c>
      <c r="L195" s="9">
        <v>1</v>
      </c>
      <c r="M195" s="9">
        <f>Proj[[#This Row],[TOI ES]]+Proj[[#This Row],[TOI PP]]+Proj[[#This Row],[TOI PK]]</f>
        <v>16.4013881571687</v>
      </c>
      <c r="N1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1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195" s="10">
        <f>Proj[[#This Row],[Goals]]+Proj[[#This Row],[Assists]]</f>
        <v>44</v>
      </c>
      <c r="Q195" s="10">
        <f>ROUND(_xlfn.IFNA(INDEX(Table2[],MATCH(Proj[[#This Row],[Player]],Table2[Player],0),11)/60,IF(Proj[[#This Row],[Pos]] = "D", 'Per 60 PP'!$K$527,'Per 60 PP'!$K$526)/60)*Proj[[#This Row],[TOI PP]]*Proj[[#This Row],[GP]],0)</f>
        <v>3</v>
      </c>
      <c r="R195" s="10">
        <f>ROUND(_xlfn.IFNA(INDEX(Table2[],MATCH(Proj[[#This Row],[Player]],Table2[Player],0),7)/60,IF(Proj[[#This Row],[Pos]] = "D", 'Per 60 PP'!$G$527,'Per 60 PP'!$G$526)/60)*Proj[[#This Row],[TOI PP]]*Proj[[#This Row],[GP]],0)</f>
        <v>4</v>
      </c>
      <c r="S195" s="10">
        <f>Proj[[#This Row],[PPG]]+Proj[[#This Row],[PPA]]</f>
        <v>7</v>
      </c>
      <c r="T195">
        <f>ROUND((_xlfn.IFNA(INDEX(Table3[],MATCH(Proj[[#This Row],[Player]],Table3[Player],0),6)/60,IF(Proj[[#This Row],[Pos]] ="D", 'Per 60 PK'!$F$623, 'Per 60 PK'!$F$622)/60)+_xlfn.IFNA(INDEX(Table3[],MATCH(Proj[[#This Row],[Player]],Table3[Player],0),8)/60,IF(Proj[[#This Row],[Pos]] ="D", 'Per 60 PK'!$H$623, 'Per 60 PK'!$H$622)/60))*Proj[[#This Row],[TOI PK]]*Proj[[#This Row],[GP]],0)</f>
        <v>2</v>
      </c>
      <c r="U1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1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60</v>
      </c>
      <c r="W1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91</v>
      </c>
      <c r="X1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362</v>
      </c>
      <c r="Y1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427</v>
      </c>
      <c r="Z1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178</v>
      </c>
      <c r="AA1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141.61612824767889</v>
      </c>
      <c r="AB195" s="10">
        <f>_xlfn.RANK.EQ(Proj[[#This Row],[VOR]],Proj[VOR])</f>
        <v>115</v>
      </c>
      <c r="AC195" s="10">
        <f>INDEX(Std[],MATCH(Proj[[#This Row],[Player]],Std[Player],0),20)</f>
        <v>588.16085263792775</v>
      </c>
      <c r="AD1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456.24999999999994</v>
      </c>
    </row>
    <row r="196" spans="1:30" x14ac:dyDescent="0.25">
      <c r="A196" t="s">
        <v>429</v>
      </c>
      <c r="B196">
        <v>24</v>
      </c>
      <c r="C196" t="s">
        <v>104</v>
      </c>
      <c r="D196" t="s">
        <v>32</v>
      </c>
      <c r="E196" s="9">
        <f>INDEX(Table1[],MATCH(Proj[[#This Row],[Player]],Table1[Player],0),5)</f>
        <v>13.7969257081827</v>
      </c>
      <c r="F196" s="9">
        <f>_xlfn.IFNA(INDEX(Table2[],MATCH(Proj[[#This Row],[Player]],Table2[Player],0),5),0)</f>
        <v>2.35</v>
      </c>
      <c r="G196" s="9">
        <f>_xlfn.IFNA(INDEX(Table3[],MATCH(Proj[[#This Row],[Player]],Table3[Player],0),5),0)</f>
        <v>1.1000000000000001</v>
      </c>
      <c r="H196" s="10">
        <v>82</v>
      </c>
      <c r="I196">
        <v>82</v>
      </c>
      <c r="J196" s="9">
        <v>13.7969257081827</v>
      </c>
      <c r="K196" s="9">
        <v>2.35</v>
      </c>
      <c r="L196" s="9">
        <v>1.1000000000000001</v>
      </c>
      <c r="M196" s="9">
        <f>Proj[[#This Row],[TOI ES]]+Proj[[#This Row],[TOI PP]]+Proj[[#This Row],[TOI PK]]</f>
        <v>17.246925708182701</v>
      </c>
      <c r="N1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196" s="10">
        <f>Proj[[#This Row],[Goals]]+Proj[[#This Row],[Assists]]</f>
        <v>44</v>
      </c>
      <c r="Q196" s="10">
        <f>ROUND(_xlfn.IFNA(INDEX(Table2[],MATCH(Proj[[#This Row],[Player]],Table2[Player],0),11)/60,IF(Proj[[#This Row],[Pos]] = "D", 'Per 60 PP'!$K$527,'Per 60 PP'!$K$526)/60)*Proj[[#This Row],[TOI PP]]*Proj[[#This Row],[GP]],0)</f>
        <v>2</v>
      </c>
      <c r="R196" s="10">
        <f>ROUND(_xlfn.IFNA(INDEX(Table2[],MATCH(Proj[[#This Row],[Player]],Table2[Player],0),7)/60,IF(Proj[[#This Row],[Pos]] = "D", 'Per 60 PP'!$G$527,'Per 60 PP'!$G$526)/60)*Proj[[#This Row],[TOI PP]]*Proj[[#This Row],[GP]],0)</f>
        <v>3</v>
      </c>
      <c r="S196" s="10">
        <f>Proj[[#This Row],[PPG]]+Proj[[#This Row],[PPA]]</f>
        <v>5</v>
      </c>
      <c r="T196">
        <f>ROUND((_xlfn.IFNA(INDEX(Table3[],MATCH(Proj[[#This Row],[Player]],Table3[Player],0),6)/60,IF(Proj[[#This Row],[Pos]] ="D", 'Per 60 PK'!$F$623, 'Per 60 PK'!$F$622)/60)+_xlfn.IFNA(INDEX(Table3[],MATCH(Proj[[#This Row],[Player]],Table3[Player],0),8)/60,IF(Proj[[#This Row],[Pos]] ="D", 'Per 60 PK'!$H$623, 'Per 60 PK'!$H$622)/60))*Proj[[#This Row],[TOI PK]]*Proj[[#This Row],[GP]],0)</f>
        <v>1</v>
      </c>
      <c r="U1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65</v>
      </c>
      <c r="V1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55</v>
      </c>
      <c r="W1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1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v>
      </c>
      <c r="Y1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66</v>
      </c>
      <c r="Z1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169</v>
      </c>
      <c r="AA1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-276.74767632136917</v>
      </c>
      <c r="AB196" s="10">
        <f>_xlfn.RANK.EQ(Proj[[#This Row],[VOR]],Proj[VOR])</f>
        <v>294</v>
      </c>
      <c r="AC196" s="10">
        <f>INDEX(Std[],MATCH(Proj[[#This Row],[Player]],Std[Player],0),20)</f>
        <v>169.79704806887969</v>
      </c>
      <c r="AD1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396.70000000000005</v>
      </c>
    </row>
    <row r="197" spans="1:30" x14ac:dyDescent="0.25">
      <c r="A197" t="s">
        <v>855</v>
      </c>
      <c r="B197">
        <v>22</v>
      </c>
      <c r="C197" t="s">
        <v>74</v>
      </c>
      <c r="D197" t="s">
        <v>5</v>
      </c>
      <c r="E197" s="9">
        <f>INDEX(Table1[],MATCH(Proj[[#This Row],[Player]],Table1[Player],0),5)</f>
        <v>15</v>
      </c>
      <c r="F197" s="9">
        <f>_xlfn.IFNA(INDEX(Table2[],MATCH(Proj[[#This Row],[Player]],Table2[Player],0),5),0)</f>
        <v>2.5499999999999998</v>
      </c>
      <c r="G197" s="9">
        <f>_xlfn.IFNA(INDEX(Table3[],MATCH(Proj[[#This Row],[Player]],Table3[Player],0),5),0)</f>
        <v>0</v>
      </c>
      <c r="H197" s="10">
        <v>73</v>
      </c>
      <c r="I197">
        <v>73</v>
      </c>
      <c r="J197" s="9">
        <v>15</v>
      </c>
      <c r="K197" s="9">
        <v>2.5499999999999998</v>
      </c>
      <c r="L197" s="9">
        <v>0</v>
      </c>
      <c r="M197" s="9">
        <f>Proj[[#This Row],[TOI ES]]+Proj[[#This Row],[TOI PP]]+Proj[[#This Row],[TOI PK]]</f>
        <v>17.55</v>
      </c>
      <c r="N1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1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197" s="10">
        <f>Proj[[#This Row],[Goals]]+Proj[[#This Row],[Assists]]</f>
        <v>44</v>
      </c>
      <c r="Q197" s="10">
        <f>ROUND(_xlfn.IFNA(INDEX(Table2[],MATCH(Proj[[#This Row],[Player]],Table2[Player],0),11)/60,IF(Proj[[#This Row],[Pos]] = "D", 'Per 60 PP'!$K$527,'Per 60 PP'!$K$526)/60)*Proj[[#This Row],[TOI PP]]*Proj[[#This Row],[GP]],0)</f>
        <v>6</v>
      </c>
      <c r="R197" s="10">
        <f>ROUND(_xlfn.IFNA(INDEX(Table2[],MATCH(Proj[[#This Row],[Player]],Table2[Player],0),7)/60,IF(Proj[[#This Row],[Pos]] = "D", 'Per 60 PP'!$G$527,'Per 60 PP'!$G$526)/60)*Proj[[#This Row],[TOI PP]]*Proj[[#This Row],[GP]],0)</f>
        <v>4</v>
      </c>
      <c r="S197" s="10">
        <f>Proj[[#This Row],[PPG]]+Proj[[#This Row],[PPA]]</f>
        <v>10</v>
      </c>
      <c r="T197">
        <f>ROUND((_xlfn.IFNA(INDEX(Table3[],MATCH(Proj[[#This Row],[Player]],Table3[Player],0),6)/60,IF(Proj[[#This Row],[Pos]] ="D", 'Per 60 PK'!$F$623, 'Per 60 PK'!$F$622)/60)+_xlfn.IFNA(INDEX(Table3[],MATCH(Proj[[#This Row],[Player]],Table3[Player],0),8)/60,IF(Proj[[#This Row],[Pos]] ="D", 'Per 60 PK'!$H$623, 'Per 60 PK'!$H$622)/60))*Proj[[#This Row],[TOI PK]]*Proj[[#This Row],[GP]],0)</f>
        <v>0</v>
      </c>
      <c r="U1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1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1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73</v>
      </c>
      <c r="X1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475</v>
      </c>
      <c r="Y1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472</v>
      </c>
      <c r="Z1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160</v>
      </c>
      <c r="AA1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-207.60622137879909</v>
      </c>
      <c r="AB197" s="10">
        <f>_xlfn.RANK.EQ(Proj[[#This Row],[VOR]],Proj[VOR])</f>
        <v>254</v>
      </c>
      <c r="AC197" s="10">
        <f>INDEX(Std[],MATCH(Proj[[#This Row],[Player]],Std[Player],0),20)</f>
        <v>527.02763293149951</v>
      </c>
      <c r="AD1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443.5</v>
      </c>
    </row>
    <row r="198" spans="1:30" x14ac:dyDescent="0.25">
      <c r="A198" t="s">
        <v>441</v>
      </c>
      <c r="B198">
        <v>30</v>
      </c>
      <c r="C198" t="s">
        <v>3</v>
      </c>
      <c r="D198" t="s">
        <v>87</v>
      </c>
      <c r="E198" s="9">
        <f>INDEX(Table1[],MATCH(Proj[[#This Row],[Player]],Table1[Player],0),5)</f>
        <v>18.880808271443399</v>
      </c>
      <c r="F198" s="9">
        <f>_xlfn.IFNA(INDEX(Table2[],MATCH(Proj[[#This Row],[Player]],Table2[Player],0),5),0)</f>
        <v>2.5</v>
      </c>
      <c r="G198" s="9">
        <f>_xlfn.IFNA(INDEX(Table3[],MATCH(Proj[[#This Row],[Player]],Table3[Player],0),5),0)</f>
        <v>0.73</v>
      </c>
      <c r="H198" s="10">
        <v>77</v>
      </c>
      <c r="I198">
        <v>77</v>
      </c>
      <c r="J198" s="9">
        <v>18.880808271443399</v>
      </c>
      <c r="K198" s="9">
        <v>2.5</v>
      </c>
      <c r="L198" s="9">
        <v>0.73</v>
      </c>
      <c r="M198" s="9">
        <f>Proj[[#This Row],[TOI ES]]+Proj[[#This Row],[TOI PP]]+Proj[[#This Row],[TOI PK]]</f>
        <v>22.1108082714434</v>
      </c>
      <c r="N1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1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198" s="10">
        <f>Proj[[#This Row],[Goals]]+Proj[[#This Row],[Assists]]</f>
        <v>44</v>
      </c>
      <c r="Q198" s="10">
        <f>ROUND(_xlfn.IFNA(INDEX(Table2[],MATCH(Proj[[#This Row],[Player]],Table2[Player],0),11)/60,IF(Proj[[#This Row],[Pos]] = "D", 'Per 60 PP'!$K$527,'Per 60 PP'!$K$526)/60)*Proj[[#This Row],[TOI PP]]*Proj[[#This Row],[GP]],0)</f>
        <v>2</v>
      </c>
      <c r="R198" s="10">
        <f>ROUND(_xlfn.IFNA(INDEX(Table2[],MATCH(Proj[[#This Row],[Player]],Table2[Player],0),7)/60,IF(Proj[[#This Row],[Pos]] = "D", 'Per 60 PP'!$G$527,'Per 60 PP'!$G$526)/60)*Proj[[#This Row],[TOI PP]]*Proj[[#This Row],[GP]],0)</f>
        <v>15</v>
      </c>
      <c r="S198" s="10">
        <f>Proj[[#This Row],[PPG]]+Proj[[#This Row],[PPA]]</f>
        <v>17</v>
      </c>
      <c r="T198">
        <f>ROUND((_xlfn.IFNA(INDEX(Table3[],MATCH(Proj[[#This Row],[Player]],Table3[Player],0),6)/60,IF(Proj[[#This Row],[Pos]] ="D", 'Per 60 PK'!$F$623, 'Per 60 PK'!$F$622)/60)+_xlfn.IFNA(INDEX(Table3[],MATCH(Proj[[#This Row],[Player]],Table3[Player],0),8)/60,IF(Proj[[#This Row],[Pos]] ="D", 'Per 60 PK'!$H$623, 'Per 60 PK'!$H$622)/60))*Proj[[#This Row],[TOI PK]]*Proj[[#This Row],[GP]],0)</f>
        <v>0</v>
      </c>
      <c r="U1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1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89</v>
      </c>
      <c r="W1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73</v>
      </c>
      <c r="X1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1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1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181</v>
      </c>
      <c r="AA1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408.1525647639445</v>
      </c>
      <c r="AB198" s="10">
        <f>_xlfn.RANK.EQ(Proj[[#This Row],[VOR]],Proj[VOR])</f>
        <v>63</v>
      </c>
      <c r="AC198" s="10">
        <f>INDEX(Std[],MATCH(Proj[[#This Row],[Player]],Std[Player],0),20)</f>
        <v>515.51733248340895</v>
      </c>
      <c r="AD1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446.04999999999995</v>
      </c>
    </row>
    <row r="199" spans="1:30" x14ac:dyDescent="0.25">
      <c r="A199" t="s">
        <v>891</v>
      </c>
      <c r="B199">
        <v>29</v>
      </c>
      <c r="C199" t="s">
        <v>101</v>
      </c>
      <c r="D199" t="s">
        <v>153</v>
      </c>
      <c r="E199" s="9">
        <f>INDEX(Table1[],MATCH(Proj[[#This Row],[Player]],Table1[Player],0),5)</f>
        <v>13.460341722418701</v>
      </c>
      <c r="F199" s="9">
        <f>_xlfn.IFNA(INDEX(Table2[],MATCH(Proj[[#This Row],[Player]],Table2[Player],0),5),0)</f>
        <v>2.63</v>
      </c>
      <c r="G199" s="9">
        <f>_xlfn.IFNA(INDEX(Table3[],MATCH(Proj[[#This Row],[Player]],Table3[Player],0),5),0)</f>
        <v>0.89</v>
      </c>
      <c r="H199" s="10">
        <v>81</v>
      </c>
      <c r="I199">
        <v>81</v>
      </c>
      <c r="J199" s="9">
        <v>13.460341722418701</v>
      </c>
      <c r="K199" s="9">
        <v>2.63</v>
      </c>
      <c r="L199" s="9">
        <v>0.89</v>
      </c>
      <c r="M199" s="9">
        <f>Proj[[#This Row],[TOI ES]]+Proj[[#This Row],[TOI PP]]+Proj[[#This Row],[TOI PK]]</f>
        <v>16.9803417224187</v>
      </c>
      <c r="N1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1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199" s="10">
        <f>Proj[[#This Row],[Goals]]+Proj[[#This Row],[Assists]]</f>
        <v>44</v>
      </c>
      <c r="Q199" s="10">
        <f>ROUND(_xlfn.IFNA(INDEX(Table2[],MATCH(Proj[[#This Row],[Player]],Table2[Player],0),11)/60,IF(Proj[[#This Row],[Pos]] = "D", 'Per 60 PP'!$K$527,'Per 60 PP'!$K$526)/60)*Proj[[#This Row],[TOI PP]]*Proj[[#This Row],[GP]],0)</f>
        <v>8</v>
      </c>
      <c r="R199" s="10">
        <f>ROUND(_xlfn.IFNA(INDEX(Table2[],MATCH(Proj[[#This Row],[Player]],Table2[Player],0),7)/60,IF(Proj[[#This Row],[Pos]] = "D", 'Per 60 PP'!$G$527,'Per 60 PP'!$G$526)/60)*Proj[[#This Row],[TOI PP]]*Proj[[#This Row],[GP]],0)</f>
        <v>6</v>
      </c>
      <c r="S199" s="10">
        <f>Proj[[#This Row],[PPG]]+Proj[[#This Row],[PPA]]</f>
        <v>14</v>
      </c>
      <c r="T199">
        <f>ROUND((_xlfn.IFNA(INDEX(Table3[],MATCH(Proj[[#This Row],[Player]],Table3[Player],0),6)/60,IF(Proj[[#This Row],[Pos]] ="D", 'Per 60 PK'!$F$623, 'Per 60 PK'!$F$622)/60)+_xlfn.IFNA(INDEX(Table3[],MATCH(Proj[[#This Row],[Player]],Table3[Player],0),8)/60,IF(Proj[[#This Row],[Pos]] ="D", 'Per 60 PK'!$H$623, 'Per 60 PK'!$H$622)/60))*Proj[[#This Row],[TOI PK]]*Proj[[#This Row],[GP]],0)</f>
        <v>1</v>
      </c>
      <c r="U1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1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1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1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493</v>
      </c>
      <c r="Y1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428</v>
      </c>
      <c r="Z1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147</v>
      </c>
      <c r="AA1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-44.415984654904946</v>
      </c>
      <c r="AB199" s="10">
        <f>_xlfn.RANK.EQ(Proj[[#This Row],[VOR]],Proj[VOR])</f>
        <v>180</v>
      </c>
      <c r="AC199" s="10">
        <f>INDEX(Std[],MATCH(Proj[[#This Row],[Player]],Std[Player],0),20)</f>
        <v>427.12873973534391</v>
      </c>
      <c r="AD1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446.7</v>
      </c>
    </row>
    <row r="200" spans="1:30" x14ac:dyDescent="0.25">
      <c r="A200" t="s">
        <v>885</v>
      </c>
      <c r="B200">
        <v>31</v>
      </c>
      <c r="C200" t="s">
        <v>3</v>
      </c>
      <c r="D200" t="s">
        <v>22</v>
      </c>
      <c r="E200" s="9">
        <f>INDEX(Table1[],MATCH(Proj[[#This Row],[Player]],Table1[Player],0),5)</f>
        <v>18.7310581646271</v>
      </c>
      <c r="F200" s="9">
        <f>_xlfn.IFNA(INDEX(Table2[],MATCH(Proj[[#This Row],[Player]],Table2[Player],0),5),0)</f>
        <v>1.69</v>
      </c>
      <c r="G200" s="9">
        <f>_xlfn.IFNA(INDEX(Table3[],MATCH(Proj[[#This Row],[Player]],Table3[Player],0),5),0)</f>
        <v>2.0699999999999998</v>
      </c>
      <c r="H200" s="10">
        <v>81</v>
      </c>
      <c r="I200">
        <v>81</v>
      </c>
      <c r="J200" s="9">
        <v>18.7310581646271</v>
      </c>
      <c r="K200" s="9">
        <v>1.69</v>
      </c>
      <c r="L200" s="9">
        <v>2.0699999999999998</v>
      </c>
      <c r="M200" s="9">
        <f>Proj[[#This Row],[TOI ES]]+Proj[[#This Row],[TOI PP]]+Proj[[#This Row],[TOI PK]]</f>
        <v>22.491058164627102</v>
      </c>
      <c r="N2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200" s="10">
        <f>Proj[[#This Row],[Goals]]+Proj[[#This Row],[Assists]]</f>
        <v>44</v>
      </c>
      <c r="Q200" s="10">
        <f>ROUND(_xlfn.IFNA(INDEX(Table2[],MATCH(Proj[[#This Row],[Player]],Table2[Player],0),11)/60,IF(Proj[[#This Row],[Pos]] = "D", 'Per 60 PP'!$K$527,'Per 60 PP'!$K$526)/60)*Proj[[#This Row],[TOI PP]]*Proj[[#This Row],[GP]],0)</f>
        <v>1</v>
      </c>
      <c r="R200" s="10">
        <f>ROUND(_xlfn.IFNA(INDEX(Table2[],MATCH(Proj[[#This Row],[Player]],Table2[Player],0),7)/60,IF(Proj[[#This Row],[Pos]] = "D", 'Per 60 PP'!$G$527,'Per 60 PP'!$G$526)/60)*Proj[[#This Row],[TOI PP]]*Proj[[#This Row],[GP]],0)</f>
        <v>8</v>
      </c>
      <c r="S200" s="10">
        <f>Proj[[#This Row],[PPG]]+Proj[[#This Row],[PPA]]</f>
        <v>9</v>
      </c>
      <c r="T200">
        <f>ROUND((_xlfn.IFNA(INDEX(Table3[],MATCH(Proj[[#This Row],[Player]],Table3[Player],0),6)/60,IF(Proj[[#This Row],[Pos]] ="D", 'Per 60 PK'!$F$623, 'Per 60 PK'!$F$622)/60)+_xlfn.IFNA(INDEX(Table3[],MATCH(Proj[[#This Row],[Player]],Table3[Player],0),8)/60,IF(Proj[[#This Row],[Pos]] ="D", 'Per 60 PK'!$H$623, 'Per 60 PK'!$H$622)/60))*Proj[[#This Row],[TOI PK]]*Proj[[#This Row],[GP]],0)</f>
        <v>2</v>
      </c>
      <c r="U2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167</v>
      </c>
      <c r="V2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172</v>
      </c>
      <c r="W2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2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181</v>
      </c>
      <c r="AA2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556.81498392519745</v>
      </c>
      <c r="AB200" s="10">
        <f>_xlfn.RANK.EQ(Proj[[#This Row],[VOR]],Proj[VOR])</f>
        <v>37</v>
      </c>
      <c r="AC200" s="10">
        <f>INDEX(Std[],MATCH(Proj[[#This Row],[Player]],Std[Player],0),20)</f>
        <v>664.17975164466191</v>
      </c>
      <c r="AD2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524.04999999999995</v>
      </c>
    </row>
    <row r="201" spans="1:30" x14ac:dyDescent="0.25">
      <c r="A201" t="s">
        <v>458</v>
      </c>
      <c r="B201">
        <v>31</v>
      </c>
      <c r="C201" t="s">
        <v>102</v>
      </c>
      <c r="D201" t="s">
        <v>16</v>
      </c>
      <c r="E201" s="9">
        <f>INDEX(Table1[],MATCH(Proj[[#This Row],[Player]],Table1[Player],0),5)</f>
        <v>13.5847366680958</v>
      </c>
      <c r="F201" s="9">
        <f>_xlfn.IFNA(INDEX(Table2[],MATCH(Proj[[#This Row],[Player]],Table2[Player],0),5),0)</f>
        <v>1.25</v>
      </c>
      <c r="G201" s="9">
        <f>_xlfn.IFNA(INDEX(Table3[],MATCH(Proj[[#This Row],[Player]],Table3[Player],0),5),0)</f>
        <v>0</v>
      </c>
      <c r="H201" s="10">
        <v>75</v>
      </c>
      <c r="I201">
        <v>75</v>
      </c>
      <c r="J201" s="9">
        <v>13.5847366680958</v>
      </c>
      <c r="K201" s="9">
        <v>1.25</v>
      </c>
      <c r="L201" s="9">
        <v>0</v>
      </c>
      <c r="M201" s="9">
        <f>Proj[[#This Row],[TOI ES]]+Proj[[#This Row],[TOI PP]]+Proj[[#This Row],[TOI PK]]</f>
        <v>14.8347366680958</v>
      </c>
      <c r="N2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2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01" s="10">
        <f>Proj[[#This Row],[Goals]]+Proj[[#This Row],[Assists]]</f>
        <v>43</v>
      </c>
      <c r="Q201" s="10">
        <f>ROUND(_xlfn.IFNA(INDEX(Table2[],MATCH(Proj[[#This Row],[Player]],Table2[Player],0),11)/60,IF(Proj[[#This Row],[Pos]] = "D", 'Per 60 PP'!$K$527,'Per 60 PP'!$K$526)/60)*Proj[[#This Row],[TOI PP]]*Proj[[#This Row],[GP]],0)</f>
        <v>2</v>
      </c>
      <c r="R201" s="10">
        <f>ROUND(_xlfn.IFNA(INDEX(Table2[],MATCH(Proj[[#This Row],[Player]],Table2[Player],0),7)/60,IF(Proj[[#This Row],[Pos]] = "D", 'Per 60 PP'!$G$527,'Per 60 PP'!$G$526)/60)*Proj[[#This Row],[TOI PP]]*Proj[[#This Row],[GP]],0)</f>
        <v>5</v>
      </c>
      <c r="S201" s="10">
        <f>Proj[[#This Row],[PPG]]+Proj[[#This Row],[PPA]]</f>
        <v>7</v>
      </c>
      <c r="T201">
        <f>ROUND((_xlfn.IFNA(INDEX(Table3[],MATCH(Proj[[#This Row],[Player]],Table3[Player],0),6)/60,IF(Proj[[#This Row],[Pos]] ="D", 'Per 60 PK'!$F$623, 'Per 60 PK'!$F$622)/60)+_xlfn.IFNA(INDEX(Table3[],MATCH(Proj[[#This Row],[Player]],Table3[Player],0),8)/60,IF(Proj[[#This Row],[Pos]] ="D", 'Per 60 PK'!$H$623, 'Per 60 PK'!$H$622)/60))*Proj[[#This Row],[TOI PK]]*Proj[[#This Row],[GP]],0)</f>
        <v>0</v>
      </c>
      <c r="U2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2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62</v>
      </c>
      <c r="W2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2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2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v>
      </c>
      <c r="Z2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215</v>
      </c>
      <c r="AA2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-348.02038110004213</v>
      </c>
      <c r="AB201" s="10">
        <f>_xlfn.RANK.EQ(Proj[[#This Row],[VOR]],Proj[VOR])</f>
        <v>347</v>
      </c>
      <c r="AC201" s="10">
        <f>INDEX(Std[],MATCH(Proj[[#This Row],[Player]],Std[Player],0),20)</f>
        <v>123.52434329020674</v>
      </c>
      <c r="AD2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392.95</v>
      </c>
    </row>
    <row r="202" spans="1:30" x14ac:dyDescent="0.25">
      <c r="A202" t="s">
        <v>644</v>
      </c>
      <c r="B202">
        <v>28</v>
      </c>
      <c r="C202" t="s">
        <v>74</v>
      </c>
      <c r="D202" t="s">
        <v>34</v>
      </c>
      <c r="E202" s="9">
        <f>INDEX(Table1[],MATCH(Proj[[#This Row],[Player]],Table1[Player],0),5)</f>
        <v>13.513767287558199</v>
      </c>
      <c r="F202" s="9">
        <f>_xlfn.IFNA(INDEX(Table2[],MATCH(Proj[[#This Row],[Player]],Table2[Player],0),5),0)</f>
        <v>1.1299999999999999</v>
      </c>
      <c r="G202" s="9">
        <f>_xlfn.IFNA(INDEX(Table3[],MATCH(Proj[[#This Row],[Player]],Table3[Player],0),5),0)</f>
        <v>1.05</v>
      </c>
      <c r="H202" s="10">
        <v>80</v>
      </c>
      <c r="I202">
        <v>80</v>
      </c>
      <c r="J202" s="9">
        <v>13.513767287558199</v>
      </c>
      <c r="K202" s="9">
        <v>1.1299999999999999</v>
      </c>
      <c r="L202" s="9">
        <v>1.05</v>
      </c>
      <c r="M202" s="9">
        <f>Proj[[#This Row],[TOI ES]]+Proj[[#This Row],[TOI PP]]+Proj[[#This Row],[TOI PK]]</f>
        <v>15.693767287558199</v>
      </c>
      <c r="N2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202" s="10">
        <f>Proj[[#This Row],[Goals]]+Proj[[#This Row],[Assists]]</f>
        <v>43</v>
      </c>
      <c r="Q202" s="10">
        <f>ROUND(_xlfn.IFNA(INDEX(Table2[],MATCH(Proj[[#This Row],[Player]],Table2[Player],0),11)/60,IF(Proj[[#This Row],[Pos]] = "D", 'Per 60 PP'!$K$527,'Per 60 PP'!$K$526)/60)*Proj[[#This Row],[TOI PP]]*Proj[[#This Row],[GP]],0)</f>
        <v>2</v>
      </c>
      <c r="R202" s="10">
        <f>ROUND(_xlfn.IFNA(INDEX(Table2[],MATCH(Proj[[#This Row],[Player]],Table2[Player],0),7)/60,IF(Proj[[#This Row],[Pos]] = "D", 'Per 60 PP'!$G$527,'Per 60 PP'!$G$526)/60)*Proj[[#This Row],[TOI PP]]*Proj[[#This Row],[GP]],0)</f>
        <v>5</v>
      </c>
      <c r="S202" s="10">
        <f>Proj[[#This Row],[PPG]]+Proj[[#This Row],[PPA]]</f>
        <v>7</v>
      </c>
      <c r="T202">
        <f>ROUND((_xlfn.IFNA(INDEX(Table3[],MATCH(Proj[[#This Row],[Player]],Table3[Player],0),6)/60,IF(Proj[[#This Row],[Pos]] ="D", 'Per 60 PK'!$F$623, 'Per 60 PK'!$F$622)/60)+_xlfn.IFNA(INDEX(Table3[],MATCH(Proj[[#This Row],[Player]],Table3[Player],0),8)/60,IF(Proj[[#This Row],[Pos]] ="D", 'Per 60 PK'!$H$623, 'Per 60 PK'!$H$622)/60))*Proj[[#This Row],[TOI PK]]*Proj[[#This Row],[GP]],0)</f>
        <v>2</v>
      </c>
      <c r="U2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38</v>
      </c>
      <c r="V2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2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2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156</v>
      </c>
      <c r="Y2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200</v>
      </c>
      <c r="Z2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2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-785.887542725721</v>
      </c>
      <c r="AB202" s="10">
        <f>_xlfn.RANK.EQ(Proj[[#This Row],[VOR]],Proj[VOR])</f>
        <v>579</v>
      </c>
      <c r="AC202" s="10">
        <f>INDEX(Std[],MATCH(Proj[[#This Row],[Player]],Std[Player],0),20)</f>
        <v>-51.253688415422452</v>
      </c>
      <c r="AD2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348.55000000000007</v>
      </c>
    </row>
    <row r="203" spans="1:30" x14ac:dyDescent="0.25">
      <c r="A203" t="s">
        <v>649</v>
      </c>
      <c r="B203">
        <v>29</v>
      </c>
      <c r="C203" t="s">
        <v>101</v>
      </c>
      <c r="D203" t="s">
        <v>30</v>
      </c>
      <c r="E203" s="9">
        <f>INDEX(Table1[],MATCH(Proj[[#This Row],[Player]],Table1[Player],0),5)</f>
        <v>12.6566413497934</v>
      </c>
      <c r="F203" s="9">
        <f>_xlfn.IFNA(INDEX(Table2[],MATCH(Proj[[#This Row],[Player]],Table2[Player],0),5),0)</f>
        <v>1.55</v>
      </c>
      <c r="G203" s="9">
        <f>_xlfn.IFNA(INDEX(Table3[],MATCH(Proj[[#This Row],[Player]],Table3[Player],0),5),0)</f>
        <v>0</v>
      </c>
      <c r="H203" s="10">
        <v>79</v>
      </c>
      <c r="I203">
        <v>79</v>
      </c>
      <c r="J203" s="9">
        <v>12.6566413497934</v>
      </c>
      <c r="K203" s="9">
        <v>1.55</v>
      </c>
      <c r="L203" s="9">
        <v>0</v>
      </c>
      <c r="M203" s="9">
        <f>Proj[[#This Row],[TOI ES]]+Proj[[#This Row],[TOI PP]]+Proj[[#This Row],[TOI PK]]</f>
        <v>14.206641349793401</v>
      </c>
      <c r="N2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2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203" s="10">
        <f>Proj[[#This Row],[Goals]]+Proj[[#This Row],[Assists]]</f>
        <v>43</v>
      </c>
      <c r="Q203" s="10">
        <f>ROUND(_xlfn.IFNA(INDEX(Table2[],MATCH(Proj[[#This Row],[Player]],Table2[Player],0),11)/60,IF(Proj[[#This Row],[Pos]] = "D", 'Per 60 PP'!$K$527,'Per 60 PP'!$K$526)/60)*Proj[[#This Row],[TOI PP]]*Proj[[#This Row],[GP]],0)</f>
        <v>2</v>
      </c>
      <c r="R203" s="10">
        <f>ROUND(_xlfn.IFNA(INDEX(Table2[],MATCH(Proj[[#This Row],[Player]],Table2[Player],0),7)/60,IF(Proj[[#This Row],[Pos]] = "D", 'Per 60 PP'!$G$527,'Per 60 PP'!$G$526)/60)*Proj[[#This Row],[TOI PP]]*Proj[[#This Row],[GP]],0)</f>
        <v>4</v>
      </c>
      <c r="S203" s="10">
        <f>Proj[[#This Row],[PPG]]+Proj[[#This Row],[PPA]]</f>
        <v>6</v>
      </c>
      <c r="T203">
        <f>ROUND((_xlfn.IFNA(INDEX(Table3[],MATCH(Proj[[#This Row],[Player]],Table3[Player],0),6)/60,IF(Proj[[#This Row],[Pos]] ="D", 'Per 60 PK'!$F$623, 'Per 60 PK'!$F$622)/60)+_xlfn.IFNA(INDEX(Table3[],MATCH(Proj[[#This Row],[Player]],Table3[Player],0),8)/60,IF(Proj[[#This Row],[Pos]] ="D", 'Per 60 PK'!$H$623, 'Per 60 PK'!$H$622)/60))*Proj[[#This Row],[TOI PK]]*Proj[[#This Row],[GP]],0)</f>
        <v>0</v>
      </c>
      <c r="U2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39</v>
      </c>
      <c r="V2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2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87</v>
      </c>
      <c r="X2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230</v>
      </c>
      <c r="Y2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218</v>
      </c>
      <c r="Z2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131</v>
      </c>
      <c r="AA2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-236.30452925516022</v>
      </c>
      <c r="AB203" s="10">
        <f>_xlfn.RANK.EQ(Proj[[#This Row],[VOR]],Proj[VOR])</f>
        <v>272</v>
      </c>
      <c r="AC203" s="10">
        <f>INDEX(Std[],MATCH(Proj[[#This Row],[Player]],Std[Player],0),20)</f>
        <v>235.24019513508864</v>
      </c>
      <c r="AD2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363.65</v>
      </c>
    </row>
    <row r="204" spans="1:30" x14ac:dyDescent="0.25">
      <c r="A204" t="s">
        <v>1221</v>
      </c>
      <c r="B204">
        <v>20</v>
      </c>
      <c r="C204" t="s">
        <v>74</v>
      </c>
      <c r="D204" t="s">
        <v>154</v>
      </c>
      <c r="E204" s="9">
        <f>INDEX(Table1[],MATCH(Proj[[#This Row],[Player]],Table1[Player],0),5)</f>
        <v>13.75</v>
      </c>
      <c r="F204" s="9">
        <f>_xlfn.IFNA(INDEX(Table2[],MATCH(Proj[[#This Row],[Player]],Table2[Player],0),5),0)</f>
        <v>2.25</v>
      </c>
      <c r="G204" s="9">
        <f>_xlfn.IFNA(INDEX(Table3[],MATCH(Proj[[#This Row],[Player]],Table3[Player],0),5),0)</f>
        <v>0</v>
      </c>
      <c r="H204" s="10">
        <v>75</v>
      </c>
      <c r="I204">
        <v>75</v>
      </c>
      <c r="J204" s="9">
        <v>13.75</v>
      </c>
      <c r="K204" s="9">
        <v>2.25</v>
      </c>
      <c r="L204" s="9">
        <v>0</v>
      </c>
      <c r="M204" s="9">
        <f>Proj[[#This Row],[TOI ES]]+Proj[[#This Row],[TOI PP]]+Proj[[#This Row],[TOI PK]]</f>
        <v>16</v>
      </c>
      <c r="N2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2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04" s="10">
        <f>Proj[[#This Row],[Goals]]+Proj[[#This Row],[Assists]]</f>
        <v>43</v>
      </c>
      <c r="Q204" s="10">
        <f>ROUND(_xlfn.IFNA(INDEX(Table2[],MATCH(Proj[[#This Row],[Player]],Table2[Player],0),11)/60,IF(Proj[[#This Row],[Pos]] = "D", 'Per 60 PP'!$K$527,'Per 60 PP'!$K$526)/60)*Proj[[#This Row],[TOI PP]]*Proj[[#This Row],[GP]],0)</f>
        <v>4</v>
      </c>
      <c r="R204" s="10">
        <f>ROUND(_xlfn.IFNA(INDEX(Table2[],MATCH(Proj[[#This Row],[Player]],Table2[Player],0),7)/60,IF(Proj[[#This Row],[Pos]] = "D", 'Per 60 PP'!$G$527,'Per 60 PP'!$G$526)/60)*Proj[[#This Row],[TOI PP]]*Proj[[#This Row],[GP]],0)</f>
        <v>6</v>
      </c>
      <c r="S204" s="10">
        <f>Proj[[#This Row],[PPG]]+Proj[[#This Row],[PPA]]</f>
        <v>10</v>
      </c>
      <c r="T204">
        <f>ROUND((_xlfn.IFNA(INDEX(Table3[],MATCH(Proj[[#This Row],[Player]],Table3[Player],0),6)/60,IF(Proj[[#This Row],[Pos]] ="D", 'Per 60 PK'!$F$623, 'Per 60 PK'!$F$622)/60)+_xlfn.IFNA(INDEX(Table3[],MATCH(Proj[[#This Row],[Player]],Table3[Player],0),8)/60,IF(Proj[[#This Row],[Pos]] ="D", 'Per 60 PK'!$H$623, 'Per 60 PK'!$H$622)/60))*Proj[[#This Row],[TOI PK]]*Proj[[#This Row],[GP]],0)</f>
        <v>0</v>
      </c>
      <c r="U2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2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2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2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247</v>
      </c>
      <c r="Y2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295</v>
      </c>
      <c r="Z2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2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-511.97886358375956</v>
      </c>
      <c r="AB204" s="10">
        <f>_xlfn.RANK.EQ(Proj[[#This Row],[VOR]],Proj[VOR])</f>
        <v>431</v>
      </c>
      <c r="AC204" s="10">
        <f>INDEX(Std[],MATCH(Proj[[#This Row],[Player]],Std[Player],0),20)</f>
        <v>222.65499072653904</v>
      </c>
      <c r="AD2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393.15</v>
      </c>
    </row>
    <row r="205" spans="1:30" x14ac:dyDescent="0.25">
      <c r="A205" t="s">
        <v>287</v>
      </c>
      <c r="B205">
        <v>26</v>
      </c>
      <c r="C205" t="s">
        <v>3</v>
      </c>
      <c r="D205" t="s">
        <v>29</v>
      </c>
      <c r="E205" s="9">
        <f>INDEX(Table1[],MATCH(Proj[[#This Row],[Player]],Table1[Player],0),5)</f>
        <v>19.3669580032876</v>
      </c>
      <c r="F205" s="9">
        <f>_xlfn.IFNA(INDEX(Table2[],MATCH(Proj[[#This Row],[Player]],Table2[Player],0),5),0)</f>
        <v>2.62</v>
      </c>
      <c r="G205" s="9">
        <f>_xlfn.IFNA(INDEX(Table3[],MATCH(Proj[[#This Row],[Player]],Table3[Player],0),5),0)</f>
        <v>0.44</v>
      </c>
      <c r="H205" s="10">
        <v>79</v>
      </c>
      <c r="I205">
        <v>79</v>
      </c>
      <c r="J205" s="9">
        <v>19.3669580032876</v>
      </c>
      <c r="K205" s="9">
        <v>2.62</v>
      </c>
      <c r="L205" s="9">
        <v>0.44</v>
      </c>
      <c r="M205" s="9">
        <f>Proj[[#This Row],[TOI ES]]+Proj[[#This Row],[TOI PP]]+Proj[[#This Row],[TOI PK]]</f>
        <v>22.426958003287602</v>
      </c>
      <c r="N2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30</v>
      </c>
      <c r="P205" s="10">
        <f>Proj[[#This Row],[Goals]]+Proj[[#This Row],[Assists]]</f>
        <v>43</v>
      </c>
      <c r="Q205" s="10">
        <f>ROUND(_xlfn.IFNA(INDEX(Table2[],MATCH(Proj[[#This Row],[Player]],Table2[Player],0),11)/60,IF(Proj[[#This Row],[Pos]] = "D", 'Per 60 PP'!$K$527,'Per 60 PP'!$K$526)/60)*Proj[[#This Row],[TOI PP]]*Proj[[#This Row],[GP]],0)</f>
        <v>5</v>
      </c>
      <c r="R205" s="10">
        <f>ROUND(_xlfn.IFNA(INDEX(Table2[],MATCH(Proj[[#This Row],[Player]],Table2[Player],0),7)/60,IF(Proj[[#This Row],[Pos]] = "D", 'Per 60 PP'!$G$527,'Per 60 PP'!$G$526)/60)*Proj[[#This Row],[TOI PP]]*Proj[[#This Row],[GP]],0)</f>
        <v>6</v>
      </c>
      <c r="S205" s="10">
        <f>Proj[[#This Row],[PPG]]+Proj[[#This Row],[PPA]]</f>
        <v>11</v>
      </c>
      <c r="T205">
        <f>ROUND((_xlfn.IFNA(INDEX(Table3[],MATCH(Proj[[#This Row],[Player]],Table3[Player],0),6)/60,IF(Proj[[#This Row],[Pos]] ="D", 'Per 60 PK'!$F$623, 'Per 60 PK'!$F$622)/60)+_xlfn.IFNA(INDEX(Table3[],MATCH(Proj[[#This Row],[Player]],Table3[Player],0),8)/60,IF(Proj[[#This Row],[Pos]] ="D", 'Per 60 PK'!$H$623, 'Per 60 PK'!$H$622)/60))*Proj[[#This Row],[TOI PK]]*Proj[[#This Row],[GP]],0)</f>
        <v>0</v>
      </c>
      <c r="U2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69</v>
      </c>
      <c r="V2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142</v>
      </c>
      <c r="W2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62</v>
      </c>
      <c r="X2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203</v>
      </c>
      <c r="AA2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399.91192970404506</v>
      </c>
      <c r="AB205" s="10">
        <f>_xlfn.RANK.EQ(Proj[[#This Row],[VOR]],Proj[VOR])</f>
        <v>65</v>
      </c>
      <c r="AC205" s="10">
        <f>INDEX(Std[],MATCH(Proj[[#This Row],[Player]],Std[Player],0),20)</f>
        <v>507.27669742350957</v>
      </c>
      <c r="AD2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462.9</v>
      </c>
    </row>
    <row r="206" spans="1:30" x14ac:dyDescent="0.25">
      <c r="A206" t="s">
        <v>679</v>
      </c>
      <c r="B206">
        <v>24</v>
      </c>
      <c r="C206" t="s">
        <v>74</v>
      </c>
      <c r="D206" t="s">
        <v>6</v>
      </c>
      <c r="E206" s="9">
        <f>INDEX(Table1[],MATCH(Proj[[#This Row],[Player]],Table1[Player],0),5)</f>
        <v>13.4971900033051</v>
      </c>
      <c r="F206" s="9">
        <f>_xlfn.IFNA(INDEX(Table2[],MATCH(Proj[[#This Row],[Player]],Table2[Player],0),5),0)</f>
        <v>2.84</v>
      </c>
      <c r="G206" s="9">
        <f>_xlfn.IFNA(INDEX(Table3[],MATCH(Proj[[#This Row],[Player]],Table3[Player],0),5),0)</f>
        <v>0</v>
      </c>
      <c r="H206" s="10">
        <v>79</v>
      </c>
      <c r="I206">
        <v>79</v>
      </c>
      <c r="J206" s="9">
        <v>13.4971900033051</v>
      </c>
      <c r="K206" s="9">
        <v>2.84</v>
      </c>
      <c r="L206" s="9">
        <v>0</v>
      </c>
      <c r="M206" s="9">
        <f>Proj[[#This Row],[TOI ES]]+Proj[[#This Row],[TOI PP]]+Proj[[#This Row],[TOI PK]]</f>
        <v>16.3371900033051</v>
      </c>
      <c r="N2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06" s="10">
        <f>Proj[[#This Row],[Goals]]+Proj[[#This Row],[Assists]]</f>
        <v>42</v>
      </c>
      <c r="Q206" s="10">
        <f>ROUND(_xlfn.IFNA(INDEX(Table2[],MATCH(Proj[[#This Row],[Player]],Table2[Player],0),11)/60,IF(Proj[[#This Row],[Pos]] = "D", 'Per 60 PP'!$K$527,'Per 60 PP'!$K$526)/60)*Proj[[#This Row],[TOI PP]]*Proj[[#This Row],[GP]],0)</f>
        <v>4</v>
      </c>
      <c r="R206" s="10">
        <f>ROUND(_xlfn.IFNA(INDEX(Table2[],MATCH(Proj[[#This Row],[Player]],Table2[Player],0),7)/60,IF(Proj[[#This Row],[Pos]] = "D", 'Per 60 PP'!$G$527,'Per 60 PP'!$G$526)/60)*Proj[[#This Row],[TOI PP]]*Proj[[#This Row],[GP]],0)</f>
        <v>6</v>
      </c>
      <c r="S206" s="10">
        <f>Proj[[#This Row],[PPG]]+Proj[[#This Row],[PPA]]</f>
        <v>10</v>
      </c>
      <c r="T206">
        <f>ROUND((_xlfn.IFNA(INDEX(Table3[],MATCH(Proj[[#This Row],[Player]],Table3[Player],0),6)/60,IF(Proj[[#This Row],[Pos]] ="D", 'Per 60 PK'!$F$623, 'Per 60 PK'!$F$622)/60)+_xlfn.IFNA(INDEX(Table3[],MATCH(Proj[[#This Row],[Player]],Table3[Player],0),8)/60,IF(Proj[[#This Row],[Pos]] ="D", 'Per 60 PK'!$H$623, 'Per 60 PK'!$H$622)/60))*Proj[[#This Row],[TOI PK]]*Proj[[#This Row],[GP]],0)</f>
        <v>0</v>
      </c>
      <c r="U2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2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2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285</v>
      </c>
      <c r="Y2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354</v>
      </c>
      <c r="Z2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129</v>
      </c>
      <c r="AA2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-658.86341173799747</v>
      </c>
      <c r="AB206" s="10">
        <f>_xlfn.RANK.EQ(Proj[[#This Row],[VOR]],Proj[VOR])</f>
        <v>503</v>
      </c>
      <c r="AC206" s="10">
        <f>INDEX(Std[],MATCH(Proj[[#This Row],[Player]],Std[Player],0),20)</f>
        <v>75.770442572301093</v>
      </c>
      <c r="AD2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365.80000000000007</v>
      </c>
    </row>
    <row r="207" spans="1:30" x14ac:dyDescent="0.25">
      <c r="A207" t="s">
        <v>384</v>
      </c>
      <c r="B207">
        <v>30</v>
      </c>
      <c r="C207" t="s">
        <v>3</v>
      </c>
      <c r="D207" t="s">
        <v>7</v>
      </c>
      <c r="E207" s="9">
        <f>INDEX(Table1[],MATCH(Proj[[#This Row],[Player]],Table1[Player],0),5)</f>
        <v>18.118992555857599</v>
      </c>
      <c r="F207" s="9">
        <f>_xlfn.IFNA(INDEX(Table2[],MATCH(Proj[[#This Row],[Player]],Table2[Player],0),5),0)</f>
        <v>1.1000000000000001</v>
      </c>
      <c r="G207" s="9">
        <f>_xlfn.IFNA(INDEX(Table3[],MATCH(Proj[[#This Row],[Player]],Table3[Player],0),5),0)</f>
        <v>2.2200000000000002</v>
      </c>
      <c r="H207" s="10">
        <v>81</v>
      </c>
      <c r="I207">
        <v>81</v>
      </c>
      <c r="J207" s="9">
        <v>18.118992555857599</v>
      </c>
      <c r="K207" s="9">
        <v>1.1000000000000001</v>
      </c>
      <c r="L207" s="9">
        <v>2.2200000000000002</v>
      </c>
      <c r="M207" s="9">
        <f>Proj[[#This Row],[TOI ES]]+Proj[[#This Row],[TOI PP]]+Proj[[#This Row],[TOI PK]]</f>
        <v>21.438992555857599</v>
      </c>
      <c r="N2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207" s="10">
        <f>Proj[[#This Row],[Goals]]+Proj[[#This Row],[Assists]]</f>
        <v>42</v>
      </c>
      <c r="Q207" s="10">
        <f>ROUND(_xlfn.IFNA(INDEX(Table2[],MATCH(Proj[[#This Row],[Player]],Table2[Player],0),11)/60,IF(Proj[[#This Row],[Pos]] = "D", 'Per 60 PP'!$K$527,'Per 60 PP'!$K$526)/60)*Proj[[#This Row],[TOI PP]]*Proj[[#This Row],[GP]],0)</f>
        <v>2</v>
      </c>
      <c r="R207" s="10">
        <f>ROUND(_xlfn.IFNA(INDEX(Table2[],MATCH(Proj[[#This Row],[Player]],Table2[Player],0),7)/60,IF(Proj[[#This Row],[Pos]] = "D", 'Per 60 PP'!$G$527,'Per 60 PP'!$G$526)/60)*Proj[[#This Row],[TOI PP]]*Proj[[#This Row],[GP]],0)</f>
        <v>8</v>
      </c>
      <c r="S207" s="10">
        <f>Proj[[#This Row],[PPG]]+Proj[[#This Row],[PPA]]</f>
        <v>10</v>
      </c>
      <c r="T207">
        <f>ROUND((_xlfn.IFNA(INDEX(Table3[],MATCH(Proj[[#This Row],[Player]],Table3[Player],0),6)/60,IF(Proj[[#This Row],[Pos]] ="D", 'Per 60 PK'!$F$623, 'Per 60 PK'!$F$622)/60)+_xlfn.IFNA(INDEX(Table3[],MATCH(Proj[[#This Row],[Player]],Table3[Player],0),8)/60,IF(Proj[[#This Row],[Pos]] ="D", 'Per 60 PK'!$H$623, 'Per 60 PK'!$H$622)/60))*Proj[[#This Row],[TOI PK]]*Proj[[#This Row],[GP]],0)</f>
        <v>3</v>
      </c>
      <c r="U2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2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87</v>
      </c>
      <c r="W2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2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177</v>
      </c>
      <c r="AA2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100.72992963806294</v>
      </c>
      <c r="AB207" s="10">
        <f>_xlfn.RANK.EQ(Proj[[#This Row],[VOR]],Proj[VOR])</f>
        <v>124</v>
      </c>
      <c r="AC207" s="10">
        <f>INDEX(Std[],MATCH(Proj[[#This Row],[Player]],Std[Player],0),20)</f>
        <v>208.09469735752742</v>
      </c>
      <c r="AD2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397.95</v>
      </c>
    </row>
    <row r="208" spans="1:30" x14ac:dyDescent="0.25">
      <c r="A208" t="s">
        <v>284</v>
      </c>
      <c r="B208">
        <v>28</v>
      </c>
      <c r="C208" t="s">
        <v>3</v>
      </c>
      <c r="D208" t="s">
        <v>15</v>
      </c>
      <c r="E208" s="9">
        <f>INDEX(Table1[],MATCH(Proj[[#This Row],[Player]],Table1[Player],0),5)</f>
        <v>19.949462471099199</v>
      </c>
      <c r="F208" s="9">
        <f>_xlfn.IFNA(INDEX(Table2[],MATCH(Proj[[#This Row],[Player]],Table2[Player],0),5),0)</f>
        <v>2.83</v>
      </c>
      <c r="G208" s="9">
        <f>_xlfn.IFNA(INDEX(Table3[],MATCH(Proj[[#This Row],[Player]],Table3[Player],0),5),0)</f>
        <v>0.55000000000000004</v>
      </c>
      <c r="H208" s="10">
        <v>75</v>
      </c>
      <c r="I208">
        <v>75</v>
      </c>
      <c r="J208" s="9">
        <v>19.949462471099199</v>
      </c>
      <c r="K208" s="9">
        <v>2.83</v>
      </c>
      <c r="L208" s="9">
        <v>0.55000000000000004</v>
      </c>
      <c r="M208" s="9">
        <f>Proj[[#This Row],[TOI ES]]+Proj[[#This Row],[TOI PP]]+Proj[[#This Row],[TOI PK]]</f>
        <v>23.329462471099202</v>
      </c>
      <c r="N2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208" s="10">
        <f>Proj[[#This Row],[Goals]]+Proj[[#This Row],[Assists]]</f>
        <v>42</v>
      </c>
      <c r="Q208" s="10">
        <f>ROUND(_xlfn.IFNA(INDEX(Table2[],MATCH(Proj[[#This Row],[Player]],Table2[Player],0),11)/60,IF(Proj[[#This Row],[Pos]] = "D", 'Per 60 PP'!$K$527,'Per 60 PP'!$K$526)/60)*Proj[[#This Row],[TOI PP]]*Proj[[#This Row],[GP]],0)</f>
        <v>2</v>
      </c>
      <c r="R208" s="10">
        <f>ROUND(_xlfn.IFNA(INDEX(Table2[],MATCH(Proj[[#This Row],[Player]],Table2[Player],0),7)/60,IF(Proj[[#This Row],[Pos]] = "D", 'Per 60 PP'!$G$527,'Per 60 PP'!$G$526)/60)*Proj[[#This Row],[TOI PP]]*Proj[[#This Row],[GP]],0)</f>
        <v>10</v>
      </c>
      <c r="S208" s="10">
        <f>Proj[[#This Row],[PPG]]+Proj[[#This Row],[PPA]]</f>
        <v>12</v>
      </c>
      <c r="T208">
        <f>ROUND((_xlfn.IFNA(INDEX(Table3[],MATCH(Proj[[#This Row],[Player]],Table3[Player],0),6)/60,IF(Proj[[#This Row],[Pos]] ="D", 'Per 60 PK'!$F$623, 'Per 60 PK'!$F$622)/60)+_xlfn.IFNA(INDEX(Table3[],MATCH(Proj[[#This Row],[Player]],Table3[Player],0),8)/60,IF(Proj[[#This Row],[Pos]] ="D", 'Per 60 PK'!$H$623, 'Per 60 PK'!$H$622)/60))*Proj[[#This Row],[TOI PK]]*Proj[[#This Row],[GP]],0)</f>
        <v>0</v>
      </c>
      <c r="U2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2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132</v>
      </c>
      <c r="W2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2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167</v>
      </c>
      <c r="AA2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194.05304057307561</v>
      </c>
      <c r="AB208" s="10">
        <f>_xlfn.RANK.EQ(Proj[[#This Row],[VOR]],Proj[VOR])</f>
        <v>108</v>
      </c>
      <c r="AC208" s="10">
        <f>INDEX(Std[],MATCH(Proj[[#This Row],[Player]],Std[Player],0),20)</f>
        <v>301.41780829254009</v>
      </c>
      <c r="AD2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420.95</v>
      </c>
    </row>
    <row r="209" spans="1:30" x14ac:dyDescent="0.25">
      <c r="A209" t="s">
        <v>431</v>
      </c>
      <c r="B209">
        <v>28</v>
      </c>
      <c r="C209" t="s">
        <v>3</v>
      </c>
      <c r="D209" t="s">
        <v>31</v>
      </c>
      <c r="E209" s="9">
        <f>INDEX(Table1[],MATCH(Proj[[#This Row],[Player]],Table1[Player],0),5)</f>
        <v>18.227453729293</v>
      </c>
      <c r="F209" s="9">
        <f>_xlfn.IFNA(INDEX(Table2[],MATCH(Proj[[#This Row],[Player]],Table2[Player],0),5),0)</f>
        <v>1.25</v>
      </c>
      <c r="G209" s="9">
        <f>_xlfn.IFNA(INDEX(Table3[],MATCH(Proj[[#This Row],[Player]],Table3[Player],0),5),0)</f>
        <v>3.32</v>
      </c>
      <c r="H209" s="10">
        <v>80</v>
      </c>
      <c r="I209">
        <v>80</v>
      </c>
      <c r="J209" s="9">
        <v>18.227453729293</v>
      </c>
      <c r="K209" s="9">
        <v>1.25</v>
      </c>
      <c r="L209" s="9">
        <v>3.32</v>
      </c>
      <c r="M209" s="9">
        <f>Proj[[#This Row],[TOI ES]]+Proj[[#This Row],[TOI PP]]+Proj[[#This Row],[TOI PK]]</f>
        <v>22.797453729293</v>
      </c>
      <c r="N2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2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209" s="10">
        <f>Proj[[#This Row],[Goals]]+Proj[[#This Row],[Assists]]</f>
        <v>42</v>
      </c>
      <c r="Q209" s="10">
        <f>ROUND(_xlfn.IFNA(INDEX(Table2[],MATCH(Proj[[#This Row],[Player]],Table2[Player],0),11)/60,IF(Proj[[#This Row],[Pos]] = "D", 'Per 60 PP'!$K$527,'Per 60 PP'!$K$526)/60)*Proj[[#This Row],[TOI PP]]*Proj[[#This Row],[GP]],0)</f>
        <v>1</v>
      </c>
      <c r="R209" s="10">
        <f>ROUND(_xlfn.IFNA(INDEX(Table2[],MATCH(Proj[[#This Row],[Player]],Table2[Player],0),7)/60,IF(Proj[[#This Row],[Pos]] = "D", 'Per 60 PP'!$G$527,'Per 60 PP'!$G$526)/60)*Proj[[#This Row],[TOI PP]]*Proj[[#This Row],[GP]],0)</f>
        <v>4</v>
      </c>
      <c r="S209" s="10">
        <f>Proj[[#This Row],[PPG]]+Proj[[#This Row],[PPA]]</f>
        <v>5</v>
      </c>
      <c r="T209">
        <f>ROUND((_xlfn.IFNA(INDEX(Table3[],MATCH(Proj[[#This Row],[Player]],Table3[Player],0),6)/60,IF(Proj[[#This Row],[Pos]] ="D", 'Per 60 PK'!$F$623, 'Per 60 PK'!$F$622)/60)+_xlfn.IFNA(INDEX(Table3[],MATCH(Proj[[#This Row],[Player]],Table3[Player],0),8)/60,IF(Proj[[#This Row],[Pos]] ="D", 'Per 60 PK'!$H$623, 'Per 60 PK'!$H$622)/60))*Proj[[#This Row],[TOI PK]]*Proj[[#This Row],[GP]],0)</f>
        <v>1</v>
      </c>
      <c r="U2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88</v>
      </c>
      <c r="V2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116</v>
      </c>
      <c r="W2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37</v>
      </c>
      <c r="X2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172</v>
      </c>
      <c r="AA2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122.99268517554</v>
      </c>
      <c r="AB209" s="10">
        <f>_xlfn.RANK.EQ(Proj[[#This Row],[VOR]],Proj[VOR])</f>
        <v>120</v>
      </c>
      <c r="AC209" s="10">
        <f>INDEX(Std[],MATCH(Proj[[#This Row],[Player]],Std[Player],0),20)</f>
        <v>230.35745289500449</v>
      </c>
      <c r="AD2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419.2</v>
      </c>
    </row>
    <row r="210" spans="1:30" x14ac:dyDescent="0.25">
      <c r="A210" t="s">
        <v>327</v>
      </c>
      <c r="B210">
        <v>36</v>
      </c>
      <c r="C210" t="s">
        <v>104</v>
      </c>
      <c r="D210" t="s">
        <v>15</v>
      </c>
      <c r="E210" s="9">
        <f>INDEX(Table1[],MATCH(Proj[[#This Row],[Player]],Table1[Player],0),5)</f>
        <v>12.8638906615613</v>
      </c>
      <c r="F210" s="9">
        <f>_xlfn.IFNA(INDEX(Table2[],MATCH(Proj[[#This Row],[Player]],Table2[Player],0),5),0)</f>
        <v>1.5</v>
      </c>
      <c r="G210" s="9">
        <f>_xlfn.IFNA(INDEX(Table3[],MATCH(Proj[[#This Row],[Player]],Table3[Player],0),5),0)</f>
        <v>0</v>
      </c>
      <c r="H210" s="10">
        <v>80</v>
      </c>
      <c r="I210">
        <v>80</v>
      </c>
      <c r="J210" s="9">
        <v>12.8638906615613</v>
      </c>
      <c r="K210" s="9">
        <v>1.5</v>
      </c>
      <c r="L210" s="9">
        <v>0</v>
      </c>
      <c r="M210" s="9">
        <f>Proj[[#This Row],[TOI ES]]+Proj[[#This Row],[TOI PP]]+Proj[[#This Row],[TOI PK]]</f>
        <v>14.3638906615613</v>
      </c>
      <c r="N2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10" s="10">
        <f>Proj[[#This Row],[Goals]]+Proj[[#This Row],[Assists]]</f>
        <v>42</v>
      </c>
      <c r="Q210" s="10">
        <f>ROUND(_xlfn.IFNA(INDEX(Table2[],MATCH(Proj[[#This Row],[Player]],Table2[Player],0),11)/60,IF(Proj[[#This Row],[Pos]] = "D", 'Per 60 PP'!$K$527,'Per 60 PP'!$K$526)/60)*Proj[[#This Row],[TOI PP]]*Proj[[#This Row],[GP]],0)</f>
        <v>4</v>
      </c>
      <c r="R210" s="10">
        <f>ROUND(_xlfn.IFNA(INDEX(Table2[],MATCH(Proj[[#This Row],[Player]],Table2[Player],0),7)/60,IF(Proj[[#This Row],[Pos]] = "D", 'Per 60 PP'!$G$527,'Per 60 PP'!$G$526)/60)*Proj[[#This Row],[TOI PP]]*Proj[[#This Row],[GP]],0)</f>
        <v>7</v>
      </c>
      <c r="S210" s="10">
        <f>Proj[[#This Row],[PPG]]+Proj[[#This Row],[PPA]]</f>
        <v>11</v>
      </c>
      <c r="T210">
        <f>ROUND((_xlfn.IFNA(INDEX(Table3[],MATCH(Proj[[#This Row],[Player]],Table3[Player],0),6)/60,IF(Proj[[#This Row],[Pos]] ="D", 'Per 60 PK'!$F$623, 'Per 60 PK'!$F$622)/60)+_xlfn.IFNA(INDEX(Table3[],MATCH(Proj[[#This Row],[Player]],Table3[Player],0),8)/60,IF(Proj[[#This Row],[Pos]] ="D", 'Per 60 PK'!$H$623, 'Per 60 PK'!$H$622)/60))*Proj[[#This Row],[TOI PK]]*Proj[[#This Row],[GP]],0)</f>
        <v>0</v>
      </c>
      <c r="U2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98</v>
      </c>
      <c r="V2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26</v>
      </c>
      <c r="W2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2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v>
      </c>
      <c r="Y2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2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141</v>
      </c>
      <c r="AA2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-304.10367522431227</v>
      </c>
      <c r="AB210" s="10">
        <f>_xlfn.RANK.EQ(Proj[[#This Row],[VOR]],Proj[VOR])</f>
        <v>311</v>
      </c>
      <c r="AC210" s="10">
        <f>INDEX(Std[],MATCH(Proj[[#This Row],[Player]],Std[Player],0),20)</f>
        <v>142.44104916593662</v>
      </c>
      <c r="AD2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376.95000000000005</v>
      </c>
    </row>
    <row r="211" spans="1:30" x14ac:dyDescent="0.25">
      <c r="A211" t="s">
        <v>597</v>
      </c>
      <c r="B211">
        <v>30</v>
      </c>
      <c r="C211" t="s">
        <v>103</v>
      </c>
      <c r="D211" t="s">
        <v>29</v>
      </c>
      <c r="E211" s="9">
        <f>INDEX(Table1[],MATCH(Proj[[#This Row],[Player]],Table1[Player],0),5)</f>
        <v>14.104804876916701</v>
      </c>
      <c r="F211" s="9">
        <f>_xlfn.IFNA(INDEX(Table2[],MATCH(Proj[[#This Row],[Player]],Table2[Player],0),5),0)</f>
        <v>2.0299999999999998</v>
      </c>
      <c r="G211" s="9">
        <f>_xlfn.IFNA(INDEX(Table3[],MATCH(Proj[[#This Row],[Player]],Table3[Player],0),5),0)</f>
        <v>1.73</v>
      </c>
      <c r="H211" s="10">
        <v>74</v>
      </c>
      <c r="I211">
        <v>74</v>
      </c>
      <c r="J211" s="9">
        <v>14.104804876916701</v>
      </c>
      <c r="K211" s="9">
        <v>2.0299999999999998</v>
      </c>
      <c r="L211" s="9">
        <v>1.73</v>
      </c>
      <c r="M211" s="9">
        <f>Proj[[#This Row],[TOI ES]]+Proj[[#This Row],[TOI PP]]+Proj[[#This Row],[TOI PK]]</f>
        <v>17.8648048769167</v>
      </c>
      <c r="N2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2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11" s="10">
        <f>Proj[[#This Row],[Goals]]+Proj[[#This Row],[Assists]]</f>
        <v>42</v>
      </c>
      <c r="Q211" s="10">
        <f>ROUND(_xlfn.IFNA(INDEX(Table2[],MATCH(Proj[[#This Row],[Player]],Table2[Player],0),11)/60,IF(Proj[[#This Row],[Pos]] = "D", 'Per 60 PP'!$K$527,'Per 60 PP'!$K$526)/60)*Proj[[#This Row],[TOI PP]]*Proj[[#This Row],[GP]],0)</f>
        <v>6</v>
      </c>
      <c r="R211" s="10">
        <f>ROUND(_xlfn.IFNA(INDEX(Table2[],MATCH(Proj[[#This Row],[Player]],Table2[Player],0),7)/60,IF(Proj[[#This Row],[Pos]] = "D", 'Per 60 PP'!$G$527,'Per 60 PP'!$G$526)/60)*Proj[[#This Row],[TOI PP]]*Proj[[#This Row],[GP]],0)</f>
        <v>5</v>
      </c>
      <c r="S211" s="10">
        <f>Proj[[#This Row],[PPG]]+Proj[[#This Row],[PPA]]</f>
        <v>11</v>
      </c>
      <c r="T211">
        <f>ROUND((_xlfn.IFNA(INDEX(Table3[],MATCH(Proj[[#This Row],[Player]],Table3[Player],0),6)/60,IF(Proj[[#This Row],[Pos]] ="D", 'Per 60 PK'!$F$623, 'Per 60 PK'!$F$622)/60)+_xlfn.IFNA(INDEX(Table3[],MATCH(Proj[[#This Row],[Player]],Table3[Player],0),8)/60,IF(Proj[[#This Row],[Pos]] ="D", 'Per 60 PK'!$H$623, 'Per 60 PK'!$H$622)/60))*Proj[[#This Row],[TOI PK]]*Proj[[#This Row],[GP]],0)</f>
        <v>1</v>
      </c>
      <c r="U2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198</v>
      </c>
      <c r="V2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2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134</v>
      </c>
      <c r="X2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v>
      </c>
      <c r="Y2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v>
      </c>
      <c r="Z2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2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439.15313784404617</v>
      </c>
      <c r="AB211" s="10">
        <f>_xlfn.RANK.EQ(Proj[[#This Row],[VOR]],Proj[VOR])</f>
        <v>56</v>
      </c>
      <c r="AC211" s="10">
        <f>INDEX(Std[],MATCH(Proj[[#This Row],[Player]],Std[Player],0),20)</f>
        <v>885.69786223429503</v>
      </c>
      <c r="AD2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514.30000000000007</v>
      </c>
    </row>
    <row r="212" spans="1:30" x14ac:dyDescent="0.25">
      <c r="A212" t="s">
        <v>489</v>
      </c>
      <c r="B212">
        <v>33</v>
      </c>
      <c r="C212" t="s">
        <v>3</v>
      </c>
      <c r="D212" t="s">
        <v>5</v>
      </c>
      <c r="E212" s="9">
        <f>INDEX(Table1[],MATCH(Proj[[#This Row],[Player]],Table1[Player],0),5)</f>
        <v>18.889046694742401</v>
      </c>
      <c r="F212" s="9">
        <f>_xlfn.IFNA(INDEX(Table2[],MATCH(Proj[[#This Row],[Player]],Table2[Player],0),5),0)</f>
        <v>2.33</v>
      </c>
      <c r="G212" s="9">
        <f>_xlfn.IFNA(INDEX(Table3[],MATCH(Proj[[#This Row],[Player]],Table3[Player],0),5),0)</f>
        <v>2.92</v>
      </c>
      <c r="H212" s="10">
        <v>82</v>
      </c>
      <c r="I212">
        <v>82</v>
      </c>
      <c r="J212" s="9">
        <v>18.889046694742401</v>
      </c>
      <c r="K212" s="9">
        <v>2.33</v>
      </c>
      <c r="L212" s="9">
        <v>2.92</v>
      </c>
      <c r="M212" s="9">
        <f>Proj[[#This Row],[TOI ES]]+Proj[[#This Row],[TOI PP]]+Proj[[#This Row],[TOI PK]]</f>
        <v>24.139046694742404</v>
      </c>
      <c r="N2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2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212" s="10">
        <f>Proj[[#This Row],[Goals]]+Proj[[#This Row],[Assists]]</f>
        <v>41</v>
      </c>
      <c r="Q212" s="10">
        <f>ROUND(_xlfn.IFNA(INDEX(Table2[],MATCH(Proj[[#This Row],[Player]],Table2[Player],0),11)/60,IF(Proj[[#This Row],[Pos]] = "D", 'Per 60 PP'!$K$527,'Per 60 PP'!$K$526)/60)*Proj[[#This Row],[TOI PP]]*Proj[[#This Row],[GP]],0)</f>
        <v>3</v>
      </c>
      <c r="R212" s="10">
        <f>ROUND(_xlfn.IFNA(INDEX(Table2[],MATCH(Proj[[#This Row],[Player]],Table2[Player],0),7)/60,IF(Proj[[#This Row],[Pos]] = "D", 'Per 60 PP'!$G$527,'Per 60 PP'!$G$526)/60)*Proj[[#This Row],[TOI PP]]*Proj[[#This Row],[GP]],0)</f>
        <v>13</v>
      </c>
      <c r="S212" s="10">
        <f>Proj[[#This Row],[PPG]]+Proj[[#This Row],[PPA]]</f>
        <v>16</v>
      </c>
      <c r="T212">
        <f>ROUND((_xlfn.IFNA(INDEX(Table3[],MATCH(Proj[[#This Row],[Player]],Table3[Player],0),6)/60,IF(Proj[[#This Row],[Pos]] ="D", 'Per 60 PK'!$F$623, 'Per 60 PK'!$F$622)/60)+_xlfn.IFNA(INDEX(Table3[],MATCH(Proj[[#This Row],[Player]],Table3[Player],0),8)/60,IF(Proj[[#This Row],[Pos]] ="D", 'Per 60 PK'!$H$623, 'Per 60 PK'!$H$622)/60))*Proj[[#This Row],[TOI PK]]*Proj[[#This Row],[GP]],0)</f>
        <v>1</v>
      </c>
      <c r="U2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2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124</v>
      </c>
      <c r="W2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2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115</v>
      </c>
      <c r="AA2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-31.891335426807416</v>
      </c>
      <c r="AB212" s="10">
        <f>_xlfn.RANK.EQ(Proj[[#This Row],[VOR]],Proj[VOR])</f>
        <v>178</v>
      </c>
      <c r="AC212" s="10">
        <f>INDEX(Std[],MATCH(Proj[[#This Row],[Player]],Std[Player],0),20)</f>
        <v>75.473432292657066</v>
      </c>
      <c r="AD2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359.69999999999993</v>
      </c>
    </row>
    <row r="213" spans="1:30" x14ac:dyDescent="0.25">
      <c r="A213" t="s">
        <v>1071</v>
      </c>
      <c r="B213">
        <v>21</v>
      </c>
      <c r="C213" t="s">
        <v>3</v>
      </c>
      <c r="D213" t="s">
        <v>155</v>
      </c>
      <c r="E213" s="9">
        <f>INDEX(Table1[],MATCH(Proj[[#This Row],[Player]],Table1[Player],0),5)</f>
        <v>17.25</v>
      </c>
      <c r="F213" s="9">
        <f>_xlfn.IFNA(INDEX(Table2[],MATCH(Proj[[#This Row],[Player]],Table2[Player],0),5),0)</f>
        <v>2.25</v>
      </c>
      <c r="G213" s="9">
        <f>_xlfn.IFNA(INDEX(Table3[],MATCH(Proj[[#This Row],[Player]],Table3[Player],0),5),0)</f>
        <v>0</v>
      </c>
      <c r="H213" s="10">
        <v>77</v>
      </c>
      <c r="I213">
        <v>77</v>
      </c>
      <c r="J213" s="9">
        <v>17.25</v>
      </c>
      <c r="K213" s="9">
        <v>2.25</v>
      </c>
      <c r="L213" s="9">
        <v>0</v>
      </c>
      <c r="M213" s="9">
        <f>Proj[[#This Row],[TOI ES]]+Proj[[#This Row],[TOI PP]]+Proj[[#This Row],[TOI PK]]</f>
        <v>19.5</v>
      </c>
      <c r="N2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2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213" s="10">
        <f>Proj[[#This Row],[Goals]]+Proj[[#This Row],[Assists]]</f>
        <v>41</v>
      </c>
      <c r="Q213" s="10">
        <f>ROUND(_xlfn.IFNA(INDEX(Table2[],MATCH(Proj[[#This Row],[Player]],Table2[Player],0),11)/60,IF(Proj[[#This Row],[Pos]] = "D", 'Per 60 PP'!$K$527,'Per 60 PP'!$K$526)/60)*Proj[[#This Row],[TOI PP]]*Proj[[#This Row],[GP]],0)</f>
        <v>2</v>
      </c>
      <c r="R213" s="10">
        <f>ROUND(_xlfn.IFNA(INDEX(Table2[],MATCH(Proj[[#This Row],[Player]],Table2[Player],0),7)/60,IF(Proj[[#This Row],[Pos]] = "D", 'Per 60 PP'!$G$527,'Per 60 PP'!$G$526)/60)*Proj[[#This Row],[TOI PP]]*Proj[[#This Row],[GP]],0)</f>
        <v>11</v>
      </c>
      <c r="S213" s="10">
        <f>Proj[[#This Row],[PPG]]+Proj[[#This Row],[PPA]]</f>
        <v>13</v>
      </c>
      <c r="T213">
        <f>ROUND((_xlfn.IFNA(INDEX(Table3[],MATCH(Proj[[#This Row],[Player]],Table3[Player],0),6)/60,IF(Proj[[#This Row],[Pos]] ="D", 'Per 60 PK'!$F$623, 'Per 60 PK'!$F$622)/60)+_xlfn.IFNA(INDEX(Table3[],MATCH(Proj[[#This Row],[Player]],Table3[Player],0),8)/60,IF(Proj[[#This Row],[Pos]] ="D", 'Per 60 PK'!$H$623, 'Per 60 PK'!$H$622)/60))*Proj[[#This Row],[TOI PK]]*Proj[[#This Row],[GP]],0)</f>
        <v>0</v>
      </c>
      <c r="U2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2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146</v>
      </c>
      <c r="W2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56</v>
      </c>
      <c r="X2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175</v>
      </c>
      <c r="AA2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290.97855712391095</v>
      </c>
      <c r="AB213" s="10">
        <f>_xlfn.RANK.EQ(Proj[[#This Row],[VOR]],Proj[VOR])</f>
        <v>81</v>
      </c>
      <c r="AC213" s="10">
        <f>INDEX(Std[],MATCH(Proj[[#This Row],[Player]],Std[Player],0),20)</f>
        <v>398.34332484337546</v>
      </c>
      <c r="AD2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428.44999999999993</v>
      </c>
    </row>
    <row r="214" spans="1:30" x14ac:dyDescent="0.25">
      <c r="A214" t="s">
        <v>282</v>
      </c>
      <c r="B214">
        <v>35</v>
      </c>
      <c r="C214" t="s">
        <v>3</v>
      </c>
      <c r="D214" t="s">
        <v>28</v>
      </c>
      <c r="E214" s="9">
        <f>INDEX(Table1[],MATCH(Proj[[#This Row],[Player]],Table1[Player],0),5)</f>
        <v>18.490861820879498</v>
      </c>
      <c r="F214" s="9">
        <f>_xlfn.IFNA(INDEX(Table2[],MATCH(Proj[[#This Row],[Player]],Table2[Player],0),5),0)</f>
        <v>2</v>
      </c>
      <c r="G214" s="9">
        <f>_xlfn.IFNA(INDEX(Table3[],MATCH(Proj[[#This Row],[Player]],Table3[Player],0),5),0)</f>
        <v>2.63</v>
      </c>
      <c r="H214" s="10">
        <v>77</v>
      </c>
      <c r="I214">
        <v>77</v>
      </c>
      <c r="J214" s="9">
        <v>18.490861820879498</v>
      </c>
      <c r="K214" s="9">
        <v>2</v>
      </c>
      <c r="L214" s="9">
        <v>2.63</v>
      </c>
      <c r="M214" s="9">
        <f>Proj[[#This Row],[TOI ES]]+Proj[[#This Row],[TOI PP]]+Proj[[#This Row],[TOI PK]]</f>
        <v>23.120861820879497</v>
      </c>
      <c r="N2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2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33</v>
      </c>
      <c r="P214" s="10">
        <f>Proj[[#This Row],[Goals]]+Proj[[#This Row],[Assists]]</f>
        <v>41</v>
      </c>
      <c r="Q214" s="10">
        <f>ROUND(_xlfn.IFNA(INDEX(Table2[],MATCH(Proj[[#This Row],[Player]],Table2[Player],0),11)/60,IF(Proj[[#This Row],[Pos]] = "D", 'Per 60 PP'!$K$527,'Per 60 PP'!$K$526)/60)*Proj[[#This Row],[TOI PP]]*Proj[[#This Row],[GP]],0)</f>
        <v>2</v>
      </c>
      <c r="R214" s="10">
        <f>ROUND(_xlfn.IFNA(INDEX(Table2[],MATCH(Proj[[#This Row],[Player]],Table2[Player],0),7)/60,IF(Proj[[#This Row],[Pos]] = "D", 'Per 60 PP'!$G$527,'Per 60 PP'!$G$526)/60)*Proj[[#This Row],[TOI PP]]*Proj[[#This Row],[GP]],0)</f>
        <v>9</v>
      </c>
      <c r="S214" s="10">
        <f>Proj[[#This Row],[PPG]]+Proj[[#This Row],[PPA]]</f>
        <v>11</v>
      </c>
      <c r="T214">
        <f>ROUND((_xlfn.IFNA(INDEX(Table3[],MATCH(Proj[[#This Row],[Player]],Table3[Player],0),6)/60,IF(Proj[[#This Row],[Pos]] ="D", 'Per 60 PK'!$F$623, 'Per 60 PK'!$F$622)/60)+_xlfn.IFNA(INDEX(Table3[],MATCH(Proj[[#This Row],[Player]],Table3[Player],0),8)/60,IF(Proj[[#This Row],[Pos]] ="D", 'Per 60 PK'!$H$623, 'Per 60 PK'!$H$622)/60))*Proj[[#This Row],[TOI PK]]*Proj[[#This Row],[GP]],0)</f>
        <v>1</v>
      </c>
      <c r="U2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2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186</v>
      </c>
      <c r="W2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2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2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220.27368604003701</v>
      </c>
      <c r="AB214" s="10">
        <f>_xlfn.RANK.EQ(Proj[[#This Row],[VOR]],Proj[VOR])</f>
        <v>97</v>
      </c>
      <c r="AC214" s="10">
        <f>INDEX(Std[],MATCH(Proj[[#This Row],[Player]],Std[Player],0),20)</f>
        <v>327.63845375950149</v>
      </c>
      <c r="AD2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433.04999999999995</v>
      </c>
    </row>
    <row r="215" spans="1:30" x14ac:dyDescent="0.25">
      <c r="A215" t="s">
        <v>296</v>
      </c>
      <c r="B215">
        <v>32</v>
      </c>
      <c r="C215" t="s">
        <v>3</v>
      </c>
      <c r="D215" t="s">
        <v>14</v>
      </c>
      <c r="E215" s="9">
        <f>INDEX(Table1[],MATCH(Proj[[#This Row],[Player]],Table1[Player],0),5)</f>
        <v>18.645981037614298</v>
      </c>
      <c r="F215" s="9">
        <f>_xlfn.IFNA(INDEX(Table2[],MATCH(Proj[[#This Row],[Player]],Table2[Player],0),5),0)</f>
        <v>1.93</v>
      </c>
      <c r="G215" s="9">
        <f>_xlfn.IFNA(INDEX(Table3[],MATCH(Proj[[#This Row],[Player]],Table3[Player],0),5),0)</f>
        <v>1.61</v>
      </c>
      <c r="H215" s="10">
        <v>78</v>
      </c>
      <c r="I215">
        <v>78</v>
      </c>
      <c r="J215" s="9">
        <v>18.645981037614298</v>
      </c>
      <c r="K215" s="9">
        <v>1.93</v>
      </c>
      <c r="L215" s="9">
        <v>1.61</v>
      </c>
      <c r="M215" s="9">
        <f>Proj[[#This Row],[TOI ES]]+Proj[[#This Row],[TOI PP]]+Proj[[#This Row],[TOI PK]]</f>
        <v>22.185981037614297</v>
      </c>
      <c r="N2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2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215" s="10">
        <f>Proj[[#This Row],[Goals]]+Proj[[#This Row],[Assists]]</f>
        <v>41</v>
      </c>
      <c r="Q215" s="10">
        <f>ROUND(_xlfn.IFNA(INDEX(Table2[],MATCH(Proj[[#This Row],[Player]],Table2[Player],0),11)/60,IF(Proj[[#This Row],[Pos]] = "D", 'Per 60 PP'!$K$527,'Per 60 PP'!$K$526)/60)*Proj[[#This Row],[TOI PP]]*Proj[[#This Row],[GP]],0)</f>
        <v>2</v>
      </c>
      <c r="R215" s="10">
        <f>ROUND(_xlfn.IFNA(INDEX(Table2[],MATCH(Proj[[#This Row],[Player]],Table2[Player],0),7)/60,IF(Proj[[#This Row],[Pos]] = "D", 'Per 60 PP'!$G$527,'Per 60 PP'!$G$526)/60)*Proj[[#This Row],[TOI PP]]*Proj[[#This Row],[GP]],0)</f>
        <v>6</v>
      </c>
      <c r="S215" s="10">
        <f>Proj[[#This Row],[PPG]]+Proj[[#This Row],[PPA]]</f>
        <v>8</v>
      </c>
      <c r="T215">
        <f>ROUND((_xlfn.IFNA(INDEX(Table3[],MATCH(Proj[[#This Row],[Player]],Table3[Player],0),6)/60,IF(Proj[[#This Row],[Pos]] ="D", 'Per 60 PK'!$F$623, 'Per 60 PK'!$F$622)/60)+_xlfn.IFNA(INDEX(Table3[],MATCH(Proj[[#This Row],[Player]],Table3[Player],0),8)/60,IF(Proj[[#This Row],[Pos]] ="D", 'Per 60 PK'!$H$623, 'Per 60 PK'!$H$622)/60))*Proj[[#This Row],[TOI PK]]*Proj[[#This Row],[GP]],0)</f>
        <v>1</v>
      </c>
      <c r="U2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102</v>
      </c>
      <c r="V2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133</v>
      </c>
      <c r="W2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2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162</v>
      </c>
      <c r="AA2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218.63063479133419</v>
      </c>
      <c r="AB215" s="10">
        <f>_xlfn.RANK.EQ(Proj[[#This Row],[VOR]],Proj[VOR])</f>
        <v>98</v>
      </c>
      <c r="AC215" s="10">
        <f>INDEX(Std[],MATCH(Proj[[#This Row],[Player]],Std[Player],0),20)</f>
        <v>325.99540251079867</v>
      </c>
      <c r="AD2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432.7</v>
      </c>
    </row>
    <row r="216" spans="1:30" x14ac:dyDescent="0.25">
      <c r="A216" t="s">
        <v>1215</v>
      </c>
      <c r="B216">
        <v>25</v>
      </c>
      <c r="C216" t="s">
        <v>103</v>
      </c>
      <c r="D216" t="s">
        <v>11</v>
      </c>
      <c r="E216" s="9">
        <f>INDEX(Table1[],MATCH(Proj[[#This Row],[Player]],Table1[Player],0),5)</f>
        <v>13.5</v>
      </c>
      <c r="F216" s="9">
        <f>_xlfn.IFNA(INDEX(Table2[],MATCH(Proj[[#This Row],[Player]],Table2[Player],0),5),0)</f>
        <v>1.35</v>
      </c>
      <c r="G216" s="9">
        <f>_xlfn.IFNA(INDEX(Table3[],MATCH(Proj[[#This Row],[Player]],Table3[Player],0),5),0)</f>
        <v>0</v>
      </c>
      <c r="H216" s="10">
        <v>76</v>
      </c>
      <c r="I216">
        <v>76</v>
      </c>
      <c r="J216" s="9">
        <v>13.5</v>
      </c>
      <c r="K216" s="9">
        <v>1.35</v>
      </c>
      <c r="L216" s="9">
        <v>0</v>
      </c>
      <c r="M216" s="9">
        <f>Proj[[#This Row],[TOI ES]]+Proj[[#This Row],[TOI PP]]+Proj[[#This Row],[TOI PK]]</f>
        <v>14.85</v>
      </c>
      <c r="N2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216" s="10">
        <f>Proj[[#This Row],[Goals]]+Proj[[#This Row],[Assists]]</f>
        <v>41</v>
      </c>
      <c r="Q216" s="10">
        <f>ROUND(_xlfn.IFNA(INDEX(Table2[],MATCH(Proj[[#This Row],[Player]],Table2[Player],0),11)/60,IF(Proj[[#This Row],[Pos]] = "D", 'Per 60 PP'!$K$527,'Per 60 PP'!$K$526)/60)*Proj[[#This Row],[TOI PP]]*Proj[[#This Row],[GP]],0)</f>
        <v>3</v>
      </c>
      <c r="R216" s="10">
        <f>ROUND(_xlfn.IFNA(INDEX(Table2[],MATCH(Proj[[#This Row],[Player]],Table2[Player],0),7)/60,IF(Proj[[#This Row],[Pos]] = "D", 'Per 60 PP'!$G$527,'Per 60 PP'!$G$526)/60)*Proj[[#This Row],[TOI PP]]*Proj[[#This Row],[GP]],0)</f>
        <v>4</v>
      </c>
      <c r="S216" s="10">
        <f>Proj[[#This Row],[PPG]]+Proj[[#This Row],[PPA]]</f>
        <v>7</v>
      </c>
      <c r="T216">
        <f>ROUND((_xlfn.IFNA(INDEX(Table3[],MATCH(Proj[[#This Row],[Player]],Table3[Player],0),6)/60,IF(Proj[[#This Row],[Pos]] ="D", 'Per 60 PK'!$F$623, 'Per 60 PK'!$F$622)/60)+_xlfn.IFNA(INDEX(Table3[],MATCH(Proj[[#This Row],[Player]],Table3[Player],0),8)/60,IF(Proj[[#This Row],[Pos]] ="D", 'Per 60 PK'!$H$623, 'Per 60 PK'!$H$622)/60))*Proj[[#This Row],[TOI PK]]*Proj[[#This Row],[GP]],0)</f>
        <v>0</v>
      </c>
      <c r="U2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113</v>
      </c>
      <c r="V2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2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2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32</v>
      </c>
      <c r="Y2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36</v>
      </c>
      <c r="Z2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2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-364.27625719800102</v>
      </c>
      <c r="AB216" s="10">
        <f>_xlfn.RANK.EQ(Proj[[#This Row],[VOR]],Proj[VOR])</f>
        <v>355</v>
      </c>
      <c r="AC216" s="10">
        <f>INDEX(Std[],MATCH(Proj[[#This Row],[Player]],Std[Player],0),20)</f>
        <v>82.268467192247826</v>
      </c>
      <c r="AD2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372.7</v>
      </c>
    </row>
    <row r="217" spans="1:30" x14ac:dyDescent="0.25">
      <c r="A217" t="s">
        <v>330</v>
      </c>
      <c r="B217">
        <v>27</v>
      </c>
      <c r="C217" t="s">
        <v>104</v>
      </c>
      <c r="D217" t="s">
        <v>1240</v>
      </c>
      <c r="E217" s="9">
        <f>INDEX(Table1[],MATCH(Proj[[#This Row],[Player]],Table1[Player],0),5)</f>
        <v>13.1810704245112</v>
      </c>
      <c r="F217" s="9">
        <f>_xlfn.IFNA(INDEX(Table2[],MATCH(Proj[[#This Row],[Player]],Table2[Player],0),5),0)</f>
        <v>1.63</v>
      </c>
      <c r="G217" s="9">
        <f>_xlfn.IFNA(INDEX(Table3[],MATCH(Proj[[#This Row],[Player]],Table3[Player],0),5),0)</f>
        <v>2.16</v>
      </c>
      <c r="H217" s="10">
        <v>80</v>
      </c>
      <c r="I217">
        <v>80</v>
      </c>
      <c r="J217" s="9">
        <v>13.1810704245112</v>
      </c>
      <c r="K217" s="9">
        <v>1.63</v>
      </c>
      <c r="L217" s="9">
        <v>2.16</v>
      </c>
      <c r="M217" s="9">
        <f>Proj[[#This Row],[TOI ES]]+Proj[[#This Row],[TOI PP]]+Proj[[#This Row],[TOI PK]]</f>
        <v>16.971070424511201</v>
      </c>
      <c r="N2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2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17">
        <f>Proj[[#This Row],[Goals]]+Proj[[#This Row],[Assists]]</f>
        <v>41</v>
      </c>
      <c r="Q217" s="10">
        <f>ROUND(_xlfn.IFNA(INDEX(Table2[],MATCH(Proj[[#This Row],[Player]],Table2[Player],0),11)/60,IF(Proj[[#This Row],[Pos]] = "D", 'Per 60 PP'!$K$527,'Per 60 PP'!$K$526)/60)*Proj[[#This Row],[TOI PP]]*Proj[[#This Row],[GP]],0)</f>
        <v>5</v>
      </c>
      <c r="R217" s="10">
        <f>ROUND(_xlfn.IFNA(INDEX(Table2[],MATCH(Proj[[#This Row],[Player]],Table2[Player],0),7)/60,IF(Proj[[#This Row],[Pos]] = "D", 'Per 60 PP'!$G$527,'Per 60 PP'!$G$526)/60)*Proj[[#This Row],[TOI PP]]*Proj[[#This Row],[GP]],0)</f>
        <v>3</v>
      </c>
      <c r="S217" s="10">
        <f>Proj[[#This Row],[PPG]]+Proj[[#This Row],[PPA]]</f>
        <v>8</v>
      </c>
      <c r="T217">
        <f>ROUND((_xlfn.IFNA(INDEX(Table3[],MATCH(Proj[[#This Row],[Player]],Table3[Player],0),6)/60,IF(Proj[[#This Row],[Pos]] ="D", 'Per 60 PK'!$F$623, 'Per 60 PK'!$F$622)/60)+_xlfn.IFNA(INDEX(Table3[],MATCH(Proj[[#This Row],[Player]],Table3[Player],0),8)/60,IF(Proj[[#This Row],[Pos]] ="D", 'Per 60 PK'!$H$623, 'Per 60 PK'!$H$622)/60))*Proj[[#This Row],[TOI PK]]*Proj[[#This Row],[GP]],0)</f>
        <v>1</v>
      </c>
      <c r="U2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166</v>
      </c>
      <c r="V2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2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2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32</v>
      </c>
      <c r="Y2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62</v>
      </c>
      <c r="Z2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2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-118.01133332586909</v>
      </c>
      <c r="AB217" s="10">
        <f>_xlfn.RANK.EQ(Proj[[#This Row],[VOR]],Proj[VOR])</f>
        <v>207</v>
      </c>
      <c r="AC217" s="10">
        <f>INDEX(Std[],MATCH(Proj[[#This Row],[Player]],Std[Player],0),20)</f>
        <v>328.53339106437977</v>
      </c>
      <c r="AD2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444.05</v>
      </c>
    </row>
    <row r="218" spans="1:30" x14ac:dyDescent="0.25">
      <c r="A218" t="s">
        <v>251</v>
      </c>
      <c r="B218">
        <v>23</v>
      </c>
      <c r="C218" t="s">
        <v>3</v>
      </c>
      <c r="D218" t="s">
        <v>2</v>
      </c>
      <c r="E218" s="9">
        <f>INDEX(Table1[],MATCH(Proj[[#This Row],[Player]],Table1[Player],0),5)</f>
        <v>17.5138592557959</v>
      </c>
      <c r="F218" s="9">
        <f>_xlfn.IFNA(INDEX(Table2[],MATCH(Proj[[#This Row],[Player]],Table2[Player],0),5),0)</f>
        <v>2.42</v>
      </c>
      <c r="G218" s="9">
        <f>_xlfn.IFNA(INDEX(Table3[],MATCH(Proj[[#This Row],[Player]],Table3[Player],0),5),0)</f>
        <v>2.56</v>
      </c>
      <c r="H218" s="10">
        <v>82</v>
      </c>
      <c r="I218">
        <v>82</v>
      </c>
      <c r="J218" s="9">
        <v>17.5138592557959</v>
      </c>
      <c r="K218" s="9">
        <v>2.42</v>
      </c>
      <c r="L218" s="9">
        <v>2.56</v>
      </c>
      <c r="M218" s="9">
        <f>Proj[[#This Row],[TOI ES]]+Proj[[#This Row],[TOI PP]]+Proj[[#This Row],[TOI PK]]</f>
        <v>22.493859255795901</v>
      </c>
      <c r="N2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2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34</v>
      </c>
      <c r="P218" s="10">
        <f>Proj[[#This Row],[Goals]]+Proj[[#This Row],[Assists]]</f>
        <v>41</v>
      </c>
      <c r="Q218" s="10">
        <f>ROUND(_xlfn.IFNA(INDEX(Table2[],MATCH(Proj[[#This Row],[Player]],Table2[Player],0),11)/60,IF(Proj[[#This Row],[Pos]] = "D", 'Per 60 PP'!$K$527,'Per 60 PP'!$K$526)/60)*Proj[[#This Row],[TOI PP]]*Proj[[#This Row],[GP]],0)</f>
        <v>2</v>
      </c>
      <c r="R218" s="10">
        <f>ROUND(_xlfn.IFNA(INDEX(Table2[],MATCH(Proj[[#This Row],[Player]],Table2[Player],0),7)/60,IF(Proj[[#This Row],[Pos]] = "D", 'Per 60 PP'!$G$527,'Per 60 PP'!$G$526)/60)*Proj[[#This Row],[TOI PP]]*Proj[[#This Row],[GP]],0)</f>
        <v>13</v>
      </c>
      <c r="S218" s="10">
        <f>Proj[[#This Row],[PPG]]+Proj[[#This Row],[PPA]]</f>
        <v>15</v>
      </c>
      <c r="T218">
        <f>ROUND((_xlfn.IFNA(INDEX(Table3[],MATCH(Proj[[#This Row],[Player]],Table3[Player],0),6)/60,IF(Proj[[#This Row],[Pos]] ="D", 'Per 60 PK'!$F$623, 'Per 60 PK'!$F$622)/60)+_xlfn.IFNA(INDEX(Table3[],MATCH(Proj[[#This Row],[Player]],Table3[Player],0),8)/60,IF(Proj[[#This Row],[Pos]] ="D", 'Per 60 PK'!$H$623, 'Per 60 PK'!$H$622)/60))*Proj[[#This Row],[TOI PK]]*Proj[[#This Row],[GP]],0)</f>
        <v>1</v>
      </c>
      <c r="U2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178</v>
      </c>
      <c r="V2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201</v>
      </c>
      <c r="W2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2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138</v>
      </c>
      <c r="AA2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554.75668702780013</v>
      </c>
      <c r="AB218" s="10">
        <f>_xlfn.RANK.EQ(Proj[[#This Row],[VOR]],Proj[VOR])</f>
        <v>38</v>
      </c>
      <c r="AC218" s="10">
        <f>INDEX(Std[],MATCH(Proj[[#This Row],[Player]],Std[Player],0),20)</f>
        <v>662.12145474726458</v>
      </c>
      <c r="AD2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511.59999999999997</v>
      </c>
    </row>
    <row r="219" spans="1:30" x14ac:dyDescent="0.25">
      <c r="A219" t="s">
        <v>253</v>
      </c>
      <c r="B219">
        <v>33</v>
      </c>
      <c r="C219" t="s">
        <v>102</v>
      </c>
      <c r="D219" t="s">
        <v>16</v>
      </c>
      <c r="E219" s="9">
        <f>INDEX(Table1[],MATCH(Proj[[#This Row],[Player]],Table1[Player],0),5)</f>
        <v>15.266943759542601</v>
      </c>
      <c r="F219" s="9">
        <f>_xlfn.IFNA(INDEX(Table2[],MATCH(Proj[[#This Row],[Player]],Table2[Player],0),5),0)</f>
        <v>1.34</v>
      </c>
      <c r="G219" s="9">
        <f>_xlfn.IFNA(INDEX(Table3[],MATCH(Proj[[#This Row],[Player]],Table3[Player],0),5),0)</f>
        <v>0.49</v>
      </c>
      <c r="H219" s="10">
        <v>65</v>
      </c>
      <c r="I219">
        <v>65</v>
      </c>
      <c r="J219" s="9">
        <v>15.266943759542601</v>
      </c>
      <c r="K219" s="9">
        <v>1.34</v>
      </c>
      <c r="L219" s="9">
        <v>0.49</v>
      </c>
      <c r="M219" s="9">
        <f>Proj[[#This Row],[TOI ES]]+Proj[[#This Row],[TOI PP]]+Proj[[#This Row],[TOI PK]]</f>
        <v>17.096943759542601</v>
      </c>
      <c r="N2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2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19" s="10">
        <f>Proj[[#This Row],[Goals]]+Proj[[#This Row],[Assists]]</f>
        <v>41</v>
      </c>
      <c r="Q219" s="10">
        <f>ROUND(_xlfn.IFNA(INDEX(Table2[],MATCH(Proj[[#This Row],[Player]],Table2[Player],0),11)/60,IF(Proj[[#This Row],[Pos]] = "D", 'Per 60 PP'!$K$527,'Per 60 PP'!$K$526)/60)*Proj[[#This Row],[TOI PP]]*Proj[[#This Row],[GP]],0)</f>
        <v>2</v>
      </c>
      <c r="R219" s="10">
        <f>ROUND(_xlfn.IFNA(INDEX(Table2[],MATCH(Proj[[#This Row],[Player]],Table2[Player],0),7)/60,IF(Proj[[#This Row],[Pos]] = "D", 'Per 60 PP'!$G$527,'Per 60 PP'!$G$526)/60)*Proj[[#This Row],[TOI PP]]*Proj[[#This Row],[GP]],0)</f>
        <v>3</v>
      </c>
      <c r="S219" s="10">
        <f>Proj[[#This Row],[PPG]]+Proj[[#This Row],[PPA]]</f>
        <v>5</v>
      </c>
      <c r="T219">
        <f>ROUND((_xlfn.IFNA(INDEX(Table3[],MATCH(Proj[[#This Row],[Player]],Table3[Player],0),6)/60,IF(Proj[[#This Row],[Pos]] ="D", 'Per 60 PK'!$F$623, 'Per 60 PK'!$F$622)/60)+_xlfn.IFNA(INDEX(Table3[],MATCH(Proj[[#This Row],[Player]],Table3[Player],0),8)/60,IF(Proj[[#This Row],[Pos]] ="D", 'Per 60 PK'!$H$623, 'Per 60 PK'!$H$622)/60))*Proj[[#This Row],[TOI PK]]*Proj[[#This Row],[GP]],0)</f>
        <v>1</v>
      </c>
      <c r="U2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191</v>
      </c>
      <c r="V2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26</v>
      </c>
      <c r="W2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73</v>
      </c>
      <c r="X2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v>
      </c>
      <c r="Y2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v>
      </c>
      <c r="Z2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191</v>
      </c>
      <c r="AA2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-7.3782382569223728</v>
      </c>
      <c r="AB219" s="10">
        <f>_xlfn.RANK.EQ(Proj[[#This Row],[VOR]],Proj[VOR])</f>
        <v>167</v>
      </c>
      <c r="AC219" s="10">
        <f>INDEX(Std[],MATCH(Proj[[#This Row],[Player]],Std[Player],0),20)</f>
        <v>464.16648613332649</v>
      </c>
      <c r="AD2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466.00000000000006</v>
      </c>
    </row>
    <row r="220" spans="1:30" x14ac:dyDescent="0.25">
      <c r="A220" t="s">
        <v>500</v>
      </c>
      <c r="B220">
        <v>23</v>
      </c>
      <c r="C220" t="s">
        <v>74</v>
      </c>
      <c r="D220" t="s">
        <v>156</v>
      </c>
      <c r="E220" s="9">
        <f>INDEX(Table1[],MATCH(Proj[[#This Row],[Player]],Table1[Player],0),5)</f>
        <v>13.9692032710318</v>
      </c>
      <c r="F220" s="9">
        <f>_xlfn.IFNA(INDEX(Table2[],MATCH(Proj[[#This Row],[Player]],Table2[Player],0),5),0)</f>
        <v>1.65</v>
      </c>
      <c r="G220" s="9">
        <f>_xlfn.IFNA(INDEX(Table3[],MATCH(Proj[[#This Row],[Player]],Table3[Player],0),5),0)</f>
        <v>1.64</v>
      </c>
      <c r="H220" s="10">
        <v>82</v>
      </c>
      <c r="I220">
        <v>82</v>
      </c>
      <c r="J220" s="9">
        <v>13.9692032710318</v>
      </c>
      <c r="K220" s="9">
        <v>1.65</v>
      </c>
      <c r="L220" s="9">
        <v>1.64</v>
      </c>
      <c r="M220" s="9">
        <f>Proj[[#This Row],[TOI ES]]+Proj[[#This Row],[TOI PP]]+Proj[[#This Row],[TOI PK]]</f>
        <v>17.259203271031801</v>
      </c>
      <c r="N2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2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20" s="10">
        <f>Proj[[#This Row],[Goals]]+Proj[[#This Row],[Assists]]</f>
        <v>40</v>
      </c>
      <c r="Q220" s="10">
        <f>ROUND(_xlfn.IFNA(INDEX(Table2[],MATCH(Proj[[#This Row],[Player]],Table2[Player],0),11)/60,IF(Proj[[#This Row],[Pos]] = "D", 'Per 60 PP'!$K$527,'Per 60 PP'!$K$526)/60)*Proj[[#This Row],[TOI PP]]*Proj[[#This Row],[GP]],0)</f>
        <v>3</v>
      </c>
      <c r="R220" s="10">
        <f>ROUND(_xlfn.IFNA(INDEX(Table2[],MATCH(Proj[[#This Row],[Player]],Table2[Player],0),7)/60,IF(Proj[[#This Row],[Pos]] = "D", 'Per 60 PP'!$G$527,'Per 60 PP'!$G$526)/60)*Proj[[#This Row],[TOI PP]]*Proj[[#This Row],[GP]],0)</f>
        <v>2</v>
      </c>
      <c r="S220" s="10">
        <f>Proj[[#This Row],[PPG]]+Proj[[#This Row],[PPA]]</f>
        <v>5</v>
      </c>
      <c r="T220">
        <f>ROUND((_xlfn.IFNA(INDEX(Table3[],MATCH(Proj[[#This Row],[Player]],Table3[Player],0),6)/60,IF(Proj[[#This Row],[Pos]] ="D", 'Per 60 PK'!$F$623, 'Per 60 PK'!$F$622)/60)+_xlfn.IFNA(INDEX(Table3[],MATCH(Proj[[#This Row],[Player]],Table3[Player],0),8)/60,IF(Proj[[#This Row],[Pos]] ="D", 'Per 60 PK'!$H$623, 'Per 60 PK'!$H$622)/60))*Proj[[#This Row],[TOI PK]]*Proj[[#This Row],[GP]],0)</f>
        <v>1</v>
      </c>
      <c r="U2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2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52</v>
      </c>
      <c r="W2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2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123</v>
      </c>
      <c r="Y2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175</v>
      </c>
      <c r="Z2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144</v>
      </c>
      <c r="AA2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-789.54041635555984</v>
      </c>
      <c r="AB220" s="10">
        <f>_xlfn.RANK.EQ(Proj[[#This Row],[VOR]],Proj[VOR])</f>
        <v>581</v>
      </c>
      <c r="AC220" s="10">
        <f>INDEX(Std[],MATCH(Proj[[#This Row],[Player]],Std[Player],0),20)</f>
        <v>-54.90656204526119</v>
      </c>
      <c r="AD2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343.15000000000003</v>
      </c>
    </row>
    <row r="221" spans="1:30" x14ac:dyDescent="0.25">
      <c r="A221" t="s">
        <v>1011</v>
      </c>
      <c r="B221">
        <v>22</v>
      </c>
      <c r="C221" t="s">
        <v>103</v>
      </c>
      <c r="D221" t="s">
        <v>7</v>
      </c>
      <c r="E221" s="9">
        <f>INDEX(Table1[],MATCH(Proj[[#This Row],[Player]],Table1[Player],0),5)</f>
        <v>12.0433274331322</v>
      </c>
      <c r="F221" s="9">
        <f>_xlfn.IFNA(INDEX(Table2[],MATCH(Proj[[#This Row],[Player]],Table2[Player],0),5),0)</f>
        <v>2.5499999999999998</v>
      </c>
      <c r="G221" s="9">
        <f>_xlfn.IFNA(INDEX(Table3[],MATCH(Proj[[#This Row],[Player]],Table3[Player],0),5),0)</f>
        <v>0</v>
      </c>
      <c r="H221" s="10">
        <v>76</v>
      </c>
      <c r="I221">
        <v>76</v>
      </c>
      <c r="J221" s="9">
        <v>12.0433274331322</v>
      </c>
      <c r="K221" s="9">
        <v>2.5499999999999998</v>
      </c>
      <c r="L221" s="9">
        <v>0</v>
      </c>
      <c r="M221" s="9">
        <f>Proj[[#This Row],[TOI ES]]+Proj[[#This Row],[TOI PP]]+Proj[[#This Row],[TOI PK]]</f>
        <v>14.593327433132199</v>
      </c>
      <c r="N2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21" s="10">
        <f>Proj[[#This Row],[Goals]]+Proj[[#This Row],[Assists]]</f>
        <v>40</v>
      </c>
      <c r="Q221" s="10">
        <f>ROUND(_xlfn.IFNA(INDEX(Table2[],MATCH(Proj[[#This Row],[Player]],Table2[Player],0),11)/60,IF(Proj[[#This Row],[Pos]] = "D", 'Per 60 PP'!$K$527,'Per 60 PP'!$K$526)/60)*Proj[[#This Row],[TOI PP]]*Proj[[#This Row],[GP]],0)</f>
        <v>4</v>
      </c>
      <c r="R221" s="10">
        <f>ROUND(_xlfn.IFNA(INDEX(Table2[],MATCH(Proj[[#This Row],[Player]],Table2[Player],0),7)/60,IF(Proj[[#This Row],[Pos]] = "D", 'Per 60 PP'!$G$527,'Per 60 PP'!$G$526)/60)*Proj[[#This Row],[TOI PP]]*Proj[[#This Row],[GP]],0)</f>
        <v>6</v>
      </c>
      <c r="S221" s="10">
        <f>Proj[[#This Row],[PPG]]+Proj[[#This Row],[PPA]]</f>
        <v>10</v>
      </c>
      <c r="T221">
        <f>ROUND((_xlfn.IFNA(INDEX(Table3[],MATCH(Proj[[#This Row],[Player]],Table3[Player],0),6)/60,IF(Proj[[#This Row],[Pos]] ="D", 'Per 60 PK'!$F$623, 'Per 60 PK'!$F$622)/60)+_xlfn.IFNA(INDEX(Table3[],MATCH(Proj[[#This Row],[Player]],Table3[Player],0),8)/60,IF(Proj[[#This Row],[Pos]] ="D", 'Per 60 PK'!$H$623, 'Per 60 PK'!$H$622)/60))*Proj[[#This Row],[TOI PK]]*Proj[[#This Row],[GP]],0)</f>
        <v>0</v>
      </c>
      <c r="U2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28</v>
      </c>
      <c r="V2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2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2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2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2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164</v>
      </c>
      <c r="AA2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-579.90518829792518</v>
      </c>
      <c r="AB221" s="10">
        <f>_xlfn.RANK.EQ(Proj[[#This Row],[VOR]],Proj[VOR])</f>
        <v>471</v>
      </c>
      <c r="AC221" s="10">
        <f>INDEX(Std[],MATCH(Proj[[#This Row],[Player]],Std[Player],0),20)</f>
        <v>-133.36046390767632</v>
      </c>
      <c r="AD2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324.8</v>
      </c>
    </row>
    <row r="222" spans="1:30" x14ac:dyDescent="0.25">
      <c r="A222" t="s">
        <v>727</v>
      </c>
      <c r="B222">
        <v>27</v>
      </c>
      <c r="C222" t="s">
        <v>103</v>
      </c>
      <c r="D222" t="s">
        <v>8</v>
      </c>
      <c r="E222" s="9">
        <f>INDEX(Table1[],MATCH(Proj[[#This Row],[Player]],Table1[Player],0),5)</f>
        <v>10.2520054945075</v>
      </c>
      <c r="F222" s="9">
        <f>_xlfn.IFNA(INDEX(Table2[],MATCH(Proj[[#This Row],[Player]],Table2[Player],0),5),0)</f>
        <v>1.85</v>
      </c>
      <c r="G222" s="9">
        <f>_xlfn.IFNA(INDEX(Table3[],MATCH(Proj[[#This Row],[Player]],Table3[Player],0),5),0)</f>
        <v>0</v>
      </c>
      <c r="H222" s="10">
        <v>78</v>
      </c>
      <c r="I222">
        <v>78</v>
      </c>
      <c r="J222" s="9">
        <v>10.2520054945075</v>
      </c>
      <c r="K222" s="9">
        <v>1.85</v>
      </c>
      <c r="L222" s="9">
        <v>0</v>
      </c>
      <c r="M222" s="9">
        <f>Proj[[#This Row],[TOI ES]]+Proj[[#This Row],[TOI PP]]+Proj[[#This Row],[TOI PK]]</f>
        <v>12.1020054945075</v>
      </c>
      <c r="N2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2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22" s="10">
        <f>Proj[[#This Row],[Goals]]+Proj[[#This Row],[Assists]]</f>
        <v>40</v>
      </c>
      <c r="Q222" s="10">
        <f>ROUND(_xlfn.IFNA(INDEX(Table2[],MATCH(Proj[[#This Row],[Player]],Table2[Player],0),11)/60,IF(Proj[[#This Row],[Pos]] = "D", 'Per 60 PP'!$K$527,'Per 60 PP'!$K$526)/60)*Proj[[#This Row],[TOI PP]]*Proj[[#This Row],[GP]],0)</f>
        <v>5</v>
      </c>
      <c r="R222" s="10">
        <f>ROUND(_xlfn.IFNA(INDEX(Table2[],MATCH(Proj[[#This Row],[Player]],Table2[Player],0),7)/60,IF(Proj[[#This Row],[Pos]] = "D", 'Per 60 PP'!$G$527,'Per 60 PP'!$G$526)/60)*Proj[[#This Row],[TOI PP]]*Proj[[#This Row],[GP]],0)</f>
        <v>7</v>
      </c>
      <c r="S222" s="10">
        <f>Proj[[#This Row],[PPG]]+Proj[[#This Row],[PPA]]</f>
        <v>12</v>
      </c>
      <c r="T222">
        <f>ROUND((_xlfn.IFNA(INDEX(Table3[],MATCH(Proj[[#This Row],[Player]],Table3[Player],0),6)/60,IF(Proj[[#This Row],[Pos]] ="D", 'Per 60 PK'!$F$623, 'Per 60 PK'!$F$622)/60)+_xlfn.IFNA(INDEX(Table3[],MATCH(Proj[[#This Row],[Player]],Table3[Player],0),8)/60,IF(Proj[[#This Row],[Pos]] ="D", 'Per 60 PK'!$H$623, 'Per 60 PK'!$H$622)/60))*Proj[[#This Row],[TOI PK]]*Proj[[#This Row],[GP]],0)</f>
        <v>0</v>
      </c>
      <c r="U2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33</v>
      </c>
      <c r="V2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19</v>
      </c>
      <c r="W2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2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2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v>
      </c>
      <c r="Z2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170</v>
      </c>
      <c r="AA2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-553.48702403216498</v>
      </c>
      <c r="AB222" s="10">
        <f>_xlfn.RANK.EQ(Proj[[#This Row],[VOR]],Proj[VOR])</f>
        <v>455</v>
      </c>
      <c r="AC222" s="10">
        <f>INDEX(Std[],MATCH(Proj[[#This Row],[Player]],Std[Player],0),20)</f>
        <v>-106.94229964191607</v>
      </c>
      <c r="AD2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330.34999999999997</v>
      </c>
    </row>
    <row r="223" spans="1:30" x14ac:dyDescent="0.25">
      <c r="A223" t="s">
        <v>300</v>
      </c>
      <c r="B223">
        <v>38</v>
      </c>
      <c r="C223" t="s">
        <v>103</v>
      </c>
      <c r="D223" t="s">
        <v>10</v>
      </c>
      <c r="E223" s="9">
        <f>INDEX(Table1[],MATCH(Proj[[#This Row],[Player]],Table1[Player],0),5)</f>
        <v>12.263123361192299</v>
      </c>
      <c r="F223" s="9">
        <f>_xlfn.IFNA(INDEX(Table2[],MATCH(Proj[[#This Row],[Player]],Table2[Player],0),5),0)</f>
        <v>1.25</v>
      </c>
      <c r="G223" s="9">
        <f>_xlfn.IFNA(INDEX(Table3[],MATCH(Proj[[#This Row],[Player]],Table3[Player],0),5),0)</f>
        <v>0.52</v>
      </c>
      <c r="H223" s="10">
        <v>81</v>
      </c>
      <c r="I223">
        <v>81</v>
      </c>
      <c r="J223" s="9">
        <v>12.263123361192299</v>
      </c>
      <c r="K223" s="9">
        <v>1.25</v>
      </c>
      <c r="L223" s="9">
        <v>0.52</v>
      </c>
      <c r="M223" s="9">
        <f>Proj[[#This Row],[TOI ES]]+Proj[[#This Row],[TOI PP]]+Proj[[#This Row],[TOI PK]]</f>
        <v>14.033123361192299</v>
      </c>
      <c r="N2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223" s="10">
        <f>Proj[[#This Row],[Goals]]+Proj[[#This Row],[Assists]]</f>
        <v>40</v>
      </c>
      <c r="Q223" s="10">
        <f>ROUND(_xlfn.IFNA(INDEX(Table2[],MATCH(Proj[[#This Row],[Player]],Table2[Player],0),11)/60,IF(Proj[[#This Row],[Pos]] = "D", 'Per 60 PP'!$K$527,'Per 60 PP'!$K$526)/60)*Proj[[#This Row],[TOI PP]]*Proj[[#This Row],[GP]],0)</f>
        <v>3</v>
      </c>
      <c r="R223" s="10">
        <f>ROUND(_xlfn.IFNA(INDEX(Table2[],MATCH(Proj[[#This Row],[Player]],Table2[Player],0),7)/60,IF(Proj[[#This Row],[Pos]] = "D", 'Per 60 PP'!$G$527,'Per 60 PP'!$G$526)/60)*Proj[[#This Row],[TOI PP]]*Proj[[#This Row],[GP]],0)</f>
        <v>3</v>
      </c>
      <c r="S223" s="10">
        <f>Proj[[#This Row],[PPG]]+Proj[[#This Row],[PPA]]</f>
        <v>6</v>
      </c>
      <c r="T223">
        <f>ROUND((_xlfn.IFNA(INDEX(Table3[],MATCH(Proj[[#This Row],[Player]],Table3[Player],0),6)/60,IF(Proj[[#This Row],[Pos]] ="D", 'Per 60 PK'!$F$623, 'Per 60 PK'!$F$622)/60)+_xlfn.IFNA(INDEX(Table3[],MATCH(Proj[[#This Row],[Player]],Table3[Player],0),8)/60,IF(Proj[[#This Row],[Pos]] ="D", 'Per 60 PK'!$H$623, 'Per 60 PK'!$H$622)/60))*Proj[[#This Row],[TOI PK]]*Proj[[#This Row],[GP]],0)</f>
        <v>0</v>
      </c>
      <c r="U2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2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2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2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61</v>
      </c>
      <c r="Y2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v>
      </c>
      <c r="Z2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131</v>
      </c>
      <c r="AA2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-497.82820466553721</v>
      </c>
      <c r="AB223" s="10">
        <f>_xlfn.RANK.EQ(Proj[[#This Row],[VOR]],Proj[VOR])</f>
        <v>421</v>
      </c>
      <c r="AC223" s="10">
        <f>INDEX(Std[],MATCH(Proj[[#This Row],[Player]],Std[Player],0),20)</f>
        <v>-51.283480275288404</v>
      </c>
      <c r="AD2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333.1</v>
      </c>
    </row>
    <row r="224" spans="1:30" x14ac:dyDescent="0.25">
      <c r="A224" t="s">
        <v>562</v>
      </c>
      <c r="B224">
        <v>23</v>
      </c>
      <c r="C224" t="s">
        <v>105</v>
      </c>
      <c r="D224" t="s">
        <v>31</v>
      </c>
      <c r="E224" s="9">
        <f>INDEX(Table1[],MATCH(Proj[[#This Row],[Player]],Table1[Player],0),5)</f>
        <v>12.859642512947</v>
      </c>
      <c r="F224" s="9">
        <f>_xlfn.IFNA(INDEX(Table2[],MATCH(Proj[[#This Row],[Player]],Table2[Player],0),5),0)</f>
        <v>1.51</v>
      </c>
      <c r="G224" s="9">
        <f>_xlfn.IFNA(INDEX(Table3[],MATCH(Proj[[#This Row],[Player]],Table3[Player],0),5),0)</f>
        <v>1.44</v>
      </c>
      <c r="H224" s="10">
        <v>77</v>
      </c>
      <c r="I224">
        <v>77</v>
      </c>
      <c r="J224" s="9">
        <v>12.859642512947</v>
      </c>
      <c r="K224" s="9">
        <v>1.51</v>
      </c>
      <c r="L224" s="9">
        <v>1.44</v>
      </c>
      <c r="M224" s="9">
        <f>Proj[[#This Row],[TOI ES]]+Proj[[#This Row],[TOI PP]]+Proj[[#This Row],[TOI PK]]</f>
        <v>15.809642512946999</v>
      </c>
      <c r="N2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24" s="10">
        <f>Proj[[#This Row],[Goals]]+Proj[[#This Row],[Assists]]</f>
        <v>40</v>
      </c>
      <c r="Q224" s="10">
        <f>ROUND(_xlfn.IFNA(INDEX(Table2[],MATCH(Proj[[#This Row],[Player]],Table2[Player],0),11)/60,IF(Proj[[#This Row],[Pos]] = "D", 'Per 60 PP'!$K$527,'Per 60 PP'!$K$526)/60)*Proj[[#This Row],[TOI PP]]*Proj[[#This Row],[GP]],0)</f>
        <v>3</v>
      </c>
      <c r="R224" s="10">
        <f>ROUND(_xlfn.IFNA(INDEX(Table2[],MATCH(Proj[[#This Row],[Player]],Table2[Player],0),7)/60,IF(Proj[[#This Row],[Pos]] = "D", 'Per 60 PP'!$G$527,'Per 60 PP'!$G$526)/60)*Proj[[#This Row],[TOI PP]]*Proj[[#This Row],[GP]],0)</f>
        <v>5</v>
      </c>
      <c r="S224" s="10">
        <f>Proj[[#This Row],[PPG]]+Proj[[#This Row],[PPA]]</f>
        <v>8</v>
      </c>
      <c r="T224">
        <f>ROUND((_xlfn.IFNA(INDEX(Table3[],MATCH(Proj[[#This Row],[Player]],Table3[Player],0),6)/60,IF(Proj[[#This Row],[Pos]] ="D", 'Per 60 PK'!$F$623, 'Per 60 PK'!$F$622)/60)+_xlfn.IFNA(INDEX(Table3[],MATCH(Proj[[#This Row],[Player]],Table3[Player],0),8)/60,IF(Proj[[#This Row],[Pos]] ="D", 'Per 60 PK'!$H$623, 'Per 60 PK'!$H$622)/60))*Proj[[#This Row],[TOI PK]]*Proj[[#This Row],[GP]],0)</f>
        <v>1</v>
      </c>
      <c r="U2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2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2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2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436</v>
      </c>
      <c r="Y2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392</v>
      </c>
      <c r="Z2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162</v>
      </c>
      <c r="AA2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-213.47167946788318</v>
      </c>
      <c r="AB224" s="10">
        <f>_xlfn.RANK.EQ(Proj[[#This Row],[VOR]],Proj[VOR])</f>
        <v>258</v>
      </c>
      <c r="AC224" s="10">
        <f>INDEX(Std[],MATCH(Proj[[#This Row],[Player]],Std[Player],0),20)</f>
        <v>233.07304492236568</v>
      </c>
      <c r="AD2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393.05</v>
      </c>
    </row>
    <row r="225" spans="1:30" x14ac:dyDescent="0.25">
      <c r="A225" t="s">
        <v>979</v>
      </c>
      <c r="B225">
        <v>25</v>
      </c>
      <c r="C225" t="s">
        <v>74</v>
      </c>
      <c r="D225" t="s">
        <v>14</v>
      </c>
      <c r="E225" s="9">
        <f>INDEX(Table1[],MATCH(Proj[[#This Row],[Player]],Table1[Player],0),5)</f>
        <v>12.947509493275501</v>
      </c>
      <c r="F225" s="9">
        <f>_xlfn.IFNA(INDEX(Table2[],MATCH(Proj[[#This Row],[Player]],Table2[Player],0),5),0)</f>
        <v>1.27</v>
      </c>
      <c r="G225" s="9">
        <f>_xlfn.IFNA(INDEX(Table3[],MATCH(Proj[[#This Row],[Player]],Table3[Player],0),5),0)</f>
        <v>1.78</v>
      </c>
      <c r="H225" s="10">
        <v>80</v>
      </c>
      <c r="I225">
        <v>80</v>
      </c>
      <c r="J225" s="9">
        <v>12.947509493275501</v>
      </c>
      <c r="K225" s="9">
        <v>1.27</v>
      </c>
      <c r="L225" s="9">
        <v>1.78</v>
      </c>
      <c r="M225" s="9">
        <f>Proj[[#This Row],[TOI ES]]+Proj[[#This Row],[TOI PP]]+Proj[[#This Row],[TOI PK]]</f>
        <v>15.9975094932755</v>
      </c>
      <c r="N2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25" s="10">
        <f>Proj[[#This Row],[Goals]]+Proj[[#This Row],[Assists]]</f>
        <v>40</v>
      </c>
      <c r="Q225" s="10">
        <f>ROUND(_xlfn.IFNA(INDEX(Table2[],MATCH(Proj[[#This Row],[Player]],Table2[Player],0),11)/60,IF(Proj[[#This Row],[Pos]] = "D", 'Per 60 PP'!$K$527,'Per 60 PP'!$K$526)/60)*Proj[[#This Row],[TOI PP]]*Proj[[#This Row],[GP]],0)</f>
        <v>2</v>
      </c>
      <c r="R225" s="10">
        <f>ROUND(_xlfn.IFNA(INDEX(Table2[],MATCH(Proj[[#This Row],[Player]],Table2[Player],0),7)/60,IF(Proj[[#This Row],[Pos]] = "D", 'Per 60 PP'!$G$527,'Per 60 PP'!$G$526)/60)*Proj[[#This Row],[TOI PP]]*Proj[[#This Row],[GP]],0)</f>
        <v>5</v>
      </c>
      <c r="S225" s="10">
        <f>Proj[[#This Row],[PPG]]+Proj[[#This Row],[PPA]]</f>
        <v>7</v>
      </c>
      <c r="T225">
        <f>ROUND((_xlfn.IFNA(INDEX(Table3[],MATCH(Proj[[#This Row],[Player]],Table3[Player],0),6)/60,IF(Proj[[#This Row],[Pos]] ="D", 'Per 60 PK'!$F$623, 'Per 60 PK'!$F$622)/60)+_xlfn.IFNA(INDEX(Table3[],MATCH(Proj[[#This Row],[Player]],Table3[Player],0),8)/60,IF(Proj[[#This Row],[Pos]] ="D", 'Per 60 PK'!$H$623, 'Per 60 PK'!$H$622)/60))*Proj[[#This Row],[TOI PK]]*Proj[[#This Row],[GP]],0)</f>
        <v>2</v>
      </c>
      <c r="U2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2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2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2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v>
      </c>
      <c r="Y2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v>
      </c>
      <c r="Z2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127</v>
      </c>
      <c r="AA2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-802.61217734818888</v>
      </c>
      <c r="AB225" s="10">
        <f>_xlfn.RANK.EQ(Proj[[#This Row],[VOR]],Proj[VOR])</f>
        <v>590</v>
      </c>
      <c r="AC225" s="10">
        <f>INDEX(Std[],MATCH(Proj[[#This Row],[Player]],Std[Player],0),20)</f>
        <v>-67.97832303789032</v>
      </c>
      <c r="AD2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330.99999999999994</v>
      </c>
    </row>
    <row r="226" spans="1:30" x14ac:dyDescent="0.25">
      <c r="A226" t="s">
        <v>375</v>
      </c>
      <c r="B226">
        <v>32</v>
      </c>
      <c r="C226" t="s">
        <v>74</v>
      </c>
      <c r="D226" t="s">
        <v>32</v>
      </c>
      <c r="E226" s="9">
        <f>INDEX(Table1[],MATCH(Proj[[#This Row],[Player]],Table1[Player],0),5)</f>
        <v>14.2946206429092</v>
      </c>
      <c r="F226" s="9">
        <f>_xlfn.IFNA(INDEX(Table2[],MATCH(Proj[[#This Row],[Player]],Table2[Player],0),5),0)</f>
        <v>2.34</v>
      </c>
      <c r="G226" s="9">
        <f>_xlfn.IFNA(INDEX(Table3[],MATCH(Proj[[#This Row],[Player]],Table3[Player],0),5),0)</f>
        <v>1.28</v>
      </c>
      <c r="H226" s="10">
        <v>73</v>
      </c>
      <c r="I226">
        <v>73</v>
      </c>
      <c r="J226" s="9">
        <v>14.2946206429092</v>
      </c>
      <c r="K226" s="9">
        <v>2.34</v>
      </c>
      <c r="L226" s="9">
        <v>1.28</v>
      </c>
      <c r="M226" s="9">
        <f>Proj[[#This Row],[TOI ES]]+Proj[[#This Row],[TOI PP]]+Proj[[#This Row],[TOI PK]]</f>
        <v>17.914620642909199</v>
      </c>
      <c r="N2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226" s="10">
        <f>Proj[[#This Row],[Goals]]+Proj[[#This Row],[Assists]]</f>
        <v>40</v>
      </c>
      <c r="Q226" s="10">
        <f>ROUND(_xlfn.IFNA(INDEX(Table2[],MATCH(Proj[[#This Row],[Player]],Table2[Player],0),11)/60,IF(Proj[[#This Row],[Pos]] = "D", 'Per 60 PP'!$K$527,'Per 60 PP'!$K$526)/60)*Proj[[#This Row],[TOI PP]]*Proj[[#This Row],[GP]],0)</f>
        <v>4</v>
      </c>
      <c r="R226" s="10">
        <f>ROUND(_xlfn.IFNA(INDEX(Table2[],MATCH(Proj[[#This Row],[Player]],Table2[Player],0),7)/60,IF(Proj[[#This Row],[Pos]] = "D", 'Per 60 PP'!$G$527,'Per 60 PP'!$G$526)/60)*Proj[[#This Row],[TOI PP]]*Proj[[#This Row],[GP]],0)</f>
        <v>6</v>
      </c>
      <c r="S226" s="10">
        <f>Proj[[#This Row],[PPG]]+Proj[[#This Row],[PPA]]</f>
        <v>10</v>
      </c>
      <c r="T226">
        <f>ROUND((_xlfn.IFNA(INDEX(Table3[],MATCH(Proj[[#This Row],[Player]],Table3[Player],0),6)/60,IF(Proj[[#This Row],[Pos]] ="D", 'Per 60 PK'!$F$623, 'Per 60 PK'!$F$622)/60)+_xlfn.IFNA(INDEX(Table3[],MATCH(Proj[[#This Row],[Player]],Table3[Player],0),8)/60,IF(Proj[[#This Row],[Pos]] ="D", 'Per 60 PK'!$H$623, 'Per 60 PK'!$H$622)/60))*Proj[[#This Row],[TOI PK]]*Proj[[#This Row],[GP]],0)</f>
        <v>2</v>
      </c>
      <c r="U2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2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2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2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622</v>
      </c>
      <c r="Y2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529</v>
      </c>
      <c r="Z2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180</v>
      </c>
      <c r="AA2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-372.44703750473849</v>
      </c>
      <c r="AB226" s="10">
        <f>_xlfn.RANK.EQ(Proj[[#This Row],[VOR]],Proj[VOR])</f>
        <v>360</v>
      </c>
      <c r="AC226" s="10">
        <f>INDEX(Std[],MATCH(Proj[[#This Row],[Player]],Std[Player],0),20)</f>
        <v>362.18681680556011</v>
      </c>
      <c r="AD2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420.5</v>
      </c>
    </row>
    <row r="227" spans="1:30" x14ac:dyDescent="0.25">
      <c r="A227" t="s">
        <v>380</v>
      </c>
      <c r="B227">
        <v>26</v>
      </c>
      <c r="C227" t="s">
        <v>3</v>
      </c>
      <c r="D227" t="s">
        <v>1240</v>
      </c>
      <c r="E227" s="9">
        <f>INDEX(Table1[],MATCH(Proj[[#This Row],[Player]],Table1[Player],0),5)</f>
        <v>17.930999113855201</v>
      </c>
      <c r="F227" s="9">
        <f>_xlfn.IFNA(INDEX(Table2[],MATCH(Proj[[#This Row],[Player]],Table2[Player],0),5),0)</f>
        <v>2.5</v>
      </c>
      <c r="G227" s="9">
        <f>_xlfn.IFNA(INDEX(Table3[],MATCH(Proj[[#This Row],[Player]],Table3[Player],0),5),0)</f>
        <v>1.3</v>
      </c>
      <c r="H227" s="10">
        <v>77</v>
      </c>
      <c r="I227">
        <v>77</v>
      </c>
      <c r="J227" s="9">
        <v>17.930999113855201</v>
      </c>
      <c r="K227" s="9">
        <v>2.5</v>
      </c>
      <c r="L227" s="9">
        <v>1.3</v>
      </c>
      <c r="M227" s="9">
        <f>Proj[[#This Row],[TOI ES]]+Proj[[#This Row],[TOI PP]]+Proj[[#This Row],[TOI PK]]</f>
        <v>21.730999113855201</v>
      </c>
      <c r="N2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2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32</v>
      </c>
      <c r="P227" s="10">
        <f>Proj[[#This Row],[Goals]]+Proj[[#This Row],[Assists]]</f>
        <v>40</v>
      </c>
      <c r="Q227" s="10">
        <f>ROUND(_xlfn.IFNA(INDEX(Table2[],MATCH(Proj[[#This Row],[Player]],Table2[Player],0),11)/60,IF(Proj[[#This Row],[Pos]] = "D", 'Per 60 PP'!$K$527,'Per 60 PP'!$K$526)/60)*Proj[[#This Row],[TOI PP]]*Proj[[#This Row],[GP]],0)</f>
        <v>2</v>
      </c>
      <c r="R227" s="10">
        <f>ROUND(_xlfn.IFNA(INDEX(Table2[],MATCH(Proj[[#This Row],[Player]],Table2[Player],0),7)/60,IF(Proj[[#This Row],[Pos]] = "D", 'Per 60 PP'!$G$527,'Per 60 PP'!$G$526)/60)*Proj[[#This Row],[TOI PP]]*Proj[[#This Row],[GP]],0)</f>
        <v>15</v>
      </c>
      <c r="S227" s="10">
        <f>Proj[[#This Row],[PPG]]+Proj[[#This Row],[PPA]]</f>
        <v>17</v>
      </c>
      <c r="T227">
        <f>ROUND((_xlfn.IFNA(INDEX(Table3[],MATCH(Proj[[#This Row],[Player]],Table3[Player],0),6)/60,IF(Proj[[#This Row],[Pos]] ="D", 'Per 60 PK'!$F$623, 'Per 60 PK'!$F$622)/60)+_xlfn.IFNA(INDEX(Table3[],MATCH(Proj[[#This Row],[Player]],Table3[Player],0),8)/60,IF(Proj[[#This Row],[Pos]] ="D", 'Per 60 PK'!$H$623, 'Per 60 PK'!$H$622)/60))*Proj[[#This Row],[TOI PK]]*Proj[[#This Row],[GP]],0)</f>
        <v>0</v>
      </c>
      <c r="U2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2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167</v>
      </c>
      <c r="W2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2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133</v>
      </c>
      <c r="AA2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306.01895381269719</v>
      </c>
      <c r="AB227" s="10">
        <f>_xlfn.RANK.EQ(Proj[[#This Row],[VOR]],Proj[VOR])</f>
        <v>77</v>
      </c>
      <c r="AC227" s="10">
        <f>INDEX(Std[],MATCH(Proj[[#This Row],[Player]],Std[Player],0),20)</f>
        <v>413.3837215321617</v>
      </c>
      <c r="AD2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418.09999999999997</v>
      </c>
    </row>
    <row r="228" spans="1:30" x14ac:dyDescent="0.25">
      <c r="A228" t="s">
        <v>585</v>
      </c>
      <c r="B228">
        <v>24</v>
      </c>
      <c r="C228" t="s">
        <v>74</v>
      </c>
      <c r="D228" t="s">
        <v>6</v>
      </c>
      <c r="E228" s="9">
        <f>INDEX(Table1[],MATCH(Proj[[#This Row],[Player]],Table1[Player],0),5)</f>
        <v>14.4848234216434</v>
      </c>
      <c r="F228" s="9">
        <f>_xlfn.IFNA(INDEX(Table2[],MATCH(Proj[[#This Row],[Player]],Table2[Player],0),5),0)</f>
        <v>3.39</v>
      </c>
      <c r="G228" s="9">
        <f>_xlfn.IFNA(INDEX(Table3[],MATCH(Proj[[#This Row],[Player]],Table3[Player],0),5),0)</f>
        <v>0.57999999999999996</v>
      </c>
      <c r="H228" s="10">
        <v>77</v>
      </c>
      <c r="I228">
        <v>77</v>
      </c>
      <c r="J228" s="9">
        <v>14.4848234216434</v>
      </c>
      <c r="K228" s="9">
        <v>3.39</v>
      </c>
      <c r="L228" s="9">
        <v>0.57999999999999996</v>
      </c>
      <c r="M228" s="9">
        <f>Proj[[#This Row],[TOI ES]]+Proj[[#This Row],[TOI PP]]+Proj[[#This Row],[TOI PK]]</f>
        <v>18.454823421643397</v>
      </c>
      <c r="N2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28" s="10">
        <f>Proj[[#This Row],[Goals]]+Proj[[#This Row],[Assists]]</f>
        <v>40</v>
      </c>
      <c r="Q228" s="10">
        <f>ROUND(_xlfn.IFNA(INDEX(Table2[],MATCH(Proj[[#This Row],[Player]],Table2[Player],0),11)/60,IF(Proj[[#This Row],[Pos]] = "D", 'Per 60 PP'!$K$527,'Per 60 PP'!$K$526)/60)*Proj[[#This Row],[TOI PP]]*Proj[[#This Row],[GP]],0)</f>
        <v>6</v>
      </c>
      <c r="R228" s="10">
        <f>ROUND(_xlfn.IFNA(INDEX(Table2[],MATCH(Proj[[#This Row],[Player]],Table2[Player],0),7)/60,IF(Proj[[#This Row],[Pos]] = "D", 'Per 60 PP'!$G$527,'Per 60 PP'!$G$526)/60)*Proj[[#This Row],[TOI PP]]*Proj[[#This Row],[GP]],0)</f>
        <v>9</v>
      </c>
      <c r="S228" s="10">
        <f>Proj[[#This Row],[PPG]]+Proj[[#This Row],[PPA]]</f>
        <v>15</v>
      </c>
      <c r="T228">
        <f>ROUND((_xlfn.IFNA(INDEX(Table3[],MATCH(Proj[[#This Row],[Player]],Table3[Player],0),6)/60,IF(Proj[[#This Row],[Pos]] ="D", 'Per 60 PK'!$F$623, 'Per 60 PK'!$F$622)/60)+_xlfn.IFNA(INDEX(Table3[],MATCH(Proj[[#This Row],[Player]],Table3[Player],0),8)/60,IF(Proj[[#This Row],[Pos]] ="D", 'Per 60 PK'!$H$623, 'Per 60 PK'!$H$622)/60))*Proj[[#This Row],[TOI PK]]*Proj[[#This Row],[GP]],0)</f>
        <v>1</v>
      </c>
      <c r="U2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2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54</v>
      </c>
      <c r="W2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2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144</v>
      </c>
      <c r="Y2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251</v>
      </c>
      <c r="Z2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2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-515.9837573560377</v>
      </c>
      <c r="AB228" s="10">
        <f>_xlfn.RANK.EQ(Proj[[#This Row],[VOR]],Proj[VOR])</f>
        <v>432</v>
      </c>
      <c r="AC228" s="10">
        <f>INDEX(Std[],MATCH(Proj[[#This Row],[Player]],Std[Player],0),20)</f>
        <v>218.65009695426093</v>
      </c>
      <c r="AD2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374.84999999999997</v>
      </c>
    </row>
    <row r="229" spans="1:30" x14ac:dyDescent="0.25">
      <c r="A229" t="s">
        <v>646</v>
      </c>
      <c r="B229">
        <v>24</v>
      </c>
      <c r="C229" t="s">
        <v>74</v>
      </c>
      <c r="D229" t="s">
        <v>1240</v>
      </c>
      <c r="E229" s="9">
        <f>INDEX(Table1[],MATCH(Proj[[#This Row],[Player]],Table1[Player],0),5)</f>
        <v>13.789400000000001</v>
      </c>
      <c r="F229" s="9">
        <f>_xlfn.IFNA(INDEX(Table2[],MATCH(Proj[[#This Row],[Player]],Table2[Player],0),5),0)</f>
        <v>2.58</v>
      </c>
      <c r="G229" s="9">
        <f>_xlfn.IFNA(INDEX(Table3[],MATCH(Proj[[#This Row],[Player]],Table3[Player],0),5),0)</f>
        <v>1.2</v>
      </c>
      <c r="H229" s="10">
        <v>81</v>
      </c>
      <c r="I229">
        <v>81</v>
      </c>
      <c r="J229" s="9">
        <v>13.789400000000001</v>
      </c>
      <c r="K229" s="9">
        <v>2.58</v>
      </c>
      <c r="L229" s="9">
        <v>1.2</v>
      </c>
      <c r="M229" s="9">
        <f>Proj[[#This Row],[TOI ES]]+Proj[[#This Row],[TOI PP]]+Proj[[#This Row],[TOI PK]]</f>
        <v>17.569399999999998</v>
      </c>
      <c r="N2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20</v>
      </c>
      <c r="O2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29" s="10">
        <f>Proj[[#This Row],[Goals]]+Proj[[#This Row],[Assists]]</f>
        <v>40</v>
      </c>
      <c r="Q229" s="10">
        <f>ROUND(_xlfn.IFNA(INDEX(Table2[],MATCH(Proj[[#This Row],[Player]],Table2[Player],0),11)/60,IF(Proj[[#This Row],[Pos]] = "D", 'Per 60 PP'!$K$527,'Per 60 PP'!$K$526)/60)*Proj[[#This Row],[TOI PP]]*Proj[[#This Row],[GP]],0)</f>
        <v>7</v>
      </c>
      <c r="R229" s="10">
        <f>ROUND(_xlfn.IFNA(INDEX(Table2[],MATCH(Proj[[#This Row],[Player]],Table2[Player],0),7)/60,IF(Proj[[#This Row],[Pos]] = "D", 'Per 60 PP'!$G$527,'Per 60 PP'!$G$526)/60)*Proj[[#This Row],[TOI PP]]*Proj[[#This Row],[GP]],0)</f>
        <v>4</v>
      </c>
      <c r="S229" s="10">
        <f>Proj[[#This Row],[PPG]]+Proj[[#This Row],[PPA]]</f>
        <v>11</v>
      </c>
      <c r="T229">
        <f>ROUND((_xlfn.IFNA(INDEX(Table3[],MATCH(Proj[[#This Row],[Player]],Table3[Player],0),6)/60,IF(Proj[[#This Row],[Pos]] ="D", 'Per 60 PK'!$F$623, 'Per 60 PK'!$F$622)/60)+_xlfn.IFNA(INDEX(Table3[],MATCH(Proj[[#This Row],[Player]],Table3[Player],0),8)/60,IF(Proj[[#This Row],[Pos]] ="D", 'Per 60 PK'!$H$623, 'Per 60 PK'!$H$622)/60))*Proj[[#This Row],[TOI PK]]*Proj[[#This Row],[GP]],0)</f>
        <v>1</v>
      </c>
      <c r="U2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68</v>
      </c>
      <c r="V2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2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47</v>
      </c>
      <c r="X2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533</v>
      </c>
      <c r="Y2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540</v>
      </c>
      <c r="Z2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164</v>
      </c>
      <c r="AA2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-325.16463775719808</v>
      </c>
      <c r="AB229" s="10">
        <f>_xlfn.RANK.EQ(Proj[[#This Row],[VOR]],Proj[VOR])</f>
        <v>327</v>
      </c>
      <c r="AC229" s="10">
        <f>INDEX(Std[],MATCH(Proj[[#This Row],[Player]],Std[Player],0),20)</f>
        <v>409.46921655310052</v>
      </c>
      <c r="AD2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426.1</v>
      </c>
    </row>
    <row r="230" spans="1:30" x14ac:dyDescent="0.25">
      <c r="A230" t="s">
        <v>1218</v>
      </c>
      <c r="B230">
        <v>21</v>
      </c>
      <c r="C230" t="s">
        <v>74</v>
      </c>
      <c r="D230" t="s">
        <v>21</v>
      </c>
      <c r="E230" s="9">
        <f>INDEX(Table1[],MATCH(Proj[[#This Row],[Player]],Table1[Player],0),5)</f>
        <v>13.75</v>
      </c>
      <c r="F230" s="9">
        <f>_xlfn.IFNA(INDEX(Table2[],MATCH(Proj[[#This Row],[Player]],Table2[Player],0),5),0)</f>
        <v>2.5</v>
      </c>
      <c r="G230" s="9">
        <f>_xlfn.IFNA(INDEX(Table3[],MATCH(Proj[[#This Row],[Player]],Table3[Player],0),5),0)</f>
        <v>0</v>
      </c>
      <c r="H230" s="10">
        <v>74</v>
      </c>
      <c r="I230">
        <v>74</v>
      </c>
      <c r="J230" s="9">
        <v>13.75</v>
      </c>
      <c r="K230" s="9">
        <v>2.5</v>
      </c>
      <c r="L230" s="9">
        <v>0</v>
      </c>
      <c r="M230" s="9">
        <f>Proj[[#This Row],[TOI ES]]+Proj[[#This Row],[TOI PP]]+Proj[[#This Row],[TOI PK]]</f>
        <v>16.25</v>
      </c>
      <c r="N2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30" s="10">
        <f>Proj[[#This Row],[Goals]]+Proj[[#This Row],[Assists]]</f>
        <v>40</v>
      </c>
      <c r="Q230" s="10">
        <f>ROUND(_xlfn.IFNA(INDEX(Table2[],MATCH(Proj[[#This Row],[Player]],Table2[Player],0),11)/60,IF(Proj[[#This Row],[Pos]] = "D", 'Per 60 PP'!$K$527,'Per 60 PP'!$K$526)/60)*Proj[[#This Row],[TOI PP]]*Proj[[#This Row],[GP]],0)</f>
        <v>5</v>
      </c>
      <c r="R230" s="10">
        <f>ROUND(_xlfn.IFNA(INDEX(Table2[],MATCH(Proj[[#This Row],[Player]],Table2[Player],0),7)/60,IF(Proj[[#This Row],[Pos]] = "D", 'Per 60 PP'!$G$527,'Per 60 PP'!$G$526)/60)*Proj[[#This Row],[TOI PP]]*Proj[[#This Row],[GP]],0)</f>
        <v>6</v>
      </c>
      <c r="S230" s="10">
        <f>Proj[[#This Row],[PPG]]+Proj[[#This Row],[PPA]]</f>
        <v>11</v>
      </c>
      <c r="T230">
        <f>ROUND((_xlfn.IFNA(INDEX(Table3[],MATCH(Proj[[#This Row],[Player]],Table3[Player],0),6)/60,IF(Proj[[#This Row],[Pos]] ="D", 'Per 60 PK'!$F$623, 'Per 60 PK'!$F$622)/60)+_xlfn.IFNA(INDEX(Table3[],MATCH(Proj[[#This Row],[Player]],Table3[Player],0),8)/60,IF(Proj[[#This Row],[Pos]] ="D", 'Per 60 PK'!$H$623, 'Per 60 PK'!$H$622)/60))*Proj[[#This Row],[TOI PK]]*Proj[[#This Row],[GP]],0)</f>
        <v>0</v>
      </c>
      <c r="U2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2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2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2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246</v>
      </c>
      <c r="Y2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293</v>
      </c>
      <c r="Z2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144</v>
      </c>
      <c r="AA2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-530.37531473353101</v>
      </c>
      <c r="AB230" s="10">
        <f>_xlfn.RANK.EQ(Proj[[#This Row],[VOR]],Proj[VOR])</f>
        <v>441</v>
      </c>
      <c r="AC230" s="10">
        <f>INDEX(Std[],MATCH(Proj[[#This Row],[Player]],Std[Player],0),20)</f>
        <v>204.25853957676759</v>
      </c>
      <c r="AD2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382.85</v>
      </c>
    </row>
    <row r="231" spans="1:30" x14ac:dyDescent="0.25">
      <c r="A231" t="s">
        <v>497</v>
      </c>
      <c r="B231">
        <v>31</v>
      </c>
      <c r="C231" t="s">
        <v>101</v>
      </c>
      <c r="D231" t="s">
        <v>31</v>
      </c>
      <c r="E231" s="9">
        <f>INDEX(Table1[],MATCH(Proj[[#This Row],[Player]],Table1[Player],0),5)</f>
        <v>13.4297585197007</v>
      </c>
      <c r="F231" s="9">
        <f>_xlfn.IFNA(INDEX(Table2[],MATCH(Proj[[#This Row],[Player]],Table2[Player],0),5),0)</f>
        <v>1.77</v>
      </c>
      <c r="G231" s="9">
        <f>_xlfn.IFNA(INDEX(Table3[],MATCH(Proj[[#This Row],[Player]],Table3[Player],0),5),0)</f>
        <v>0.59</v>
      </c>
      <c r="H231" s="10">
        <v>79</v>
      </c>
      <c r="I231">
        <v>79</v>
      </c>
      <c r="J231" s="9">
        <v>13.4297585197007</v>
      </c>
      <c r="K231" s="9">
        <v>1.77</v>
      </c>
      <c r="L231" s="9">
        <v>0.59</v>
      </c>
      <c r="M231" s="9">
        <f>Proj[[#This Row],[TOI ES]]+Proj[[#This Row],[TOI PP]]+Proj[[#This Row],[TOI PK]]</f>
        <v>15.789758519700699</v>
      </c>
      <c r="N2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31" s="10">
        <f>Proj[[#This Row],[Goals]]+Proj[[#This Row],[Assists]]</f>
        <v>40</v>
      </c>
      <c r="Q231" s="10">
        <f>ROUND(_xlfn.IFNA(INDEX(Table2[],MATCH(Proj[[#This Row],[Player]],Table2[Player],0),11)/60,IF(Proj[[#This Row],[Pos]] = "D", 'Per 60 PP'!$K$527,'Per 60 PP'!$K$526)/60)*Proj[[#This Row],[TOI PP]]*Proj[[#This Row],[GP]],0)</f>
        <v>5</v>
      </c>
      <c r="R231" s="10">
        <f>ROUND(_xlfn.IFNA(INDEX(Table2[],MATCH(Proj[[#This Row],[Player]],Table2[Player],0),7)/60,IF(Proj[[#This Row],[Pos]] = "D", 'Per 60 PP'!$G$527,'Per 60 PP'!$G$526)/60)*Proj[[#This Row],[TOI PP]]*Proj[[#This Row],[GP]],0)</f>
        <v>5</v>
      </c>
      <c r="S231" s="10">
        <f>Proj[[#This Row],[PPG]]+Proj[[#This Row],[PPA]]</f>
        <v>10</v>
      </c>
      <c r="T231">
        <f>ROUND((_xlfn.IFNA(INDEX(Table3[],MATCH(Proj[[#This Row],[Player]],Table3[Player],0),6)/60,IF(Proj[[#This Row],[Pos]] ="D", 'Per 60 PK'!$F$623, 'Per 60 PK'!$F$622)/60)+_xlfn.IFNA(INDEX(Table3[],MATCH(Proj[[#This Row],[Player]],Table3[Player],0),8)/60,IF(Proj[[#This Row],[Pos]] ="D", 'Per 60 PK'!$H$623, 'Per 60 PK'!$H$622)/60))*Proj[[#This Row],[TOI PK]]*Proj[[#This Row],[GP]],0)</f>
        <v>0</v>
      </c>
      <c r="U2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2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2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2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69</v>
      </c>
      <c r="Y2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80</v>
      </c>
      <c r="Z2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191</v>
      </c>
      <c r="AA2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-372.67671721888473</v>
      </c>
      <c r="AB231" s="10">
        <f>_xlfn.RANK.EQ(Proj[[#This Row],[VOR]],Proj[VOR])</f>
        <v>361</v>
      </c>
      <c r="AC231" s="10">
        <f>INDEX(Std[],MATCH(Proj[[#This Row],[Player]],Std[Player],0),20)</f>
        <v>98.868007171364098</v>
      </c>
      <c r="AD2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381.94999999999993</v>
      </c>
    </row>
    <row r="232" spans="1:30" x14ac:dyDescent="0.25">
      <c r="A232" t="s">
        <v>1070</v>
      </c>
      <c r="B232">
        <v>23</v>
      </c>
      <c r="C232" t="s">
        <v>105</v>
      </c>
      <c r="D232" t="s">
        <v>32</v>
      </c>
      <c r="E232" s="9">
        <f>INDEX(Table1[],MATCH(Proj[[#This Row],[Player]],Table1[Player],0),5)</f>
        <v>14.527124111984801</v>
      </c>
      <c r="F232" s="9">
        <f>_xlfn.IFNA(INDEX(Table2[],MATCH(Proj[[#This Row],[Player]],Table2[Player],0),5),0)</f>
        <v>2.68</v>
      </c>
      <c r="G232" s="9">
        <f>_xlfn.IFNA(INDEX(Table3[],MATCH(Proj[[#This Row],[Player]],Table3[Player],0),5),0)</f>
        <v>0</v>
      </c>
      <c r="H232" s="10">
        <v>80</v>
      </c>
      <c r="I232">
        <v>80</v>
      </c>
      <c r="J232" s="9">
        <v>14.527124111984801</v>
      </c>
      <c r="K232" s="9">
        <v>2.68</v>
      </c>
      <c r="L232" s="9">
        <v>0</v>
      </c>
      <c r="M232" s="9">
        <f>Proj[[#This Row],[TOI ES]]+Proj[[#This Row],[TOI PP]]+Proj[[#This Row],[TOI PK]]</f>
        <v>17.2071241119848</v>
      </c>
      <c r="N2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2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32" s="10">
        <f>Proj[[#This Row],[Goals]]+Proj[[#This Row],[Assists]]</f>
        <v>40</v>
      </c>
      <c r="Q232" s="10">
        <f>ROUND(_xlfn.IFNA(INDEX(Table2[],MATCH(Proj[[#This Row],[Player]],Table2[Player],0),11)/60,IF(Proj[[#This Row],[Pos]] = "D", 'Per 60 PP'!$K$527,'Per 60 PP'!$K$526)/60)*Proj[[#This Row],[TOI PP]]*Proj[[#This Row],[GP]],0)</f>
        <v>5</v>
      </c>
      <c r="R232" s="10">
        <f>ROUND(_xlfn.IFNA(INDEX(Table2[],MATCH(Proj[[#This Row],[Player]],Table2[Player],0),7)/60,IF(Proj[[#This Row],[Pos]] = "D", 'Per 60 PP'!$G$527,'Per 60 PP'!$G$526)/60)*Proj[[#This Row],[TOI PP]]*Proj[[#This Row],[GP]],0)</f>
        <v>6</v>
      </c>
      <c r="S232" s="10">
        <f>Proj[[#This Row],[PPG]]+Proj[[#This Row],[PPA]]</f>
        <v>11</v>
      </c>
      <c r="T232">
        <f>ROUND((_xlfn.IFNA(INDEX(Table3[],MATCH(Proj[[#This Row],[Player]],Table3[Player],0),6)/60,IF(Proj[[#This Row],[Pos]] ="D", 'Per 60 PK'!$F$623, 'Per 60 PK'!$F$622)/60)+_xlfn.IFNA(INDEX(Table3[],MATCH(Proj[[#This Row],[Player]],Table3[Player],0),8)/60,IF(Proj[[#This Row],[Pos]] ="D", 'Per 60 PK'!$H$623, 'Per 60 PK'!$H$622)/60))*Proj[[#This Row],[TOI PK]]*Proj[[#This Row],[GP]],0)</f>
        <v>0</v>
      </c>
      <c r="U2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91</v>
      </c>
      <c r="V2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2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2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26</v>
      </c>
      <c r="Y2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2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173</v>
      </c>
      <c r="AA2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-276.90267804009045</v>
      </c>
      <c r="AB232" s="10">
        <f>_xlfn.RANK.EQ(Proj[[#This Row],[VOR]],Proj[VOR])</f>
        <v>295</v>
      </c>
      <c r="AC232" s="10">
        <f>INDEX(Std[],MATCH(Proj[[#This Row],[Player]],Std[Player],0),20)</f>
        <v>169.64204635015844</v>
      </c>
      <c r="AD2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393.05</v>
      </c>
    </row>
    <row r="233" spans="1:30" x14ac:dyDescent="0.25">
      <c r="A233" t="s">
        <v>470</v>
      </c>
      <c r="B233">
        <v>33</v>
      </c>
      <c r="C233" t="s">
        <v>74</v>
      </c>
      <c r="D233" t="s">
        <v>87</v>
      </c>
      <c r="E233" s="9">
        <f>INDEX(Table1[],MATCH(Proj[[#This Row],[Player]],Table1[Player],0),5)</f>
        <v>14.7367833657517</v>
      </c>
      <c r="F233" s="9">
        <f>_xlfn.IFNA(INDEX(Table2[],MATCH(Proj[[#This Row],[Player]],Table2[Player],0),5),0)</f>
        <v>0.68</v>
      </c>
      <c r="G233" s="9">
        <f>_xlfn.IFNA(INDEX(Table3[],MATCH(Proj[[#This Row],[Player]],Table3[Player],0),5),0)</f>
        <v>1.94</v>
      </c>
      <c r="H233" s="10">
        <v>80</v>
      </c>
      <c r="I233">
        <v>80</v>
      </c>
      <c r="J233" s="9">
        <v>14.7367833657517</v>
      </c>
      <c r="K233" s="9">
        <v>0.68</v>
      </c>
      <c r="L233" s="9">
        <v>1.94</v>
      </c>
      <c r="M233" s="9">
        <f>Proj[[#This Row],[TOI ES]]+Proj[[#This Row],[TOI PP]]+Proj[[#This Row],[TOI PK]]</f>
        <v>17.356783365751699</v>
      </c>
      <c r="N2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33">
        <f>Proj[[#This Row],[Goals]]+Proj[[#This Row],[Assists]]</f>
        <v>40</v>
      </c>
      <c r="Q233" s="10">
        <f>ROUND(_xlfn.IFNA(INDEX(Table2[],MATCH(Proj[[#This Row],[Player]],Table2[Player],0),11)/60,IF(Proj[[#This Row],[Pos]] = "D", 'Per 60 PP'!$K$527,'Per 60 PP'!$K$526)/60)*Proj[[#This Row],[TOI PP]]*Proj[[#This Row],[GP]],0)</f>
        <v>1</v>
      </c>
      <c r="R233" s="10">
        <f>ROUND(_xlfn.IFNA(INDEX(Table2[],MATCH(Proj[[#This Row],[Player]],Table2[Player],0),7)/60,IF(Proj[[#This Row],[Pos]] = "D", 'Per 60 PP'!$G$527,'Per 60 PP'!$G$526)/60)*Proj[[#This Row],[TOI PP]]*Proj[[#This Row],[GP]],0)</f>
        <v>1</v>
      </c>
      <c r="S233" s="10">
        <f>Proj[[#This Row],[PPG]]+Proj[[#This Row],[PPA]]</f>
        <v>2</v>
      </c>
      <c r="T233">
        <f>ROUND((_xlfn.IFNA(INDEX(Table3[],MATCH(Proj[[#This Row],[Player]],Table3[Player],0),6)/60,IF(Proj[[#This Row],[Pos]] ="D", 'Per 60 PK'!$F$623, 'Per 60 PK'!$F$622)/60)+_xlfn.IFNA(INDEX(Table3[],MATCH(Proj[[#This Row],[Player]],Table3[Player],0),8)/60,IF(Proj[[#This Row],[Pos]] ="D", 'Per 60 PK'!$H$623, 'Per 60 PK'!$H$622)/60))*Proj[[#This Row],[TOI PK]]*Proj[[#This Row],[GP]],0)</f>
        <v>3</v>
      </c>
      <c r="U2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121</v>
      </c>
      <c r="V2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52</v>
      </c>
      <c r="W2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60</v>
      </c>
      <c r="X2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490</v>
      </c>
      <c r="Y2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531</v>
      </c>
      <c r="Z2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140</v>
      </c>
      <c r="AA2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-313.99708473486152</v>
      </c>
      <c r="AB233" s="10">
        <f>_xlfn.RANK.EQ(Proj[[#This Row],[VOR]],Proj[VOR])</f>
        <v>321</v>
      </c>
      <c r="AC233" s="10">
        <f>INDEX(Std[],MATCH(Proj[[#This Row],[Player]],Std[Player],0),20)</f>
        <v>420.63676957543709</v>
      </c>
      <c r="AD2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437.55</v>
      </c>
    </row>
    <row r="234" spans="1:30" x14ac:dyDescent="0.25">
      <c r="A234" t="s">
        <v>452</v>
      </c>
      <c r="B234">
        <v>34</v>
      </c>
      <c r="C234" t="s">
        <v>102</v>
      </c>
      <c r="D234" t="s">
        <v>20</v>
      </c>
      <c r="E234" s="9">
        <f>INDEX(Table1[],MATCH(Proj[[#This Row],[Player]],Table1[Player],0),5)</f>
        <v>13.831273775403099</v>
      </c>
      <c r="F234" s="9">
        <f>_xlfn.IFNA(INDEX(Table2[],MATCH(Proj[[#This Row],[Player]],Table2[Player],0),5),0)</f>
        <v>1.83</v>
      </c>
      <c r="G234" s="9">
        <f>_xlfn.IFNA(INDEX(Table3[],MATCH(Proj[[#This Row],[Player]],Table3[Player],0),5),0)</f>
        <v>0</v>
      </c>
      <c r="H234" s="10">
        <v>81</v>
      </c>
      <c r="I234">
        <v>81</v>
      </c>
      <c r="J234" s="9">
        <v>13.831273775403099</v>
      </c>
      <c r="K234" s="9">
        <v>1.83</v>
      </c>
      <c r="L234" s="9">
        <v>0</v>
      </c>
      <c r="M234" s="9">
        <f>Proj[[#This Row],[TOI ES]]+Proj[[#This Row],[TOI PP]]+Proj[[#This Row],[TOI PK]]</f>
        <v>15.6612737754031</v>
      </c>
      <c r="N2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25</v>
      </c>
      <c r="O2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234" s="10">
        <f>Proj[[#This Row],[Goals]]+Proj[[#This Row],[Assists]]</f>
        <v>40</v>
      </c>
      <c r="Q234" s="10">
        <f>ROUND(_xlfn.IFNA(INDEX(Table2[],MATCH(Proj[[#This Row],[Player]],Table2[Player],0),11)/60,IF(Proj[[#This Row],[Pos]] = "D", 'Per 60 PP'!$K$527,'Per 60 PP'!$K$526)/60)*Proj[[#This Row],[TOI PP]]*Proj[[#This Row],[GP]],0)</f>
        <v>5</v>
      </c>
      <c r="R234" s="10">
        <f>ROUND(_xlfn.IFNA(INDEX(Table2[],MATCH(Proj[[#This Row],[Player]],Table2[Player],0),7)/60,IF(Proj[[#This Row],[Pos]] = "D", 'Per 60 PP'!$G$527,'Per 60 PP'!$G$526)/60)*Proj[[#This Row],[TOI PP]]*Proj[[#This Row],[GP]],0)</f>
        <v>1</v>
      </c>
      <c r="S234" s="10">
        <f>Proj[[#This Row],[PPG]]+Proj[[#This Row],[PPA]]</f>
        <v>6</v>
      </c>
      <c r="T234">
        <f>ROUND((_xlfn.IFNA(INDEX(Table3[],MATCH(Proj[[#This Row],[Player]],Table3[Player],0),6)/60,IF(Proj[[#This Row],[Pos]] ="D", 'Per 60 PK'!$F$623, 'Per 60 PK'!$F$622)/60)+_xlfn.IFNA(INDEX(Table3[],MATCH(Proj[[#This Row],[Player]],Table3[Player],0),8)/60,IF(Proj[[#This Row],[Pos]] ="D", 'Per 60 PK'!$H$623, 'Per 60 PK'!$H$622)/60))*Proj[[#This Row],[TOI PK]]*Proj[[#This Row],[GP]],0)</f>
        <v>0</v>
      </c>
      <c r="U2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139</v>
      </c>
      <c r="V2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2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2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v>
      </c>
      <c r="Y2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v>
      </c>
      <c r="Z2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176</v>
      </c>
      <c r="AA2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-172.97687101007767</v>
      </c>
      <c r="AB234" s="10">
        <f>_xlfn.RANK.EQ(Proj[[#This Row],[VOR]],Proj[VOR])</f>
        <v>235</v>
      </c>
      <c r="AC234" s="10">
        <f>INDEX(Std[],MATCH(Proj[[#This Row],[Player]],Std[Player],0),20)</f>
        <v>298.56785338017119</v>
      </c>
      <c r="AD2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432.54999999999995</v>
      </c>
    </row>
    <row r="235" spans="1:30" x14ac:dyDescent="0.25">
      <c r="A235" t="s">
        <v>575</v>
      </c>
      <c r="B235">
        <v>32</v>
      </c>
      <c r="C235" t="s">
        <v>102</v>
      </c>
      <c r="D235" t="s">
        <v>14</v>
      </c>
      <c r="E235" s="9">
        <f>INDEX(Table1[],MATCH(Proj[[#This Row],[Player]],Table1[Player],0),5)</f>
        <v>13.396289869803301</v>
      </c>
      <c r="F235" s="9">
        <f>_xlfn.IFNA(INDEX(Table2[],MATCH(Proj[[#This Row],[Player]],Table2[Player],0),5),0)</f>
        <v>1.6</v>
      </c>
      <c r="G235" s="9">
        <f>_xlfn.IFNA(INDEX(Table3[],MATCH(Proj[[#This Row],[Player]],Table3[Player],0),5),0)</f>
        <v>0.63</v>
      </c>
      <c r="H235" s="10">
        <v>81</v>
      </c>
      <c r="I235">
        <v>81</v>
      </c>
      <c r="J235" s="9">
        <v>13.396289869803301</v>
      </c>
      <c r="K235" s="9">
        <v>1.6</v>
      </c>
      <c r="L235" s="9">
        <v>0.63</v>
      </c>
      <c r="M235" s="9">
        <f>Proj[[#This Row],[TOI ES]]+Proj[[#This Row],[TOI PP]]+Proj[[#This Row],[TOI PK]]</f>
        <v>15.626289869803301</v>
      </c>
      <c r="N2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2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35" s="10">
        <f>Proj[[#This Row],[Goals]]+Proj[[#This Row],[Assists]]</f>
        <v>39</v>
      </c>
      <c r="Q235" s="10">
        <f>ROUND(_xlfn.IFNA(INDEX(Table2[],MATCH(Proj[[#This Row],[Player]],Table2[Player],0),11)/60,IF(Proj[[#This Row],[Pos]] = "D", 'Per 60 PP'!$K$527,'Per 60 PP'!$K$526)/60)*Proj[[#This Row],[TOI PP]]*Proj[[#This Row],[GP]],0)</f>
        <v>4</v>
      </c>
      <c r="R235" s="10">
        <f>ROUND(_xlfn.IFNA(INDEX(Table2[],MATCH(Proj[[#This Row],[Player]],Table2[Player],0),7)/60,IF(Proj[[#This Row],[Pos]] = "D", 'Per 60 PP'!$G$527,'Per 60 PP'!$G$526)/60)*Proj[[#This Row],[TOI PP]]*Proj[[#This Row],[GP]],0)</f>
        <v>2</v>
      </c>
      <c r="S235" s="10">
        <f>Proj[[#This Row],[PPG]]+Proj[[#This Row],[PPA]]</f>
        <v>6</v>
      </c>
      <c r="T235">
        <f>ROUND((_xlfn.IFNA(INDEX(Table3[],MATCH(Proj[[#This Row],[Player]],Table3[Player],0),6)/60,IF(Proj[[#This Row],[Pos]] ="D", 'Per 60 PK'!$F$623, 'Per 60 PK'!$F$622)/60)+_xlfn.IFNA(INDEX(Table3[],MATCH(Proj[[#This Row],[Player]],Table3[Player],0),8)/60,IF(Proj[[#This Row],[Pos]] ="D", 'Per 60 PK'!$H$623, 'Per 60 PK'!$H$622)/60))*Proj[[#This Row],[TOI PK]]*Proj[[#This Row],[GP]],0)</f>
        <v>1</v>
      </c>
      <c r="U2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v>
      </c>
      <c r="V2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2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2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2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2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2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-731.87090210095459</v>
      </c>
      <c r="AB235" s="10">
        <f>_xlfn.RANK.EQ(Proj[[#This Row],[VOR]],Proj[VOR])</f>
        <v>547</v>
      </c>
      <c r="AC235" s="10">
        <f>INDEX(Std[],MATCH(Proj[[#This Row],[Player]],Std[Player],0),20)</f>
        <v>-260.32617771070574</v>
      </c>
      <c r="AD2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298.39999999999998</v>
      </c>
    </row>
    <row r="236" spans="1:30" x14ac:dyDescent="0.25">
      <c r="A236" t="s">
        <v>345</v>
      </c>
      <c r="B236">
        <v>32</v>
      </c>
      <c r="C236" t="s">
        <v>101</v>
      </c>
      <c r="D236" t="s">
        <v>29</v>
      </c>
      <c r="E236" s="9">
        <f>INDEX(Table1[],MATCH(Proj[[#This Row],[Player]],Table1[Player],0),5)</f>
        <v>13.9390418294558</v>
      </c>
      <c r="F236" s="9">
        <f>_xlfn.IFNA(INDEX(Table2[],MATCH(Proj[[#This Row],[Player]],Table2[Player],0),5),0)</f>
        <v>2.2999999999999998</v>
      </c>
      <c r="G236" s="9">
        <f>_xlfn.IFNA(INDEX(Table3[],MATCH(Proj[[#This Row],[Player]],Table3[Player],0),5),0)</f>
        <v>1.31</v>
      </c>
      <c r="H236" s="10">
        <v>71</v>
      </c>
      <c r="I236">
        <v>71</v>
      </c>
      <c r="J236" s="9">
        <v>13.9390418294558</v>
      </c>
      <c r="K236" s="9">
        <v>2.2999999999999998</v>
      </c>
      <c r="L236" s="9">
        <v>1.31</v>
      </c>
      <c r="M236" s="9">
        <f>Proj[[#This Row],[TOI ES]]+Proj[[#This Row],[TOI PP]]+Proj[[#This Row],[TOI PK]]</f>
        <v>17.549041829455799</v>
      </c>
      <c r="N2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28</v>
      </c>
      <c r="P236" s="10">
        <f>Proj[[#This Row],[Goals]]+Proj[[#This Row],[Assists]]</f>
        <v>39</v>
      </c>
      <c r="Q236" s="10">
        <f>ROUND(_xlfn.IFNA(INDEX(Table2[],MATCH(Proj[[#This Row],[Player]],Table2[Player],0),11)/60,IF(Proj[[#This Row],[Pos]] = "D", 'Per 60 PP'!$K$527,'Per 60 PP'!$K$526)/60)*Proj[[#This Row],[TOI PP]]*Proj[[#This Row],[GP]],0)</f>
        <v>3</v>
      </c>
      <c r="R236" s="10">
        <f>ROUND(_xlfn.IFNA(INDEX(Table2[],MATCH(Proj[[#This Row],[Player]],Table2[Player],0),7)/60,IF(Proj[[#This Row],[Pos]] = "D", 'Per 60 PP'!$G$527,'Per 60 PP'!$G$526)/60)*Proj[[#This Row],[TOI PP]]*Proj[[#This Row],[GP]],0)</f>
        <v>10</v>
      </c>
      <c r="S236" s="10">
        <f>Proj[[#This Row],[PPG]]+Proj[[#This Row],[PPA]]</f>
        <v>13</v>
      </c>
      <c r="T236">
        <f>ROUND((_xlfn.IFNA(INDEX(Table3[],MATCH(Proj[[#This Row],[Player]],Table3[Player],0),6)/60,IF(Proj[[#This Row],[Pos]] ="D", 'Per 60 PK'!$F$623, 'Per 60 PK'!$F$622)/60)+_xlfn.IFNA(INDEX(Table3[],MATCH(Proj[[#This Row],[Player]],Table3[Player],0),8)/60,IF(Proj[[#This Row],[Pos]] ="D", 'Per 60 PK'!$H$623, 'Per 60 PK'!$H$622)/60))*Proj[[#This Row],[TOI PK]]*Proj[[#This Row],[GP]],0)</f>
        <v>0</v>
      </c>
      <c r="U2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28</v>
      </c>
      <c r="V2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26</v>
      </c>
      <c r="W2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2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379</v>
      </c>
      <c r="Y2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466</v>
      </c>
      <c r="Z2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2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-381.19221807263932</v>
      </c>
      <c r="AB236" s="10">
        <f>_xlfn.RANK.EQ(Proj[[#This Row],[VOR]],Proj[VOR])</f>
        <v>364</v>
      </c>
      <c r="AC236" s="10">
        <f>INDEX(Std[],MATCH(Proj[[#This Row],[Player]],Std[Player],0),20)</f>
        <v>90.352506317609553</v>
      </c>
      <c r="AD2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338.8</v>
      </c>
    </row>
    <row r="237" spans="1:30" x14ac:dyDescent="0.25">
      <c r="A237" t="s">
        <v>1123</v>
      </c>
      <c r="B237">
        <v>23</v>
      </c>
      <c r="C237" t="s">
        <v>105</v>
      </c>
      <c r="D237" t="s">
        <v>22</v>
      </c>
      <c r="E237" s="9">
        <f>INDEX(Table1[],MATCH(Proj[[#This Row],[Player]],Table1[Player],0),5)</f>
        <v>13.0726754861413</v>
      </c>
      <c r="F237" s="9">
        <f>_xlfn.IFNA(INDEX(Table2[],MATCH(Proj[[#This Row],[Player]],Table2[Player],0),5),0)</f>
        <v>2.35</v>
      </c>
      <c r="G237" s="9">
        <f>_xlfn.IFNA(INDEX(Table3[],MATCH(Proj[[#This Row],[Player]],Table3[Player],0),5),0)</f>
        <v>0</v>
      </c>
      <c r="H237" s="10">
        <v>70</v>
      </c>
      <c r="I237">
        <v>70</v>
      </c>
      <c r="J237" s="9">
        <v>13.0726754861413</v>
      </c>
      <c r="K237" s="9">
        <v>2.35</v>
      </c>
      <c r="L237" s="9">
        <v>0</v>
      </c>
      <c r="M237" s="9">
        <f>Proj[[#This Row],[TOI ES]]+Proj[[#This Row],[TOI PP]]+Proj[[#This Row],[TOI PK]]</f>
        <v>15.4226754861413</v>
      </c>
      <c r="N2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37" s="10">
        <f>Proj[[#This Row],[Goals]]+Proj[[#This Row],[Assists]]</f>
        <v>39</v>
      </c>
      <c r="Q237" s="10">
        <f>ROUND(_xlfn.IFNA(INDEX(Table2[],MATCH(Proj[[#This Row],[Player]],Table2[Player],0),11)/60,IF(Proj[[#This Row],[Pos]] = "D", 'Per 60 PP'!$K$527,'Per 60 PP'!$K$526)/60)*Proj[[#This Row],[TOI PP]]*Proj[[#This Row],[GP]],0)</f>
        <v>2</v>
      </c>
      <c r="R237" s="10">
        <f>ROUND(_xlfn.IFNA(INDEX(Table2[],MATCH(Proj[[#This Row],[Player]],Table2[Player],0),7)/60,IF(Proj[[#This Row],[Pos]] = "D", 'Per 60 PP'!$G$527,'Per 60 PP'!$G$526)/60)*Proj[[#This Row],[TOI PP]]*Proj[[#This Row],[GP]],0)</f>
        <v>6</v>
      </c>
      <c r="S237" s="10">
        <f>Proj[[#This Row],[PPG]]+Proj[[#This Row],[PPA]]</f>
        <v>8</v>
      </c>
      <c r="T237">
        <f>ROUND((_xlfn.IFNA(INDEX(Table3[],MATCH(Proj[[#This Row],[Player]],Table3[Player],0),6)/60,IF(Proj[[#This Row],[Pos]] ="D", 'Per 60 PK'!$F$623, 'Per 60 PK'!$F$622)/60)+_xlfn.IFNA(INDEX(Table3[],MATCH(Proj[[#This Row],[Player]],Table3[Player],0),8)/60,IF(Proj[[#This Row],[Pos]] ="D", 'Per 60 PK'!$H$623, 'Per 60 PK'!$H$622)/60))*Proj[[#This Row],[TOI PK]]*Proj[[#This Row],[GP]],0)</f>
        <v>0</v>
      </c>
      <c r="U2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2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2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2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72</v>
      </c>
      <c r="Y2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83</v>
      </c>
      <c r="Z2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104</v>
      </c>
      <c r="AA2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-613.74423087685625</v>
      </c>
      <c r="AB237" s="10">
        <f>_xlfn.RANK.EQ(Proj[[#This Row],[VOR]],Proj[VOR])</f>
        <v>487</v>
      </c>
      <c r="AC237" s="10">
        <f>INDEX(Std[],MATCH(Proj[[#This Row],[Player]],Std[Player],0),20)</f>
        <v>-167.19950648660742</v>
      </c>
      <c r="AD2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303.7</v>
      </c>
    </row>
    <row r="238" spans="1:30" x14ac:dyDescent="0.25">
      <c r="A238" t="s">
        <v>368</v>
      </c>
      <c r="B238">
        <v>22</v>
      </c>
      <c r="C238" t="s">
        <v>3</v>
      </c>
      <c r="D238" t="s">
        <v>15</v>
      </c>
      <c r="E238" s="9">
        <f>INDEX(Table1[],MATCH(Proj[[#This Row],[Player]],Table1[Player],0),5)</f>
        <v>17.076516478727299</v>
      </c>
      <c r="F238" s="9">
        <f>_xlfn.IFNA(INDEX(Table2[],MATCH(Proj[[#This Row],[Player]],Table2[Player],0),5),0)</f>
        <v>2.79</v>
      </c>
      <c r="G238" s="9">
        <f>_xlfn.IFNA(INDEX(Table3[],MATCH(Proj[[#This Row],[Player]],Table3[Player],0),5),0)</f>
        <v>3.03</v>
      </c>
      <c r="H238" s="10">
        <v>80</v>
      </c>
      <c r="I238">
        <v>80</v>
      </c>
      <c r="J238" s="9">
        <v>17.076516478727299</v>
      </c>
      <c r="K238" s="9">
        <v>2.79</v>
      </c>
      <c r="L238" s="9">
        <v>3.03</v>
      </c>
      <c r="M238" s="9">
        <f>Proj[[#This Row],[TOI ES]]+Proj[[#This Row],[TOI PP]]+Proj[[#This Row],[TOI PK]]</f>
        <v>22.8965164787273</v>
      </c>
      <c r="N2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2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238" s="10">
        <f>Proj[[#This Row],[Goals]]+Proj[[#This Row],[Assists]]</f>
        <v>39</v>
      </c>
      <c r="Q238" s="10">
        <f>ROUND(_xlfn.IFNA(INDEX(Table2[],MATCH(Proj[[#This Row],[Player]],Table2[Player],0),11)/60,IF(Proj[[#This Row],[Pos]] = "D", 'Per 60 PP'!$K$527,'Per 60 PP'!$K$526)/60)*Proj[[#This Row],[TOI PP]]*Proj[[#This Row],[GP]],0)</f>
        <v>2</v>
      </c>
      <c r="R238" s="10">
        <f>ROUND(_xlfn.IFNA(INDEX(Table2[],MATCH(Proj[[#This Row],[Player]],Table2[Player],0),7)/60,IF(Proj[[#This Row],[Pos]] = "D", 'Per 60 PP'!$G$527,'Per 60 PP'!$G$526)/60)*Proj[[#This Row],[TOI PP]]*Proj[[#This Row],[GP]],0)</f>
        <v>14</v>
      </c>
      <c r="S238" s="10">
        <f>Proj[[#This Row],[PPG]]+Proj[[#This Row],[PPA]]</f>
        <v>16</v>
      </c>
      <c r="T238">
        <f>ROUND((_xlfn.IFNA(INDEX(Table3[],MATCH(Proj[[#This Row],[Player]],Table3[Player],0),6)/60,IF(Proj[[#This Row],[Pos]] ="D", 'Per 60 PK'!$F$623, 'Per 60 PK'!$F$622)/60)+_xlfn.IFNA(INDEX(Table3[],MATCH(Proj[[#This Row],[Player]],Table3[Player],0),8)/60,IF(Proj[[#This Row],[Pos]] ="D", 'Per 60 PK'!$H$623, 'Per 60 PK'!$H$622)/60))*Proj[[#This Row],[TOI PK]]*Proj[[#This Row],[GP]],0)</f>
        <v>0</v>
      </c>
      <c r="U2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2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151</v>
      </c>
      <c r="W2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2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148</v>
      </c>
      <c r="AA2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89.041342919803952</v>
      </c>
      <c r="AB238" s="10">
        <f>_xlfn.RANK.EQ(Proj[[#This Row],[VOR]],Proj[VOR])</f>
        <v>128</v>
      </c>
      <c r="AC238" s="10">
        <f>INDEX(Std[],MATCH(Proj[[#This Row],[Player]],Std[Player],0),20)</f>
        <v>196.40611063926843</v>
      </c>
      <c r="AD2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392.15000000000003</v>
      </c>
    </row>
    <row r="239" spans="1:30" x14ac:dyDescent="0.25">
      <c r="A239" t="s">
        <v>1152</v>
      </c>
      <c r="B239">
        <v>20</v>
      </c>
      <c r="C239" t="s">
        <v>74</v>
      </c>
      <c r="D239" t="s">
        <v>12</v>
      </c>
      <c r="E239" s="9">
        <f>INDEX(Table1[],MATCH(Proj[[#This Row],[Player]],Table1[Player],0),5)</f>
        <v>13.35</v>
      </c>
      <c r="F239" s="9">
        <f>_xlfn.IFNA(INDEX(Table2[],MATCH(Proj[[#This Row],[Player]],Table2[Player],0),5),0)</f>
        <v>1.85</v>
      </c>
      <c r="G239" s="9">
        <f>_xlfn.IFNA(INDEX(Table3[],MATCH(Proj[[#This Row],[Player]],Table3[Player],0),5),0)</f>
        <v>0</v>
      </c>
      <c r="H239" s="10">
        <v>73</v>
      </c>
      <c r="I239">
        <v>73</v>
      </c>
      <c r="J239" s="9">
        <v>13.35</v>
      </c>
      <c r="K239" s="9">
        <v>1.85</v>
      </c>
      <c r="L239" s="9">
        <v>0</v>
      </c>
      <c r="M239" s="9">
        <f>Proj[[#This Row],[TOI ES]]+Proj[[#This Row],[TOI PP]]+Proj[[#This Row],[TOI PK]]</f>
        <v>15.2</v>
      </c>
      <c r="N2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239" s="10">
        <f>Proj[[#This Row],[Goals]]+Proj[[#This Row],[Assists]]</f>
        <v>39</v>
      </c>
      <c r="Q239" s="10">
        <f>ROUND(_xlfn.IFNA(INDEX(Table2[],MATCH(Proj[[#This Row],[Player]],Table2[Player],0),11)/60,IF(Proj[[#This Row],[Pos]] = "D", 'Per 60 PP'!$K$527,'Per 60 PP'!$K$526)/60)*Proj[[#This Row],[TOI PP]]*Proj[[#This Row],[GP]],0)</f>
        <v>2</v>
      </c>
      <c r="R239" s="10">
        <f>ROUND(_xlfn.IFNA(INDEX(Table2[],MATCH(Proj[[#This Row],[Player]],Table2[Player],0),7)/60,IF(Proj[[#This Row],[Pos]] = "D", 'Per 60 PP'!$G$527,'Per 60 PP'!$G$526)/60)*Proj[[#This Row],[TOI PP]]*Proj[[#This Row],[GP]],0)</f>
        <v>6</v>
      </c>
      <c r="S239" s="10">
        <f>Proj[[#This Row],[PPG]]+Proj[[#This Row],[PPA]]</f>
        <v>8</v>
      </c>
      <c r="T239">
        <f>ROUND((_xlfn.IFNA(INDEX(Table3[],MATCH(Proj[[#This Row],[Player]],Table3[Player],0),6)/60,IF(Proj[[#This Row],[Pos]] ="D", 'Per 60 PK'!$F$623, 'Per 60 PK'!$F$622)/60)+_xlfn.IFNA(INDEX(Table3[],MATCH(Proj[[#This Row],[Player]],Table3[Player],0),8)/60,IF(Proj[[#This Row],[Pos]] ="D", 'Per 60 PK'!$H$623, 'Per 60 PK'!$H$622)/60))*Proj[[#This Row],[TOI PK]]*Proj[[#This Row],[GP]],0)</f>
        <v>0</v>
      </c>
      <c r="U2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2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2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248</v>
      </c>
      <c r="Y2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304</v>
      </c>
      <c r="Z2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109</v>
      </c>
      <c r="AA2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-796.46293279275972</v>
      </c>
      <c r="AB239" s="10">
        <f>_xlfn.RANK.EQ(Proj[[#This Row],[VOR]],Proj[VOR])</f>
        <v>584</v>
      </c>
      <c r="AC239" s="10">
        <f>INDEX(Std[],MATCH(Proj[[#This Row],[Player]],Std[Player],0),20)</f>
        <v>-61.829078482461085</v>
      </c>
      <c r="AD2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328.10000000000008</v>
      </c>
    </row>
    <row r="240" spans="1:30" x14ac:dyDescent="0.25">
      <c r="A240" t="s">
        <v>860</v>
      </c>
      <c r="B240">
        <v>24</v>
      </c>
      <c r="C240" t="s">
        <v>103</v>
      </c>
      <c r="D240" t="s">
        <v>23</v>
      </c>
      <c r="E240" s="9">
        <f>INDEX(Table1[],MATCH(Proj[[#This Row],[Player]],Table1[Player],0),5)</f>
        <v>13.7675449627096</v>
      </c>
      <c r="F240" s="9">
        <f>_xlfn.IFNA(INDEX(Table2[],MATCH(Proj[[#This Row],[Player]],Table2[Player],0),5),0)</f>
        <v>2.59</v>
      </c>
      <c r="G240" s="9">
        <f>_xlfn.IFNA(INDEX(Table3[],MATCH(Proj[[#This Row],[Player]],Table3[Player],0),5),0)</f>
        <v>0</v>
      </c>
      <c r="H240" s="10">
        <v>78</v>
      </c>
      <c r="I240">
        <v>78</v>
      </c>
      <c r="J240" s="9">
        <v>13.7675449627096</v>
      </c>
      <c r="K240" s="9">
        <v>2.59</v>
      </c>
      <c r="L240" s="9">
        <v>0</v>
      </c>
      <c r="M240" s="9">
        <f>Proj[[#This Row],[TOI ES]]+Proj[[#This Row],[TOI PP]]+Proj[[#This Row],[TOI PK]]</f>
        <v>16.3575449627096</v>
      </c>
      <c r="N2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23</v>
      </c>
      <c r="O2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240" s="10">
        <f>Proj[[#This Row],[Goals]]+Proj[[#This Row],[Assists]]</f>
        <v>39</v>
      </c>
      <c r="Q240" s="10">
        <f>ROUND(_xlfn.IFNA(INDEX(Table2[],MATCH(Proj[[#This Row],[Player]],Table2[Player],0),11)/60,IF(Proj[[#This Row],[Pos]] = "D", 'Per 60 PP'!$K$527,'Per 60 PP'!$K$526)/60)*Proj[[#This Row],[TOI PP]]*Proj[[#This Row],[GP]],0)</f>
        <v>8</v>
      </c>
      <c r="R240" s="10">
        <f>ROUND(_xlfn.IFNA(INDEX(Table2[],MATCH(Proj[[#This Row],[Player]],Table2[Player],0),7)/60,IF(Proj[[#This Row],[Pos]] = "D", 'Per 60 PP'!$G$527,'Per 60 PP'!$G$526)/60)*Proj[[#This Row],[TOI PP]]*Proj[[#This Row],[GP]],0)</f>
        <v>4</v>
      </c>
      <c r="S240" s="10">
        <f>Proj[[#This Row],[PPG]]+Proj[[#This Row],[PPA]]</f>
        <v>12</v>
      </c>
      <c r="T240">
        <f>ROUND((_xlfn.IFNA(INDEX(Table3[],MATCH(Proj[[#This Row],[Player]],Table3[Player],0),6)/60,IF(Proj[[#This Row],[Pos]] ="D", 'Per 60 PK'!$F$623, 'Per 60 PK'!$F$622)/60)+_xlfn.IFNA(INDEX(Table3[],MATCH(Proj[[#This Row],[Player]],Table3[Player],0),8)/60,IF(Proj[[#This Row],[Pos]] ="D", 'Per 60 PK'!$H$623, 'Per 60 PK'!$H$622)/60))*Proj[[#This Row],[TOI PK]]*Proj[[#This Row],[GP]],0)</f>
        <v>0</v>
      </c>
      <c r="U2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2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2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2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v>
      </c>
      <c r="Y2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51</v>
      </c>
      <c r="Z2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186</v>
      </c>
      <c r="AA2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-418.11743934173393</v>
      </c>
      <c r="AB240" s="10">
        <f>_xlfn.RANK.EQ(Proj[[#This Row],[VOR]],Proj[VOR])</f>
        <v>384</v>
      </c>
      <c r="AC240" s="10">
        <f>INDEX(Std[],MATCH(Proj[[#This Row],[Player]],Std[Player],0),20)</f>
        <v>28.427285048514918</v>
      </c>
      <c r="AD2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367.40000000000003</v>
      </c>
    </row>
    <row r="241" spans="1:30" x14ac:dyDescent="0.25">
      <c r="A241" t="s">
        <v>486</v>
      </c>
      <c r="B241">
        <v>32</v>
      </c>
      <c r="C241" t="s">
        <v>74</v>
      </c>
      <c r="D241" t="s">
        <v>87</v>
      </c>
      <c r="E241" s="9">
        <f>INDEX(Table1[],MATCH(Proj[[#This Row],[Player]],Table1[Player],0),5)</f>
        <v>14.1653389258204</v>
      </c>
      <c r="F241" s="9">
        <f>_xlfn.IFNA(INDEX(Table2[],MATCH(Proj[[#This Row],[Player]],Table2[Player],0),5),0)</f>
        <v>2.2000000000000002</v>
      </c>
      <c r="G241" s="9">
        <f>_xlfn.IFNA(INDEX(Table3[],MATCH(Proj[[#This Row],[Player]],Table3[Player],0),5),0)</f>
        <v>0.55000000000000004</v>
      </c>
      <c r="H241" s="10">
        <v>77</v>
      </c>
      <c r="I241">
        <v>77</v>
      </c>
      <c r="J241" s="9">
        <v>14.1653389258204</v>
      </c>
      <c r="K241" s="9">
        <v>2.2000000000000002</v>
      </c>
      <c r="L241" s="9">
        <v>0.55000000000000004</v>
      </c>
      <c r="M241" s="9">
        <f>Proj[[#This Row],[TOI ES]]+Proj[[#This Row],[TOI PP]]+Proj[[#This Row],[TOI PK]]</f>
        <v>16.9153389258204</v>
      </c>
      <c r="N2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41" s="10">
        <f>Proj[[#This Row],[Goals]]+Proj[[#This Row],[Assists]]</f>
        <v>39</v>
      </c>
      <c r="Q241" s="10">
        <f>ROUND(_xlfn.IFNA(INDEX(Table2[],MATCH(Proj[[#This Row],[Player]],Table2[Player],0),11)/60,IF(Proj[[#This Row],[Pos]] = "D", 'Per 60 PP'!$K$527,'Per 60 PP'!$K$526)/60)*Proj[[#This Row],[TOI PP]]*Proj[[#This Row],[GP]],0)</f>
        <v>6</v>
      </c>
      <c r="R241" s="10">
        <f>ROUND(_xlfn.IFNA(INDEX(Table2[],MATCH(Proj[[#This Row],[Player]],Table2[Player],0),7)/60,IF(Proj[[#This Row],[Pos]] = "D", 'Per 60 PP'!$G$527,'Per 60 PP'!$G$526)/60)*Proj[[#This Row],[TOI PP]]*Proj[[#This Row],[GP]],0)</f>
        <v>3</v>
      </c>
      <c r="S241" s="10">
        <f>Proj[[#This Row],[PPG]]+Proj[[#This Row],[PPA]]</f>
        <v>9</v>
      </c>
      <c r="T241">
        <f>ROUND((_xlfn.IFNA(INDEX(Table3[],MATCH(Proj[[#This Row],[Player]],Table3[Player],0),6)/60,IF(Proj[[#This Row],[Pos]] ="D", 'Per 60 PK'!$F$623, 'Per 60 PK'!$F$622)/60)+_xlfn.IFNA(INDEX(Table3[],MATCH(Proj[[#This Row],[Player]],Table3[Player],0),8)/60,IF(Proj[[#This Row],[Pos]] ="D", 'Per 60 PK'!$H$623, 'Per 60 PK'!$H$622)/60))*Proj[[#This Row],[TOI PK]]*Proj[[#This Row],[GP]],0)</f>
        <v>0</v>
      </c>
      <c r="U2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2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2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2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99</v>
      </c>
      <c r="Y2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85</v>
      </c>
      <c r="Z2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2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-743.55487713318871</v>
      </c>
      <c r="AB241" s="10">
        <f>_xlfn.RANK.EQ(Proj[[#This Row],[VOR]],Proj[VOR])</f>
        <v>556</v>
      </c>
      <c r="AC241" s="10">
        <f>INDEX(Std[],MATCH(Proj[[#This Row],[Player]],Std[Player],0),20)</f>
        <v>-8.9210228228900679</v>
      </c>
      <c r="AD2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348.79999999999995</v>
      </c>
    </row>
    <row r="242" spans="1:30" x14ac:dyDescent="0.25">
      <c r="A242" t="s">
        <v>417</v>
      </c>
      <c r="B242">
        <v>30</v>
      </c>
      <c r="C242" t="s">
        <v>103</v>
      </c>
      <c r="D242" t="s">
        <v>22</v>
      </c>
      <c r="E242" s="9">
        <f>INDEX(Table1[],MATCH(Proj[[#This Row],[Player]],Table1[Player],0),5)</f>
        <v>12.662407529711199</v>
      </c>
      <c r="F242" s="9">
        <f>_xlfn.IFNA(INDEX(Table2[],MATCH(Proj[[#This Row],[Player]],Table2[Player],0),5),0)</f>
        <v>1.48</v>
      </c>
      <c r="G242" s="9">
        <f>_xlfn.IFNA(INDEX(Table3[],MATCH(Proj[[#This Row],[Player]],Table3[Player],0),5),0)</f>
        <v>0</v>
      </c>
      <c r="H242" s="10">
        <v>76</v>
      </c>
      <c r="I242">
        <v>76</v>
      </c>
      <c r="J242" s="9">
        <v>12.662407529711199</v>
      </c>
      <c r="K242" s="9">
        <v>1.48</v>
      </c>
      <c r="L242" s="9">
        <v>0</v>
      </c>
      <c r="M242" s="9">
        <f>Proj[[#This Row],[TOI ES]]+Proj[[#This Row],[TOI PP]]+Proj[[#This Row],[TOI PK]]</f>
        <v>14.1424075297112</v>
      </c>
      <c r="N2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42">
        <f>Proj[[#This Row],[Goals]]+Proj[[#This Row],[Assists]]</f>
        <v>39</v>
      </c>
      <c r="Q242" s="10">
        <f>ROUND(_xlfn.IFNA(INDEX(Table2[],MATCH(Proj[[#This Row],[Player]],Table2[Player],0),11)/60,IF(Proj[[#This Row],[Pos]] = "D", 'Per 60 PP'!$K$527,'Per 60 PP'!$K$526)/60)*Proj[[#This Row],[TOI PP]]*Proj[[#This Row],[GP]],0)</f>
        <v>2</v>
      </c>
      <c r="R242" s="10">
        <f>ROUND(_xlfn.IFNA(INDEX(Table2[],MATCH(Proj[[#This Row],[Player]],Table2[Player],0),7)/60,IF(Proj[[#This Row],[Pos]] = "D", 'Per 60 PP'!$G$527,'Per 60 PP'!$G$526)/60)*Proj[[#This Row],[TOI PP]]*Proj[[#This Row],[GP]],0)</f>
        <v>4</v>
      </c>
      <c r="S242" s="10">
        <f>Proj[[#This Row],[PPG]]+Proj[[#This Row],[PPA]]</f>
        <v>6</v>
      </c>
      <c r="T242">
        <f>ROUND((_xlfn.IFNA(INDEX(Table3[],MATCH(Proj[[#This Row],[Player]],Table3[Player],0),6)/60,IF(Proj[[#This Row],[Pos]] ="D", 'Per 60 PK'!$F$623, 'Per 60 PK'!$F$622)/60)+_xlfn.IFNA(INDEX(Table3[],MATCH(Proj[[#This Row],[Player]],Table3[Player],0),8)/60,IF(Proj[[#This Row],[Pos]] ="D", 'Per 60 PK'!$H$623, 'Per 60 PK'!$H$622)/60))*Proj[[#This Row],[TOI PK]]*Proj[[#This Row],[GP]],0)</f>
        <v>0</v>
      </c>
      <c r="U2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2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2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2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2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2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125</v>
      </c>
      <c r="AA2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-564.6766349149425</v>
      </c>
      <c r="AB242" s="10">
        <f>_xlfn.RANK.EQ(Proj[[#This Row],[VOR]],Proj[VOR])</f>
        <v>462</v>
      </c>
      <c r="AC242" s="10">
        <f>INDEX(Std[],MATCH(Proj[[#This Row],[Player]],Std[Player],0),20)</f>
        <v>-118.13191052469358</v>
      </c>
      <c r="AD2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325.34999999999997</v>
      </c>
    </row>
    <row r="243" spans="1:30" x14ac:dyDescent="0.25">
      <c r="A243" t="s">
        <v>1126</v>
      </c>
      <c r="B243">
        <v>24</v>
      </c>
      <c r="C243" t="s">
        <v>102</v>
      </c>
      <c r="D243" t="s">
        <v>23</v>
      </c>
      <c r="E243" s="9">
        <f>INDEX(Table1[],MATCH(Proj[[#This Row],[Player]],Table1[Player],0),5)</f>
        <v>12.5</v>
      </c>
      <c r="F243" s="9">
        <f>_xlfn.IFNA(INDEX(Table2[],MATCH(Proj[[#This Row],[Player]],Table2[Player],0),5),0)</f>
        <v>2.14</v>
      </c>
      <c r="G243" s="9">
        <f>_xlfn.IFNA(INDEX(Table3[],MATCH(Proj[[#This Row],[Player]],Table3[Player],0),5),0)</f>
        <v>0</v>
      </c>
      <c r="H243" s="10">
        <v>78</v>
      </c>
      <c r="I243">
        <v>78</v>
      </c>
      <c r="J243" s="9">
        <v>12.5</v>
      </c>
      <c r="K243" s="9">
        <v>2.14</v>
      </c>
      <c r="L243" s="9">
        <v>0</v>
      </c>
      <c r="M243" s="9">
        <f>Proj[[#This Row],[TOI ES]]+Proj[[#This Row],[TOI PP]]+Proj[[#This Row],[TOI PK]]</f>
        <v>14.64</v>
      </c>
      <c r="N2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2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43" s="10">
        <f>Proj[[#This Row],[Goals]]+Proj[[#This Row],[Assists]]</f>
        <v>39</v>
      </c>
      <c r="Q243" s="10">
        <f>ROUND(_xlfn.IFNA(INDEX(Table2[],MATCH(Proj[[#This Row],[Player]],Table2[Player],0),11)/60,IF(Proj[[#This Row],[Pos]] = "D", 'Per 60 PP'!$K$527,'Per 60 PP'!$K$526)/60)*Proj[[#This Row],[TOI PP]]*Proj[[#This Row],[GP]],0)</f>
        <v>6</v>
      </c>
      <c r="R243" s="10">
        <f>ROUND(_xlfn.IFNA(INDEX(Table2[],MATCH(Proj[[#This Row],[Player]],Table2[Player],0),7)/60,IF(Proj[[#This Row],[Pos]] = "D", 'Per 60 PP'!$G$527,'Per 60 PP'!$G$526)/60)*Proj[[#This Row],[TOI PP]]*Proj[[#This Row],[GP]],0)</f>
        <v>3</v>
      </c>
      <c r="S243" s="10">
        <f>Proj[[#This Row],[PPG]]+Proj[[#This Row],[PPA]]</f>
        <v>9</v>
      </c>
      <c r="T243">
        <f>ROUND((_xlfn.IFNA(INDEX(Table3[],MATCH(Proj[[#This Row],[Player]],Table3[Player],0),6)/60,IF(Proj[[#This Row],[Pos]] ="D", 'Per 60 PK'!$F$623, 'Per 60 PK'!$F$622)/60)+_xlfn.IFNA(INDEX(Table3[],MATCH(Proj[[#This Row],[Player]],Table3[Player],0),8)/60,IF(Proj[[#This Row],[Pos]] ="D", 'Per 60 PK'!$H$623, 'Per 60 PK'!$H$622)/60))*Proj[[#This Row],[TOI PK]]*Proj[[#This Row],[GP]],0)</f>
        <v>0</v>
      </c>
      <c r="U2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86</v>
      </c>
      <c r="V2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2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2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291</v>
      </c>
      <c r="Y2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389</v>
      </c>
      <c r="Z2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160</v>
      </c>
      <c r="AA2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-123.72353939314468</v>
      </c>
      <c r="AB243" s="10">
        <f>_xlfn.RANK.EQ(Proj[[#This Row],[VOR]],Proj[VOR])</f>
        <v>213</v>
      </c>
      <c r="AC243" s="10">
        <f>INDEX(Std[],MATCH(Proj[[#This Row],[Player]],Std[Player],0),20)</f>
        <v>347.82118499710418</v>
      </c>
      <c r="AD2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414.90000000000003</v>
      </c>
    </row>
    <row r="244" spans="1:30" x14ac:dyDescent="0.25">
      <c r="A244" t="s">
        <v>772</v>
      </c>
      <c r="B244">
        <v>26</v>
      </c>
      <c r="C244" t="s">
        <v>105</v>
      </c>
      <c r="D244" t="s">
        <v>12</v>
      </c>
      <c r="E244" s="9">
        <f>INDEX(Table1[],MATCH(Proj[[#This Row],[Player]],Table1[Player],0),5)</f>
        <v>12.8190389415729</v>
      </c>
      <c r="F244" s="9">
        <f>_xlfn.IFNA(INDEX(Table2[],MATCH(Proj[[#This Row],[Player]],Table2[Player],0),5),0)</f>
        <v>1.89</v>
      </c>
      <c r="G244" s="9">
        <f>_xlfn.IFNA(INDEX(Table3[],MATCH(Proj[[#This Row],[Player]],Table3[Player],0),5),0)</f>
        <v>0.87</v>
      </c>
      <c r="H244" s="10">
        <v>78</v>
      </c>
      <c r="I244">
        <v>78</v>
      </c>
      <c r="J244" s="9">
        <v>12.8190389415729</v>
      </c>
      <c r="K244" s="9">
        <v>1.89</v>
      </c>
      <c r="L244" s="9">
        <v>0.87</v>
      </c>
      <c r="M244" s="9">
        <f>Proj[[#This Row],[TOI ES]]+Proj[[#This Row],[TOI PP]]+Proj[[#This Row],[TOI PK]]</f>
        <v>15.5790389415729</v>
      </c>
      <c r="N2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44" s="10">
        <f>Proj[[#This Row],[Goals]]+Proj[[#This Row],[Assists]]</f>
        <v>39</v>
      </c>
      <c r="Q244" s="10">
        <f>ROUND(_xlfn.IFNA(INDEX(Table2[],MATCH(Proj[[#This Row],[Player]],Table2[Player],0),11)/60,IF(Proj[[#This Row],[Pos]] = "D", 'Per 60 PP'!$K$527,'Per 60 PP'!$K$526)/60)*Proj[[#This Row],[TOI PP]]*Proj[[#This Row],[GP]],0)</f>
        <v>3</v>
      </c>
      <c r="R244" s="10">
        <f>ROUND(_xlfn.IFNA(INDEX(Table2[],MATCH(Proj[[#This Row],[Player]],Table2[Player],0),7)/60,IF(Proj[[#This Row],[Pos]] = "D", 'Per 60 PP'!$G$527,'Per 60 PP'!$G$526)/60)*Proj[[#This Row],[TOI PP]]*Proj[[#This Row],[GP]],0)</f>
        <v>6</v>
      </c>
      <c r="S244" s="10">
        <f>Proj[[#This Row],[PPG]]+Proj[[#This Row],[PPA]]</f>
        <v>9</v>
      </c>
      <c r="T244">
        <f>ROUND((_xlfn.IFNA(INDEX(Table3[],MATCH(Proj[[#This Row],[Player]],Table3[Player],0),6)/60,IF(Proj[[#This Row],[Pos]] ="D", 'Per 60 PK'!$F$623, 'Per 60 PK'!$F$622)/60)+_xlfn.IFNA(INDEX(Table3[],MATCH(Proj[[#This Row],[Player]],Table3[Player],0),8)/60,IF(Proj[[#This Row],[Pos]] ="D", 'Per 60 PK'!$H$623, 'Per 60 PK'!$H$622)/60))*Proj[[#This Row],[TOI PK]]*Proj[[#This Row],[GP]],0)</f>
        <v>0</v>
      </c>
      <c r="U2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108</v>
      </c>
      <c r="V2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2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2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345</v>
      </c>
      <c r="Y2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398</v>
      </c>
      <c r="Z2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133</v>
      </c>
      <c r="AA2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-206.10652516569394</v>
      </c>
      <c r="AB244" s="10">
        <f>_xlfn.RANK.EQ(Proj[[#This Row],[VOR]],Proj[VOR])</f>
        <v>250</v>
      </c>
      <c r="AC244" s="10">
        <f>INDEX(Std[],MATCH(Proj[[#This Row],[Player]],Std[Player],0),20)</f>
        <v>240.43819922455492</v>
      </c>
      <c r="AD2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402.5</v>
      </c>
    </row>
    <row r="245" spans="1:30" x14ac:dyDescent="0.25">
      <c r="A245" t="s">
        <v>565</v>
      </c>
      <c r="B245">
        <v>28</v>
      </c>
      <c r="C245" t="s">
        <v>74</v>
      </c>
      <c r="D245" t="s">
        <v>11</v>
      </c>
      <c r="E245" s="9">
        <f>INDEX(Table1[],MATCH(Proj[[#This Row],[Player]],Table1[Player],0),5)</f>
        <v>11.9367945117367</v>
      </c>
      <c r="F245" s="9">
        <f>_xlfn.IFNA(INDEX(Table2[],MATCH(Proj[[#This Row],[Player]],Table2[Player],0),5),0)</f>
        <v>1.43</v>
      </c>
      <c r="G245" s="9">
        <f>_xlfn.IFNA(INDEX(Table3[],MATCH(Proj[[#This Row],[Player]],Table3[Player],0),5),0)</f>
        <v>0.56999999999999995</v>
      </c>
      <c r="H245" s="10">
        <v>80</v>
      </c>
      <c r="I245">
        <v>80</v>
      </c>
      <c r="J245" s="9">
        <v>11.9367945117367</v>
      </c>
      <c r="K245" s="9">
        <v>1.43</v>
      </c>
      <c r="L245" s="9">
        <v>0.56999999999999995</v>
      </c>
      <c r="M245" s="9">
        <f>Proj[[#This Row],[TOI ES]]+Proj[[#This Row],[TOI PP]]+Proj[[#This Row],[TOI PK]]</f>
        <v>13.9367945117367</v>
      </c>
      <c r="N2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2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45" s="10">
        <f>Proj[[#This Row],[Goals]]+Proj[[#This Row],[Assists]]</f>
        <v>39</v>
      </c>
      <c r="Q245" s="10">
        <f>ROUND(_xlfn.IFNA(INDEX(Table2[],MATCH(Proj[[#This Row],[Player]],Table2[Player],0),11)/60,IF(Proj[[#This Row],[Pos]] = "D", 'Per 60 PP'!$K$527,'Per 60 PP'!$K$526)/60)*Proj[[#This Row],[TOI PP]]*Proj[[#This Row],[GP]],0)</f>
        <v>4</v>
      </c>
      <c r="R245" s="10">
        <f>ROUND(_xlfn.IFNA(INDEX(Table2[],MATCH(Proj[[#This Row],[Player]],Table2[Player],0),7)/60,IF(Proj[[#This Row],[Pos]] = "D", 'Per 60 PP'!$G$527,'Per 60 PP'!$G$526)/60)*Proj[[#This Row],[TOI PP]]*Proj[[#This Row],[GP]],0)</f>
        <v>3</v>
      </c>
      <c r="S245" s="10">
        <f>Proj[[#This Row],[PPG]]+Proj[[#This Row],[PPA]]</f>
        <v>7</v>
      </c>
      <c r="T245">
        <f>ROUND((_xlfn.IFNA(INDEX(Table3[],MATCH(Proj[[#This Row],[Player]],Table3[Player],0),6)/60,IF(Proj[[#This Row],[Pos]] ="D", 'Per 60 PK'!$F$623, 'Per 60 PK'!$F$622)/60)+_xlfn.IFNA(INDEX(Table3[],MATCH(Proj[[#This Row],[Player]],Table3[Player],0),8)/60,IF(Proj[[#This Row],[Pos]] ="D", 'Per 60 PK'!$H$623, 'Per 60 PK'!$H$622)/60))*Proj[[#This Row],[TOI PK]]*Proj[[#This Row],[GP]],0)</f>
        <v>0</v>
      </c>
      <c r="U2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136</v>
      </c>
      <c r="V2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2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2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364</v>
      </c>
      <c r="Y2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351</v>
      </c>
      <c r="Z2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154</v>
      </c>
      <c r="AA2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-335.22001568455198</v>
      </c>
      <c r="AB245" s="10">
        <f>_xlfn.RANK.EQ(Proj[[#This Row],[VOR]],Proj[VOR])</f>
        <v>331</v>
      </c>
      <c r="AC245" s="10">
        <f>INDEX(Std[],MATCH(Proj[[#This Row],[Player]],Std[Player],0),20)</f>
        <v>399.41383862574662</v>
      </c>
      <c r="AD2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439.1</v>
      </c>
    </row>
    <row r="246" spans="1:30" x14ac:dyDescent="0.25">
      <c r="A246" t="s">
        <v>1072</v>
      </c>
      <c r="B246">
        <v>22</v>
      </c>
      <c r="C246" t="s">
        <v>102</v>
      </c>
      <c r="D246" t="s">
        <v>30</v>
      </c>
      <c r="E246" s="9">
        <f>INDEX(Table1[],MATCH(Proj[[#This Row],[Player]],Table1[Player],0),5)</f>
        <v>12.763359085088</v>
      </c>
      <c r="F246" s="9">
        <f>_xlfn.IFNA(INDEX(Table2[],MATCH(Proj[[#This Row],[Player]],Table2[Player],0),5),0)</f>
        <v>1.38</v>
      </c>
      <c r="G246" s="9">
        <f>_xlfn.IFNA(INDEX(Table3[],MATCH(Proj[[#This Row],[Player]],Table3[Player],0),5),0)</f>
        <v>0.51</v>
      </c>
      <c r="H246" s="10">
        <v>80</v>
      </c>
      <c r="I246">
        <v>80</v>
      </c>
      <c r="J246" s="9">
        <v>12.763359085088</v>
      </c>
      <c r="K246" s="9">
        <v>1.38</v>
      </c>
      <c r="L246" s="9">
        <v>0.51</v>
      </c>
      <c r="M246" s="9">
        <f>Proj[[#This Row],[TOI ES]]+Proj[[#This Row],[TOI PP]]+Proj[[#This Row],[TOI PK]]</f>
        <v>14.653359085088001</v>
      </c>
      <c r="N2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46" s="10">
        <f>Proj[[#This Row],[Goals]]+Proj[[#This Row],[Assists]]</f>
        <v>39</v>
      </c>
      <c r="Q246" s="10">
        <f>ROUND(_xlfn.IFNA(INDEX(Table2[],MATCH(Proj[[#This Row],[Player]],Table2[Player],0),11)/60,IF(Proj[[#This Row],[Pos]] = "D", 'Per 60 PP'!$K$527,'Per 60 PP'!$K$526)/60)*Proj[[#This Row],[TOI PP]]*Proj[[#This Row],[GP]],0)</f>
        <v>2</v>
      </c>
      <c r="R246" s="10">
        <f>ROUND(_xlfn.IFNA(INDEX(Table2[],MATCH(Proj[[#This Row],[Player]],Table2[Player],0),7)/60,IF(Proj[[#This Row],[Pos]] = "D", 'Per 60 PP'!$G$527,'Per 60 PP'!$G$526)/60)*Proj[[#This Row],[TOI PP]]*Proj[[#This Row],[GP]],0)</f>
        <v>4</v>
      </c>
      <c r="S246" s="10">
        <f>Proj[[#This Row],[PPG]]+Proj[[#This Row],[PPA]]</f>
        <v>6</v>
      </c>
      <c r="T246">
        <f>ROUND((_xlfn.IFNA(INDEX(Table3[],MATCH(Proj[[#This Row],[Player]],Table3[Player],0),6)/60,IF(Proj[[#This Row],[Pos]] ="D", 'Per 60 PK'!$F$623, 'Per 60 PK'!$F$622)/60)+_xlfn.IFNA(INDEX(Table3[],MATCH(Proj[[#This Row],[Player]],Table3[Player],0),8)/60,IF(Proj[[#This Row],[Pos]] ="D", 'Per 60 PK'!$H$623, 'Per 60 PK'!$H$622)/60))*Proj[[#This Row],[TOI PK]]*Proj[[#This Row],[GP]],0)</f>
        <v>0</v>
      </c>
      <c r="U2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151</v>
      </c>
      <c r="V2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2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2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v>
      </c>
      <c r="Y2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2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128</v>
      </c>
      <c r="AA2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-318.59396627848935</v>
      </c>
      <c r="AB246" s="10">
        <f>_xlfn.RANK.EQ(Proj[[#This Row],[VOR]],Proj[VOR])</f>
        <v>322</v>
      </c>
      <c r="AC246" s="10">
        <f>INDEX(Std[],MATCH(Proj[[#This Row],[Player]],Std[Player],0),20)</f>
        <v>152.95075811175951</v>
      </c>
      <c r="AD2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390</v>
      </c>
    </row>
    <row r="247" spans="1:30" x14ac:dyDescent="0.25">
      <c r="A247" t="s">
        <v>453</v>
      </c>
      <c r="B247">
        <v>29</v>
      </c>
      <c r="C247" t="s">
        <v>102</v>
      </c>
      <c r="D247" t="s">
        <v>87</v>
      </c>
      <c r="E247" s="9">
        <f>INDEX(Table1[],MATCH(Proj[[#This Row],[Player]],Table1[Player],0),5)</f>
        <v>12.5848356260431</v>
      </c>
      <c r="F247" s="9">
        <f>_xlfn.IFNA(INDEX(Table2[],MATCH(Proj[[#This Row],[Player]],Table2[Player],0),5),0)</f>
        <v>2.2400000000000002</v>
      </c>
      <c r="G247" s="9">
        <f>_xlfn.IFNA(INDEX(Table3[],MATCH(Proj[[#This Row],[Player]],Table3[Player],0),5),0)</f>
        <v>0</v>
      </c>
      <c r="H247" s="10">
        <v>75</v>
      </c>
      <c r="I247">
        <v>75</v>
      </c>
      <c r="J247" s="9">
        <v>12.5848356260431</v>
      </c>
      <c r="K247" s="9">
        <v>2.2400000000000002</v>
      </c>
      <c r="L247" s="9">
        <v>0</v>
      </c>
      <c r="M247" s="9">
        <f>Proj[[#This Row],[TOI ES]]+Proj[[#This Row],[TOI PP]]+Proj[[#This Row],[TOI PK]]</f>
        <v>14.8248356260431</v>
      </c>
      <c r="N2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47" s="10">
        <f>Proj[[#This Row],[Goals]]+Proj[[#This Row],[Assists]]</f>
        <v>38</v>
      </c>
      <c r="Q247" s="10">
        <f>ROUND(_xlfn.IFNA(INDEX(Table2[],MATCH(Proj[[#This Row],[Player]],Table2[Player],0),11)/60,IF(Proj[[#This Row],[Pos]] = "D", 'Per 60 PP'!$K$527,'Per 60 PP'!$K$526)/60)*Proj[[#This Row],[TOI PP]]*Proj[[#This Row],[GP]],0)</f>
        <v>5</v>
      </c>
      <c r="R247" s="10">
        <f>ROUND(_xlfn.IFNA(INDEX(Table2[],MATCH(Proj[[#This Row],[Player]],Table2[Player],0),7)/60,IF(Proj[[#This Row],[Pos]] = "D", 'Per 60 PP'!$G$527,'Per 60 PP'!$G$526)/60)*Proj[[#This Row],[TOI PP]]*Proj[[#This Row],[GP]],0)</f>
        <v>8</v>
      </c>
      <c r="S247" s="10">
        <f>Proj[[#This Row],[PPG]]+Proj[[#This Row],[PPA]]</f>
        <v>13</v>
      </c>
      <c r="T247">
        <f>ROUND((_xlfn.IFNA(INDEX(Table3[],MATCH(Proj[[#This Row],[Player]],Table3[Player],0),6)/60,IF(Proj[[#This Row],[Pos]] ="D", 'Per 60 PK'!$F$623, 'Per 60 PK'!$F$622)/60)+_xlfn.IFNA(INDEX(Table3[],MATCH(Proj[[#This Row],[Player]],Table3[Player],0),8)/60,IF(Proj[[#This Row],[Pos]] ="D", 'Per 60 PK'!$H$623, 'Per 60 PK'!$H$622)/60))*Proj[[#This Row],[TOI PK]]*Proj[[#This Row],[GP]],0)</f>
        <v>0</v>
      </c>
      <c r="U2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22</v>
      </c>
      <c r="V2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2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2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2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v>
      </c>
      <c r="Z2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2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-660.18775113603317</v>
      </c>
      <c r="AB247" s="10">
        <f>_xlfn.RANK.EQ(Proj[[#This Row],[VOR]],Proj[VOR])</f>
        <v>506</v>
      </c>
      <c r="AC247" s="10">
        <f>INDEX(Std[],MATCH(Proj[[#This Row],[Player]],Std[Player],0),20)</f>
        <v>-188.64302674578431</v>
      </c>
      <c r="AD2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297.7</v>
      </c>
    </row>
    <row r="248" spans="1:30" x14ac:dyDescent="0.25">
      <c r="A248" t="s">
        <v>406</v>
      </c>
      <c r="B248">
        <v>31</v>
      </c>
      <c r="C248" t="s">
        <v>101</v>
      </c>
      <c r="D248" t="s">
        <v>5</v>
      </c>
      <c r="E248" s="9">
        <f>INDEX(Table1[],MATCH(Proj[[#This Row],[Player]],Table1[Player],0),5)</f>
        <v>13.4703556363853</v>
      </c>
      <c r="F248" s="9">
        <f>_xlfn.IFNA(INDEX(Table2[],MATCH(Proj[[#This Row],[Player]],Table2[Player],0),5),0)</f>
        <v>2.2400000000000002</v>
      </c>
      <c r="G248" s="9">
        <f>_xlfn.IFNA(INDEX(Table3[],MATCH(Proj[[#This Row],[Player]],Table3[Player],0),5),0)</f>
        <v>0.25</v>
      </c>
      <c r="H248" s="10">
        <v>79</v>
      </c>
      <c r="I248">
        <v>79</v>
      </c>
      <c r="J248" s="9">
        <v>13.4703556363853</v>
      </c>
      <c r="K248" s="9">
        <v>2.2400000000000002</v>
      </c>
      <c r="L248" s="9">
        <v>0.25</v>
      </c>
      <c r="M248" s="9">
        <f>Proj[[#This Row],[TOI ES]]+Proj[[#This Row],[TOI PP]]+Proj[[#This Row],[TOI PK]]</f>
        <v>15.9603556363853</v>
      </c>
      <c r="N2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48" s="10">
        <f>Proj[[#This Row],[Goals]]+Proj[[#This Row],[Assists]]</f>
        <v>38</v>
      </c>
      <c r="Q248" s="10">
        <f>ROUND(_xlfn.IFNA(INDEX(Table2[],MATCH(Proj[[#This Row],[Player]],Table2[Player],0),11)/60,IF(Proj[[#This Row],[Pos]] = "D", 'Per 60 PP'!$K$527,'Per 60 PP'!$K$526)/60)*Proj[[#This Row],[TOI PP]]*Proj[[#This Row],[GP]],0)</f>
        <v>2</v>
      </c>
      <c r="R248" s="10">
        <f>ROUND(_xlfn.IFNA(INDEX(Table2[],MATCH(Proj[[#This Row],[Player]],Table2[Player],0),7)/60,IF(Proj[[#This Row],[Pos]] = "D", 'Per 60 PP'!$G$527,'Per 60 PP'!$G$526)/60)*Proj[[#This Row],[TOI PP]]*Proj[[#This Row],[GP]],0)</f>
        <v>7</v>
      </c>
      <c r="S248" s="10">
        <f>Proj[[#This Row],[PPG]]+Proj[[#This Row],[PPA]]</f>
        <v>9</v>
      </c>
      <c r="T248">
        <f>ROUND((_xlfn.IFNA(INDEX(Table3[],MATCH(Proj[[#This Row],[Player]],Table3[Player],0),6)/60,IF(Proj[[#This Row],[Pos]] ="D", 'Per 60 PK'!$F$623, 'Per 60 PK'!$F$622)/60)+_xlfn.IFNA(INDEX(Table3[],MATCH(Proj[[#This Row],[Player]],Table3[Player],0),8)/60,IF(Proj[[#This Row],[Pos]] ="D", 'Per 60 PK'!$H$623, 'Per 60 PK'!$H$622)/60))*Proj[[#This Row],[TOI PK]]*Proj[[#This Row],[GP]],0)</f>
        <v>0</v>
      </c>
      <c r="U2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48</v>
      </c>
      <c r="V2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2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74</v>
      </c>
      <c r="X2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254</v>
      </c>
      <c r="Y2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305</v>
      </c>
      <c r="Z2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127</v>
      </c>
      <c r="AA2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-293.56960655694917</v>
      </c>
      <c r="AB248" s="10">
        <f>_xlfn.RANK.EQ(Proj[[#This Row],[VOR]],Proj[VOR])</f>
        <v>302</v>
      </c>
      <c r="AC248" s="10">
        <f>INDEX(Std[],MATCH(Proj[[#This Row],[Player]],Std[Player],0),20)</f>
        <v>177.97511783329969</v>
      </c>
      <c r="AD2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348.45</v>
      </c>
    </row>
    <row r="249" spans="1:30" x14ac:dyDescent="0.25">
      <c r="A249" t="s">
        <v>866</v>
      </c>
      <c r="B249">
        <v>30</v>
      </c>
      <c r="C249" t="s">
        <v>101</v>
      </c>
      <c r="D249" t="s">
        <v>1240</v>
      </c>
      <c r="E249" s="9">
        <f>INDEX(Table1[],MATCH(Proj[[#This Row],[Player]],Table1[Player],0),5)</f>
        <v>12.4094235501823</v>
      </c>
      <c r="F249" s="9">
        <f>_xlfn.IFNA(INDEX(Table2[],MATCH(Proj[[#This Row],[Player]],Table2[Player],0),5),0)</f>
        <v>1.07</v>
      </c>
      <c r="G249" s="9">
        <f>_xlfn.IFNA(INDEX(Table3[],MATCH(Proj[[#This Row],[Player]],Table3[Player],0),5),0)</f>
        <v>1.65</v>
      </c>
      <c r="H249" s="10">
        <v>82</v>
      </c>
      <c r="I249">
        <v>82</v>
      </c>
      <c r="J249" s="9">
        <v>12.4094235501823</v>
      </c>
      <c r="K249" s="9">
        <v>1.07</v>
      </c>
      <c r="L249" s="9">
        <v>1.65</v>
      </c>
      <c r="M249" s="9">
        <f>Proj[[#This Row],[TOI ES]]+Proj[[#This Row],[TOI PP]]+Proj[[#This Row],[TOI PK]]</f>
        <v>15.129423550182301</v>
      </c>
      <c r="N2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49" s="10">
        <f>Proj[[#This Row],[Goals]]+Proj[[#This Row],[Assists]]</f>
        <v>38</v>
      </c>
      <c r="Q249" s="10">
        <f>ROUND(_xlfn.IFNA(INDEX(Table2[],MATCH(Proj[[#This Row],[Player]],Table2[Player],0),11)/60,IF(Proj[[#This Row],[Pos]] = "D", 'Per 60 PP'!$K$527,'Per 60 PP'!$K$526)/60)*Proj[[#This Row],[TOI PP]]*Proj[[#This Row],[GP]],0)</f>
        <v>2</v>
      </c>
      <c r="R249" s="10">
        <f>ROUND(_xlfn.IFNA(INDEX(Table2[],MATCH(Proj[[#This Row],[Player]],Table2[Player],0),7)/60,IF(Proj[[#This Row],[Pos]] = "D", 'Per 60 PP'!$G$527,'Per 60 PP'!$G$526)/60)*Proj[[#This Row],[TOI PP]]*Proj[[#This Row],[GP]],0)</f>
        <v>3</v>
      </c>
      <c r="S249" s="10">
        <f>Proj[[#This Row],[PPG]]+Proj[[#This Row],[PPA]]</f>
        <v>5</v>
      </c>
      <c r="T249">
        <f>ROUND((_xlfn.IFNA(INDEX(Table3[],MATCH(Proj[[#This Row],[Player]],Table3[Player],0),6)/60,IF(Proj[[#This Row],[Pos]] ="D", 'Per 60 PK'!$F$623, 'Per 60 PK'!$F$622)/60)+_xlfn.IFNA(INDEX(Table3[],MATCH(Proj[[#This Row],[Player]],Table3[Player],0),8)/60,IF(Proj[[#This Row],[Pos]] ="D", 'Per 60 PK'!$H$623, 'Per 60 PK'!$H$622)/60))*Proj[[#This Row],[TOI PK]]*Proj[[#This Row],[GP]],0)</f>
        <v>3</v>
      </c>
      <c r="U2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2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2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2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80</v>
      </c>
      <c r="Y2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97</v>
      </c>
      <c r="Z2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124</v>
      </c>
      <c r="AA2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-552.00315002984689</v>
      </c>
      <c r="AB249" s="10">
        <f>_xlfn.RANK.EQ(Proj[[#This Row],[VOR]],Proj[VOR])</f>
        <v>454</v>
      </c>
      <c r="AC249" s="10">
        <f>INDEX(Std[],MATCH(Proj[[#This Row],[Player]],Std[Player],0),20)</f>
        <v>-80.458425639598076</v>
      </c>
      <c r="AD2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332.95</v>
      </c>
    </row>
    <row r="250" spans="1:30" x14ac:dyDescent="0.25">
      <c r="A250" t="s">
        <v>774</v>
      </c>
      <c r="B250">
        <v>25</v>
      </c>
      <c r="C250" t="s">
        <v>74</v>
      </c>
      <c r="D250" t="s">
        <v>32</v>
      </c>
      <c r="E250" s="9">
        <f>INDEX(Table1[],MATCH(Proj[[#This Row],[Player]],Table1[Player],0),5)</f>
        <v>13.113849467422799</v>
      </c>
      <c r="F250" s="9">
        <f>_xlfn.IFNA(INDEX(Table2[],MATCH(Proj[[#This Row],[Player]],Table2[Player],0),5),0)</f>
        <v>2.6</v>
      </c>
      <c r="G250" s="9">
        <f>_xlfn.IFNA(INDEX(Table3[],MATCH(Proj[[#This Row],[Player]],Table3[Player],0),5),0)</f>
        <v>0.53</v>
      </c>
      <c r="H250" s="10">
        <v>77</v>
      </c>
      <c r="I250">
        <v>77</v>
      </c>
      <c r="J250" s="9">
        <v>13.113849467422799</v>
      </c>
      <c r="K250" s="9">
        <v>2.6</v>
      </c>
      <c r="L250" s="9">
        <v>0.53</v>
      </c>
      <c r="M250" s="9">
        <f>Proj[[#This Row],[TOI ES]]+Proj[[#This Row],[TOI PP]]+Proj[[#This Row],[TOI PK]]</f>
        <v>16.243849467422798</v>
      </c>
      <c r="N2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50" s="10">
        <f>Proj[[#This Row],[Goals]]+Proj[[#This Row],[Assists]]</f>
        <v>38</v>
      </c>
      <c r="Q250" s="10">
        <f>ROUND(_xlfn.IFNA(INDEX(Table2[],MATCH(Proj[[#This Row],[Player]],Table2[Player],0),11)/60,IF(Proj[[#This Row],[Pos]] = "D", 'Per 60 PP'!$K$527,'Per 60 PP'!$K$526)/60)*Proj[[#This Row],[TOI PP]]*Proj[[#This Row],[GP]],0)</f>
        <v>3</v>
      </c>
      <c r="R250" s="10">
        <f>ROUND(_xlfn.IFNA(INDEX(Table2[],MATCH(Proj[[#This Row],[Player]],Table2[Player],0),7)/60,IF(Proj[[#This Row],[Pos]] = "D", 'Per 60 PP'!$G$527,'Per 60 PP'!$G$526)/60)*Proj[[#This Row],[TOI PP]]*Proj[[#This Row],[GP]],0)</f>
        <v>5</v>
      </c>
      <c r="S250" s="10">
        <f>Proj[[#This Row],[PPG]]+Proj[[#This Row],[PPA]]</f>
        <v>8</v>
      </c>
      <c r="T250">
        <f>ROUND((_xlfn.IFNA(INDEX(Table3[],MATCH(Proj[[#This Row],[Player]],Table3[Player],0),6)/60,IF(Proj[[#This Row],[Pos]] ="D", 'Per 60 PK'!$F$623, 'Per 60 PK'!$F$622)/60)+_xlfn.IFNA(INDEX(Table3[],MATCH(Proj[[#This Row],[Player]],Table3[Player],0),8)/60,IF(Proj[[#This Row],[Pos]] ="D", 'Per 60 PK'!$H$623, 'Per 60 PK'!$H$622)/60))*Proj[[#This Row],[TOI PK]]*Proj[[#This Row],[GP]],0)</f>
        <v>0</v>
      </c>
      <c r="U2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2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2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2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423</v>
      </c>
      <c r="Y2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443</v>
      </c>
      <c r="Z2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2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-575.01017679036693</v>
      </c>
      <c r="AB250" s="10">
        <f>_xlfn.RANK.EQ(Proj[[#This Row],[VOR]],Proj[VOR])</f>
        <v>468</v>
      </c>
      <c r="AC250" s="10">
        <f>INDEX(Std[],MATCH(Proj[[#This Row],[Player]],Std[Player],0),20)</f>
        <v>159.6236775199317</v>
      </c>
      <c r="AD2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381.6</v>
      </c>
    </row>
    <row r="251" spans="1:30" x14ac:dyDescent="0.25">
      <c r="A251" t="s">
        <v>505</v>
      </c>
      <c r="B251">
        <v>27</v>
      </c>
      <c r="C251" t="s">
        <v>105</v>
      </c>
      <c r="D251" t="s">
        <v>28</v>
      </c>
      <c r="E251" s="9">
        <f>INDEX(Table1[],MATCH(Proj[[#This Row],[Player]],Table1[Player],0),5)</f>
        <v>12.557246360612099</v>
      </c>
      <c r="F251" s="9">
        <f>_xlfn.IFNA(INDEX(Table2[],MATCH(Proj[[#This Row],[Player]],Table2[Player],0),5),0)</f>
        <v>1.7</v>
      </c>
      <c r="G251" s="9">
        <f>_xlfn.IFNA(INDEX(Table3[],MATCH(Proj[[#This Row],[Player]],Table3[Player],0),5),0)</f>
        <v>1.34</v>
      </c>
      <c r="H251" s="10">
        <v>80</v>
      </c>
      <c r="I251">
        <v>80</v>
      </c>
      <c r="J251" s="9">
        <v>12.557246360612099</v>
      </c>
      <c r="K251" s="9">
        <v>1.7</v>
      </c>
      <c r="L251" s="9">
        <v>1.34</v>
      </c>
      <c r="M251" s="9">
        <f>Proj[[#This Row],[TOI ES]]+Proj[[#This Row],[TOI PP]]+Proj[[#This Row],[TOI PK]]</f>
        <v>15.597246360612099</v>
      </c>
      <c r="N2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51" s="10">
        <f>Proj[[#This Row],[Goals]]+Proj[[#This Row],[Assists]]</f>
        <v>38</v>
      </c>
      <c r="Q251" s="10">
        <f>ROUND(_xlfn.IFNA(INDEX(Table2[],MATCH(Proj[[#This Row],[Player]],Table2[Player],0),11)/60,IF(Proj[[#This Row],[Pos]] = "D", 'Per 60 PP'!$K$527,'Per 60 PP'!$K$526)/60)*Proj[[#This Row],[TOI PP]]*Proj[[#This Row],[GP]],0)</f>
        <v>3</v>
      </c>
      <c r="R251" s="10">
        <f>ROUND(_xlfn.IFNA(INDEX(Table2[],MATCH(Proj[[#This Row],[Player]],Table2[Player],0),7)/60,IF(Proj[[#This Row],[Pos]] = "D", 'Per 60 PP'!$G$527,'Per 60 PP'!$G$526)/60)*Proj[[#This Row],[TOI PP]]*Proj[[#This Row],[GP]],0)</f>
        <v>3</v>
      </c>
      <c r="S251" s="10">
        <f>Proj[[#This Row],[PPG]]+Proj[[#This Row],[PPA]]</f>
        <v>6</v>
      </c>
      <c r="T251">
        <f>ROUND((_xlfn.IFNA(INDEX(Table3[],MATCH(Proj[[#This Row],[Player]],Table3[Player],0),6)/60,IF(Proj[[#This Row],[Pos]] ="D", 'Per 60 PK'!$F$623, 'Per 60 PK'!$F$622)/60)+_xlfn.IFNA(INDEX(Table3[],MATCH(Proj[[#This Row],[Player]],Table3[Player],0),8)/60,IF(Proj[[#This Row],[Pos]] ="D", 'Per 60 PK'!$H$623, 'Per 60 PK'!$H$622)/60))*Proj[[#This Row],[TOI PK]]*Proj[[#This Row],[GP]],0)</f>
        <v>1</v>
      </c>
      <c r="U2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76</v>
      </c>
      <c r="V2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2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2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409</v>
      </c>
      <c r="Y2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461</v>
      </c>
      <c r="Z2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127</v>
      </c>
      <c r="AA2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-273.76462253735474</v>
      </c>
      <c r="AB251" s="10">
        <f>_xlfn.RANK.EQ(Proj[[#This Row],[VOR]],Proj[VOR])</f>
        <v>293</v>
      </c>
      <c r="AC251" s="10">
        <f>INDEX(Std[],MATCH(Proj[[#This Row],[Player]],Std[Player],0),20)</f>
        <v>172.78010185289412</v>
      </c>
      <c r="AD2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379.70000000000005</v>
      </c>
    </row>
    <row r="252" spans="1:30" x14ac:dyDescent="0.25">
      <c r="A252" t="s">
        <v>265</v>
      </c>
      <c r="B252">
        <v>30</v>
      </c>
      <c r="C252" t="s">
        <v>3</v>
      </c>
      <c r="D252" t="s">
        <v>21</v>
      </c>
      <c r="E252" s="9">
        <f>INDEX(Table1[],MATCH(Proj[[#This Row],[Player]],Table1[Player],0),5)</f>
        <v>19.945505674079399</v>
      </c>
      <c r="F252" s="9">
        <f>_xlfn.IFNA(INDEX(Table2[],MATCH(Proj[[#This Row],[Player]],Table2[Player],0),5),0)</f>
        <v>3.11</v>
      </c>
      <c r="G252" s="9">
        <f>_xlfn.IFNA(INDEX(Table3[],MATCH(Proj[[#This Row],[Player]],Table3[Player],0),5),0)</f>
        <v>2.12</v>
      </c>
      <c r="H252" s="10">
        <v>75</v>
      </c>
      <c r="I252">
        <v>75</v>
      </c>
      <c r="J252" s="9">
        <v>19.945505674079399</v>
      </c>
      <c r="K252" s="9">
        <v>3.11</v>
      </c>
      <c r="L252" s="9">
        <v>2.12</v>
      </c>
      <c r="M252" s="9">
        <f>Proj[[#This Row],[TOI ES]]+Proj[[#This Row],[TOI PP]]+Proj[[#This Row],[TOI PK]]</f>
        <v>25.1755056740794</v>
      </c>
      <c r="N2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2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252" s="10">
        <f>Proj[[#This Row],[Goals]]+Proj[[#This Row],[Assists]]</f>
        <v>38</v>
      </c>
      <c r="Q252" s="10">
        <f>ROUND(_xlfn.IFNA(INDEX(Table2[],MATCH(Proj[[#This Row],[Player]],Table2[Player],0),11)/60,IF(Proj[[#This Row],[Pos]] = "D", 'Per 60 PP'!$K$527,'Per 60 PP'!$K$526)/60)*Proj[[#This Row],[TOI PP]]*Proj[[#This Row],[GP]],0)</f>
        <v>3</v>
      </c>
      <c r="R252" s="10">
        <f>ROUND(_xlfn.IFNA(INDEX(Table2[],MATCH(Proj[[#This Row],[Player]],Table2[Player],0),7)/60,IF(Proj[[#This Row],[Pos]] = "D", 'Per 60 PP'!$G$527,'Per 60 PP'!$G$526)/60)*Proj[[#This Row],[TOI PP]]*Proj[[#This Row],[GP]],0)</f>
        <v>9</v>
      </c>
      <c r="S252" s="10">
        <f>Proj[[#This Row],[PPG]]+Proj[[#This Row],[PPA]]</f>
        <v>12</v>
      </c>
      <c r="T252">
        <f>ROUND((_xlfn.IFNA(INDEX(Table3[],MATCH(Proj[[#This Row],[Player]],Table3[Player],0),6)/60,IF(Proj[[#This Row],[Pos]] ="D", 'Per 60 PK'!$F$623, 'Per 60 PK'!$F$622)/60)+_xlfn.IFNA(INDEX(Table3[],MATCH(Proj[[#This Row],[Player]],Table3[Player],0),8)/60,IF(Proj[[#This Row],[Pos]] ="D", 'Per 60 PK'!$H$623, 'Per 60 PK'!$H$622)/60))*Proj[[#This Row],[TOI PK]]*Proj[[#This Row],[GP]],0)</f>
        <v>1</v>
      </c>
      <c r="U2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82</v>
      </c>
      <c r="V2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149</v>
      </c>
      <c r="W2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2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178</v>
      </c>
      <c r="AA2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203.39081437396098</v>
      </c>
      <c r="AB252" s="10">
        <f>_xlfn.RANK.EQ(Proj[[#This Row],[VOR]],Proj[VOR])</f>
        <v>106</v>
      </c>
      <c r="AC252" s="10">
        <f>INDEX(Std[],MATCH(Proj[[#This Row],[Player]],Std[Player],0),20)</f>
        <v>310.75558209342546</v>
      </c>
      <c r="AD2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425.54999999999995</v>
      </c>
    </row>
    <row r="253" spans="1:30" x14ac:dyDescent="0.25">
      <c r="A253" t="s">
        <v>581</v>
      </c>
      <c r="B253">
        <v>33</v>
      </c>
      <c r="C253" t="s">
        <v>101</v>
      </c>
      <c r="D253" t="s">
        <v>156</v>
      </c>
      <c r="E253" s="9">
        <f>INDEX(Table1[],MATCH(Proj[[#This Row],[Player]],Table1[Player],0),5)</f>
        <v>13.6320702940831</v>
      </c>
      <c r="F253" s="9">
        <f>_xlfn.IFNA(INDEX(Table2[],MATCH(Proj[[#This Row],[Player]],Table2[Player],0),5),0)</f>
        <v>1.0900000000000001</v>
      </c>
      <c r="G253" s="9">
        <f>_xlfn.IFNA(INDEX(Table3[],MATCH(Proj[[#This Row],[Player]],Table3[Player],0),5),0)</f>
        <v>1.97</v>
      </c>
      <c r="H253" s="10">
        <v>75</v>
      </c>
      <c r="I253">
        <v>75</v>
      </c>
      <c r="J253" s="9">
        <v>13.6320702940831</v>
      </c>
      <c r="K253" s="9">
        <v>1.0900000000000001</v>
      </c>
      <c r="L253" s="9">
        <v>1.97</v>
      </c>
      <c r="M253" s="9">
        <f>Proj[[#This Row],[TOI ES]]+Proj[[#This Row],[TOI PP]]+Proj[[#This Row],[TOI PK]]</f>
        <v>16.692070294083099</v>
      </c>
      <c r="N2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53" s="10">
        <f>Proj[[#This Row],[Goals]]+Proj[[#This Row],[Assists]]</f>
        <v>38</v>
      </c>
      <c r="Q253" s="10">
        <f>ROUND(_xlfn.IFNA(INDEX(Table2[],MATCH(Proj[[#This Row],[Player]],Table2[Player],0),11)/60,IF(Proj[[#This Row],[Pos]] = "D", 'Per 60 PP'!$K$527,'Per 60 PP'!$K$526)/60)*Proj[[#This Row],[TOI PP]]*Proj[[#This Row],[GP]],0)</f>
        <v>2</v>
      </c>
      <c r="R253" s="10">
        <f>ROUND(_xlfn.IFNA(INDEX(Table2[],MATCH(Proj[[#This Row],[Player]],Table2[Player],0),7)/60,IF(Proj[[#This Row],[Pos]] = "D", 'Per 60 PP'!$G$527,'Per 60 PP'!$G$526)/60)*Proj[[#This Row],[TOI PP]]*Proj[[#This Row],[GP]],0)</f>
        <v>3</v>
      </c>
      <c r="S253" s="10">
        <f>Proj[[#This Row],[PPG]]+Proj[[#This Row],[PPA]]</f>
        <v>5</v>
      </c>
      <c r="T253">
        <f>ROUND((_xlfn.IFNA(INDEX(Table3[],MATCH(Proj[[#This Row],[Player]],Table3[Player],0),6)/60,IF(Proj[[#This Row],[Pos]] ="D", 'Per 60 PK'!$F$623, 'Per 60 PK'!$F$622)/60)+_xlfn.IFNA(INDEX(Table3[],MATCH(Proj[[#This Row],[Player]],Table3[Player],0),8)/60,IF(Proj[[#This Row],[Pos]] ="D", 'Per 60 PK'!$H$623, 'Per 60 PK'!$H$622)/60))*Proj[[#This Row],[TOI PK]]*Proj[[#This Row],[GP]],0)</f>
        <v>2</v>
      </c>
      <c r="U2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85</v>
      </c>
      <c r="V2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2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47</v>
      </c>
      <c r="X2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467</v>
      </c>
      <c r="Y2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389</v>
      </c>
      <c r="Z2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146</v>
      </c>
      <c r="AA2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-176.97096876641638</v>
      </c>
      <c r="AB253" s="10">
        <f>_xlfn.RANK.EQ(Proj[[#This Row],[VOR]],Proj[VOR])</f>
        <v>238</v>
      </c>
      <c r="AC253" s="10">
        <f>INDEX(Std[],MATCH(Proj[[#This Row],[Player]],Std[Player],0),20)</f>
        <v>294.57375562383248</v>
      </c>
      <c r="AD2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406</v>
      </c>
    </row>
    <row r="254" spans="1:30" x14ac:dyDescent="0.25">
      <c r="A254" t="s">
        <v>433</v>
      </c>
      <c r="B254">
        <v>34</v>
      </c>
      <c r="C254" t="s">
        <v>3</v>
      </c>
      <c r="D254" t="s">
        <v>16</v>
      </c>
      <c r="E254" s="9">
        <f>INDEX(Table1[],MATCH(Proj[[#This Row],[Player]],Table1[Player],0),5)</f>
        <v>18.049477177301299</v>
      </c>
      <c r="F254" s="9">
        <f>_xlfn.IFNA(INDEX(Table2[],MATCH(Proj[[#This Row],[Player]],Table2[Player],0),5),0)</f>
        <v>1.03</v>
      </c>
      <c r="G254" s="9">
        <f>_xlfn.IFNA(INDEX(Table3[],MATCH(Proj[[#This Row],[Player]],Table3[Player],0),5),0)</f>
        <v>2.16</v>
      </c>
      <c r="H254" s="10">
        <v>77</v>
      </c>
      <c r="I254">
        <v>77</v>
      </c>
      <c r="J254" s="9">
        <v>18.049477177301299</v>
      </c>
      <c r="K254" s="9">
        <v>1.03</v>
      </c>
      <c r="L254" s="9">
        <v>2.16</v>
      </c>
      <c r="M254" s="9">
        <f>Proj[[#This Row],[TOI ES]]+Proj[[#This Row],[TOI PP]]+Proj[[#This Row],[TOI PK]]</f>
        <v>21.2394771773013</v>
      </c>
      <c r="N2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2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254" s="10">
        <f>Proj[[#This Row],[Goals]]+Proj[[#This Row],[Assists]]</f>
        <v>38</v>
      </c>
      <c r="Q254" s="10">
        <f>ROUND(_xlfn.IFNA(INDEX(Table2[],MATCH(Proj[[#This Row],[Player]],Table2[Player],0),11)/60,IF(Proj[[#This Row],[Pos]] = "D", 'Per 60 PP'!$K$527,'Per 60 PP'!$K$526)/60)*Proj[[#This Row],[TOI PP]]*Proj[[#This Row],[GP]],0)</f>
        <v>1</v>
      </c>
      <c r="R254" s="10">
        <f>ROUND(_xlfn.IFNA(INDEX(Table2[],MATCH(Proj[[#This Row],[Player]],Table2[Player],0),7)/60,IF(Proj[[#This Row],[Pos]] = "D", 'Per 60 PP'!$G$527,'Per 60 PP'!$G$526)/60)*Proj[[#This Row],[TOI PP]]*Proj[[#This Row],[GP]],0)</f>
        <v>3</v>
      </c>
      <c r="S254" s="10">
        <f>Proj[[#This Row],[PPG]]+Proj[[#This Row],[PPA]]</f>
        <v>4</v>
      </c>
      <c r="T254">
        <f>ROUND((_xlfn.IFNA(INDEX(Table3[],MATCH(Proj[[#This Row],[Player]],Table3[Player],0),6)/60,IF(Proj[[#This Row],[Pos]] ="D", 'Per 60 PK'!$F$623, 'Per 60 PK'!$F$622)/60)+_xlfn.IFNA(INDEX(Table3[],MATCH(Proj[[#This Row],[Player]],Table3[Player],0),8)/60,IF(Proj[[#This Row],[Pos]] ="D", 'Per 60 PK'!$H$623, 'Per 60 PK'!$H$622)/60))*Proj[[#This Row],[TOI PK]]*Proj[[#This Row],[GP]],0)</f>
        <v>1</v>
      </c>
      <c r="U2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109</v>
      </c>
      <c r="V2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102</v>
      </c>
      <c r="W2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2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148</v>
      </c>
      <c r="AA2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43.531733490862223</v>
      </c>
      <c r="AB254" s="10">
        <f>_xlfn.RANK.EQ(Proj[[#This Row],[VOR]],Proj[VOR])</f>
        <v>140</v>
      </c>
      <c r="AC254" s="10">
        <f>INDEX(Std[],MATCH(Proj[[#This Row],[Player]],Std[Player],0),20)</f>
        <v>150.8965012103267</v>
      </c>
      <c r="AD2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393.34999999999997</v>
      </c>
    </row>
    <row r="255" spans="1:30" x14ac:dyDescent="0.25">
      <c r="A255" t="s">
        <v>502</v>
      </c>
      <c r="B255">
        <v>32</v>
      </c>
      <c r="C255" t="s">
        <v>104</v>
      </c>
      <c r="D255" t="s">
        <v>9</v>
      </c>
      <c r="E255" s="9">
        <f>INDEX(Table1[],MATCH(Proj[[#This Row],[Player]],Table1[Player],0),5)</f>
        <v>13.17413202629</v>
      </c>
      <c r="F255" s="9">
        <f>_xlfn.IFNA(INDEX(Table2[],MATCH(Proj[[#This Row],[Player]],Table2[Player],0),5),0)</f>
        <v>1.82</v>
      </c>
      <c r="G255" s="9">
        <f>_xlfn.IFNA(INDEX(Table3[],MATCH(Proj[[#This Row],[Player]],Table3[Player],0),5),0)</f>
        <v>0</v>
      </c>
      <c r="H255" s="10">
        <v>80</v>
      </c>
      <c r="I255">
        <v>80</v>
      </c>
      <c r="J255" s="9">
        <v>13.17413202629</v>
      </c>
      <c r="K255" s="9">
        <v>1.82</v>
      </c>
      <c r="L255" s="9">
        <v>0</v>
      </c>
      <c r="M255" s="9">
        <f>Proj[[#This Row],[TOI ES]]+Proj[[#This Row],[TOI PP]]+Proj[[#This Row],[TOI PK]]</f>
        <v>14.99413202629</v>
      </c>
      <c r="N2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21</v>
      </c>
      <c r="O2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255" s="10">
        <f>Proj[[#This Row],[Goals]]+Proj[[#This Row],[Assists]]</f>
        <v>38</v>
      </c>
      <c r="Q255" s="10">
        <f>ROUND(_xlfn.IFNA(INDEX(Table2[],MATCH(Proj[[#This Row],[Player]],Table2[Player],0),11)/60,IF(Proj[[#This Row],[Pos]] = "D", 'Per 60 PP'!$K$527,'Per 60 PP'!$K$526)/60)*Proj[[#This Row],[TOI PP]]*Proj[[#This Row],[GP]],0)</f>
        <v>3</v>
      </c>
      <c r="R255" s="10">
        <f>ROUND(_xlfn.IFNA(INDEX(Table2[],MATCH(Proj[[#This Row],[Player]],Table2[Player],0),7)/60,IF(Proj[[#This Row],[Pos]] = "D", 'Per 60 PP'!$G$527,'Per 60 PP'!$G$526)/60)*Proj[[#This Row],[TOI PP]]*Proj[[#This Row],[GP]],0)</f>
        <v>1</v>
      </c>
      <c r="S255" s="10">
        <f>Proj[[#This Row],[PPG]]+Proj[[#This Row],[PPA]]</f>
        <v>4</v>
      </c>
      <c r="T255">
        <f>ROUND((_xlfn.IFNA(INDEX(Table3[],MATCH(Proj[[#This Row],[Player]],Table3[Player],0),6)/60,IF(Proj[[#This Row],[Pos]] ="D", 'Per 60 PK'!$F$623, 'Per 60 PK'!$F$622)/60)+_xlfn.IFNA(INDEX(Table3[],MATCH(Proj[[#This Row],[Player]],Table3[Player],0),8)/60,IF(Proj[[#This Row],[Pos]] ="D", 'Per 60 PK'!$H$623, 'Per 60 PK'!$H$622)/60))*Proj[[#This Row],[TOI PK]]*Proj[[#This Row],[GP]],0)</f>
        <v>0</v>
      </c>
      <c r="U2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2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2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2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v>
      </c>
      <c r="Y2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v>
      </c>
      <c r="Z2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2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-387.36897055738734</v>
      </c>
      <c r="AB255" s="10">
        <f>_xlfn.RANK.EQ(Proj[[#This Row],[VOR]],Proj[VOR])</f>
        <v>368</v>
      </c>
      <c r="AC255" s="10">
        <f>INDEX(Std[],MATCH(Proj[[#This Row],[Player]],Std[Player],0),20)</f>
        <v>59.175753832861488</v>
      </c>
      <c r="AD2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382.65</v>
      </c>
    </row>
    <row r="256" spans="1:30" x14ac:dyDescent="0.25">
      <c r="A256" t="s">
        <v>434</v>
      </c>
      <c r="B256">
        <v>30</v>
      </c>
      <c r="C256" t="s">
        <v>101</v>
      </c>
      <c r="D256" t="s">
        <v>32</v>
      </c>
      <c r="E256" s="9">
        <f>INDEX(Table1[],MATCH(Proj[[#This Row],[Player]],Table1[Player],0),5)</f>
        <v>12.879112166233501</v>
      </c>
      <c r="F256" s="9">
        <f>_xlfn.IFNA(INDEX(Table2[],MATCH(Proj[[#This Row],[Player]],Table2[Player],0),5),0)</f>
        <v>1.39</v>
      </c>
      <c r="G256" s="9">
        <f>_xlfn.IFNA(INDEX(Table3[],MATCH(Proj[[#This Row],[Player]],Table3[Player],0),5),0)</f>
        <v>1.81</v>
      </c>
      <c r="H256" s="10">
        <v>81</v>
      </c>
      <c r="I256">
        <v>81</v>
      </c>
      <c r="J256" s="9">
        <v>12.879112166233501</v>
      </c>
      <c r="K256" s="9">
        <v>1.39</v>
      </c>
      <c r="L256" s="9">
        <v>1.81</v>
      </c>
      <c r="M256" s="9">
        <f>Proj[[#This Row],[TOI ES]]+Proj[[#This Row],[TOI PP]]+Proj[[#This Row],[TOI PK]]</f>
        <v>16.0791121662335</v>
      </c>
      <c r="N2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56" s="10">
        <f>Proj[[#This Row],[Goals]]+Proj[[#This Row],[Assists]]</f>
        <v>38</v>
      </c>
      <c r="Q256" s="10">
        <f>ROUND(_xlfn.IFNA(INDEX(Table2[],MATCH(Proj[[#This Row],[Player]],Table2[Player],0),11)/60,IF(Proj[[#This Row],[Pos]] = "D", 'Per 60 PP'!$K$527,'Per 60 PP'!$K$526)/60)*Proj[[#This Row],[TOI PP]]*Proj[[#This Row],[GP]],0)</f>
        <v>2</v>
      </c>
      <c r="R256" s="10">
        <f>ROUND(_xlfn.IFNA(INDEX(Table2[],MATCH(Proj[[#This Row],[Player]],Table2[Player],0),7)/60,IF(Proj[[#This Row],[Pos]] = "D", 'Per 60 PP'!$G$527,'Per 60 PP'!$G$526)/60)*Proj[[#This Row],[TOI PP]]*Proj[[#This Row],[GP]],0)</f>
        <v>4</v>
      </c>
      <c r="S256" s="10">
        <f>Proj[[#This Row],[PPG]]+Proj[[#This Row],[PPA]]</f>
        <v>6</v>
      </c>
      <c r="T256">
        <f>ROUND((_xlfn.IFNA(INDEX(Table3[],MATCH(Proj[[#This Row],[Player]],Table3[Player],0),6)/60,IF(Proj[[#This Row],[Pos]] ="D", 'Per 60 PK'!$F$623, 'Per 60 PK'!$F$622)/60)+_xlfn.IFNA(INDEX(Table3[],MATCH(Proj[[#This Row],[Player]],Table3[Player],0),8)/60,IF(Proj[[#This Row],[Pos]] ="D", 'Per 60 PK'!$H$623, 'Per 60 PK'!$H$622)/60))*Proj[[#This Row],[TOI PK]]*Proj[[#This Row],[GP]],0)</f>
        <v>6</v>
      </c>
      <c r="U2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141</v>
      </c>
      <c r="V2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2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53</v>
      </c>
      <c r="X2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468</v>
      </c>
      <c r="Y2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494</v>
      </c>
      <c r="Z2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151</v>
      </c>
      <c r="AA2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-9.4413227415683991</v>
      </c>
      <c r="AB256" s="10">
        <f>_xlfn.RANK.EQ(Proj[[#This Row],[VOR]],Proj[VOR])</f>
        <v>168</v>
      </c>
      <c r="AC256" s="10">
        <f>INDEX(Std[],MATCH(Proj[[#This Row],[Player]],Std[Player],0),20)</f>
        <v>462.10340164868046</v>
      </c>
      <c r="AD2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447.25</v>
      </c>
    </row>
    <row r="257" spans="1:30" x14ac:dyDescent="0.25">
      <c r="A257" t="s">
        <v>1096</v>
      </c>
      <c r="B257">
        <v>28</v>
      </c>
      <c r="C257" t="s">
        <v>102</v>
      </c>
      <c r="D257" t="s">
        <v>30</v>
      </c>
      <c r="E257" s="9">
        <f>INDEX(Table1[],MATCH(Proj[[#This Row],[Player]],Table1[Player],0),5)</f>
        <v>13</v>
      </c>
      <c r="F257" s="9">
        <f>_xlfn.IFNA(INDEX(Table2[],MATCH(Proj[[#This Row],[Player]],Table2[Player],0),5),0)</f>
        <v>0.75</v>
      </c>
      <c r="G257" s="9">
        <f>_xlfn.IFNA(INDEX(Table3[],MATCH(Proj[[#This Row],[Player]],Table3[Player],0),5),0)</f>
        <v>0.65</v>
      </c>
      <c r="H257" s="10">
        <v>76</v>
      </c>
      <c r="I257">
        <v>76</v>
      </c>
      <c r="J257" s="9">
        <v>13</v>
      </c>
      <c r="K257" s="9">
        <v>0.75</v>
      </c>
      <c r="L257" s="9">
        <v>0.65</v>
      </c>
      <c r="M257" s="9">
        <f>Proj[[#This Row],[TOI ES]]+Proj[[#This Row],[TOI PP]]+Proj[[#This Row],[TOI PK]]</f>
        <v>14.4</v>
      </c>
      <c r="N2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2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257" s="10">
        <f>Proj[[#This Row],[Goals]]+Proj[[#This Row],[Assists]]</f>
        <v>38</v>
      </c>
      <c r="Q257" s="10">
        <f>ROUND(_xlfn.IFNA(INDEX(Table2[],MATCH(Proj[[#This Row],[Player]],Table2[Player],0),11)/60,IF(Proj[[#This Row],[Pos]] = "D", 'Per 60 PP'!$K$527,'Per 60 PP'!$K$526)/60)*Proj[[#This Row],[TOI PP]]*Proj[[#This Row],[GP]],0)</f>
        <v>1</v>
      </c>
      <c r="R257" s="10">
        <f>ROUND(_xlfn.IFNA(INDEX(Table2[],MATCH(Proj[[#This Row],[Player]],Table2[Player],0),7)/60,IF(Proj[[#This Row],[Pos]] = "D", 'Per 60 PP'!$G$527,'Per 60 PP'!$G$526)/60)*Proj[[#This Row],[TOI PP]]*Proj[[#This Row],[GP]],0)</f>
        <v>2</v>
      </c>
      <c r="S257" s="10">
        <f>Proj[[#This Row],[PPG]]+Proj[[#This Row],[PPA]]</f>
        <v>3</v>
      </c>
      <c r="T257">
        <f>ROUND((_xlfn.IFNA(INDEX(Table3[],MATCH(Proj[[#This Row],[Player]],Table3[Player],0),6)/60,IF(Proj[[#This Row],[Pos]] ="D", 'Per 60 PK'!$F$623, 'Per 60 PK'!$F$622)/60)+_xlfn.IFNA(INDEX(Table3[],MATCH(Proj[[#This Row],[Player]],Table3[Player],0),8)/60,IF(Proj[[#This Row],[Pos]] ="D", 'Per 60 PK'!$H$623, 'Per 60 PK'!$H$622)/60))*Proj[[#This Row],[TOI PK]]*Proj[[#This Row],[GP]],0)</f>
        <v>0</v>
      </c>
      <c r="U2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170</v>
      </c>
      <c r="V2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2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74</v>
      </c>
      <c r="X2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41</v>
      </c>
      <c r="Y2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2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190</v>
      </c>
      <c r="AA2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-80.208480871870051</v>
      </c>
      <c r="AB257" s="10">
        <f>_xlfn.RANK.EQ(Proj[[#This Row],[VOR]],Proj[VOR])</f>
        <v>192</v>
      </c>
      <c r="AC257" s="10">
        <f>INDEX(Std[],MATCH(Proj[[#This Row],[Player]],Std[Player],0),20)</f>
        <v>391.33624351837881</v>
      </c>
      <c r="AD2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443.70000000000005</v>
      </c>
    </row>
    <row r="258" spans="1:30" x14ac:dyDescent="0.25">
      <c r="A258" t="s">
        <v>991</v>
      </c>
      <c r="B258">
        <v>35</v>
      </c>
      <c r="C258" t="s">
        <v>102</v>
      </c>
      <c r="D258" t="s">
        <v>12</v>
      </c>
      <c r="E258" s="9">
        <f>INDEX(Table1[],MATCH(Proj[[#This Row],[Player]],Table1[Player],0),5)</f>
        <v>11.368234774851601</v>
      </c>
      <c r="F258" s="9">
        <f>_xlfn.IFNA(INDEX(Table2[],MATCH(Proj[[#This Row],[Player]],Table2[Player],0),5),0)</f>
        <v>2.33</v>
      </c>
      <c r="G258" s="9">
        <f>_xlfn.IFNA(INDEX(Table3[],MATCH(Proj[[#This Row],[Player]],Table3[Player],0),5),0)</f>
        <v>0</v>
      </c>
      <c r="H258" s="10">
        <v>76</v>
      </c>
      <c r="I258">
        <v>76</v>
      </c>
      <c r="J258" s="9">
        <v>11.368234774851601</v>
      </c>
      <c r="K258" s="9">
        <v>2.33</v>
      </c>
      <c r="L258" s="9">
        <v>0</v>
      </c>
      <c r="M258" s="9">
        <f>Proj[[#This Row],[TOI ES]]+Proj[[#This Row],[TOI PP]]+Proj[[#This Row],[TOI PK]]</f>
        <v>13.698234774851601</v>
      </c>
      <c r="N2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58" s="10">
        <f>Proj[[#This Row],[Goals]]+Proj[[#This Row],[Assists]]</f>
        <v>37</v>
      </c>
      <c r="Q258" s="10">
        <f>ROUND(_xlfn.IFNA(INDEX(Table2[],MATCH(Proj[[#This Row],[Player]],Table2[Player],0),11)/60,IF(Proj[[#This Row],[Pos]] = "D", 'Per 60 PP'!$K$527,'Per 60 PP'!$K$526)/60)*Proj[[#This Row],[TOI PP]]*Proj[[#This Row],[GP]],0)</f>
        <v>6</v>
      </c>
      <c r="R258" s="10">
        <f>ROUND(_xlfn.IFNA(INDEX(Table2[],MATCH(Proj[[#This Row],[Player]],Table2[Player],0),7)/60,IF(Proj[[#This Row],[Pos]] = "D", 'Per 60 PP'!$G$527,'Per 60 PP'!$G$526)/60)*Proj[[#This Row],[TOI PP]]*Proj[[#This Row],[GP]],0)</f>
        <v>5</v>
      </c>
      <c r="S258" s="10">
        <f>Proj[[#This Row],[PPG]]+Proj[[#This Row],[PPA]]</f>
        <v>11</v>
      </c>
      <c r="T258">
        <f>ROUND((_xlfn.IFNA(INDEX(Table3[],MATCH(Proj[[#This Row],[Player]],Table3[Player],0),6)/60,IF(Proj[[#This Row],[Pos]] ="D", 'Per 60 PK'!$F$623, 'Per 60 PK'!$F$622)/60)+_xlfn.IFNA(INDEX(Table3[],MATCH(Proj[[#This Row],[Player]],Table3[Player],0),8)/60,IF(Proj[[#This Row],[Pos]] ="D", 'Per 60 PK'!$H$623, 'Per 60 PK'!$H$622)/60))*Proj[[#This Row],[TOI PK]]*Proj[[#This Row],[GP]],0)</f>
        <v>0</v>
      </c>
      <c r="U2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2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2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2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2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142</v>
      </c>
      <c r="AA2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-646.64098819515436</v>
      </c>
      <c r="AB258" s="10">
        <f>_xlfn.RANK.EQ(Proj[[#This Row],[VOR]],Proj[VOR])</f>
        <v>499</v>
      </c>
      <c r="AC258" s="10">
        <f>INDEX(Std[],MATCH(Proj[[#This Row],[Player]],Std[Player],0),20)</f>
        <v>-175.09626380490548</v>
      </c>
      <c r="AD2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302</v>
      </c>
    </row>
    <row r="259" spans="1:30" x14ac:dyDescent="0.25">
      <c r="A259" t="s">
        <v>536</v>
      </c>
      <c r="B259">
        <v>23</v>
      </c>
      <c r="C259" t="s">
        <v>101</v>
      </c>
      <c r="D259" t="s">
        <v>9</v>
      </c>
      <c r="E259" s="9">
        <f>INDEX(Table1[],MATCH(Proj[[#This Row],[Player]],Table1[Player],0),5)</f>
        <v>11.705699367676001</v>
      </c>
      <c r="F259" s="9">
        <f>_xlfn.IFNA(INDEX(Table2[],MATCH(Proj[[#This Row],[Player]],Table2[Player],0),5),0)</f>
        <v>2.2999999999999998</v>
      </c>
      <c r="G259" s="9">
        <f>_xlfn.IFNA(INDEX(Table3[],MATCH(Proj[[#This Row],[Player]],Table3[Player],0),5),0)</f>
        <v>0</v>
      </c>
      <c r="H259" s="10">
        <v>76</v>
      </c>
      <c r="I259">
        <v>76</v>
      </c>
      <c r="J259" s="9">
        <v>11.705699367676001</v>
      </c>
      <c r="K259" s="9">
        <v>2.2999999999999998</v>
      </c>
      <c r="L259" s="9">
        <v>0</v>
      </c>
      <c r="M259" s="9">
        <f>Proj[[#This Row],[TOI ES]]+Proj[[#This Row],[TOI PP]]+Proj[[#This Row],[TOI PK]]</f>
        <v>14.005699367676002</v>
      </c>
      <c r="N2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59" s="10">
        <f>Proj[[#This Row],[Goals]]+Proj[[#This Row],[Assists]]</f>
        <v>37</v>
      </c>
      <c r="Q259" s="10">
        <f>ROUND(_xlfn.IFNA(INDEX(Table2[],MATCH(Proj[[#This Row],[Player]],Table2[Player],0),11)/60,IF(Proj[[#This Row],[Pos]] = "D", 'Per 60 PP'!$K$527,'Per 60 PP'!$K$526)/60)*Proj[[#This Row],[TOI PP]]*Proj[[#This Row],[GP]],0)</f>
        <v>5</v>
      </c>
      <c r="R259" s="10">
        <f>ROUND(_xlfn.IFNA(INDEX(Table2[],MATCH(Proj[[#This Row],[Player]],Table2[Player],0),7)/60,IF(Proj[[#This Row],[Pos]] = "D", 'Per 60 PP'!$G$527,'Per 60 PP'!$G$526)/60)*Proj[[#This Row],[TOI PP]]*Proj[[#This Row],[GP]],0)</f>
        <v>5</v>
      </c>
      <c r="S259" s="10">
        <f>Proj[[#This Row],[PPG]]+Proj[[#This Row],[PPA]]</f>
        <v>10</v>
      </c>
      <c r="T259">
        <f>ROUND((_xlfn.IFNA(INDEX(Table3[],MATCH(Proj[[#This Row],[Player]],Table3[Player],0),6)/60,IF(Proj[[#This Row],[Pos]] ="D", 'Per 60 PK'!$F$623, 'Per 60 PK'!$F$622)/60)+_xlfn.IFNA(INDEX(Table3[],MATCH(Proj[[#This Row],[Player]],Table3[Player],0),8)/60,IF(Proj[[#This Row],[Pos]] ="D", 'Per 60 PK'!$H$623, 'Per 60 PK'!$H$622)/60))*Proj[[#This Row],[TOI PK]]*Proj[[#This Row],[GP]],0)</f>
        <v>0</v>
      </c>
      <c r="U2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2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2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2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40</v>
      </c>
      <c r="Y2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62</v>
      </c>
      <c r="Z2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2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-680.85057468622972</v>
      </c>
      <c r="AB259" s="10">
        <f>_xlfn.RANK.EQ(Proj[[#This Row],[VOR]],Proj[VOR])</f>
        <v>518</v>
      </c>
      <c r="AC259" s="10">
        <f>INDEX(Std[],MATCH(Proj[[#This Row],[Player]],Std[Player],0),20)</f>
        <v>-209.3058502959808</v>
      </c>
      <c r="AD2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301.75</v>
      </c>
    </row>
    <row r="260" spans="1:30" x14ac:dyDescent="0.25">
      <c r="A260" t="s">
        <v>481</v>
      </c>
      <c r="B260">
        <v>30</v>
      </c>
      <c r="C260" t="s">
        <v>103</v>
      </c>
      <c r="D260" t="s">
        <v>21</v>
      </c>
      <c r="E260" s="9">
        <f>INDEX(Table1[],MATCH(Proj[[#This Row],[Player]],Table1[Player],0),5)</f>
        <v>12.719783648010299</v>
      </c>
      <c r="F260" s="9">
        <f>_xlfn.IFNA(INDEX(Table2[],MATCH(Proj[[#This Row],[Player]],Table2[Player],0),5),0)</f>
        <v>1.04</v>
      </c>
      <c r="G260" s="9">
        <f>_xlfn.IFNA(INDEX(Table3[],MATCH(Proj[[#This Row],[Player]],Table3[Player],0),5),0)</f>
        <v>0.96</v>
      </c>
      <c r="H260" s="10">
        <v>80</v>
      </c>
      <c r="I260">
        <v>80</v>
      </c>
      <c r="J260" s="9">
        <v>12.719783648010299</v>
      </c>
      <c r="K260" s="9">
        <v>1.04</v>
      </c>
      <c r="L260" s="9">
        <v>0.96</v>
      </c>
      <c r="M260" s="9">
        <f>Proj[[#This Row],[TOI ES]]+Proj[[#This Row],[TOI PP]]+Proj[[#This Row],[TOI PK]]</f>
        <v>14.719783648010299</v>
      </c>
      <c r="N2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60" s="10">
        <f>Proj[[#This Row],[Goals]]+Proj[[#This Row],[Assists]]</f>
        <v>37</v>
      </c>
      <c r="Q260" s="10">
        <f>ROUND(_xlfn.IFNA(INDEX(Table2[],MATCH(Proj[[#This Row],[Player]],Table2[Player],0),11)/60,IF(Proj[[#This Row],[Pos]] = "D", 'Per 60 PP'!$K$527,'Per 60 PP'!$K$526)/60)*Proj[[#This Row],[TOI PP]]*Proj[[#This Row],[GP]],0)</f>
        <v>2</v>
      </c>
      <c r="R260" s="10">
        <f>ROUND(_xlfn.IFNA(INDEX(Table2[],MATCH(Proj[[#This Row],[Player]],Table2[Player],0),7)/60,IF(Proj[[#This Row],[Pos]] = "D", 'Per 60 PP'!$G$527,'Per 60 PP'!$G$526)/60)*Proj[[#This Row],[TOI PP]]*Proj[[#This Row],[GP]],0)</f>
        <v>1</v>
      </c>
      <c r="S260" s="10">
        <f>Proj[[#This Row],[PPG]]+Proj[[#This Row],[PPA]]</f>
        <v>3</v>
      </c>
      <c r="T260">
        <f>ROUND((_xlfn.IFNA(INDEX(Table3[],MATCH(Proj[[#This Row],[Player]],Table3[Player],0),6)/60,IF(Proj[[#This Row],[Pos]] ="D", 'Per 60 PK'!$F$623, 'Per 60 PK'!$F$622)/60)+_xlfn.IFNA(INDEX(Table3[],MATCH(Proj[[#This Row],[Player]],Table3[Player],0),8)/60,IF(Proj[[#This Row],[Pos]] ="D", 'Per 60 PK'!$H$623, 'Per 60 PK'!$H$622)/60))*Proj[[#This Row],[TOI PK]]*Proj[[#This Row],[GP]],0)</f>
        <v>1</v>
      </c>
      <c r="U2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2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2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2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2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2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2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-692.45873025613128</v>
      </c>
      <c r="AB260" s="10">
        <f>_xlfn.RANK.EQ(Proj[[#This Row],[VOR]],Proj[VOR])</f>
        <v>522</v>
      </c>
      <c r="AC260" s="10">
        <f>INDEX(Std[],MATCH(Proj[[#This Row],[Player]],Std[Player],0),20)</f>
        <v>-245.91400586588242</v>
      </c>
      <c r="AD2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312.15000000000003</v>
      </c>
    </row>
    <row r="261" spans="1:30" x14ac:dyDescent="0.25">
      <c r="A261" t="s">
        <v>1129</v>
      </c>
      <c r="B261">
        <v>22</v>
      </c>
      <c r="C261" t="s">
        <v>74</v>
      </c>
      <c r="D261" t="s">
        <v>29</v>
      </c>
      <c r="E261" s="9">
        <f>INDEX(Table1[],MATCH(Proj[[#This Row],[Player]],Table1[Player],0),5)</f>
        <v>12.75</v>
      </c>
      <c r="F261" s="9">
        <f>_xlfn.IFNA(INDEX(Table2[],MATCH(Proj[[#This Row],[Player]],Table2[Player],0),5),0)</f>
        <v>1.65</v>
      </c>
      <c r="G261" s="9">
        <f>_xlfn.IFNA(INDEX(Table3[],MATCH(Proj[[#This Row],[Player]],Table3[Player],0),5),0)</f>
        <v>0</v>
      </c>
      <c r="H261" s="10">
        <v>76</v>
      </c>
      <c r="I261">
        <v>76</v>
      </c>
      <c r="J261" s="9">
        <v>12.75</v>
      </c>
      <c r="K261" s="9">
        <v>1.65</v>
      </c>
      <c r="L261" s="9">
        <v>0</v>
      </c>
      <c r="M261" s="9">
        <f>Proj[[#This Row],[TOI ES]]+Proj[[#This Row],[TOI PP]]+Proj[[#This Row],[TOI PK]]</f>
        <v>14.4</v>
      </c>
      <c r="N2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61" s="10">
        <f>Proj[[#This Row],[Goals]]+Proj[[#This Row],[Assists]]</f>
        <v>37</v>
      </c>
      <c r="Q261" s="10">
        <f>ROUND(_xlfn.IFNA(INDEX(Table2[],MATCH(Proj[[#This Row],[Player]],Table2[Player],0),11)/60,IF(Proj[[#This Row],[Pos]] = "D", 'Per 60 PP'!$K$527,'Per 60 PP'!$K$526)/60)*Proj[[#This Row],[TOI PP]]*Proj[[#This Row],[GP]],0)</f>
        <v>2</v>
      </c>
      <c r="R261" s="10">
        <f>ROUND(_xlfn.IFNA(INDEX(Table2[],MATCH(Proj[[#This Row],[Player]],Table2[Player],0),7)/60,IF(Proj[[#This Row],[Pos]] = "D", 'Per 60 PP'!$G$527,'Per 60 PP'!$G$526)/60)*Proj[[#This Row],[TOI PP]]*Proj[[#This Row],[GP]],0)</f>
        <v>6</v>
      </c>
      <c r="S261" s="10">
        <f>Proj[[#This Row],[PPG]]+Proj[[#This Row],[PPA]]</f>
        <v>8</v>
      </c>
      <c r="T261">
        <f>ROUND((_xlfn.IFNA(INDEX(Table3[],MATCH(Proj[[#This Row],[Player]],Table3[Player],0),6)/60,IF(Proj[[#This Row],[Pos]] ="D", 'Per 60 PK'!$F$623, 'Per 60 PK'!$F$622)/60)+_xlfn.IFNA(INDEX(Table3[],MATCH(Proj[[#This Row],[Player]],Table3[Player],0),8)/60,IF(Proj[[#This Row],[Pos]] ="D", 'Per 60 PK'!$H$623, 'Per 60 PK'!$H$622)/60))*Proj[[#This Row],[TOI PK]]*Proj[[#This Row],[GP]],0)</f>
        <v>0</v>
      </c>
      <c r="U2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2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2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2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193</v>
      </c>
      <c r="Y2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293</v>
      </c>
      <c r="Z2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2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-864.73023652046277</v>
      </c>
      <c r="AB261" s="10">
        <f>_xlfn.RANK.EQ(Proj[[#This Row],[VOR]],Proj[VOR])</f>
        <v>611</v>
      </c>
      <c r="AC261" s="10">
        <f>INDEX(Std[],MATCH(Proj[[#This Row],[Player]],Std[Player],0),20)</f>
        <v>-130.09638221016414</v>
      </c>
      <c r="AD2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318.75</v>
      </c>
    </row>
    <row r="262" spans="1:30" x14ac:dyDescent="0.25">
      <c r="A262" t="s">
        <v>628</v>
      </c>
      <c r="B262">
        <v>36</v>
      </c>
      <c r="C262" t="s">
        <v>102</v>
      </c>
      <c r="D262" t="s">
        <v>29</v>
      </c>
      <c r="E262" s="9">
        <f>INDEX(Table1[],MATCH(Proj[[#This Row],[Player]],Table1[Player],0),5)</f>
        <v>12.639965140128901</v>
      </c>
      <c r="F262" s="9">
        <f>_xlfn.IFNA(INDEX(Table2[],MATCH(Proj[[#This Row],[Player]],Table2[Player],0),5),0)</f>
        <v>2.0299999999999998</v>
      </c>
      <c r="G262" s="9">
        <f>_xlfn.IFNA(INDEX(Table3[],MATCH(Proj[[#This Row],[Player]],Table3[Player],0),5),0)</f>
        <v>0</v>
      </c>
      <c r="H262" s="10">
        <v>65</v>
      </c>
      <c r="I262">
        <v>65</v>
      </c>
      <c r="J262" s="9">
        <v>12.639965140128901</v>
      </c>
      <c r="K262" s="9">
        <v>2.0299999999999998</v>
      </c>
      <c r="L262" s="9">
        <v>0</v>
      </c>
      <c r="M262" s="9">
        <f>Proj[[#This Row],[TOI ES]]+Proj[[#This Row],[TOI PP]]+Proj[[#This Row],[TOI PK]]</f>
        <v>14.6699651401289</v>
      </c>
      <c r="N2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62" s="10">
        <f>Proj[[#This Row],[Goals]]+Proj[[#This Row],[Assists]]</f>
        <v>37</v>
      </c>
      <c r="Q262" s="10">
        <f>ROUND(_xlfn.IFNA(INDEX(Table2[],MATCH(Proj[[#This Row],[Player]],Table2[Player],0),11)/60,IF(Proj[[#This Row],[Pos]] = "D", 'Per 60 PP'!$K$527,'Per 60 PP'!$K$526)/60)*Proj[[#This Row],[TOI PP]]*Proj[[#This Row],[GP]],0)</f>
        <v>4</v>
      </c>
      <c r="R262" s="10">
        <f>ROUND(_xlfn.IFNA(INDEX(Table2[],MATCH(Proj[[#This Row],[Player]],Table2[Player],0),7)/60,IF(Proj[[#This Row],[Pos]] = "D", 'Per 60 PP'!$G$527,'Per 60 PP'!$G$526)/60)*Proj[[#This Row],[TOI PP]]*Proj[[#This Row],[GP]],0)</f>
        <v>10</v>
      </c>
      <c r="S262" s="10">
        <f>Proj[[#This Row],[PPG]]+Proj[[#This Row],[PPA]]</f>
        <v>14</v>
      </c>
      <c r="T262">
        <f>ROUND((_xlfn.IFNA(INDEX(Table3[],MATCH(Proj[[#This Row],[Player]],Table3[Player],0),6)/60,IF(Proj[[#This Row],[Pos]] ="D", 'Per 60 PK'!$F$623, 'Per 60 PK'!$F$622)/60)+_xlfn.IFNA(INDEX(Table3[],MATCH(Proj[[#This Row],[Player]],Table3[Player],0),8)/60,IF(Proj[[#This Row],[Pos]] ="D", 'Per 60 PK'!$H$623, 'Per 60 PK'!$H$622)/60))*Proj[[#This Row],[TOI PK]]*Proj[[#This Row],[GP]],0)</f>
        <v>0</v>
      </c>
      <c r="U2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88</v>
      </c>
      <c r="V2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2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2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2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2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150</v>
      </c>
      <c r="AA2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-392.17490406931682</v>
      </c>
      <c r="AB262" s="10">
        <f>_xlfn.RANK.EQ(Proj[[#This Row],[VOR]],Proj[VOR])</f>
        <v>371</v>
      </c>
      <c r="AC262" s="10">
        <f>INDEX(Std[],MATCH(Proj[[#This Row],[Player]],Std[Player],0),20)</f>
        <v>79.36982032093205</v>
      </c>
      <c r="AD2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353.2</v>
      </c>
    </row>
    <row r="263" spans="1:30" x14ac:dyDescent="0.25">
      <c r="A263" t="s">
        <v>576</v>
      </c>
      <c r="B263">
        <v>28</v>
      </c>
      <c r="C263" t="s">
        <v>104</v>
      </c>
      <c r="D263" t="s">
        <v>155</v>
      </c>
      <c r="E263" s="9">
        <f>INDEX(Table1[],MATCH(Proj[[#This Row],[Player]],Table1[Player],0),5)</f>
        <v>12.367678048026301</v>
      </c>
      <c r="F263" s="9">
        <f>_xlfn.IFNA(INDEX(Table2[],MATCH(Proj[[#This Row],[Player]],Table2[Player],0),5),0)</f>
        <v>0.78</v>
      </c>
      <c r="G263" s="9">
        <f>_xlfn.IFNA(INDEX(Table3[],MATCH(Proj[[#This Row],[Player]],Table3[Player],0),5),0)</f>
        <v>0.83</v>
      </c>
      <c r="H263" s="10">
        <v>81</v>
      </c>
      <c r="I263">
        <v>81</v>
      </c>
      <c r="J263" s="9">
        <v>12.367678048026301</v>
      </c>
      <c r="K263" s="9">
        <v>0.78</v>
      </c>
      <c r="L263" s="9">
        <v>0.83</v>
      </c>
      <c r="M263" s="9">
        <f>Proj[[#This Row],[TOI ES]]+Proj[[#This Row],[TOI PP]]+Proj[[#This Row],[TOI PK]]</f>
        <v>13.9776780480263</v>
      </c>
      <c r="N2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63" s="10">
        <f>Proj[[#This Row],[Goals]]+Proj[[#This Row],[Assists]]</f>
        <v>37</v>
      </c>
      <c r="Q263" s="10">
        <f>ROUND(_xlfn.IFNA(INDEX(Table2[],MATCH(Proj[[#This Row],[Player]],Table2[Player],0),11)/60,IF(Proj[[#This Row],[Pos]] = "D", 'Per 60 PP'!$K$527,'Per 60 PP'!$K$526)/60)*Proj[[#This Row],[TOI PP]]*Proj[[#This Row],[GP]],0)</f>
        <v>2</v>
      </c>
      <c r="R263" s="10">
        <f>ROUND(_xlfn.IFNA(INDEX(Table2[],MATCH(Proj[[#This Row],[Player]],Table2[Player],0),7)/60,IF(Proj[[#This Row],[Pos]] = "D", 'Per 60 PP'!$G$527,'Per 60 PP'!$G$526)/60)*Proj[[#This Row],[TOI PP]]*Proj[[#This Row],[GP]],0)</f>
        <v>1</v>
      </c>
      <c r="S263" s="10">
        <f>Proj[[#This Row],[PPG]]+Proj[[#This Row],[PPA]]</f>
        <v>3</v>
      </c>
      <c r="T263">
        <f>ROUND((_xlfn.IFNA(INDEX(Table3[],MATCH(Proj[[#This Row],[Player]],Table3[Player],0),6)/60,IF(Proj[[#This Row],[Pos]] ="D", 'Per 60 PK'!$F$623, 'Per 60 PK'!$F$622)/60)+_xlfn.IFNA(INDEX(Table3[],MATCH(Proj[[#This Row],[Player]],Table3[Player],0),8)/60,IF(Proj[[#This Row],[Pos]] ="D", 'Per 60 PK'!$H$623, 'Per 60 PK'!$H$622)/60))*Proj[[#This Row],[TOI PK]]*Proj[[#This Row],[GP]],0)</f>
        <v>1</v>
      </c>
      <c r="U2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2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2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2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2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2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176</v>
      </c>
      <c r="AA2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-457.07991771998627</v>
      </c>
      <c r="AB263" s="10">
        <f>_xlfn.RANK.EQ(Proj[[#This Row],[VOR]],Proj[VOR])</f>
        <v>396</v>
      </c>
      <c r="AC263" s="10">
        <f>INDEX(Std[],MATCH(Proj[[#This Row],[Player]],Std[Player],0),20)</f>
        <v>-10.535193329737384</v>
      </c>
      <c r="AD2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359.65</v>
      </c>
    </row>
    <row r="264" spans="1:30" x14ac:dyDescent="0.25">
      <c r="A264" t="s">
        <v>1004</v>
      </c>
      <c r="B264">
        <v>22</v>
      </c>
      <c r="C264" t="s">
        <v>104</v>
      </c>
      <c r="D264" t="s">
        <v>14</v>
      </c>
      <c r="E264" s="9">
        <f>INDEX(Table1[],MATCH(Proj[[#This Row],[Player]],Table1[Player],0),5)</f>
        <v>14</v>
      </c>
      <c r="F264" s="9">
        <f>_xlfn.IFNA(INDEX(Table2[],MATCH(Proj[[#This Row],[Player]],Table2[Player],0),5),0)</f>
        <v>2.27</v>
      </c>
      <c r="G264" s="9">
        <f>_xlfn.IFNA(INDEX(Table3[],MATCH(Proj[[#This Row],[Player]],Table3[Player],0),5),0)</f>
        <v>0.52</v>
      </c>
      <c r="H264" s="10">
        <v>77</v>
      </c>
      <c r="I264">
        <v>77</v>
      </c>
      <c r="J264" s="9">
        <v>14</v>
      </c>
      <c r="K264" s="9">
        <v>2.27</v>
      </c>
      <c r="L264" s="9">
        <v>0.52</v>
      </c>
      <c r="M264" s="9">
        <f>Proj[[#This Row],[TOI ES]]+Proj[[#This Row],[TOI PP]]+Proj[[#This Row],[TOI PK]]</f>
        <v>16.79</v>
      </c>
      <c r="N2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22</v>
      </c>
      <c r="O2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264" s="10">
        <f>Proj[[#This Row],[Goals]]+Proj[[#This Row],[Assists]]</f>
        <v>37</v>
      </c>
      <c r="Q264" s="10">
        <f>ROUND(_xlfn.IFNA(INDEX(Table2[],MATCH(Proj[[#This Row],[Player]],Table2[Player],0),11)/60,IF(Proj[[#This Row],[Pos]] = "D", 'Per 60 PP'!$K$527,'Per 60 PP'!$K$526)/60)*Proj[[#This Row],[TOI PP]]*Proj[[#This Row],[GP]],0)</f>
        <v>6</v>
      </c>
      <c r="R264" s="10">
        <f>ROUND(_xlfn.IFNA(INDEX(Table2[],MATCH(Proj[[#This Row],[Player]],Table2[Player],0),7)/60,IF(Proj[[#This Row],[Pos]] = "D", 'Per 60 PP'!$G$527,'Per 60 PP'!$G$526)/60)*Proj[[#This Row],[TOI PP]]*Proj[[#This Row],[GP]],0)</f>
        <v>5</v>
      </c>
      <c r="S264" s="10">
        <f>Proj[[#This Row],[PPG]]+Proj[[#This Row],[PPA]]</f>
        <v>11</v>
      </c>
      <c r="T264">
        <f>ROUND((_xlfn.IFNA(INDEX(Table3[],MATCH(Proj[[#This Row],[Player]],Table3[Player],0),6)/60,IF(Proj[[#This Row],[Pos]] ="D", 'Per 60 PK'!$F$623, 'Per 60 PK'!$F$622)/60)+_xlfn.IFNA(INDEX(Table3[],MATCH(Proj[[#This Row],[Player]],Table3[Player],0),8)/60,IF(Proj[[#This Row],[Pos]] ="D", 'Per 60 PK'!$H$623, 'Per 60 PK'!$H$622)/60))*Proj[[#This Row],[TOI PK]]*Proj[[#This Row],[GP]],0)</f>
        <v>0</v>
      </c>
      <c r="U2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132</v>
      </c>
      <c r="V2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2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2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v>
      </c>
      <c r="Y2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2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144</v>
      </c>
      <c r="AA2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-258.451469805589</v>
      </c>
      <c r="AB264" s="10">
        <f>_xlfn.RANK.EQ(Proj[[#This Row],[VOR]],Proj[VOR])</f>
        <v>284</v>
      </c>
      <c r="AC264" s="10">
        <f>INDEX(Std[],MATCH(Proj[[#This Row],[Player]],Std[Player],0),20)</f>
        <v>188.09325458465986</v>
      </c>
      <c r="AD2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395.84999999999997</v>
      </c>
    </row>
    <row r="265" spans="1:30" x14ac:dyDescent="0.25">
      <c r="A265" t="s">
        <v>522</v>
      </c>
      <c r="B265">
        <v>25</v>
      </c>
      <c r="C265" t="s">
        <v>104</v>
      </c>
      <c r="D265" t="s">
        <v>87</v>
      </c>
      <c r="E265" s="9">
        <f>INDEX(Table1[],MATCH(Proj[[#This Row],[Player]],Table1[Player],0),5)</f>
        <v>12.8575790840903</v>
      </c>
      <c r="F265" s="9">
        <f>_xlfn.IFNA(INDEX(Table2[],MATCH(Proj[[#This Row],[Player]],Table2[Player],0),5),0)</f>
        <v>2.44</v>
      </c>
      <c r="G265" s="9">
        <f>_xlfn.IFNA(INDEX(Table3[],MATCH(Proj[[#This Row],[Player]],Table3[Player],0),5),0)</f>
        <v>0</v>
      </c>
      <c r="H265" s="10">
        <v>81</v>
      </c>
      <c r="I265">
        <v>81</v>
      </c>
      <c r="J265" s="9">
        <v>12.8575790840903</v>
      </c>
      <c r="K265" s="9">
        <v>2.44</v>
      </c>
      <c r="L265" s="9">
        <v>0</v>
      </c>
      <c r="M265" s="9">
        <f>Proj[[#This Row],[TOI ES]]+Proj[[#This Row],[TOI PP]]+Proj[[#This Row],[TOI PK]]</f>
        <v>15.2975790840903</v>
      </c>
      <c r="N2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65" s="10">
        <f>Proj[[#This Row],[Goals]]+Proj[[#This Row],[Assists]]</f>
        <v>37</v>
      </c>
      <c r="Q265" s="10">
        <f>ROUND(_xlfn.IFNA(INDEX(Table2[],MATCH(Proj[[#This Row],[Player]],Table2[Player],0),11)/60,IF(Proj[[#This Row],[Pos]] = "D", 'Per 60 PP'!$K$527,'Per 60 PP'!$K$526)/60)*Proj[[#This Row],[TOI PP]]*Proj[[#This Row],[GP]],0)</f>
        <v>3</v>
      </c>
      <c r="R265" s="10">
        <f>ROUND(_xlfn.IFNA(INDEX(Table2[],MATCH(Proj[[#This Row],[Player]],Table2[Player],0),7)/60,IF(Proj[[#This Row],[Pos]] = "D", 'Per 60 PP'!$G$527,'Per 60 PP'!$G$526)/60)*Proj[[#This Row],[TOI PP]]*Proj[[#This Row],[GP]],0)</f>
        <v>6</v>
      </c>
      <c r="S265" s="10">
        <f>Proj[[#This Row],[PPG]]+Proj[[#This Row],[PPA]]</f>
        <v>9</v>
      </c>
      <c r="T265">
        <f>ROUND((_xlfn.IFNA(INDEX(Table3[],MATCH(Proj[[#This Row],[Player]],Table3[Player],0),6)/60,IF(Proj[[#This Row],[Pos]] ="D", 'Per 60 PK'!$F$623, 'Per 60 PK'!$F$622)/60)+_xlfn.IFNA(INDEX(Table3[],MATCH(Proj[[#This Row],[Player]],Table3[Player],0),8)/60,IF(Proj[[#This Row],[Pos]] ="D", 'Per 60 PK'!$H$623, 'Per 60 PK'!$H$622)/60))*Proj[[#This Row],[TOI PK]]*Proj[[#This Row],[GP]],0)</f>
        <v>0</v>
      </c>
      <c r="U2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167</v>
      </c>
      <c r="V2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68</v>
      </c>
      <c r="W2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2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2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v>
      </c>
      <c r="Z2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2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-245.27532828519094</v>
      </c>
      <c r="AB265" s="10">
        <f>_xlfn.RANK.EQ(Proj[[#This Row],[VOR]],Proj[VOR])</f>
        <v>276</v>
      </c>
      <c r="AC265" s="10">
        <f>INDEX(Std[],MATCH(Proj[[#This Row],[Player]],Std[Player],0),20)</f>
        <v>201.26939610505792</v>
      </c>
      <c r="AD2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419.95</v>
      </c>
    </row>
    <row r="266" spans="1:30" x14ac:dyDescent="0.25">
      <c r="A266" t="s">
        <v>446</v>
      </c>
      <c r="B266">
        <v>30</v>
      </c>
      <c r="C266" t="s">
        <v>101</v>
      </c>
      <c r="D266" t="s">
        <v>2</v>
      </c>
      <c r="E266" s="9">
        <f>INDEX(Table1[],MATCH(Proj[[#This Row],[Player]],Table1[Player],0),5)</f>
        <v>13.3221808888391</v>
      </c>
      <c r="F266" s="9">
        <f>_xlfn.IFNA(INDEX(Table2[],MATCH(Proj[[#This Row],[Player]],Table2[Player],0),5),0)</f>
        <v>0.93</v>
      </c>
      <c r="G266" s="9">
        <f>_xlfn.IFNA(INDEX(Table3[],MATCH(Proj[[#This Row],[Player]],Table3[Player],0),5),0)</f>
        <v>2.35</v>
      </c>
      <c r="H266" s="10">
        <v>79</v>
      </c>
      <c r="I266">
        <v>79</v>
      </c>
      <c r="J266" s="9">
        <v>13.3221808888391</v>
      </c>
      <c r="K266" s="9">
        <v>0.93</v>
      </c>
      <c r="L266" s="9">
        <v>2.35</v>
      </c>
      <c r="M266" s="9">
        <f>Proj[[#This Row],[TOI ES]]+Proj[[#This Row],[TOI PP]]+Proj[[#This Row],[TOI PK]]</f>
        <v>16.602180888839101</v>
      </c>
      <c r="N2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66" s="10">
        <f>Proj[[#This Row],[Goals]]+Proj[[#This Row],[Assists]]</f>
        <v>36</v>
      </c>
      <c r="Q266" s="10">
        <f>ROUND(_xlfn.IFNA(INDEX(Table2[],MATCH(Proj[[#This Row],[Player]],Table2[Player],0),11)/60,IF(Proj[[#This Row],[Pos]] = "D", 'Per 60 PP'!$K$527,'Per 60 PP'!$K$526)/60)*Proj[[#This Row],[TOI PP]]*Proj[[#This Row],[GP]],0)</f>
        <v>1</v>
      </c>
      <c r="R266" s="10">
        <f>ROUND(_xlfn.IFNA(INDEX(Table2[],MATCH(Proj[[#This Row],[Player]],Table2[Player],0),7)/60,IF(Proj[[#This Row],[Pos]] = "D", 'Per 60 PP'!$G$527,'Per 60 PP'!$G$526)/60)*Proj[[#This Row],[TOI PP]]*Proj[[#This Row],[GP]],0)</f>
        <v>3</v>
      </c>
      <c r="S266" s="10">
        <f>Proj[[#This Row],[PPG]]+Proj[[#This Row],[PPA]]</f>
        <v>4</v>
      </c>
      <c r="T266">
        <f>ROUND((_xlfn.IFNA(INDEX(Table3[],MATCH(Proj[[#This Row],[Player]],Table3[Player],0),6)/60,IF(Proj[[#This Row],[Pos]] ="D", 'Per 60 PK'!$F$623, 'Per 60 PK'!$F$622)/60)+_xlfn.IFNA(INDEX(Table3[],MATCH(Proj[[#This Row],[Player]],Table3[Player],0),8)/60,IF(Proj[[#This Row],[Pos]] ="D", 'Per 60 PK'!$H$623, 'Per 60 PK'!$H$622)/60))*Proj[[#This Row],[TOI PK]]*Proj[[#This Row],[GP]],0)</f>
        <v>2</v>
      </c>
      <c r="U2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28</v>
      </c>
      <c r="V2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2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518</v>
      </c>
      <c r="Y2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461</v>
      </c>
      <c r="Z2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116</v>
      </c>
      <c r="AA2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-457.397015161718</v>
      </c>
      <c r="AB266" s="10">
        <f>_xlfn.RANK.EQ(Proj[[#This Row],[VOR]],Proj[VOR])</f>
        <v>398</v>
      </c>
      <c r="AC266" s="10">
        <f>INDEX(Std[],MATCH(Proj[[#This Row],[Player]],Std[Player],0),20)</f>
        <v>14.14770922853087</v>
      </c>
      <c r="AD2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340.70000000000005</v>
      </c>
    </row>
    <row r="267" spans="1:30" x14ac:dyDescent="0.25">
      <c r="A267" t="s">
        <v>682</v>
      </c>
      <c r="B267">
        <v>34</v>
      </c>
      <c r="C267" t="s">
        <v>102</v>
      </c>
      <c r="D267" t="s">
        <v>18</v>
      </c>
      <c r="E267" s="9">
        <f>INDEX(Table1[],MATCH(Proj[[#This Row],[Player]],Table1[Player],0),5)</f>
        <v>13.501431725638399</v>
      </c>
      <c r="F267" s="9">
        <f>_xlfn.IFNA(INDEX(Table2[],MATCH(Proj[[#This Row],[Player]],Table2[Player],0),5),0)</f>
        <v>1.9</v>
      </c>
      <c r="G267" s="9">
        <f>_xlfn.IFNA(INDEX(Table3[],MATCH(Proj[[#This Row],[Player]],Table3[Player],0),5),0)</f>
        <v>0.51</v>
      </c>
      <c r="H267" s="10">
        <v>80</v>
      </c>
      <c r="I267">
        <v>80</v>
      </c>
      <c r="J267" s="9">
        <v>13.501431725638399</v>
      </c>
      <c r="K267" s="9">
        <v>1.9</v>
      </c>
      <c r="L267" s="9">
        <v>0.51</v>
      </c>
      <c r="M267" s="9">
        <f>Proj[[#This Row],[TOI ES]]+Proj[[#This Row],[TOI PP]]+Proj[[#This Row],[TOI PK]]</f>
        <v>15.911431725638399</v>
      </c>
      <c r="N2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2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67" s="10">
        <f>Proj[[#This Row],[Goals]]+Proj[[#This Row],[Assists]]</f>
        <v>36</v>
      </c>
      <c r="Q267" s="10">
        <f>ROUND(_xlfn.IFNA(INDEX(Table2[],MATCH(Proj[[#This Row],[Player]],Table2[Player],0),11)/60,IF(Proj[[#This Row],[Pos]] = "D", 'Per 60 PP'!$K$527,'Per 60 PP'!$K$526)/60)*Proj[[#This Row],[TOI PP]]*Proj[[#This Row],[GP]],0)</f>
        <v>3</v>
      </c>
      <c r="R267" s="10">
        <f>ROUND(_xlfn.IFNA(INDEX(Table2[],MATCH(Proj[[#This Row],[Player]],Table2[Player],0),7)/60,IF(Proj[[#This Row],[Pos]] = "D", 'Per 60 PP'!$G$527,'Per 60 PP'!$G$526)/60)*Proj[[#This Row],[TOI PP]]*Proj[[#This Row],[GP]],0)</f>
        <v>8</v>
      </c>
      <c r="S267" s="10">
        <f>Proj[[#This Row],[PPG]]+Proj[[#This Row],[PPA]]</f>
        <v>11</v>
      </c>
      <c r="T267">
        <f>ROUND((_xlfn.IFNA(INDEX(Table3[],MATCH(Proj[[#This Row],[Player]],Table3[Player],0),6)/60,IF(Proj[[#This Row],[Pos]] ="D", 'Per 60 PK'!$F$623, 'Per 60 PK'!$F$622)/60)+_xlfn.IFNA(INDEX(Table3[],MATCH(Proj[[#This Row],[Player]],Table3[Player],0),8)/60,IF(Proj[[#This Row],[Pos]] ="D", 'Per 60 PK'!$H$623, 'Per 60 PK'!$H$622)/60))*Proj[[#This Row],[TOI PK]]*Proj[[#This Row],[GP]],0)</f>
        <v>0</v>
      </c>
      <c r="U2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2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2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2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2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2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115</v>
      </c>
      <c r="AA2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-730.40656217427613</v>
      </c>
      <c r="AB267" s="10">
        <f>_xlfn.RANK.EQ(Proj[[#This Row],[VOR]],Proj[VOR])</f>
        <v>544</v>
      </c>
      <c r="AC267" s="10">
        <f>INDEX(Std[],MATCH(Proj[[#This Row],[Player]],Std[Player],0),20)</f>
        <v>-258.86183778402733</v>
      </c>
      <c r="AD2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284.10000000000002</v>
      </c>
    </row>
    <row r="268" spans="1:30" x14ac:dyDescent="0.25">
      <c r="A268" t="s">
        <v>1169</v>
      </c>
      <c r="B268">
        <v>19</v>
      </c>
      <c r="C268" t="s">
        <v>102</v>
      </c>
      <c r="D268" t="s">
        <v>4</v>
      </c>
      <c r="E268" s="9">
        <f>INDEX(Table1[],MATCH(Proj[[#This Row],[Player]],Table1[Player],0),5)</f>
        <v>12.7017418941</v>
      </c>
      <c r="F268" s="9">
        <f>_xlfn.IFNA(INDEX(Table2[],MATCH(Proj[[#This Row],[Player]],Table2[Player],0),5),0)</f>
        <v>1.77</v>
      </c>
      <c r="G268" s="9">
        <f>_xlfn.IFNA(INDEX(Table3[],MATCH(Proj[[#This Row],[Player]],Table3[Player],0),5),0)</f>
        <v>0.83</v>
      </c>
      <c r="H268" s="10">
        <v>77</v>
      </c>
      <c r="I268">
        <v>77</v>
      </c>
      <c r="J268" s="9">
        <v>12.7017418941</v>
      </c>
      <c r="K268" s="9">
        <v>1.77</v>
      </c>
      <c r="L268" s="9">
        <v>0.83</v>
      </c>
      <c r="M268" s="9">
        <f>Proj[[#This Row],[TOI ES]]+Proj[[#This Row],[TOI PP]]+Proj[[#This Row],[TOI PK]]</f>
        <v>15.301741894099999</v>
      </c>
      <c r="N2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68">
        <f>Proj[[#This Row],[Goals]]+Proj[[#This Row],[Assists]]</f>
        <v>36</v>
      </c>
      <c r="Q268" s="10">
        <f>ROUND(_xlfn.IFNA(INDEX(Table2[],MATCH(Proj[[#This Row],[Player]],Table2[Player],0),11)/60,IF(Proj[[#This Row],[Pos]] = "D", 'Per 60 PP'!$K$527,'Per 60 PP'!$K$526)/60)*Proj[[#This Row],[TOI PP]]*Proj[[#This Row],[GP]],0)</f>
        <v>3</v>
      </c>
      <c r="R268" s="10">
        <f>ROUND(_xlfn.IFNA(INDEX(Table2[],MATCH(Proj[[#This Row],[Player]],Table2[Player],0),7)/60,IF(Proj[[#This Row],[Pos]] = "D", 'Per 60 PP'!$G$527,'Per 60 PP'!$G$526)/60)*Proj[[#This Row],[TOI PP]]*Proj[[#This Row],[GP]],0)</f>
        <v>3</v>
      </c>
      <c r="S268" s="10">
        <f>Proj[[#This Row],[PPG]]+Proj[[#This Row],[PPA]]</f>
        <v>6</v>
      </c>
      <c r="T268">
        <f>ROUND((_xlfn.IFNA(INDEX(Table3[],MATCH(Proj[[#This Row],[Player]],Table3[Player],0),6)/60,IF(Proj[[#This Row],[Pos]] ="D", 'Per 60 PK'!$F$623, 'Per 60 PK'!$F$622)/60)+_xlfn.IFNA(INDEX(Table3[],MATCH(Proj[[#This Row],[Player]],Table3[Player],0),8)/60,IF(Proj[[#This Row],[Pos]] ="D", 'Per 60 PK'!$H$623, 'Per 60 PK'!$H$622)/60))*Proj[[#This Row],[TOI PK]]*Proj[[#This Row],[GP]],0)</f>
        <v>0</v>
      </c>
      <c r="U2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38</v>
      </c>
      <c r="V2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2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2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v>
      </c>
      <c r="Y2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v>
      </c>
      <c r="Z2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2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-599.37605707073067</v>
      </c>
      <c r="AB268" s="10">
        <f>_xlfn.RANK.EQ(Proj[[#This Row],[VOR]],Proj[VOR])</f>
        <v>481</v>
      </c>
      <c r="AC268" s="10">
        <f>INDEX(Std[],MATCH(Proj[[#This Row],[Player]],Std[Player],0),20)</f>
        <v>-127.83133268048181</v>
      </c>
      <c r="AD2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306.5</v>
      </c>
    </row>
    <row r="269" spans="1:30" x14ac:dyDescent="0.25">
      <c r="A269" t="s">
        <v>550</v>
      </c>
      <c r="B269">
        <v>32</v>
      </c>
      <c r="C269" t="s">
        <v>74</v>
      </c>
      <c r="D269" t="s">
        <v>25</v>
      </c>
      <c r="E269" s="9">
        <f>INDEX(Table1[],MATCH(Proj[[#This Row],[Player]],Table1[Player],0),5)</f>
        <v>13.0580405930046</v>
      </c>
      <c r="F269" s="9">
        <f>_xlfn.IFNA(INDEX(Table2[],MATCH(Proj[[#This Row],[Player]],Table2[Player],0),5),0)</f>
        <v>1.61</v>
      </c>
      <c r="G269" s="9">
        <f>_xlfn.IFNA(INDEX(Table3[],MATCH(Proj[[#This Row],[Player]],Table3[Player],0),5),0)</f>
        <v>0.28000000000000003</v>
      </c>
      <c r="H269" s="10">
        <v>80</v>
      </c>
      <c r="I269">
        <v>80</v>
      </c>
      <c r="J269" s="9">
        <v>13.0580405930046</v>
      </c>
      <c r="K269" s="9">
        <v>1.61</v>
      </c>
      <c r="L269" s="9">
        <v>0.28000000000000003</v>
      </c>
      <c r="M269" s="9">
        <f>Proj[[#This Row],[TOI ES]]+Proj[[#This Row],[TOI PP]]+Proj[[#This Row],[TOI PK]]</f>
        <v>14.948040593004599</v>
      </c>
      <c r="N2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69" s="10">
        <f>Proj[[#This Row],[Goals]]+Proj[[#This Row],[Assists]]</f>
        <v>36</v>
      </c>
      <c r="Q269" s="10">
        <f>ROUND(_xlfn.IFNA(INDEX(Table2[],MATCH(Proj[[#This Row],[Player]],Table2[Player],0),11)/60,IF(Proj[[#This Row],[Pos]] = "D", 'Per 60 PP'!$K$527,'Per 60 PP'!$K$526)/60)*Proj[[#This Row],[TOI PP]]*Proj[[#This Row],[GP]],0)</f>
        <v>2</v>
      </c>
      <c r="R269" s="10">
        <f>ROUND(_xlfn.IFNA(INDEX(Table2[],MATCH(Proj[[#This Row],[Player]],Table2[Player],0),7)/60,IF(Proj[[#This Row],[Pos]] = "D", 'Per 60 PP'!$G$527,'Per 60 PP'!$G$526)/60)*Proj[[#This Row],[TOI PP]]*Proj[[#This Row],[GP]],0)</f>
        <v>4</v>
      </c>
      <c r="S269" s="10">
        <f>Proj[[#This Row],[PPG]]+Proj[[#This Row],[PPA]]</f>
        <v>6</v>
      </c>
      <c r="T269">
        <f>ROUND((_xlfn.IFNA(INDEX(Table3[],MATCH(Proj[[#This Row],[Player]],Table3[Player],0),6)/60,IF(Proj[[#This Row],[Pos]] ="D", 'Per 60 PK'!$F$623, 'Per 60 PK'!$F$622)/60)+_xlfn.IFNA(INDEX(Table3[],MATCH(Proj[[#This Row],[Player]],Table3[Player],0),8)/60,IF(Proj[[#This Row],[Pos]] ="D", 'Per 60 PK'!$H$623, 'Per 60 PK'!$H$622)/60))*Proj[[#This Row],[TOI PK]]*Proj[[#This Row],[GP]],0)</f>
        <v>0</v>
      </c>
      <c r="U2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2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2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2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443</v>
      </c>
      <c r="Y2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376</v>
      </c>
      <c r="Z2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2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-730.75146707068075</v>
      </c>
      <c r="AB269" s="10">
        <f>_xlfn.RANK.EQ(Proj[[#This Row],[VOR]],Proj[VOR])</f>
        <v>546</v>
      </c>
      <c r="AC269" s="10">
        <f>INDEX(Std[],MATCH(Proj[[#This Row],[Player]],Std[Player],0),20)</f>
        <v>3.8823872396178905</v>
      </c>
      <c r="AD2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346.1</v>
      </c>
    </row>
    <row r="270" spans="1:30" x14ac:dyDescent="0.25">
      <c r="A270" t="s">
        <v>334</v>
      </c>
      <c r="B270">
        <v>32</v>
      </c>
      <c r="C270" t="s">
        <v>3</v>
      </c>
      <c r="D270" t="s">
        <v>30</v>
      </c>
      <c r="E270" s="9">
        <f>INDEX(Table1[],MATCH(Proj[[#This Row],[Player]],Table1[Player],0),5)</f>
        <v>17.2595384811247</v>
      </c>
      <c r="F270" s="9">
        <f>_xlfn.IFNA(INDEX(Table2[],MATCH(Proj[[#This Row],[Player]],Table2[Player],0),5),0)</f>
        <v>3.05</v>
      </c>
      <c r="G270" s="9">
        <f>_xlfn.IFNA(INDEX(Table3[],MATCH(Proj[[#This Row],[Player]],Table3[Player],0),5),0)</f>
        <v>0</v>
      </c>
      <c r="H270" s="10">
        <v>78</v>
      </c>
      <c r="I270">
        <v>78</v>
      </c>
      <c r="J270" s="9">
        <v>17.2595384811247</v>
      </c>
      <c r="K270" s="9">
        <v>3.05</v>
      </c>
      <c r="L270" s="9">
        <v>0</v>
      </c>
      <c r="M270" s="9">
        <f>Proj[[#This Row],[TOI ES]]+Proj[[#This Row],[TOI PP]]+Proj[[#This Row],[TOI PK]]</f>
        <v>20.309538481124701</v>
      </c>
      <c r="N2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2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31</v>
      </c>
      <c r="P270" s="10">
        <f>Proj[[#This Row],[Goals]]+Proj[[#This Row],[Assists]]</f>
        <v>36</v>
      </c>
      <c r="Q270" s="10">
        <f>ROUND(_xlfn.IFNA(INDEX(Table2[],MATCH(Proj[[#This Row],[Player]],Table2[Player],0),11)/60,IF(Proj[[#This Row],[Pos]] = "D", 'Per 60 PP'!$K$527,'Per 60 PP'!$K$526)/60)*Proj[[#This Row],[TOI PP]]*Proj[[#This Row],[GP]],0)</f>
        <v>2</v>
      </c>
      <c r="R270" s="10">
        <f>ROUND(_xlfn.IFNA(INDEX(Table2[],MATCH(Proj[[#This Row],[Player]],Table2[Player],0),7)/60,IF(Proj[[#This Row],[Pos]] = "D", 'Per 60 PP'!$G$527,'Per 60 PP'!$G$526)/60)*Proj[[#This Row],[TOI PP]]*Proj[[#This Row],[GP]],0)</f>
        <v>13</v>
      </c>
      <c r="S270" s="10">
        <f>Proj[[#This Row],[PPG]]+Proj[[#This Row],[PPA]]</f>
        <v>15</v>
      </c>
      <c r="T270">
        <f>ROUND((_xlfn.IFNA(INDEX(Table3[],MATCH(Proj[[#This Row],[Player]],Table3[Player],0),6)/60,IF(Proj[[#This Row],[Pos]] ="D", 'Per 60 PK'!$F$623, 'Per 60 PK'!$F$622)/60)+_xlfn.IFNA(INDEX(Table3[],MATCH(Proj[[#This Row],[Player]],Table3[Player],0),8)/60,IF(Proj[[#This Row],[Pos]] ="D", 'Per 60 PK'!$H$623, 'Per 60 PK'!$H$622)/60))*Proj[[#This Row],[TOI PK]]*Proj[[#This Row],[GP]],0)</f>
        <v>0</v>
      </c>
      <c r="U2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2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90</v>
      </c>
      <c r="W2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2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107</v>
      </c>
      <c r="AA2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-62.968520595306906</v>
      </c>
      <c r="AB270" s="10">
        <f>_xlfn.RANK.EQ(Proj[[#This Row],[VOR]],Proj[VOR])</f>
        <v>187</v>
      </c>
      <c r="AC270" s="10">
        <f>INDEX(Std[],MATCH(Proj[[#This Row],[Player]],Std[Player],0),20)</f>
        <v>44.396247124157576</v>
      </c>
      <c r="AD2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333.75</v>
      </c>
    </row>
    <row r="271" spans="1:30" x14ac:dyDescent="0.25">
      <c r="A271" t="s">
        <v>411</v>
      </c>
      <c r="B271">
        <v>28</v>
      </c>
      <c r="C271" t="s">
        <v>3</v>
      </c>
      <c r="D271" t="s">
        <v>32</v>
      </c>
      <c r="E271" s="9">
        <f>INDEX(Table1[],MATCH(Proj[[#This Row],[Player]],Table1[Player],0),5)</f>
        <v>19.3369499909601</v>
      </c>
      <c r="F271" s="9">
        <f>_xlfn.IFNA(INDEX(Table2[],MATCH(Proj[[#This Row],[Player]],Table2[Player],0),5),0)</f>
        <v>1.34</v>
      </c>
      <c r="G271" s="9">
        <f>_xlfn.IFNA(INDEX(Table3[],MATCH(Proj[[#This Row],[Player]],Table3[Player],0),5),0)</f>
        <v>2.48</v>
      </c>
      <c r="H271" s="10">
        <v>81</v>
      </c>
      <c r="I271">
        <v>81</v>
      </c>
      <c r="J271" s="9">
        <v>19.3369499909601</v>
      </c>
      <c r="K271" s="9">
        <v>1.34</v>
      </c>
      <c r="L271" s="9">
        <v>2.48</v>
      </c>
      <c r="M271" s="9">
        <f>Proj[[#This Row],[TOI ES]]+Proj[[#This Row],[TOI PP]]+Proj[[#This Row],[TOI PK]]</f>
        <v>23.156949990960101</v>
      </c>
      <c r="N2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2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271" s="10">
        <f>Proj[[#This Row],[Goals]]+Proj[[#This Row],[Assists]]</f>
        <v>36</v>
      </c>
      <c r="Q271" s="10">
        <f>ROUND(_xlfn.IFNA(INDEX(Table2[],MATCH(Proj[[#This Row],[Player]],Table2[Player],0),11)/60,IF(Proj[[#This Row],[Pos]] = "D", 'Per 60 PP'!$K$527,'Per 60 PP'!$K$526)/60)*Proj[[#This Row],[TOI PP]]*Proj[[#This Row],[GP]],0)</f>
        <v>1</v>
      </c>
      <c r="R271" s="10">
        <f>ROUND(_xlfn.IFNA(INDEX(Table2[],MATCH(Proj[[#This Row],[Player]],Table2[Player],0),7)/60,IF(Proj[[#This Row],[Pos]] = "D", 'Per 60 PP'!$G$527,'Per 60 PP'!$G$526)/60)*Proj[[#This Row],[TOI PP]]*Proj[[#This Row],[GP]],0)</f>
        <v>3</v>
      </c>
      <c r="S271" s="10">
        <f>Proj[[#This Row],[PPG]]+Proj[[#This Row],[PPA]]</f>
        <v>4</v>
      </c>
      <c r="T271">
        <f>ROUND((_xlfn.IFNA(INDEX(Table3[],MATCH(Proj[[#This Row],[Player]],Table3[Player],0),6)/60,IF(Proj[[#This Row],[Pos]] ="D", 'Per 60 PK'!$F$623, 'Per 60 PK'!$F$622)/60)+_xlfn.IFNA(INDEX(Table3[],MATCH(Proj[[#This Row],[Player]],Table3[Player],0),8)/60,IF(Proj[[#This Row],[Pos]] ="D", 'Per 60 PK'!$H$623, 'Per 60 PK'!$H$622)/60))*Proj[[#This Row],[TOI PK]]*Proj[[#This Row],[GP]],0)</f>
        <v>3</v>
      </c>
      <c r="U2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73</v>
      </c>
      <c r="V2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154</v>
      </c>
      <c r="W2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2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128</v>
      </c>
      <c r="AA2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51.658089881270968</v>
      </c>
      <c r="AB271" s="10">
        <f>_xlfn.RANK.EQ(Proj[[#This Row],[VOR]],Proj[VOR])</f>
        <v>138</v>
      </c>
      <c r="AC271" s="10">
        <f>INDEX(Std[],MATCH(Proj[[#This Row],[Player]],Std[Player],0),20)</f>
        <v>159.02285760073545</v>
      </c>
      <c r="AD2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385.65</v>
      </c>
    </row>
    <row r="272" spans="1:30" x14ac:dyDescent="0.25">
      <c r="A272" t="s">
        <v>718</v>
      </c>
      <c r="B272">
        <v>29</v>
      </c>
      <c r="C272" t="s">
        <v>102</v>
      </c>
      <c r="D272" t="s">
        <v>8</v>
      </c>
      <c r="E272" s="9">
        <f>INDEX(Table1[],MATCH(Proj[[#This Row],[Player]],Table1[Player],0),5)</f>
        <v>12.4689453859817</v>
      </c>
      <c r="F272" s="9">
        <f>_xlfn.IFNA(INDEX(Table2[],MATCH(Proj[[#This Row],[Player]],Table2[Player],0),5),0)</f>
        <v>0.94</v>
      </c>
      <c r="G272" s="9">
        <f>_xlfn.IFNA(INDEX(Table3[],MATCH(Proj[[#This Row],[Player]],Table3[Player],0),5),0)</f>
        <v>1.29</v>
      </c>
      <c r="H272" s="10">
        <v>77</v>
      </c>
      <c r="I272">
        <v>77</v>
      </c>
      <c r="J272" s="9">
        <v>12.4689453859817</v>
      </c>
      <c r="K272" s="9">
        <v>0.94</v>
      </c>
      <c r="L272" s="9">
        <v>1.29</v>
      </c>
      <c r="M272" s="9">
        <f>Proj[[#This Row],[TOI ES]]+Proj[[#This Row],[TOI PP]]+Proj[[#This Row],[TOI PK]]</f>
        <v>14.698945385981698</v>
      </c>
      <c r="N2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72" s="10">
        <f>Proj[[#This Row],[Goals]]+Proj[[#This Row],[Assists]]</f>
        <v>36</v>
      </c>
      <c r="Q272" s="10">
        <f>ROUND(_xlfn.IFNA(INDEX(Table2[],MATCH(Proj[[#This Row],[Player]],Table2[Player],0),11)/60,IF(Proj[[#This Row],[Pos]] = "D", 'Per 60 PP'!$K$527,'Per 60 PP'!$K$526)/60)*Proj[[#This Row],[TOI PP]]*Proj[[#This Row],[GP]],0)</f>
        <v>2</v>
      </c>
      <c r="R272" s="10">
        <f>ROUND(_xlfn.IFNA(INDEX(Table2[],MATCH(Proj[[#This Row],[Player]],Table2[Player],0),7)/60,IF(Proj[[#This Row],[Pos]] = "D", 'Per 60 PP'!$G$527,'Per 60 PP'!$G$526)/60)*Proj[[#This Row],[TOI PP]]*Proj[[#This Row],[GP]],0)</f>
        <v>2</v>
      </c>
      <c r="S272" s="10">
        <f>Proj[[#This Row],[PPG]]+Proj[[#This Row],[PPA]]</f>
        <v>4</v>
      </c>
      <c r="T272">
        <f>ROUND((_xlfn.IFNA(INDEX(Table3[],MATCH(Proj[[#This Row],[Player]],Table3[Player],0),6)/60,IF(Proj[[#This Row],[Pos]] ="D", 'Per 60 PK'!$F$623, 'Per 60 PK'!$F$622)/60)+_xlfn.IFNA(INDEX(Table3[],MATCH(Proj[[#This Row],[Player]],Table3[Player],0),8)/60,IF(Proj[[#This Row],[Pos]] ="D", 'Per 60 PK'!$H$623, 'Per 60 PK'!$H$622)/60))*Proj[[#This Row],[TOI PK]]*Proj[[#This Row],[GP]],0)</f>
        <v>1</v>
      </c>
      <c r="U2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80</v>
      </c>
      <c r="V2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2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2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2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2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-590.21715373334996</v>
      </c>
      <c r="AB272" s="10">
        <f>_xlfn.RANK.EQ(Proj[[#This Row],[VOR]],Proj[VOR])</f>
        <v>478</v>
      </c>
      <c r="AC272" s="10">
        <f>INDEX(Std[],MATCH(Proj[[#This Row],[Player]],Std[Player],0),20)</f>
        <v>-118.67242934310111</v>
      </c>
      <c r="AD2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332.8</v>
      </c>
    </row>
    <row r="273" spans="1:30" x14ac:dyDescent="0.25">
      <c r="A273" t="s">
        <v>460</v>
      </c>
      <c r="B273">
        <v>29</v>
      </c>
      <c r="C273" t="s">
        <v>101</v>
      </c>
      <c r="D273" t="s">
        <v>5</v>
      </c>
      <c r="E273" s="9">
        <f>INDEX(Table1[],MATCH(Proj[[#This Row],[Player]],Table1[Player],0),5)</f>
        <v>11.3505206391311</v>
      </c>
      <c r="F273" s="9">
        <f>_xlfn.IFNA(INDEX(Table2[],MATCH(Proj[[#This Row],[Player]],Table2[Player],0),5),0)</f>
        <v>2.1</v>
      </c>
      <c r="G273" s="9">
        <f>_xlfn.IFNA(INDEX(Table3[],MATCH(Proj[[#This Row],[Player]],Table3[Player],0),5),0)</f>
        <v>0</v>
      </c>
      <c r="H273" s="10">
        <v>78</v>
      </c>
      <c r="I273">
        <v>78</v>
      </c>
      <c r="J273" s="9">
        <v>11.3505206391311</v>
      </c>
      <c r="K273" s="9">
        <v>2.1</v>
      </c>
      <c r="L273" s="9">
        <v>0</v>
      </c>
      <c r="M273" s="9">
        <f>Proj[[#This Row],[TOI ES]]+Proj[[#This Row],[TOI PP]]+Proj[[#This Row],[TOI PK]]</f>
        <v>13.450520639131099</v>
      </c>
      <c r="N2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73">
        <f>Proj[[#This Row],[Goals]]+Proj[[#This Row],[Assists]]</f>
        <v>36</v>
      </c>
      <c r="Q273" s="10">
        <f>ROUND(_xlfn.IFNA(INDEX(Table2[],MATCH(Proj[[#This Row],[Player]],Table2[Player],0),11)/60,IF(Proj[[#This Row],[Pos]] = "D", 'Per 60 PP'!$K$527,'Per 60 PP'!$K$526)/60)*Proj[[#This Row],[TOI PP]]*Proj[[#This Row],[GP]],0)</f>
        <v>6</v>
      </c>
      <c r="R273" s="10">
        <f>ROUND(_xlfn.IFNA(INDEX(Table2[],MATCH(Proj[[#This Row],[Player]],Table2[Player],0),7)/60,IF(Proj[[#This Row],[Pos]] = "D", 'Per 60 PP'!$G$527,'Per 60 PP'!$G$526)/60)*Proj[[#This Row],[TOI PP]]*Proj[[#This Row],[GP]],0)</f>
        <v>8</v>
      </c>
      <c r="S273" s="10">
        <f>Proj[[#This Row],[PPG]]+Proj[[#This Row],[PPA]]</f>
        <v>14</v>
      </c>
      <c r="T273">
        <f>ROUND((_xlfn.IFNA(INDEX(Table3[],MATCH(Proj[[#This Row],[Player]],Table3[Player],0),6)/60,IF(Proj[[#This Row],[Pos]] ="D", 'Per 60 PK'!$F$623, 'Per 60 PK'!$F$622)/60)+_xlfn.IFNA(INDEX(Table3[],MATCH(Proj[[#This Row],[Player]],Table3[Player],0),8)/60,IF(Proj[[#This Row],[Pos]] ="D", 'Per 60 PK'!$H$623, 'Per 60 PK'!$H$622)/60))*Proj[[#This Row],[TOI PK]]*Proj[[#This Row],[GP]],0)</f>
        <v>0</v>
      </c>
      <c r="U2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88</v>
      </c>
      <c r="V2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2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44</v>
      </c>
      <c r="X2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74</v>
      </c>
      <c r="Y2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v>
      </c>
      <c r="Z2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110</v>
      </c>
      <c r="AA2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-410.40609273088944</v>
      </c>
      <c r="AB273" s="10">
        <f>_xlfn.RANK.EQ(Proj[[#This Row],[VOR]],Proj[VOR])</f>
        <v>376</v>
      </c>
      <c r="AC273" s="10">
        <f>INDEX(Std[],MATCH(Proj[[#This Row],[Player]],Std[Player],0),20)</f>
        <v>61.138631659359419</v>
      </c>
      <c r="AD2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342.7</v>
      </c>
    </row>
    <row r="274" spans="1:30" x14ac:dyDescent="0.25">
      <c r="A274" t="s">
        <v>399</v>
      </c>
      <c r="B274">
        <v>33</v>
      </c>
      <c r="C274" t="s">
        <v>102</v>
      </c>
      <c r="D274" t="s">
        <v>156</v>
      </c>
      <c r="E274" s="9">
        <f>INDEX(Table1[],MATCH(Proj[[#This Row],[Player]],Table1[Player],0),5)</f>
        <v>13.643472193425801</v>
      </c>
      <c r="F274" s="9">
        <f>_xlfn.IFNA(INDEX(Table2[],MATCH(Proj[[#This Row],[Player]],Table2[Player],0),5),0)</f>
        <v>1.35</v>
      </c>
      <c r="G274" s="9">
        <f>_xlfn.IFNA(INDEX(Table3[],MATCH(Proj[[#This Row],[Player]],Table3[Player],0),5),0)</f>
        <v>0.62</v>
      </c>
      <c r="H274" s="10">
        <v>73</v>
      </c>
      <c r="I274">
        <v>73</v>
      </c>
      <c r="J274" s="9">
        <v>13.643472193425801</v>
      </c>
      <c r="K274" s="9">
        <v>1.35</v>
      </c>
      <c r="L274" s="9">
        <v>0.62</v>
      </c>
      <c r="M274" s="9">
        <f>Proj[[#This Row],[TOI ES]]+Proj[[#This Row],[TOI PP]]+Proj[[#This Row],[TOI PK]]</f>
        <v>15.6134721934258</v>
      </c>
      <c r="N2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74">
        <f>Proj[[#This Row],[Goals]]+Proj[[#This Row],[Assists]]</f>
        <v>36</v>
      </c>
      <c r="Q274" s="10">
        <f>ROUND(_xlfn.IFNA(INDEX(Table2[],MATCH(Proj[[#This Row],[Player]],Table2[Player],0),11)/60,IF(Proj[[#This Row],[Pos]] = "D", 'Per 60 PP'!$K$527,'Per 60 PP'!$K$526)/60)*Proj[[#This Row],[TOI PP]]*Proj[[#This Row],[GP]],0)</f>
        <v>1</v>
      </c>
      <c r="R274" s="10">
        <f>ROUND(_xlfn.IFNA(INDEX(Table2[],MATCH(Proj[[#This Row],[Player]],Table2[Player],0),7)/60,IF(Proj[[#This Row],[Pos]] = "D", 'Per 60 PP'!$G$527,'Per 60 PP'!$G$526)/60)*Proj[[#This Row],[TOI PP]]*Proj[[#This Row],[GP]],0)</f>
        <v>3</v>
      </c>
      <c r="S274" s="10">
        <f>Proj[[#This Row],[PPG]]+Proj[[#This Row],[PPA]]</f>
        <v>4</v>
      </c>
      <c r="T274">
        <f>ROUND((_xlfn.IFNA(INDEX(Table3[],MATCH(Proj[[#This Row],[Player]],Table3[Player],0),6)/60,IF(Proj[[#This Row],[Pos]] ="D", 'Per 60 PK'!$F$623, 'Per 60 PK'!$F$622)/60)+_xlfn.IFNA(INDEX(Table3[],MATCH(Proj[[#This Row],[Player]],Table3[Player],0),8)/60,IF(Proj[[#This Row],[Pos]] ="D", 'Per 60 PK'!$H$623, 'Per 60 PK'!$H$622)/60))*Proj[[#This Row],[TOI PK]]*Proj[[#This Row],[GP]],0)</f>
        <v>0</v>
      </c>
      <c r="U2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88</v>
      </c>
      <c r="V2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54</v>
      </c>
      <c r="W2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2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2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112</v>
      </c>
      <c r="AA2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-612.74856245058845</v>
      </c>
      <c r="AB274" s="10">
        <f>_xlfn.RANK.EQ(Proj[[#This Row],[VOR]],Proj[VOR])</f>
        <v>486</v>
      </c>
      <c r="AC274" s="10">
        <f>INDEX(Std[],MATCH(Proj[[#This Row],[Player]],Std[Player],0),20)</f>
        <v>-141.20383806033954</v>
      </c>
      <c r="AD2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324.95</v>
      </c>
    </row>
    <row r="275" spans="1:30" x14ac:dyDescent="0.25">
      <c r="A275" t="s">
        <v>400</v>
      </c>
      <c r="B275">
        <v>23</v>
      </c>
      <c r="C275" t="s">
        <v>3</v>
      </c>
      <c r="D275" t="s">
        <v>4</v>
      </c>
      <c r="E275" s="9">
        <f>INDEX(Table1[],MATCH(Proj[[#This Row],[Player]],Table1[Player],0),5)</f>
        <v>18.354988092106002</v>
      </c>
      <c r="F275" s="9">
        <f>_xlfn.IFNA(INDEX(Table2[],MATCH(Proj[[#This Row],[Player]],Table2[Player],0),5),0)</f>
        <v>1.27</v>
      </c>
      <c r="G275" s="9">
        <f>_xlfn.IFNA(INDEX(Table3[],MATCH(Proj[[#This Row],[Player]],Table3[Player],0),5),0)</f>
        <v>1</v>
      </c>
      <c r="H275" s="10">
        <v>78</v>
      </c>
      <c r="I275">
        <v>78</v>
      </c>
      <c r="J275" s="9">
        <v>18.354988092106002</v>
      </c>
      <c r="K275" s="9">
        <v>1.27</v>
      </c>
      <c r="L275" s="9">
        <v>1</v>
      </c>
      <c r="M275" s="9">
        <f>Proj[[#This Row],[TOI ES]]+Proj[[#This Row],[TOI PP]]+Proj[[#This Row],[TOI PK]]</f>
        <v>20.624988092106001</v>
      </c>
      <c r="N2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75" s="10">
        <f>Proj[[#This Row],[Goals]]+Proj[[#This Row],[Assists]]</f>
        <v>36</v>
      </c>
      <c r="Q275" s="10">
        <f>ROUND(_xlfn.IFNA(INDEX(Table2[],MATCH(Proj[[#This Row],[Player]],Table2[Player],0),11)/60,IF(Proj[[#This Row],[Pos]] = "D", 'Per 60 PP'!$K$527,'Per 60 PP'!$K$526)/60)*Proj[[#This Row],[TOI PP]]*Proj[[#This Row],[GP]],0)</f>
        <v>1</v>
      </c>
      <c r="R275" s="10">
        <f>ROUND(_xlfn.IFNA(INDEX(Table2[],MATCH(Proj[[#This Row],[Player]],Table2[Player],0),7)/60,IF(Proj[[#This Row],[Pos]] = "D", 'Per 60 PP'!$G$527,'Per 60 PP'!$G$526)/60)*Proj[[#This Row],[TOI PP]]*Proj[[#This Row],[GP]],0)</f>
        <v>4</v>
      </c>
      <c r="S275" s="10">
        <f>Proj[[#This Row],[PPG]]+Proj[[#This Row],[PPA]]</f>
        <v>5</v>
      </c>
      <c r="T275">
        <f>ROUND((_xlfn.IFNA(INDEX(Table3[],MATCH(Proj[[#This Row],[Player]],Table3[Player],0),6)/60,IF(Proj[[#This Row],[Pos]] ="D", 'Per 60 PK'!$F$623, 'Per 60 PK'!$F$622)/60)+_xlfn.IFNA(INDEX(Table3[],MATCH(Proj[[#This Row],[Player]],Table3[Player],0),8)/60,IF(Proj[[#This Row],[Pos]] ="D", 'Per 60 PK'!$H$623, 'Per 60 PK'!$H$622)/60))*Proj[[#This Row],[TOI PK]]*Proj[[#This Row],[GP]],0)</f>
        <v>1</v>
      </c>
      <c r="U2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105</v>
      </c>
      <c r="V2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2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2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104</v>
      </c>
      <c r="AA2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29.25693632086697</v>
      </c>
      <c r="AB275" s="10">
        <f>_xlfn.RANK.EQ(Proj[[#This Row],[VOR]],Proj[VOR])</f>
        <v>144</v>
      </c>
      <c r="AC275" s="10">
        <f>INDEX(Std[],MATCH(Proj[[#This Row],[Player]],Std[Player],0),20)</f>
        <v>136.62170404033145</v>
      </c>
      <c r="AD2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372.95</v>
      </c>
    </row>
    <row r="276" spans="1:30" x14ac:dyDescent="0.25">
      <c r="A276" t="s">
        <v>688</v>
      </c>
      <c r="B276">
        <v>32</v>
      </c>
      <c r="C276" t="s">
        <v>74</v>
      </c>
      <c r="D276" t="s">
        <v>1240</v>
      </c>
      <c r="E276" s="9">
        <f>INDEX(Table1[],MATCH(Proj[[#This Row],[Player]],Table1[Player],0),5)</f>
        <v>13.309055151625801</v>
      </c>
      <c r="F276" s="9">
        <f>_xlfn.IFNA(INDEX(Table2[],MATCH(Proj[[#This Row],[Player]],Table2[Player],0),5),0)</f>
        <v>1.43</v>
      </c>
      <c r="G276" s="9">
        <f>_xlfn.IFNA(INDEX(Table3[],MATCH(Proj[[#This Row],[Player]],Table3[Player],0),5),0)</f>
        <v>2.12</v>
      </c>
      <c r="H276" s="10">
        <v>79</v>
      </c>
      <c r="I276">
        <v>79</v>
      </c>
      <c r="J276" s="9">
        <v>13.309055151625801</v>
      </c>
      <c r="K276" s="9">
        <v>1.43</v>
      </c>
      <c r="L276" s="9">
        <v>2.12</v>
      </c>
      <c r="M276" s="9">
        <f>Proj[[#This Row],[TOI ES]]+Proj[[#This Row],[TOI PP]]+Proj[[#This Row],[TOI PK]]</f>
        <v>16.8590551516258</v>
      </c>
      <c r="N2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19</v>
      </c>
      <c r="O2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276" s="10">
        <f>Proj[[#This Row],[Goals]]+Proj[[#This Row],[Assists]]</f>
        <v>36</v>
      </c>
      <c r="Q276" s="10">
        <f>ROUND(_xlfn.IFNA(INDEX(Table2[],MATCH(Proj[[#This Row],[Player]],Table2[Player],0),11)/60,IF(Proj[[#This Row],[Pos]] = "D", 'Per 60 PP'!$K$527,'Per 60 PP'!$K$526)/60)*Proj[[#This Row],[TOI PP]]*Proj[[#This Row],[GP]],0)</f>
        <v>3</v>
      </c>
      <c r="R276" s="10">
        <f>ROUND(_xlfn.IFNA(INDEX(Table2[],MATCH(Proj[[#This Row],[Player]],Table2[Player],0),7)/60,IF(Proj[[#This Row],[Pos]] = "D", 'Per 60 PP'!$G$527,'Per 60 PP'!$G$526)/60)*Proj[[#This Row],[TOI PP]]*Proj[[#This Row],[GP]],0)</f>
        <v>2</v>
      </c>
      <c r="S276" s="10">
        <f>Proj[[#This Row],[PPG]]+Proj[[#This Row],[PPA]]</f>
        <v>5</v>
      </c>
      <c r="T276">
        <f>ROUND((_xlfn.IFNA(INDEX(Table3[],MATCH(Proj[[#This Row],[Player]],Table3[Player],0),6)/60,IF(Proj[[#This Row],[Pos]] ="D", 'Per 60 PK'!$F$623, 'Per 60 PK'!$F$622)/60)+_xlfn.IFNA(INDEX(Table3[],MATCH(Proj[[#This Row],[Player]],Table3[Player],0),8)/60,IF(Proj[[#This Row],[Pos]] ="D", 'Per 60 PK'!$H$623, 'Per 60 PK'!$H$622)/60))*Proj[[#This Row],[TOI PK]]*Proj[[#This Row],[GP]],0)</f>
        <v>1</v>
      </c>
      <c r="U2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125</v>
      </c>
      <c r="V2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2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2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560</v>
      </c>
      <c r="Y2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577</v>
      </c>
      <c r="Z2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2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-319.9359527822715</v>
      </c>
      <c r="AB276" s="10">
        <f>_xlfn.RANK.EQ(Proj[[#This Row],[VOR]],Proj[VOR])</f>
        <v>323</v>
      </c>
      <c r="AC276" s="10">
        <f>INDEX(Std[],MATCH(Proj[[#This Row],[Player]],Std[Player],0),20)</f>
        <v>414.6979015280271</v>
      </c>
      <c r="AD2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439.45</v>
      </c>
    </row>
    <row r="277" spans="1:30" x14ac:dyDescent="0.25">
      <c r="A277" t="s">
        <v>594</v>
      </c>
      <c r="B277">
        <v>28</v>
      </c>
      <c r="C277" t="s">
        <v>74</v>
      </c>
      <c r="D277" t="s">
        <v>6</v>
      </c>
      <c r="E277" s="9">
        <f>INDEX(Table1[],MATCH(Proj[[#This Row],[Player]],Table1[Player],0),5)</f>
        <v>12.9269866216222</v>
      </c>
      <c r="F277" s="9">
        <f>_xlfn.IFNA(INDEX(Table2[],MATCH(Proj[[#This Row],[Player]],Table2[Player],0),5),0)</f>
        <v>1.83</v>
      </c>
      <c r="G277" s="9">
        <f>_xlfn.IFNA(INDEX(Table3[],MATCH(Proj[[#This Row],[Player]],Table3[Player],0),5),0)</f>
        <v>1.91</v>
      </c>
      <c r="H277" s="10">
        <v>78</v>
      </c>
      <c r="I277">
        <v>78</v>
      </c>
      <c r="J277" s="9">
        <v>12.9269866216222</v>
      </c>
      <c r="K277" s="9">
        <v>1.83</v>
      </c>
      <c r="L277" s="9">
        <v>1.91</v>
      </c>
      <c r="M277" s="9">
        <f>Proj[[#This Row],[TOI ES]]+Proj[[#This Row],[TOI PP]]+Proj[[#This Row],[TOI PK]]</f>
        <v>16.6669866216222</v>
      </c>
      <c r="N2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77" s="10">
        <f>Proj[[#This Row],[Goals]]+Proj[[#This Row],[Assists]]</f>
        <v>35</v>
      </c>
      <c r="Q277" s="10">
        <f>ROUND(_xlfn.IFNA(INDEX(Table2[],MATCH(Proj[[#This Row],[Player]],Table2[Player],0),11)/60,IF(Proj[[#This Row],[Pos]] = "D", 'Per 60 PP'!$K$527,'Per 60 PP'!$K$526)/60)*Proj[[#This Row],[TOI PP]]*Proj[[#This Row],[GP]],0)</f>
        <v>4</v>
      </c>
      <c r="R277" s="10">
        <f>ROUND(_xlfn.IFNA(INDEX(Table2[],MATCH(Proj[[#This Row],[Player]],Table2[Player],0),7)/60,IF(Proj[[#This Row],[Pos]] = "D", 'Per 60 PP'!$G$527,'Per 60 PP'!$G$526)/60)*Proj[[#This Row],[TOI PP]]*Proj[[#This Row],[GP]],0)</f>
        <v>4</v>
      </c>
      <c r="S277" s="10">
        <f>Proj[[#This Row],[PPG]]+Proj[[#This Row],[PPA]]</f>
        <v>8</v>
      </c>
      <c r="T277">
        <f>ROUND((_xlfn.IFNA(INDEX(Table3[],MATCH(Proj[[#This Row],[Player]],Table3[Player],0),6)/60,IF(Proj[[#This Row],[Pos]] ="D", 'Per 60 PK'!$F$623, 'Per 60 PK'!$F$622)/60)+_xlfn.IFNA(INDEX(Table3[],MATCH(Proj[[#This Row],[Player]],Table3[Player],0),8)/60,IF(Proj[[#This Row],[Pos]] ="D", 'Per 60 PK'!$H$623, 'Per 60 PK'!$H$622)/60))*Proj[[#This Row],[TOI PK]]*Proj[[#This Row],[GP]],0)</f>
        <v>1</v>
      </c>
      <c r="U2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2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2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2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538</v>
      </c>
      <c r="Y2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436</v>
      </c>
      <c r="Z2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2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-676.26355522883307</v>
      </c>
      <c r="AB277" s="10">
        <f>_xlfn.RANK.EQ(Proj[[#This Row],[VOR]],Proj[VOR])</f>
        <v>516</v>
      </c>
      <c r="AC277" s="10">
        <f>INDEX(Std[],MATCH(Proj[[#This Row],[Player]],Std[Player],0),20)</f>
        <v>58.370299081465546</v>
      </c>
      <c r="AD2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345.55</v>
      </c>
    </row>
    <row r="278" spans="1:30" x14ac:dyDescent="0.25">
      <c r="A278" t="s">
        <v>472</v>
      </c>
      <c r="B278">
        <v>35</v>
      </c>
      <c r="C278" t="s">
        <v>103</v>
      </c>
      <c r="D278" t="s">
        <v>153</v>
      </c>
      <c r="E278" s="9">
        <f>INDEX(Table1[],MATCH(Proj[[#This Row],[Player]],Table1[Player],0),5)</f>
        <v>12.6455949961665</v>
      </c>
      <c r="F278" s="9">
        <f>_xlfn.IFNA(INDEX(Table2[],MATCH(Proj[[#This Row],[Player]],Table2[Player],0),5),0)</f>
        <v>2.0499999999999998</v>
      </c>
      <c r="G278" s="9">
        <f>_xlfn.IFNA(INDEX(Table3[],MATCH(Proj[[#This Row],[Player]],Table3[Player],0),5),0)</f>
        <v>1.41</v>
      </c>
      <c r="H278" s="10">
        <v>74</v>
      </c>
      <c r="I278">
        <v>74</v>
      </c>
      <c r="J278" s="9">
        <v>12.6455949961665</v>
      </c>
      <c r="K278" s="9">
        <v>2.0499999999999998</v>
      </c>
      <c r="L278" s="9">
        <v>1.41</v>
      </c>
      <c r="M278" s="9">
        <f>Proj[[#This Row],[TOI ES]]+Proj[[#This Row],[TOI PP]]+Proj[[#This Row],[TOI PK]]</f>
        <v>16.105594996166499</v>
      </c>
      <c r="N2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78" s="10">
        <f>Proj[[#This Row],[Goals]]+Proj[[#This Row],[Assists]]</f>
        <v>35</v>
      </c>
      <c r="Q278" s="10">
        <f>ROUND(_xlfn.IFNA(INDEX(Table2[],MATCH(Proj[[#This Row],[Player]],Table2[Player],0),11)/60,IF(Proj[[#This Row],[Pos]] = "D", 'Per 60 PP'!$K$527,'Per 60 PP'!$K$526)/60)*Proj[[#This Row],[TOI PP]]*Proj[[#This Row],[GP]],0)</f>
        <v>3</v>
      </c>
      <c r="R278" s="10">
        <f>ROUND(_xlfn.IFNA(INDEX(Table2[],MATCH(Proj[[#This Row],[Player]],Table2[Player],0),7)/60,IF(Proj[[#This Row],[Pos]] = "D", 'Per 60 PP'!$G$527,'Per 60 PP'!$G$526)/60)*Proj[[#This Row],[TOI PP]]*Proj[[#This Row],[GP]],0)</f>
        <v>4</v>
      </c>
      <c r="S278" s="10">
        <f>Proj[[#This Row],[PPG]]+Proj[[#This Row],[PPA]]</f>
        <v>7</v>
      </c>
      <c r="T278">
        <f>ROUND((_xlfn.IFNA(INDEX(Table3[],MATCH(Proj[[#This Row],[Player]],Table3[Player],0),6)/60,IF(Proj[[#This Row],[Pos]] ="D", 'Per 60 PK'!$F$623, 'Per 60 PK'!$F$622)/60)+_xlfn.IFNA(INDEX(Table3[],MATCH(Proj[[#This Row],[Player]],Table3[Player],0),8)/60,IF(Proj[[#This Row],[Pos]] ="D", 'Per 60 PK'!$H$623, 'Per 60 PK'!$H$622)/60))*Proj[[#This Row],[TOI PK]]*Proj[[#This Row],[GP]],0)</f>
        <v>1</v>
      </c>
      <c r="U2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v>
      </c>
      <c r="V2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2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2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21</v>
      </c>
      <c r="Y2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2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180</v>
      </c>
      <c r="AA2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-569.55912745870523</v>
      </c>
      <c r="AB278" s="10">
        <f>_xlfn.RANK.EQ(Proj[[#This Row],[VOR]],Proj[VOR])</f>
        <v>466</v>
      </c>
      <c r="AC278" s="10">
        <f>INDEX(Std[],MATCH(Proj[[#This Row],[Player]],Std[Player],0),20)</f>
        <v>-123.01440306845639</v>
      </c>
      <c r="AD2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325.90000000000003</v>
      </c>
    </row>
    <row r="279" spans="1:30" x14ac:dyDescent="0.25">
      <c r="A279" t="s">
        <v>723</v>
      </c>
      <c r="B279">
        <v>25</v>
      </c>
      <c r="C279" t="s">
        <v>74</v>
      </c>
      <c r="D279" t="s">
        <v>10</v>
      </c>
      <c r="E279" s="9">
        <f>INDEX(Table1[],MATCH(Proj[[#This Row],[Player]],Table1[Player],0),5)</f>
        <v>12.865571125006101</v>
      </c>
      <c r="F279" s="9">
        <f>_xlfn.IFNA(INDEX(Table2[],MATCH(Proj[[#This Row],[Player]],Table2[Player],0),5),0)</f>
        <v>1.57</v>
      </c>
      <c r="G279" s="9">
        <f>_xlfn.IFNA(INDEX(Table3[],MATCH(Proj[[#This Row],[Player]],Table3[Player],0),5),0)</f>
        <v>0</v>
      </c>
      <c r="H279" s="10">
        <v>73</v>
      </c>
      <c r="I279">
        <v>73</v>
      </c>
      <c r="J279" s="9">
        <v>12.865571125006101</v>
      </c>
      <c r="K279" s="9">
        <v>1.57</v>
      </c>
      <c r="L279" s="9">
        <v>0</v>
      </c>
      <c r="M279" s="9">
        <f>Proj[[#This Row],[TOI ES]]+Proj[[#This Row],[TOI PP]]+Proj[[#This Row],[TOI PK]]</f>
        <v>14.435571125006101</v>
      </c>
      <c r="N2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79" s="10">
        <f>Proj[[#This Row],[Goals]]+Proj[[#This Row],[Assists]]</f>
        <v>35</v>
      </c>
      <c r="Q279" s="10">
        <f>ROUND(_xlfn.IFNA(INDEX(Table2[],MATCH(Proj[[#This Row],[Player]],Table2[Player],0),11)/60,IF(Proj[[#This Row],[Pos]] = "D", 'Per 60 PP'!$K$527,'Per 60 PP'!$K$526)/60)*Proj[[#This Row],[TOI PP]]*Proj[[#This Row],[GP]],0)</f>
        <v>3</v>
      </c>
      <c r="R279" s="10">
        <f>ROUND(_xlfn.IFNA(INDEX(Table2[],MATCH(Proj[[#This Row],[Player]],Table2[Player],0),7)/60,IF(Proj[[#This Row],[Pos]] = "D", 'Per 60 PP'!$G$527,'Per 60 PP'!$G$526)/60)*Proj[[#This Row],[TOI PP]]*Proj[[#This Row],[GP]],0)</f>
        <v>3</v>
      </c>
      <c r="S279" s="10">
        <f>Proj[[#This Row],[PPG]]+Proj[[#This Row],[PPA]]</f>
        <v>6</v>
      </c>
      <c r="T279">
        <f>ROUND((_xlfn.IFNA(INDEX(Table3[],MATCH(Proj[[#This Row],[Player]],Table3[Player],0),6)/60,IF(Proj[[#This Row],[Pos]] ="D", 'Per 60 PK'!$F$623, 'Per 60 PK'!$F$622)/60)+_xlfn.IFNA(INDEX(Table3[],MATCH(Proj[[#This Row],[Player]],Table3[Player],0),8)/60,IF(Proj[[#This Row],[Pos]] ="D", 'Per 60 PK'!$H$623, 'Per 60 PK'!$H$622)/60))*Proj[[#This Row],[TOI PK]]*Proj[[#This Row],[GP]],0)</f>
        <v>0</v>
      </c>
      <c r="U2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v>
      </c>
      <c r="V2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2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2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221</v>
      </c>
      <c r="Y2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311</v>
      </c>
      <c r="Z2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2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-808.95887502061953</v>
      </c>
      <c r="AB279" s="10">
        <f>_xlfn.RANK.EQ(Proj[[#This Row],[VOR]],Proj[VOR])</f>
        <v>595</v>
      </c>
      <c r="AC279" s="10">
        <f>INDEX(Std[],MATCH(Proj[[#This Row],[Player]],Std[Player],0),20)</f>
        <v>-74.325020710320956</v>
      </c>
      <c r="AD2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329.60000000000008</v>
      </c>
    </row>
    <row r="280" spans="1:30" x14ac:dyDescent="0.25">
      <c r="A280" t="s">
        <v>665</v>
      </c>
      <c r="B280">
        <v>28</v>
      </c>
      <c r="C280" t="s">
        <v>102</v>
      </c>
      <c r="D280" t="s">
        <v>20</v>
      </c>
      <c r="E280" s="9">
        <f>INDEX(Table1[],MATCH(Proj[[#This Row],[Player]],Table1[Player],0),5)</f>
        <v>13.465023301454501</v>
      </c>
      <c r="F280" s="9">
        <f>_xlfn.IFNA(INDEX(Table2[],MATCH(Proj[[#This Row],[Player]],Table2[Player],0),5),0)</f>
        <v>1.39</v>
      </c>
      <c r="G280" s="9">
        <f>_xlfn.IFNA(INDEX(Table3[],MATCH(Proj[[#This Row],[Player]],Table3[Player],0),5),0)</f>
        <v>0.59</v>
      </c>
      <c r="H280" s="10">
        <v>77</v>
      </c>
      <c r="I280">
        <v>77</v>
      </c>
      <c r="J280" s="9">
        <v>13.465023301454501</v>
      </c>
      <c r="K280" s="9">
        <v>1.39</v>
      </c>
      <c r="L280" s="9">
        <v>0.59</v>
      </c>
      <c r="M280" s="9">
        <f>Proj[[#This Row],[TOI ES]]+Proj[[#This Row],[TOI PP]]+Proj[[#This Row],[TOI PK]]</f>
        <v>15.445023301454501</v>
      </c>
      <c r="N2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80" s="10">
        <f>Proj[[#This Row],[Goals]]+Proj[[#This Row],[Assists]]</f>
        <v>35</v>
      </c>
      <c r="Q280" s="10">
        <f>ROUND(_xlfn.IFNA(INDEX(Table2[],MATCH(Proj[[#This Row],[Player]],Table2[Player],0),11)/60,IF(Proj[[#This Row],[Pos]] = "D", 'Per 60 PP'!$K$527,'Per 60 PP'!$K$526)/60)*Proj[[#This Row],[TOI PP]]*Proj[[#This Row],[GP]],0)</f>
        <v>2</v>
      </c>
      <c r="R280" s="10">
        <f>ROUND(_xlfn.IFNA(INDEX(Table2[],MATCH(Proj[[#This Row],[Player]],Table2[Player],0),7)/60,IF(Proj[[#This Row],[Pos]] = "D", 'Per 60 PP'!$G$527,'Per 60 PP'!$G$526)/60)*Proj[[#This Row],[TOI PP]]*Proj[[#This Row],[GP]],0)</f>
        <v>4</v>
      </c>
      <c r="S280" s="10">
        <f>Proj[[#This Row],[PPG]]+Proj[[#This Row],[PPA]]</f>
        <v>6</v>
      </c>
      <c r="T280">
        <f>ROUND((_xlfn.IFNA(INDEX(Table3[],MATCH(Proj[[#This Row],[Player]],Table3[Player],0),6)/60,IF(Proj[[#This Row],[Pos]] ="D", 'Per 60 PK'!$F$623, 'Per 60 PK'!$F$622)/60)+_xlfn.IFNA(INDEX(Table3[],MATCH(Proj[[#This Row],[Player]],Table3[Player],0),8)/60,IF(Proj[[#This Row],[Pos]] ="D", 'Per 60 PK'!$H$623, 'Per 60 PK'!$H$622)/60))*Proj[[#This Row],[TOI PK]]*Proj[[#This Row],[GP]],0)</f>
        <v>1</v>
      </c>
      <c r="U2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2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2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2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v>
      </c>
      <c r="Y2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v>
      </c>
      <c r="Z2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2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-708.80259875930756</v>
      </c>
      <c r="AB280" s="10">
        <f>_xlfn.RANK.EQ(Proj[[#This Row],[VOR]],Proj[VOR])</f>
        <v>530</v>
      </c>
      <c r="AC280" s="10">
        <f>INDEX(Std[],MATCH(Proj[[#This Row],[Player]],Std[Player],0),20)</f>
        <v>-237.25787436905873</v>
      </c>
      <c r="AD2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290.54999999999995</v>
      </c>
    </row>
    <row r="281" spans="1:30" x14ac:dyDescent="0.25">
      <c r="A281" t="s">
        <v>701</v>
      </c>
      <c r="B281">
        <v>31</v>
      </c>
      <c r="C281" t="s">
        <v>74</v>
      </c>
      <c r="D281" t="s">
        <v>18</v>
      </c>
      <c r="E281" s="9">
        <f>INDEX(Table1[],MATCH(Proj[[#This Row],[Player]],Table1[Player],0),5)</f>
        <v>10.2718055439782</v>
      </c>
      <c r="F281" s="9">
        <f>_xlfn.IFNA(INDEX(Table2[],MATCH(Proj[[#This Row],[Player]],Table2[Player],0),5),0)</f>
        <v>2.1800000000000002</v>
      </c>
      <c r="G281" s="9">
        <f>_xlfn.IFNA(INDEX(Table3[],MATCH(Proj[[#This Row],[Player]],Table3[Player],0),5),0)</f>
        <v>0.98</v>
      </c>
      <c r="H281" s="10">
        <v>78</v>
      </c>
      <c r="I281">
        <v>78</v>
      </c>
      <c r="J281" s="9">
        <v>10.2718055439782</v>
      </c>
      <c r="K281" s="9">
        <v>2.1800000000000002</v>
      </c>
      <c r="L281" s="9">
        <v>0.98</v>
      </c>
      <c r="M281" s="9">
        <f>Proj[[#This Row],[TOI ES]]+Proj[[#This Row],[TOI PP]]+Proj[[#This Row],[TOI PK]]</f>
        <v>13.4318055439782</v>
      </c>
      <c r="N2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81" s="10">
        <f>Proj[[#This Row],[Goals]]+Proj[[#This Row],[Assists]]</f>
        <v>35</v>
      </c>
      <c r="Q281" s="10">
        <f>ROUND(_xlfn.IFNA(INDEX(Table2[],MATCH(Proj[[#This Row],[Player]],Table2[Player],0),11)/60,IF(Proj[[#This Row],[Pos]] = "D", 'Per 60 PP'!$K$527,'Per 60 PP'!$K$526)/60)*Proj[[#This Row],[TOI PP]]*Proj[[#This Row],[GP]],0)</f>
        <v>3</v>
      </c>
      <c r="R281" s="10">
        <f>ROUND(_xlfn.IFNA(INDEX(Table2[],MATCH(Proj[[#This Row],[Player]],Table2[Player],0),7)/60,IF(Proj[[#This Row],[Pos]] = "D", 'Per 60 PP'!$G$527,'Per 60 PP'!$G$526)/60)*Proj[[#This Row],[TOI PP]]*Proj[[#This Row],[GP]],0)</f>
        <v>5</v>
      </c>
      <c r="S281" s="10">
        <f>Proj[[#This Row],[PPG]]+Proj[[#This Row],[PPA]]</f>
        <v>8</v>
      </c>
      <c r="T281">
        <f>ROUND((_xlfn.IFNA(INDEX(Table3[],MATCH(Proj[[#This Row],[Player]],Table3[Player],0),6)/60,IF(Proj[[#This Row],[Pos]] ="D", 'Per 60 PK'!$F$623, 'Per 60 PK'!$F$622)/60)+_xlfn.IFNA(INDEX(Table3[],MATCH(Proj[[#This Row],[Player]],Table3[Player],0),8)/60,IF(Proj[[#This Row],[Pos]] ="D", 'Per 60 PK'!$H$623, 'Per 60 PK'!$H$622)/60))*Proj[[#This Row],[TOI PK]]*Proj[[#This Row],[GP]],0)</f>
        <v>0</v>
      </c>
      <c r="U2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2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2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2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238</v>
      </c>
      <c r="Y2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264</v>
      </c>
      <c r="Z2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2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-884.08212461495646</v>
      </c>
      <c r="AB281" s="10">
        <f>_xlfn.RANK.EQ(Proj[[#This Row],[VOR]],Proj[VOR])</f>
        <v>617</v>
      </c>
      <c r="AC281" s="10">
        <f>INDEX(Std[],MATCH(Proj[[#This Row],[Player]],Std[Player],0),20)</f>
        <v>-149.44827030465788</v>
      </c>
      <c r="AD2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298.8</v>
      </c>
    </row>
    <row r="282" spans="1:30" x14ac:dyDescent="0.25">
      <c r="A282" t="s">
        <v>686</v>
      </c>
      <c r="B282">
        <v>30</v>
      </c>
      <c r="C282" t="s">
        <v>74</v>
      </c>
      <c r="D282" t="s">
        <v>154</v>
      </c>
      <c r="E282" s="9">
        <f>INDEX(Table1[],MATCH(Proj[[#This Row],[Player]],Table1[Player],0),5)</f>
        <v>14.1029362458456</v>
      </c>
      <c r="F282" s="9">
        <f>_xlfn.IFNA(INDEX(Table2[],MATCH(Proj[[#This Row],[Player]],Table2[Player],0),5),0)</f>
        <v>1.78</v>
      </c>
      <c r="G282" s="9">
        <f>_xlfn.IFNA(INDEX(Table3[],MATCH(Proj[[#This Row],[Player]],Table3[Player],0),5),0)</f>
        <v>2.16</v>
      </c>
      <c r="H282" s="10">
        <v>81</v>
      </c>
      <c r="I282">
        <v>81</v>
      </c>
      <c r="J282" s="9">
        <v>14.1029362458456</v>
      </c>
      <c r="K282" s="9">
        <v>1.78</v>
      </c>
      <c r="L282" s="9">
        <v>2.16</v>
      </c>
      <c r="M282" s="9">
        <f>Proj[[#This Row],[TOI ES]]+Proj[[#This Row],[TOI PP]]+Proj[[#This Row],[TOI PK]]</f>
        <v>18.042936245845599</v>
      </c>
      <c r="N2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2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282">
        <f>Proj[[#This Row],[Goals]]+Proj[[#This Row],[Assists]]</f>
        <v>35</v>
      </c>
      <c r="Q282" s="10">
        <f>ROUND(_xlfn.IFNA(INDEX(Table2[],MATCH(Proj[[#This Row],[Player]],Table2[Player],0),11)/60,IF(Proj[[#This Row],[Pos]] = "D", 'Per 60 PP'!$K$527,'Per 60 PP'!$K$526)/60)*Proj[[#This Row],[TOI PP]]*Proj[[#This Row],[GP]],0)</f>
        <v>3</v>
      </c>
      <c r="R282" s="10">
        <f>ROUND(_xlfn.IFNA(INDEX(Table2[],MATCH(Proj[[#This Row],[Player]],Table2[Player],0),7)/60,IF(Proj[[#This Row],[Pos]] = "D", 'Per 60 PP'!$G$527,'Per 60 PP'!$G$526)/60)*Proj[[#This Row],[TOI PP]]*Proj[[#This Row],[GP]],0)</f>
        <v>5</v>
      </c>
      <c r="S282" s="10">
        <f>Proj[[#This Row],[PPG]]+Proj[[#This Row],[PPA]]</f>
        <v>8</v>
      </c>
      <c r="T282">
        <f>ROUND((_xlfn.IFNA(INDEX(Table3[],MATCH(Proj[[#This Row],[Player]],Table3[Player],0),6)/60,IF(Proj[[#This Row],[Pos]] ="D", 'Per 60 PK'!$F$623, 'Per 60 PK'!$F$622)/60)+_xlfn.IFNA(INDEX(Table3[],MATCH(Proj[[#This Row],[Player]],Table3[Player],0),8)/60,IF(Proj[[#This Row],[Pos]] ="D", 'Per 60 PK'!$H$623, 'Per 60 PK'!$H$622)/60))*Proj[[#This Row],[TOI PK]]*Proj[[#This Row],[GP]],0)</f>
        <v>1</v>
      </c>
      <c r="U2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2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2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2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560</v>
      </c>
      <c r="Y2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649</v>
      </c>
      <c r="Z2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88</v>
      </c>
      <c r="AA2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-661.92213103469089</v>
      </c>
      <c r="AB282" s="10">
        <f>_xlfn.RANK.EQ(Proj[[#This Row],[VOR]],Proj[VOR])</f>
        <v>508</v>
      </c>
      <c r="AC282" s="10">
        <f>INDEX(Std[],MATCH(Proj[[#This Row],[Player]],Std[Player],0),20)</f>
        <v>72.71172327560771</v>
      </c>
      <c r="AD2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346.09999999999997</v>
      </c>
    </row>
    <row r="283" spans="1:30" x14ac:dyDescent="0.25">
      <c r="A283" t="s">
        <v>1048</v>
      </c>
      <c r="B283">
        <v>24</v>
      </c>
      <c r="C283" t="s">
        <v>74</v>
      </c>
      <c r="D283" t="s">
        <v>29</v>
      </c>
      <c r="E283" s="9">
        <f>INDEX(Table1[],MATCH(Proj[[#This Row],[Player]],Table1[Player],0),5)</f>
        <v>13.076506016167199</v>
      </c>
      <c r="F283" s="9">
        <f>_xlfn.IFNA(INDEX(Table2[],MATCH(Proj[[#This Row],[Player]],Table2[Player],0),5),0)</f>
        <v>1.5</v>
      </c>
      <c r="G283" s="9">
        <f>_xlfn.IFNA(INDEX(Table3[],MATCH(Proj[[#This Row],[Player]],Table3[Player],0),5),0)</f>
        <v>1.35</v>
      </c>
      <c r="H283" s="10">
        <v>78</v>
      </c>
      <c r="I283">
        <v>78</v>
      </c>
      <c r="J283" s="9">
        <v>13.076506016167199</v>
      </c>
      <c r="K283" s="9">
        <v>1.5</v>
      </c>
      <c r="L283" s="9">
        <v>1.35</v>
      </c>
      <c r="M283" s="9">
        <f>Proj[[#This Row],[TOI ES]]+Proj[[#This Row],[TOI PP]]+Proj[[#This Row],[TOI PK]]</f>
        <v>15.926506016167199</v>
      </c>
      <c r="N2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2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283" s="10">
        <f>Proj[[#This Row],[Goals]]+Proj[[#This Row],[Assists]]</f>
        <v>35</v>
      </c>
      <c r="Q283" s="10">
        <f>ROUND(_xlfn.IFNA(INDEX(Table2[],MATCH(Proj[[#This Row],[Player]],Table2[Player],0),11)/60,IF(Proj[[#This Row],[Pos]] = "D", 'Per 60 PP'!$K$527,'Per 60 PP'!$K$526)/60)*Proj[[#This Row],[TOI PP]]*Proj[[#This Row],[GP]],0)</f>
        <v>3</v>
      </c>
      <c r="R283" s="10">
        <f>ROUND(_xlfn.IFNA(INDEX(Table2[],MATCH(Proj[[#This Row],[Player]],Table2[Player],0),7)/60,IF(Proj[[#This Row],[Pos]] = "D", 'Per 60 PP'!$G$527,'Per 60 PP'!$G$526)/60)*Proj[[#This Row],[TOI PP]]*Proj[[#This Row],[GP]],0)</f>
        <v>4</v>
      </c>
      <c r="S283" s="10">
        <f>Proj[[#This Row],[PPG]]+Proj[[#This Row],[PPA]]</f>
        <v>7</v>
      </c>
      <c r="T283">
        <f>ROUND((_xlfn.IFNA(INDEX(Table3[],MATCH(Proj[[#This Row],[Player]],Table3[Player],0),6)/60,IF(Proj[[#This Row],[Pos]] ="D", 'Per 60 PK'!$F$623, 'Per 60 PK'!$F$622)/60)+_xlfn.IFNA(INDEX(Table3[],MATCH(Proj[[#This Row],[Player]],Table3[Player],0),8)/60,IF(Proj[[#This Row],[Pos]] ="D", 'Per 60 PK'!$H$623, 'Per 60 PK'!$H$622)/60))*Proj[[#This Row],[TOI PK]]*Proj[[#This Row],[GP]],0)</f>
        <v>1</v>
      </c>
      <c r="U2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2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2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2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327</v>
      </c>
      <c r="Y2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436</v>
      </c>
      <c r="Z2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2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-714.9534046419268</v>
      </c>
      <c r="AB283" s="10">
        <f>_xlfn.RANK.EQ(Proj[[#This Row],[VOR]],Proj[VOR])</f>
        <v>535</v>
      </c>
      <c r="AC283" s="10">
        <f>INDEX(Std[],MATCH(Proj[[#This Row],[Player]],Std[Player],0),20)</f>
        <v>19.680449668371846</v>
      </c>
      <c r="AD2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345.25</v>
      </c>
    </row>
    <row r="284" spans="1:30" x14ac:dyDescent="0.25">
      <c r="A284" t="s">
        <v>414</v>
      </c>
      <c r="B284">
        <v>30</v>
      </c>
      <c r="C284" t="s">
        <v>3</v>
      </c>
      <c r="D284" t="s">
        <v>34</v>
      </c>
      <c r="E284" s="9">
        <f>INDEX(Table1[],MATCH(Proj[[#This Row],[Player]],Table1[Player],0),5)</f>
        <v>18.100962592468999</v>
      </c>
      <c r="F284" s="9">
        <f>_xlfn.IFNA(INDEX(Table2[],MATCH(Proj[[#This Row],[Player]],Table2[Player],0),5),0)</f>
        <v>0.79</v>
      </c>
      <c r="G284" s="9">
        <f>_xlfn.IFNA(INDEX(Table3[],MATCH(Proj[[#This Row],[Player]],Table3[Player],0),5),0)</f>
        <v>2.65</v>
      </c>
      <c r="H284" s="10">
        <v>80</v>
      </c>
      <c r="I284">
        <v>80</v>
      </c>
      <c r="J284" s="9">
        <v>18.100962592468999</v>
      </c>
      <c r="K284" s="9">
        <v>0.79</v>
      </c>
      <c r="L284" s="9">
        <v>2.65</v>
      </c>
      <c r="M284" s="9">
        <f>Proj[[#This Row],[TOI ES]]+Proj[[#This Row],[TOI PP]]+Proj[[#This Row],[TOI PK]]</f>
        <v>21.540962592468997</v>
      </c>
      <c r="N2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2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284" s="10">
        <f>Proj[[#This Row],[Goals]]+Proj[[#This Row],[Assists]]</f>
        <v>35</v>
      </c>
      <c r="Q284" s="10">
        <f>ROUND(_xlfn.IFNA(INDEX(Table2[],MATCH(Proj[[#This Row],[Player]],Table2[Player],0),11)/60,IF(Proj[[#This Row],[Pos]] = "D", 'Per 60 PP'!$K$527,'Per 60 PP'!$K$526)/60)*Proj[[#This Row],[TOI PP]]*Proj[[#This Row],[GP]],0)</f>
        <v>0</v>
      </c>
      <c r="R284" s="10">
        <f>ROUND(_xlfn.IFNA(INDEX(Table2[],MATCH(Proj[[#This Row],[Player]],Table2[Player],0),7)/60,IF(Proj[[#This Row],[Pos]] = "D", 'Per 60 PP'!$G$527,'Per 60 PP'!$G$526)/60)*Proj[[#This Row],[TOI PP]]*Proj[[#This Row],[GP]],0)</f>
        <v>2</v>
      </c>
      <c r="S284" s="10">
        <f>Proj[[#This Row],[PPG]]+Proj[[#This Row],[PPA]]</f>
        <v>2</v>
      </c>
      <c r="T284">
        <f>ROUND((_xlfn.IFNA(INDEX(Table3[],MATCH(Proj[[#This Row],[Player]],Table3[Player],0),6)/60,IF(Proj[[#This Row],[Pos]] ="D", 'Per 60 PK'!$F$623, 'Per 60 PK'!$F$622)/60)+_xlfn.IFNA(INDEX(Table3[],MATCH(Proj[[#This Row],[Player]],Table3[Player],0),8)/60,IF(Proj[[#This Row],[Pos]] ="D", 'Per 60 PK'!$H$623, 'Per 60 PK'!$H$622)/60))*Proj[[#This Row],[TOI PK]]*Proj[[#This Row],[GP]],0)</f>
        <v>2</v>
      </c>
      <c r="U2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48</v>
      </c>
      <c r="V2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122</v>
      </c>
      <c r="W2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2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140</v>
      </c>
      <c r="AA2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-239.14961111710485</v>
      </c>
      <c r="AB284" s="10">
        <f>_xlfn.RANK.EQ(Proj[[#This Row],[VOR]],Proj[VOR])</f>
        <v>273</v>
      </c>
      <c r="AC284" s="10">
        <f>INDEX(Std[],MATCH(Proj[[#This Row],[Player]],Std[Player],0),20)</f>
        <v>-131.78484339764037</v>
      </c>
      <c r="AD2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335.05</v>
      </c>
    </row>
    <row r="285" spans="1:30" x14ac:dyDescent="0.25">
      <c r="A285" t="s">
        <v>936</v>
      </c>
      <c r="B285">
        <v>32</v>
      </c>
      <c r="C285" t="s">
        <v>3</v>
      </c>
      <c r="D285" t="s">
        <v>2</v>
      </c>
      <c r="E285" s="9">
        <f>INDEX(Table1[],MATCH(Proj[[#This Row],[Player]],Table1[Player],0),5)</f>
        <v>17.380028522695198</v>
      </c>
      <c r="F285" s="9">
        <f>_xlfn.IFNA(INDEX(Table2[],MATCH(Proj[[#This Row],[Player]],Table2[Player],0),5),0)</f>
        <v>1.54</v>
      </c>
      <c r="G285" s="9">
        <f>_xlfn.IFNA(INDEX(Table3[],MATCH(Proj[[#This Row],[Player]],Table3[Player],0),5),0)</f>
        <v>0.41</v>
      </c>
      <c r="H285" s="10">
        <v>77</v>
      </c>
      <c r="I285">
        <v>77</v>
      </c>
      <c r="J285" s="9">
        <v>17.380028522695198</v>
      </c>
      <c r="K285" s="9">
        <v>1.54</v>
      </c>
      <c r="L285" s="9">
        <v>0.41</v>
      </c>
      <c r="M285" s="9">
        <f>Proj[[#This Row],[TOI ES]]+Proj[[#This Row],[TOI PP]]+Proj[[#This Row],[TOI PK]]</f>
        <v>19.330028522695198</v>
      </c>
      <c r="N2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2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285" s="10">
        <f>Proj[[#This Row],[Goals]]+Proj[[#This Row],[Assists]]</f>
        <v>35</v>
      </c>
      <c r="Q285" s="10">
        <f>ROUND(_xlfn.IFNA(INDEX(Table2[],MATCH(Proj[[#This Row],[Player]],Table2[Player],0),11)/60,IF(Proj[[#This Row],[Pos]] = "D", 'Per 60 PP'!$K$527,'Per 60 PP'!$K$526)/60)*Proj[[#This Row],[TOI PP]]*Proj[[#This Row],[GP]],0)</f>
        <v>1</v>
      </c>
      <c r="R285" s="10">
        <f>ROUND(_xlfn.IFNA(INDEX(Table2[],MATCH(Proj[[#This Row],[Player]],Table2[Player],0),7)/60,IF(Proj[[#This Row],[Pos]] = "D", 'Per 60 PP'!$G$527,'Per 60 PP'!$G$526)/60)*Proj[[#This Row],[TOI PP]]*Proj[[#This Row],[GP]],0)</f>
        <v>10</v>
      </c>
      <c r="S285" s="10">
        <f>Proj[[#This Row],[PPG]]+Proj[[#This Row],[PPA]]</f>
        <v>11</v>
      </c>
      <c r="T285">
        <f>ROUND((_xlfn.IFNA(INDEX(Table3[],MATCH(Proj[[#This Row],[Player]],Table3[Player],0),6)/60,IF(Proj[[#This Row],[Pos]] ="D", 'Per 60 PK'!$F$623, 'Per 60 PK'!$F$622)/60)+_xlfn.IFNA(INDEX(Table3[],MATCH(Proj[[#This Row],[Player]],Table3[Player],0),8)/60,IF(Proj[[#This Row],[Pos]] ="D", 'Per 60 PK'!$H$623, 'Per 60 PK'!$H$622)/60))*Proj[[#This Row],[TOI PK]]*Proj[[#This Row],[GP]],0)</f>
        <v>0</v>
      </c>
      <c r="U2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2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92</v>
      </c>
      <c r="W2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2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117</v>
      </c>
      <c r="AA2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-160.20639677350005</v>
      </c>
      <c r="AB285" s="10">
        <f>_xlfn.RANK.EQ(Proj[[#This Row],[VOR]],Proj[VOR])</f>
        <v>224</v>
      </c>
      <c r="AC285" s="10">
        <f>INDEX(Std[],MATCH(Proj[[#This Row],[Player]],Std[Player],0),20)</f>
        <v>-52.841629054035558</v>
      </c>
      <c r="AD2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325.14999999999998</v>
      </c>
    </row>
    <row r="286" spans="1:30" x14ac:dyDescent="0.25">
      <c r="A286" t="s">
        <v>421</v>
      </c>
      <c r="B286">
        <v>31</v>
      </c>
      <c r="C286" t="s">
        <v>3</v>
      </c>
      <c r="D286" t="s">
        <v>12</v>
      </c>
      <c r="E286" s="9">
        <f>INDEX(Table1[],MATCH(Proj[[#This Row],[Player]],Table1[Player],0),5)</f>
        <v>19.166665499537601</v>
      </c>
      <c r="F286" s="9">
        <f>_xlfn.IFNA(INDEX(Table2[],MATCH(Proj[[#This Row],[Player]],Table2[Player],0),5),0)</f>
        <v>1.65</v>
      </c>
      <c r="G286" s="9">
        <f>_xlfn.IFNA(INDEX(Table3[],MATCH(Proj[[#This Row],[Player]],Table3[Player],0),5),0)</f>
        <v>2.4900000000000002</v>
      </c>
      <c r="H286" s="10">
        <v>80</v>
      </c>
      <c r="I286">
        <v>80</v>
      </c>
      <c r="J286" s="9">
        <v>19.166665499537601</v>
      </c>
      <c r="K286" s="9">
        <v>1.65</v>
      </c>
      <c r="L286" s="9">
        <v>2.4900000000000002</v>
      </c>
      <c r="M286" s="9">
        <f>Proj[[#This Row],[TOI ES]]+Proj[[#This Row],[TOI PP]]+Proj[[#This Row],[TOI PK]]</f>
        <v>23.306665499537601</v>
      </c>
      <c r="N2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2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29</v>
      </c>
      <c r="P286" s="10">
        <f>Proj[[#This Row],[Goals]]+Proj[[#This Row],[Assists]]</f>
        <v>35</v>
      </c>
      <c r="Q286" s="10">
        <f>ROUND(_xlfn.IFNA(INDEX(Table2[],MATCH(Proj[[#This Row],[Player]],Table2[Player],0),11)/60,IF(Proj[[#This Row],[Pos]] = "D", 'Per 60 PP'!$K$527,'Per 60 PP'!$K$526)/60)*Proj[[#This Row],[TOI PP]]*Proj[[#This Row],[GP]],0)</f>
        <v>1</v>
      </c>
      <c r="R286" s="10">
        <f>ROUND(_xlfn.IFNA(INDEX(Table2[],MATCH(Proj[[#This Row],[Player]],Table2[Player],0),7)/60,IF(Proj[[#This Row],[Pos]] = "D", 'Per 60 PP'!$G$527,'Per 60 PP'!$G$526)/60)*Proj[[#This Row],[TOI PP]]*Proj[[#This Row],[GP]],0)</f>
        <v>7</v>
      </c>
      <c r="S286" s="10">
        <f>Proj[[#This Row],[PPG]]+Proj[[#This Row],[PPA]]</f>
        <v>8</v>
      </c>
      <c r="T286">
        <f>ROUND((_xlfn.IFNA(INDEX(Table3[],MATCH(Proj[[#This Row],[Player]],Table3[Player],0),6)/60,IF(Proj[[#This Row],[Pos]] ="D", 'Per 60 PK'!$F$623, 'Per 60 PK'!$F$622)/60)+_xlfn.IFNA(INDEX(Table3[],MATCH(Proj[[#This Row],[Player]],Table3[Player],0),8)/60,IF(Proj[[#This Row],[Pos]] ="D", 'Per 60 PK'!$H$623, 'Per 60 PK'!$H$622)/60))*Proj[[#This Row],[TOI PK]]*Proj[[#This Row],[GP]],0)</f>
        <v>0</v>
      </c>
      <c r="U2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2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117</v>
      </c>
      <c r="W2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55</v>
      </c>
      <c r="X2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127</v>
      </c>
      <c r="AA2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9.0260800704046602</v>
      </c>
      <c r="AB286" s="10">
        <f>_xlfn.RANK.EQ(Proj[[#This Row],[VOR]],Proj[VOR])</f>
        <v>155</v>
      </c>
      <c r="AC286" s="10">
        <f>INDEX(Std[],MATCH(Proj[[#This Row],[Player]],Std[Player],0),20)</f>
        <v>116.39084778986914</v>
      </c>
      <c r="AD2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353.55</v>
      </c>
    </row>
    <row r="287" spans="1:30" x14ac:dyDescent="0.25">
      <c r="A287" t="s">
        <v>898</v>
      </c>
      <c r="B287">
        <v>25</v>
      </c>
      <c r="C287" t="s">
        <v>74</v>
      </c>
      <c r="D287" t="s">
        <v>4</v>
      </c>
      <c r="E287" s="9">
        <f>INDEX(Table1[],MATCH(Proj[[#This Row],[Player]],Table1[Player],0),5)</f>
        <v>13.25</v>
      </c>
      <c r="F287" s="9">
        <f>_xlfn.IFNA(INDEX(Table2[],MATCH(Proj[[#This Row],[Player]],Table2[Player],0),5),0)</f>
        <v>0.92</v>
      </c>
      <c r="G287" s="9">
        <f>_xlfn.IFNA(INDEX(Table3[],MATCH(Proj[[#This Row],[Player]],Table3[Player],0),5),0)</f>
        <v>1.34</v>
      </c>
      <c r="H287" s="10">
        <v>81</v>
      </c>
      <c r="I287">
        <v>81</v>
      </c>
      <c r="J287" s="9">
        <v>13.25</v>
      </c>
      <c r="K287" s="9">
        <v>0.92</v>
      </c>
      <c r="L287" s="9">
        <v>1.34</v>
      </c>
      <c r="M287" s="9">
        <f>Proj[[#This Row],[TOI ES]]+Proj[[#This Row],[TOI PP]]+Proj[[#This Row],[TOI PK]]</f>
        <v>15.51</v>
      </c>
      <c r="N2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2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287" s="10">
        <f>Proj[[#This Row],[Goals]]+Proj[[#This Row],[Assists]]</f>
        <v>35</v>
      </c>
      <c r="Q287" s="10">
        <f>ROUND(_xlfn.IFNA(INDEX(Table2[],MATCH(Proj[[#This Row],[Player]],Table2[Player],0),11)/60,IF(Proj[[#This Row],[Pos]] = "D", 'Per 60 PP'!$K$527,'Per 60 PP'!$K$526)/60)*Proj[[#This Row],[TOI PP]]*Proj[[#This Row],[GP]],0)</f>
        <v>1</v>
      </c>
      <c r="R287" s="10">
        <f>ROUND(_xlfn.IFNA(INDEX(Table2[],MATCH(Proj[[#This Row],[Player]],Table2[Player],0),7)/60,IF(Proj[[#This Row],[Pos]] = "D", 'Per 60 PP'!$G$527,'Per 60 PP'!$G$526)/60)*Proj[[#This Row],[TOI PP]]*Proj[[#This Row],[GP]],0)</f>
        <v>2</v>
      </c>
      <c r="S287" s="10">
        <f>Proj[[#This Row],[PPG]]+Proj[[#This Row],[PPA]]</f>
        <v>3</v>
      </c>
      <c r="T287">
        <f>ROUND((_xlfn.IFNA(INDEX(Table3[],MATCH(Proj[[#This Row],[Player]],Table3[Player],0),6)/60,IF(Proj[[#This Row],[Pos]] ="D", 'Per 60 PK'!$F$623, 'Per 60 PK'!$F$622)/60)+_xlfn.IFNA(INDEX(Table3[],MATCH(Proj[[#This Row],[Player]],Table3[Player],0),8)/60,IF(Proj[[#This Row],[Pos]] ="D", 'Per 60 PK'!$H$623, 'Per 60 PK'!$H$622)/60))*Proj[[#This Row],[TOI PK]]*Proj[[#This Row],[GP]],0)</f>
        <v>2</v>
      </c>
      <c r="U2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2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2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2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391</v>
      </c>
      <c r="Y2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387</v>
      </c>
      <c r="Z2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114</v>
      </c>
      <c r="AA2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-798.93723885891461</v>
      </c>
      <c r="AB287" s="10">
        <f>_xlfn.RANK.EQ(Proj[[#This Row],[VOR]],Proj[VOR])</f>
        <v>587</v>
      </c>
      <c r="AC287" s="10">
        <f>INDEX(Std[],MATCH(Proj[[#This Row],[Player]],Std[Player],0),20)</f>
        <v>-64.303384548616052</v>
      </c>
      <c r="AD2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332.15000000000003</v>
      </c>
    </row>
    <row r="288" spans="1:30" x14ac:dyDescent="0.25">
      <c r="A288" t="s">
        <v>704</v>
      </c>
      <c r="B288">
        <v>34</v>
      </c>
      <c r="C288" t="s">
        <v>74</v>
      </c>
      <c r="D288" t="s">
        <v>21</v>
      </c>
      <c r="E288" s="9">
        <f>INDEX(Table1[],MATCH(Proj[[#This Row],[Player]],Table1[Player],0),5)</f>
        <v>12.753810619480999</v>
      </c>
      <c r="F288" s="9">
        <f>_xlfn.IFNA(INDEX(Table2[],MATCH(Proj[[#This Row],[Player]],Table2[Player],0),5),0)</f>
        <v>2.4500000000000002</v>
      </c>
      <c r="G288" s="9">
        <f>_xlfn.IFNA(INDEX(Table3[],MATCH(Proj[[#This Row],[Player]],Table3[Player],0),5),0)</f>
        <v>0</v>
      </c>
      <c r="H288" s="10">
        <v>79</v>
      </c>
      <c r="I288">
        <v>79</v>
      </c>
      <c r="J288" s="9">
        <v>12.753810619480999</v>
      </c>
      <c r="K288" s="9">
        <v>2.4500000000000002</v>
      </c>
      <c r="L288" s="9">
        <v>0</v>
      </c>
      <c r="M288" s="9">
        <f>Proj[[#This Row],[TOI ES]]+Proj[[#This Row],[TOI PP]]+Proj[[#This Row],[TOI PK]]</f>
        <v>15.203810619481001</v>
      </c>
      <c r="N2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88" s="10">
        <f>Proj[[#This Row],[Goals]]+Proj[[#This Row],[Assists]]</f>
        <v>35</v>
      </c>
      <c r="Q288" s="10">
        <f>ROUND(_xlfn.IFNA(INDEX(Table2[],MATCH(Proj[[#This Row],[Player]],Table2[Player],0),11)/60,IF(Proj[[#This Row],[Pos]] = "D", 'Per 60 PP'!$K$527,'Per 60 PP'!$K$526)/60)*Proj[[#This Row],[TOI PP]]*Proj[[#This Row],[GP]],0)</f>
        <v>6</v>
      </c>
      <c r="R288" s="10">
        <f>ROUND(_xlfn.IFNA(INDEX(Table2[],MATCH(Proj[[#This Row],[Player]],Table2[Player],0),7)/60,IF(Proj[[#This Row],[Pos]] = "D", 'Per 60 PP'!$G$527,'Per 60 PP'!$G$526)/60)*Proj[[#This Row],[TOI PP]]*Proj[[#This Row],[GP]],0)</f>
        <v>8</v>
      </c>
      <c r="S288" s="10">
        <f>Proj[[#This Row],[PPG]]+Proj[[#This Row],[PPA]]</f>
        <v>14</v>
      </c>
      <c r="T288">
        <f>ROUND((_xlfn.IFNA(INDEX(Table3[],MATCH(Proj[[#This Row],[Player]],Table3[Player],0),6)/60,IF(Proj[[#This Row],[Pos]] ="D", 'Per 60 PK'!$F$623, 'Per 60 PK'!$F$622)/60)+_xlfn.IFNA(INDEX(Table3[],MATCH(Proj[[#This Row],[Player]],Table3[Player],0),8)/60,IF(Proj[[#This Row],[Pos]] ="D", 'Per 60 PK'!$H$623, 'Per 60 PK'!$H$622)/60))*Proj[[#This Row],[TOI PK]]*Proj[[#This Row],[GP]],0)</f>
        <v>0</v>
      </c>
      <c r="U2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2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2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2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159</v>
      </c>
      <c r="Y2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188</v>
      </c>
      <c r="Z2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2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-715.34479351618336</v>
      </c>
      <c r="AB288" s="10">
        <f>_xlfn.RANK.EQ(Proj[[#This Row],[VOR]],Proj[VOR])</f>
        <v>536</v>
      </c>
      <c r="AC288" s="10">
        <f>INDEX(Std[],MATCH(Proj[[#This Row],[Player]],Std[Player],0),20)</f>
        <v>19.289060794115262</v>
      </c>
      <c r="AD2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334.45</v>
      </c>
    </row>
    <row r="289" spans="1:30" x14ac:dyDescent="0.25">
      <c r="A289" t="s">
        <v>647</v>
      </c>
      <c r="B289">
        <v>24</v>
      </c>
      <c r="C289" t="s">
        <v>74</v>
      </c>
      <c r="D289" t="s">
        <v>34</v>
      </c>
      <c r="E289" s="9">
        <f>INDEX(Table1[],MATCH(Proj[[#This Row],[Player]],Table1[Player],0),5)</f>
        <v>11.7257701006776</v>
      </c>
      <c r="F289" s="9">
        <f>_xlfn.IFNA(INDEX(Table2[],MATCH(Proj[[#This Row],[Player]],Table2[Player],0),5),0)</f>
        <v>1.47</v>
      </c>
      <c r="G289" s="9">
        <f>_xlfn.IFNA(INDEX(Table3[],MATCH(Proj[[#This Row],[Player]],Table3[Player],0),5),0)</f>
        <v>0.39</v>
      </c>
      <c r="H289" s="10">
        <v>81</v>
      </c>
      <c r="I289">
        <v>81</v>
      </c>
      <c r="J289" s="9">
        <v>11.7257701006776</v>
      </c>
      <c r="K289" s="9">
        <v>1.47</v>
      </c>
      <c r="L289" s="9">
        <v>0.39</v>
      </c>
      <c r="M289" s="9">
        <f>Proj[[#This Row],[TOI ES]]+Proj[[#This Row],[TOI PP]]+Proj[[#This Row],[TOI PK]]</f>
        <v>13.585770100677601</v>
      </c>
      <c r="N2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89">
        <f>Proj[[#This Row],[Goals]]+Proj[[#This Row],[Assists]]</f>
        <v>35</v>
      </c>
      <c r="Q289" s="10">
        <f>ROUND(_xlfn.IFNA(INDEX(Table2[],MATCH(Proj[[#This Row],[Player]],Table2[Player],0),11)/60,IF(Proj[[#This Row],[Pos]] = "D", 'Per 60 PP'!$K$527,'Per 60 PP'!$K$526)/60)*Proj[[#This Row],[TOI PP]]*Proj[[#This Row],[GP]],0)</f>
        <v>2</v>
      </c>
      <c r="R289" s="10">
        <f>ROUND(_xlfn.IFNA(INDEX(Table2[],MATCH(Proj[[#This Row],[Player]],Table2[Player],0),7)/60,IF(Proj[[#This Row],[Pos]] = "D", 'Per 60 PP'!$G$527,'Per 60 PP'!$G$526)/60)*Proj[[#This Row],[TOI PP]]*Proj[[#This Row],[GP]],0)</f>
        <v>4</v>
      </c>
      <c r="S289" s="10">
        <f>Proj[[#This Row],[PPG]]+Proj[[#This Row],[PPA]]</f>
        <v>6</v>
      </c>
      <c r="T289">
        <f>ROUND((_xlfn.IFNA(INDEX(Table3[],MATCH(Proj[[#This Row],[Player]],Table3[Player],0),6)/60,IF(Proj[[#This Row],[Pos]] ="D", 'Per 60 PK'!$F$623, 'Per 60 PK'!$F$622)/60)+_xlfn.IFNA(INDEX(Table3[],MATCH(Proj[[#This Row],[Player]],Table3[Player],0),8)/60,IF(Proj[[#This Row],[Pos]] ="D", 'Per 60 PK'!$H$623, 'Per 60 PK'!$H$622)/60))*Proj[[#This Row],[TOI PK]]*Proj[[#This Row],[GP]],0)</f>
        <v>1</v>
      </c>
      <c r="U2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2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2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2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328</v>
      </c>
      <c r="Y2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310</v>
      </c>
      <c r="Z2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126</v>
      </c>
      <c r="AA2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-673.35022641505975</v>
      </c>
      <c r="AB289" s="10">
        <f>_xlfn.RANK.EQ(Proj[[#This Row],[VOR]],Proj[VOR])</f>
        <v>515</v>
      </c>
      <c r="AC289" s="10">
        <f>INDEX(Std[],MATCH(Proj[[#This Row],[Player]],Std[Player],0),20)</f>
        <v>61.283627895238865</v>
      </c>
      <c r="AD2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343.1</v>
      </c>
    </row>
    <row r="290" spans="1:30" x14ac:dyDescent="0.25">
      <c r="A290" t="s">
        <v>777</v>
      </c>
      <c r="B290">
        <v>23</v>
      </c>
      <c r="C290" t="s">
        <v>3</v>
      </c>
      <c r="D290" t="s">
        <v>17</v>
      </c>
      <c r="E290" s="9">
        <f>INDEX(Table1[],MATCH(Proj[[#This Row],[Player]],Table1[Player],0),5)</f>
        <v>18.132777654887299</v>
      </c>
      <c r="F290" s="9">
        <f>_xlfn.IFNA(INDEX(Table2[],MATCH(Proj[[#This Row],[Player]],Table2[Player],0),5),0)</f>
        <v>1.38</v>
      </c>
      <c r="G290" s="9">
        <f>_xlfn.IFNA(INDEX(Table3[],MATCH(Proj[[#This Row],[Player]],Table3[Player],0),5),0)</f>
        <v>1.02</v>
      </c>
      <c r="H290" s="10">
        <v>81</v>
      </c>
      <c r="I290">
        <v>81</v>
      </c>
      <c r="J290" s="9">
        <v>18.132777654887299</v>
      </c>
      <c r="K290" s="9">
        <v>1.38</v>
      </c>
      <c r="L290" s="9">
        <v>1.02</v>
      </c>
      <c r="M290" s="9">
        <f>Proj[[#This Row],[TOI ES]]+Proj[[#This Row],[TOI PP]]+Proj[[#This Row],[TOI PK]]</f>
        <v>20.532777654887298</v>
      </c>
      <c r="N2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2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290" s="10">
        <f>Proj[[#This Row],[Goals]]+Proj[[#This Row],[Assists]]</f>
        <v>35</v>
      </c>
      <c r="Q290" s="10">
        <f>ROUND(_xlfn.IFNA(INDEX(Table2[],MATCH(Proj[[#This Row],[Player]],Table2[Player],0),11)/60,IF(Proj[[#This Row],[Pos]] = "D", 'Per 60 PP'!$K$527,'Per 60 PP'!$K$526)/60)*Proj[[#This Row],[TOI PP]]*Proj[[#This Row],[GP]],0)</f>
        <v>1</v>
      </c>
      <c r="R290" s="10">
        <f>ROUND(_xlfn.IFNA(INDEX(Table2[],MATCH(Proj[[#This Row],[Player]],Table2[Player],0),7)/60,IF(Proj[[#This Row],[Pos]] = "D", 'Per 60 PP'!$G$527,'Per 60 PP'!$G$526)/60)*Proj[[#This Row],[TOI PP]]*Proj[[#This Row],[GP]],0)</f>
        <v>7</v>
      </c>
      <c r="S290" s="10">
        <f>Proj[[#This Row],[PPG]]+Proj[[#This Row],[PPA]]</f>
        <v>8</v>
      </c>
      <c r="T290">
        <f>ROUND((_xlfn.IFNA(INDEX(Table3[],MATCH(Proj[[#This Row],[Player]],Table3[Player],0),6)/60,IF(Proj[[#This Row],[Pos]] ="D", 'Per 60 PK'!$F$623, 'Per 60 PK'!$F$622)/60)+_xlfn.IFNA(INDEX(Table3[],MATCH(Proj[[#This Row],[Player]],Table3[Player],0),8)/60,IF(Proj[[#This Row],[Pos]] ="D", 'Per 60 PK'!$H$623, 'Per 60 PK'!$H$622)/60))*Proj[[#This Row],[TOI PK]]*Proj[[#This Row],[GP]],0)</f>
        <v>1</v>
      </c>
      <c r="U2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69</v>
      </c>
      <c r="V2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132</v>
      </c>
      <c r="W2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2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2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-45.025509922820937</v>
      </c>
      <c r="AB290" s="10">
        <f>_xlfn.RANK.EQ(Proj[[#This Row],[VOR]],Proj[VOR])</f>
        <v>181</v>
      </c>
      <c r="AC290" s="10">
        <f>INDEX(Std[],MATCH(Proj[[#This Row],[Player]],Std[Player],0),20)</f>
        <v>62.339257796643544</v>
      </c>
      <c r="AD2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367.09999999999997</v>
      </c>
    </row>
    <row r="291" spans="1:30" x14ac:dyDescent="0.25">
      <c r="A291" t="s">
        <v>1254</v>
      </c>
      <c r="B291">
        <v>21</v>
      </c>
      <c r="C291" t="s">
        <v>105</v>
      </c>
      <c r="D291" t="s">
        <v>25</v>
      </c>
      <c r="E291" s="9" t="e">
        <f>INDEX(Table1[],MATCH(Proj[[#This Row],[Player]],Table1[Player],0),5)</f>
        <v>#N/A</v>
      </c>
      <c r="F291" s="9">
        <f>_xlfn.IFNA(INDEX(Table2[],MATCH(Proj[[#This Row],[Player]],Table2[Player],0),5),0)</f>
        <v>0</v>
      </c>
      <c r="G291" s="9">
        <f>_xlfn.IFNA(INDEX(Table3[],MATCH(Proj[[#This Row],[Player]],Table3[Player],0),5),0)</f>
        <v>0</v>
      </c>
      <c r="H291" s="10">
        <v>74</v>
      </c>
      <c r="I291">
        <v>74</v>
      </c>
      <c r="J291" s="9">
        <v>13.75</v>
      </c>
      <c r="K291" s="9">
        <v>1.5</v>
      </c>
      <c r="L291" s="9">
        <v>0</v>
      </c>
      <c r="M291" s="9">
        <f>Proj[[#This Row],[TOI ES]]+Proj[[#This Row],[TOI PP]]+Proj[[#This Row],[TOI PK]]</f>
        <v>15.25</v>
      </c>
      <c r="N2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91" s="10">
        <f>Proj[[#This Row],[Goals]]+Proj[[#This Row],[Assists]]</f>
        <v>35</v>
      </c>
      <c r="Q291" s="10">
        <f>ROUND(_xlfn.IFNA(INDEX(Table2[],MATCH(Proj[[#This Row],[Player]],Table2[Player],0),11)/60,IF(Proj[[#This Row],[Pos]] = "D", 'Per 60 PP'!$K$527,'Per 60 PP'!$K$526)/60)*Proj[[#This Row],[TOI PP]]*Proj[[#This Row],[GP]],0)</f>
        <v>3</v>
      </c>
      <c r="R291" s="10">
        <f>ROUND(_xlfn.IFNA(INDEX(Table2[],MATCH(Proj[[#This Row],[Player]],Table2[Player],0),7)/60,IF(Proj[[#This Row],[Pos]] = "D", 'Per 60 PP'!$G$527,'Per 60 PP'!$G$526)/60)*Proj[[#This Row],[TOI PP]]*Proj[[#This Row],[GP]],0)</f>
        <v>4</v>
      </c>
      <c r="S291" s="10">
        <f>Proj[[#This Row],[PPG]]+Proj[[#This Row],[PPA]]</f>
        <v>7</v>
      </c>
      <c r="T291">
        <f>ROUND((_xlfn.IFNA(INDEX(Table3[],MATCH(Proj[[#This Row],[Player]],Table3[Player],0),6)/60,IF(Proj[[#This Row],[Pos]] ="D", 'Per 60 PK'!$F$623, 'Per 60 PK'!$F$622)/60)+_xlfn.IFNA(INDEX(Table3[],MATCH(Proj[[#This Row],[Player]],Table3[Player],0),8)/60,IF(Proj[[#This Row],[Pos]] ="D", 'Per 60 PK'!$H$623, 'Per 60 PK'!$H$622)/60))*Proj[[#This Row],[TOI PK]]*Proj[[#This Row],[GP]],0)</f>
        <v>0</v>
      </c>
      <c r="U2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95</v>
      </c>
      <c r="V2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2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2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157</v>
      </c>
      <c r="Y2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157</v>
      </c>
      <c r="Z2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132</v>
      </c>
      <c r="AA2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-387.24221957097171</v>
      </c>
      <c r="AB291" s="10">
        <f>_xlfn.RANK.EQ(Proj[[#This Row],[VOR]],Proj[VOR])</f>
        <v>367</v>
      </c>
      <c r="AC291" s="10">
        <f>INDEX(Std[],MATCH(Proj[[#This Row],[Player]],Std[Player],0),20)</f>
        <v>59.302504819277125</v>
      </c>
      <c r="AD2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353.4</v>
      </c>
    </row>
    <row r="292" spans="1:30" x14ac:dyDescent="0.25">
      <c r="A292" t="s">
        <v>767</v>
      </c>
      <c r="B292">
        <v>26</v>
      </c>
      <c r="C292" t="s">
        <v>74</v>
      </c>
      <c r="D292" t="s">
        <v>31</v>
      </c>
      <c r="E292" s="9">
        <f>INDEX(Table1[],MATCH(Proj[[#This Row],[Player]],Table1[Player],0),5)</f>
        <v>12.485698821549899</v>
      </c>
      <c r="F292" s="9">
        <f>_xlfn.IFNA(INDEX(Table2[],MATCH(Proj[[#This Row],[Player]],Table2[Player],0),5),0)</f>
        <v>1.03</v>
      </c>
      <c r="G292" s="9">
        <f>_xlfn.IFNA(INDEX(Table3[],MATCH(Proj[[#This Row],[Player]],Table3[Player],0),5),0)</f>
        <v>2.5299999999999998</v>
      </c>
      <c r="H292" s="10">
        <v>82</v>
      </c>
      <c r="I292">
        <v>82</v>
      </c>
      <c r="J292" s="9">
        <v>12.485698821549899</v>
      </c>
      <c r="K292" s="9">
        <v>1.03</v>
      </c>
      <c r="L292" s="9">
        <v>2.5299999999999998</v>
      </c>
      <c r="M292" s="9">
        <f>Proj[[#This Row],[TOI ES]]+Proj[[#This Row],[TOI PP]]+Proj[[#This Row],[TOI PK]]</f>
        <v>16.045698821549898</v>
      </c>
      <c r="N2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2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292" s="10">
        <f>Proj[[#This Row],[Goals]]+Proj[[#This Row],[Assists]]</f>
        <v>35</v>
      </c>
      <c r="Q292" s="10">
        <f>ROUND(_xlfn.IFNA(INDEX(Table2[],MATCH(Proj[[#This Row],[Player]],Table2[Player],0),11)/60,IF(Proj[[#This Row],[Pos]] = "D", 'Per 60 PP'!$K$527,'Per 60 PP'!$K$526)/60)*Proj[[#This Row],[TOI PP]]*Proj[[#This Row],[GP]],0)</f>
        <v>3</v>
      </c>
      <c r="R292" s="10">
        <f>ROUND(_xlfn.IFNA(INDEX(Table2[],MATCH(Proj[[#This Row],[Player]],Table2[Player],0),7)/60,IF(Proj[[#This Row],[Pos]] = "D", 'Per 60 PP'!$G$527,'Per 60 PP'!$G$526)/60)*Proj[[#This Row],[TOI PP]]*Proj[[#This Row],[GP]],0)</f>
        <v>3</v>
      </c>
      <c r="S292" s="10">
        <f>Proj[[#This Row],[PPG]]+Proj[[#This Row],[PPA]]</f>
        <v>6</v>
      </c>
      <c r="T292">
        <f>ROUND((_xlfn.IFNA(INDEX(Table3[],MATCH(Proj[[#This Row],[Player]],Table3[Player],0),6)/60,IF(Proj[[#This Row],[Pos]] ="D", 'Per 60 PK'!$F$623, 'Per 60 PK'!$F$622)/60)+_xlfn.IFNA(INDEX(Table3[],MATCH(Proj[[#This Row],[Player]],Table3[Player],0),8)/60,IF(Proj[[#This Row],[Pos]] ="D", 'Per 60 PK'!$H$623, 'Per 60 PK'!$H$622)/60))*Proj[[#This Row],[TOI PK]]*Proj[[#This Row],[GP]],0)</f>
        <v>2</v>
      </c>
      <c r="U2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97</v>
      </c>
      <c r="V2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2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2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141</v>
      </c>
      <c r="Y2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165</v>
      </c>
      <c r="Z2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118</v>
      </c>
      <c r="AA2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-757.87927544342347</v>
      </c>
      <c r="AB292" s="10">
        <f>_xlfn.RANK.EQ(Proj[[#This Row],[VOR]],Proj[VOR])</f>
        <v>561</v>
      </c>
      <c r="AC292" s="10">
        <f>INDEX(Std[],MATCH(Proj[[#This Row],[Player]],Std[Player],0),20)</f>
        <v>-23.245421133124843</v>
      </c>
      <c r="AD2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348.8</v>
      </c>
    </row>
    <row r="293" spans="1:30" x14ac:dyDescent="0.25">
      <c r="A293" t="s">
        <v>728</v>
      </c>
      <c r="B293">
        <v>27</v>
      </c>
      <c r="C293" t="s">
        <v>103</v>
      </c>
      <c r="D293" t="s">
        <v>14</v>
      </c>
      <c r="E293" s="9">
        <f>INDEX(Table1[],MATCH(Proj[[#This Row],[Player]],Table1[Player],0),5)</f>
        <v>13.4044125985395</v>
      </c>
      <c r="F293" s="9">
        <f>_xlfn.IFNA(INDEX(Table2[],MATCH(Proj[[#This Row],[Player]],Table2[Player],0),5),0)</f>
        <v>1.05</v>
      </c>
      <c r="G293" s="9">
        <f>_xlfn.IFNA(INDEX(Table3[],MATCH(Proj[[#This Row],[Player]],Table3[Player],0),5),0)</f>
        <v>1.95</v>
      </c>
      <c r="H293" s="10">
        <v>78</v>
      </c>
      <c r="I293">
        <v>78</v>
      </c>
      <c r="J293" s="9">
        <v>13.4044125985395</v>
      </c>
      <c r="K293" s="9">
        <v>1.05</v>
      </c>
      <c r="L293" s="9">
        <v>1.95</v>
      </c>
      <c r="M293" s="9">
        <f>Proj[[#This Row],[TOI ES]]+Proj[[#This Row],[TOI PP]]+Proj[[#This Row],[TOI PK]]</f>
        <v>16.404412598539501</v>
      </c>
      <c r="N2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2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93">
        <f>Proj[[#This Row],[Goals]]+Proj[[#This Row],[Assists]]</f>
        <v>35</v>
      </c>
      <c r="Q293" s="10">
        <f>ROUND(_xlfn.IFNA(INDEX(Table2[],MATCH(Proj[[#This Row],[Player]],Table2[Player],0),11)/60,IF(Proj[[#This Row],[Pos]] = "D", 'Per 60 PP'!$K$527,'Per 60 PP'!$K$526)/60)*Proj[[#This Row],[TOI PP]]*Proj[[#This Row],[GP]],0)</f>
        <v>1</v>
      </c>
      <c r="R293" s="10">
        <f>ROUND(_xlfn.IFNA(INDEX(Table2[],MATCH(Proj[[#This Row],[Player]],Table2[Player],0),7)/60,IF(Proj[[#This Row],[Pos]] = "D", 'Per 60 PP'!$G$527,'Per 60 PP'!$G$526)/60)*Proj[[#This Row],[TOI PP]]*Proj[[#This Row],[GP]],0)</f>
        <v>2</v>
      </c>
      <c r="S293" s="10">
        <f>Proj[[#This Row],[PPG]]+Proj[[#This Row],[PPA]]</f>
        <v>3</v>
      </c>
      <c r="T293">
        <f>ROUND((_xlfn.IFNA(INDEX(Table3[],MATCH(Proj[[#This Row],[Player]],Table3[Player],0),6)/60,IF(Proj[[#This Row],[Pos]] ="D", 'Per 60 PK'!$F$623, 'Per 60 PK'!$F$622)/60)+_xlfn.IFNA(INDEX(Table3[],MATCH(Proj[[#This Row],[Player]],Table3[Player],0),8)/60,IF(Proj[[#This Row],[Pos]] ="D", 'Per 60 PK'!$H$623, 'Per 60 PK'!$H$622)/60))*Proj[[#This Row],[TOI PK]]*Proj[[#This Row],[GP]],0)</f>
        <v>4</v>
      </c>
      <c r="U2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104</v>
      </c>
      <c r="V2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2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2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v>
      </c>
      <c r="Y2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v>
      </c>
      <c r="Z2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2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-492.84591121355254</v>
      </c>
      <c r="AB293" s="10">
        <f>_xlfn.RANK.EQ(Proj[[#This Row],[VOR]],Proj[VOR])</f>
        <v>418</v>
      </c>
      <c r="AC293" s="10">
        <f>INDEX(Std[],MATCH(Proj[[#This Row],[Player]],Std[Player],0),20)</f>
        <v>-46.30118682330373</v>
      </c>
      <c r="AD2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337.44999999999993</v>
      </c>
    </row>
    <row r="294" spans="1:30" x14ac:dyDescent="0.25">
      <c r="A294" t="s">
        <v>558</v>
      </c>
      <c r="B294">
        <v>33</v>
      </c>
      <c r="C294" t="s">
        <v>102</v>
      </c>
      <c r="D294" t="s">
        <v>4</v>
      </c>
      <c r="E294" s="9">
        <f>INDEX(Table1[],MATCH(Proj[[#This Row],[Player]],Table1[Player],0),5)</f>
        <v>12.4451145874941</v>
      </c>
      <c r="F294" s="9">
        <f>_xlfn.IFNA(INDEX(Table2[],MATCH(Proj[[#This Row],[Player]],Table2[Player],0),5),0)</f>
        <v>1.52</v>
      </c>
      <c r="G294" s="9">
        <f>_xlfn.IFNA(INDEX(Table3[],MATCH(Proj[[#This Row],[Player]],Table3[Player],0),5),0)</f>
        <v>0</v>
      </c>
      <c r="H294" s="10">
        <v>76</v>
      </c>
      <c r="I294">
        <v>76</v>
      </c>
      <c r="J294" s="9">
        <v>12.4451145874941</v>
      </c>
      <c r="K294" s="9">
        <v>1.52</v>
      </c>
      <c r="L294" s="9">
        <v>0</v>
      </c>
      <c r="M294" s="9">
        <f>Proj[[#This Row],[TOI ES]]+Proj[[#This Row],[TOI PP]]+Proj[[#This Row],[TOI PK]]</f>
        <v>13.965114587494099</v>
      </c>
      <c r="N2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94" s="10">
        <f>Proj[[#This Row],[Goals]]+Proj[[#This Row],[Assists]]</f>
        <v>35</v>
      </c>
      <c r="Q294" s="10">
        <f>ROUND(_xlfn.IFNA(INDEX(Table2[],MATCH(Proj[[#This Row],[Player]],Table2[Player],0),11)/60,IF(Proj[[#This Row],[Pos]] = "D", 'Per 60 PP'!$K$527,'Per 60 PP'!$K$526)/60)*Proj[[#This Row],[TOI PP]]*Proj[[#This Row],[GP]],0)</f>
        <v>4</v>
      </c>
      <c r="R294" s="10">
        <f>ROUND(_xlfn.IFNA(INDEX(Table2[],MATCH(Proj[[#This Row],[Player]],Table2[Player],0),7)/60,IF(Proj[[#This Row],[Pos]] = "D", 'Per 60 PP'!$G$527,'Per 60 PP'!$G$526)/60)*Proj[[#This Row],[TOI PP]]*Proj[[#This Row],[GP]],0)</f>
        <v>4</v>
      </c>
      <c r="S294" s="10">
        <f>Proj[[#This Row],[PPG]]+Proj[[#This Row],[PPA]]</f>
        <v>8</v>
      </c>
      <c r="T294">
        <f>ROUND((_xlfn.IFNA(INDEX(Table3[],MATCH(Proj[[#This Row],[Player]],Table3[Player],0),6)/60,IF(Proj[[#This Row],[Pos]] ="D", 'Per 60 PK'!$F$623, 'Per 60 PK'!$F$622)/60)+_xlfn.IFNA(INDEX(Table3[],MATCH(Proj[[#This Row],[Player]],Table3[Player],0),8)/60,IF(Proj[[#This Row],[Pos]] ="D", 'Per 60 PK'!$H$623, 'Per 60 PK'!$H$622)/60))*Proj[[#This Row],[TOI PK]]*Proj[[#This Row],[GP]],0)</f>
        <v>0</v>
      </c>
      <c r="U2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108</v>
      </c>
      <c r="V2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28</v>
      </c>
      <c r="W2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2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v>
      </c>
      <c r="Y2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2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165</v>
      </c>
      <c r="AA2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-370.05581091522396</v>
      </c>
      <c r="AB294" s="10">
        <f>_xlfn.RANK.EQ(Proj[[#This Row],[VOR]],Proj[VOR])</f>
        <v>358</v>
      </c>
      <c r="AC294" s="10">
        <f>INDEX(Std[],MATCH(Proj[[#This Row],[Player]],Std[Player],0),20)</f>
        <v>101.48891347502489</v>
      </c>
      <c r="AD2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364.6</v>
      </c>
    </row>
    <row r="295" spans="1:30" x14ac:dyDescent="0.25">
      <c r="A295" t="s">
        <v>554</v>
      </c>
      <c r="B295">
        <v>25</v>
      </c>
      <c r="C295" t="s">
        <v>74</v>
      </c>
      <c r="D295" t="s">
        <v>2</v>
      </c>
      <c r="E295" s="9">
        <f>INDEX(Table1[],MATCH(Proj[[#This Row],[Player]],Table1[Player],0),5)</f>
        <v>13.081848095375101</v>
      </c>
      <c r="F295" s="9">
        <f>_xlfn.IFNA(INDEX(Table2[],MATCH(Proj[[#This Row],[Player]],Table2[Player],0),5),0)</f>
        <v>0.96</v>
      </c>
      <c r="G295" s="9">
        <f>_xlfn.IFNA(INDEX(Table3[],MATCH(Proj[[#This Row],[Player]],Table3[Player],0),5),0)</f>
        <v>1.75</v>
      </c>
      <c r="H295" s="10">
        <v>79</v>
      </c>
      <c r="I295">
        <v>79</v>
      </c>
      <c r="J295" s="9">
        <v>13.081848095375101</v>
      </c>
      <c r="K295" s="9">
        <v>0.96</v>
      </c>
      <c r="L295" s="9">
        <v>1.75</v>
      </c>
      <c r="M295" s="9">
        <f>Proj[[#This Row],[TOI ES]]+Proj[[#This Row],[TOI PP]]+Proj[[#This Row],[TOI PK]]</f>
        <v>15.791848095375101</v>
      </c>
      <c r="N2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2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295" s="10">
        <f>Proj[[#This Row],[Goals]]+Proj[[#This Row],[Assists]]</f>
        <v>35</v>
      </c>
      <c r="Q295" s="10">
        <f>ROUND(_xlfn.IFNA(INDEX(Table2[],MATCH(Proj[[#This Row],[Player]],Table2[Player],0),11)/60,IF(Proj[[#This Row],[Pos]] = "D", 'Per 60 PP'!$K$527,'Per 60 PP'!$K$526)/60)*Proj[[#This Row],[TOI PP]]*Proj[[#This Row],[GP]],0)</f>
        <v>1</v>
      </c>
      <c r="R295" s="10">
        <f>ROUND(_xlfn.IFNA(INDEX(Table2[],MATCH(Proj[[#This Row],[Player]],Table2[Player],0),7)/60,IF(Proj[[#This Row],[Pos]] = "D", 'Per 60 PP'!$G$527,'Per 60 PP'!$G$526)/60)*Proj[[#This Row],[TOI PP]]*Proj[[#This Row],[GP]],0)</f>
        <v>3</v>
      </c>
      <c r="S295" s="10">
        <f>Proj[[#This Row],[PPG]]+Proj[[#This Row],[PPA]]</f>
        <v>4</v>
      </c>
      <c r="T295">
        <f>ROUND((_xlfn.IFNA(INDEX(Table3[],MATCH(Proj[[#This Row],[Player]],Table3[Player],0),6)/60,IF(Proj[[#This Row],[Pos]] ="D", 'Per 60 PK'!$F$623, 'Per 60 PK'!$F$622)/60)+_xlfn.IFNA(INDEX(Table3[],MATCH(Proj[[#This Row],[Player]],Table3[Player],0),8)/60,IF(Proj[[#This Row],[Pos]] ="D", 'Per 60 PK'!$H$623, 'Per 60 PK'!$H$622)/60))*Proj[[#This Row],[TOI PK]]*Proj[[#This Row],[GP]],0)</f>
        <v>2</v>
      </c>
      <c r="U2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122</v>
      </c>
      <c r="V2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77</v>
      </c>
      <c r="W2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61</v>
      </c>
      <c r="X2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153</v>
      </c>
      <c r="Y2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151</v>
      </c>
      <c r="Z2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2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-497.46541594162829</v>
      </c>
      <c r="AB295" s="10">
        <f>_xlfn.RANK.EQ(Proj[[#This Row],[VOR]],Proj[VOR])</f>
        <v>420</v>
      </c>
      <c r="AC295" s="10">
        <f>INDEX(Std[],MATCH(Proj[[#This Row],[Player]],Std[Player],0),20)</f>
        <v>237.16843836867034</v>
      </c>
      <c r="AD2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391.84999999999997</v>
      </c>
    </row>
    <row r="296" spans="1:30" x14ac:dyDescent="0.25">
      <c r="A296" t="s">
        <v>685</v>
      </c>
      <c r="B296">
        <v>31</v>
      </c>
      <c r="C296" t="s">
        <v>101</v>
      </c>
      <c r="D296" t="s">
        <v>7</v>
      </c>
      <c r="E296" s="9">
        <f>INDEX(Table1[],MATCH(Proj[[#This Row],[Player]],Table1[Player],0),5)</f>
        <v>12.4261849930963</v>
      </c>
      <c r="F296" s="9">
        <f>_xlfn.IFNA(INDEX(Table2[],MATCH(Proj[[#This Row],[Player]],Table2[Player],0),5),0)</f>
        <v>1.25</v>
      </c>
      <c r="G296" s="9">
        <f>_xlfn.IFNA(INDEX(Table3[],MATCH(Proj[[#This Row],[Player]],Table3[Player],0),5),0)</f>
        <v>2.2599999999999998</v>
      </c>
      <c r="H296" s="10">
        <v>82</v>
      </c>
      <c r="I296">
        <v>82</v>
      </c>
      <c r="J296" s="9">
        <v>12.4261849930963</v>
      </c>
      <c r="K296" s="9">
        <v>1.25</v>
      </c>
      <c r="L296" s="9">
        <v>2.2599999999999998</v>
      </c>
      <c r="M296" s="9">
        <f>Proj[[#This Row],[TOI ES]]+Proj[[#This Row],[TOI PP]]+Proj[[#This Row],[TOI PK]]</f>
        <v>15.936184993096299</v>
      </c>
      <c r="N2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2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296" s="10">
        <f>Proj[[#This Row],[Goals]]+Proj[[#This Row],[Assists]]</f>
        <v>35</v>
      </c>
      <c r="Q296" s="10">
        <f>ROUND(_xlfn.IFNA(INDEX(Table2[],MATCH(Proj[[#This Row],[Player]],Table2[Player],0),11)/60,IF(Proj[[#This Row],[Pos]] = "D", 'Per 60 PP'!$K$527,'Per 60 PP'!$K$526)/60)*Proj[[#This Row],[TOI PP]]*Proj[[#This Row],[GP]],0)</f>
        <v>3</v>
      </c>
      <c r="R296" s="10">
        <f>ROUND(_xlfn.IFNA(INDEX(Table2[],MATCH(Proj[[#This Row],[Player]],Table2[Player],0),7)/60,IF(Proj[[#This Row],[Pos]] = "D", 'Per 60 PP'!$G$527,'Per 60 PP'!$G$526)/60)*Proj[[#This Row],[TOI PP]]*Proj[[#This Row],[GP]],0)</f>
        <v>3</v>
      </c>
      <c r="S296" s="10">
        <f>Proj[[#This Row],[PPG]]+Proj[[#This Row],[PPA]]</f>
        <v>6</v>
      </c>
      <c r="T296">
        <f>ROUND((_xlfn.IFNA(INDEX(Table3[],MATCH(Proj[[#This Row],[Player]],Table3[Player],0),6)/60,IF(Proj[[#This Row],[Pos]] ="D", 'Per 60 PK'!$F$623, 'Per 60 PK'!$F$622)/60)+_xlfn.IFNA(INDEX(Table3[],MATCH(Proj[[#This Row],[Player]],Table3[Player],0),8)/60,IF(Proj[[#This Row],[Pos]] ="D", 'Per 60 PK'!$H$623, 'Per 60 PK'!$H$622)/60))*Proj[[#This Row],[TOI PK]]*Proj[[#This Row],[GP]],0)</f>
        <v>3</v>
      </c>
      <c r="U2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134</v>
      </c>
      <c r="V2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61</v>
      </c>
      <c r="W2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2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607</v>
      </c>
      <c r="Y2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546</v>
      </c>
      <c r="Z2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2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-161.03987091029319</v>
      </c>
      <c r="AB296" s="10">
        <f>_xlfn.RANK.EQ(Proj[[#This Row],[VOR]],Proj[VOR])</f>
        <v>225</v>
      </c>
      <c r="AC296" s="10">
        <f>INDEX(Std[],MATCH(Proj[[#This Row],[Player]],Std[Player],0),20)</f>
        <v>310.50485347995567</v>
      </c>
      <c r="AD2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412.59999999999997</v>
      </c>
    </row>
    <row r="297" spans="1:30" x14ac:dyDescent="0.25">
      <c r="A297" t="s">
        <v>267</v>
      </c>
      <c r="B297">
        <v>29</v>
      </c>
      <c r="C297" t="s">
        <v>3</v>
      </c>
      <c r="D297" t="s">
        <v>16</v>
      </c>
      <c r="E297" s="9">
        <f>INDEX(Table1[],MATCH(Proj[[#This Row],[Player]],Table1[Player],0),5)</f>
        <v>18.496531691680101</v>
      </c>
      <c r="F297" s="9">
        <f>_xlfn.IFNA(INDEX(Table2[],MATCH(Proj[[#This Row],[Player]],Table2[Player],0),5),0)</f>
        <v>1.08</v>
      </c>
      <c r="G297" s="9">
        <f>_xlfn.IFNA(INDEX(Table3[],MATCH(Proj[[#This Row],[Player]],Table3[Player],0),5),0)</f>
        <v>2.6</v>
      </c>
      <c r="H297" s="10">
        <v>81</v>
      </c>
      <c r="I297">
        <v>81</v>
      </c>
      <c r="J297" s="9">
        <v>18.496531691680101</v>
      </c>
      <c r="K297" s="9">
        <v>1.08</v>
      </c>
      <c r="L297" s="9">
        <v>2.6</v>
      </c>
      <c r="M297" s="9">
        <f>Proj[[#This Row],[TOI ES]]+Proj[[#This Row],[TOI PP]]+Proj[[#This Row],[TOI PK]]</f>
        <v>22.176531691680104</v>
      </c>
      <c r="N2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2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297" s="10">
        <f>Proj[[#This Row],[Goals]]+Proj[[#This Row],[Assists]]</f>
        <v>35</v>
      </c>
      <c r="Q297" s="10">
        <f>ROUND(_xlfn.IFNA(INDEX(Table2[],MATCH(Proj[[#This Row],[Player]],Table2[Player],0),11)/60,IF(Proj[[#This Row],[Pos]] = "D", 'Per 60 PP'!$K$527,'Per 60 PP'!$K$526)/60)*Proj[[#This Row],[TOI PP]]*Proj[[#This Row],[GP]],0)</f>
        <v>1</v>
      </c>
      <c r="R297" s="10">
        <f>ROUND(_xlfn.IFNA(INDEX(Table2[],MATCH(Proj[[#This Row],[Player]],Table2[Player],0),7)/60,IF(Proj[[#This Row],[Pos]] = "D", 'Per 60 PP'!$G$527,'Per 60 PP'!$G$526)/60)*Proj[[#This Row],[TOI PP]]*Proj[[#This Row],[GP]],0)</f>
        <v>3</v>
      </c>
      <c r="S297" s="10">
        <f>Proj[[#This Row],[PPG]]+Proj[[#This Row],[PPA]]</f>
        <v>4</v>
      </c>
      <c r="T297">
        <f>ROUND((_xlfn.IFNA(INDEX(Table3[],MATCH(Proj[[#This Row],[Player]],Table3[Player],0),6)/60,IF(Proj[[#This Row],[Pos]] ="D", 'Per 60 PK'!$F$623, 'Per 60 PK'!$F$622)/60)+_xlfn.IFNA(INDEX(Table3[],MATCH(Proj[[#This Row],[Player]],Table3[Player],0),8)/60,IF(Proj[[#This Row],[Pos]] ="D", 'Per 60 PK'!$H$623, 'Per 60 PK'!$H$622)/60))*Proj[[#This Row],[TOI PK]]*Proj[[#This Row],[GP]],0)</f>
        <v>2</v>
      </c>
      <c r="U2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155</v>
      </c>
      <c r="V2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167</v>
      </c>
      <c r="W2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64</v>
      </c>
      <c r="X2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2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2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179</v>
      </c>
      <c r="AA2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412.13485073491324</v>
      </c>
      <c r="AB297" s="10">
        <f>_xlfn.RANK.EQ(Proj[[#This Row],[VOR]],Proj[VOR])</f>
        <v>61</v>
      </c>
      <c r="AC297" s="10">
        <f>INDEX(Std[],MATCH(Proj[[#This Row],[Player]],Std[Player],0),20)</f>
        <v>519.4996184543777</v>
      </c>
      <c r="AD2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473.55</v>
      </c>
    </row>
    <row r="298" spans="1:30" x14ac:dyDescent="0.25">
      <c r="A298" t="s">
        <v>641</v>
      </c>
      <c r="B298">
        <v>26</v>
      </c>
      <c r="C298" t="s">
        <v>105</v>
      </c>
      <c r="D298" t="s">
        <v>12</v>
      </c>
      <c r="E298" s="9">
        <f>INDEX(Table1[],MATCH(Proj[[#This Row],[Player]],Table1[Player],0),5)</f>
        <v>12.4293738326451</v>
      </c>
      <c r="F298" s="9">
        <f>_xlfn.IFNA(INDEX(Table2[],MATCH(Proj[[#This Row],[Player]],Table2[Player],0),5),0)</f>
        <v>0.5</v>
      </c>
      <c r="G298" s="9">
        <f>_xlfn.IFNA(INDEX(Table3[],MATCH(Proj[[#This Row],[Player]],Table3[Player],0),5),0)</f>
        <v>0.63</v>
      </c>
      <c r="H298" s="10">
        <v>81</v>
      </c>
      <c r="I298">
        <v>81</v>
      </c>
      <c r="J298" s="9">
        <v>12.4293738326451</v>
      </c>
      <c r="K298" s="9">
        <v>0.5</v>
      </c>
      <c r="L298" s="9">
        <v>0.63</v>
      </c>
      <c r="M298" s="9">
        <f>Proj[[#This Row],[TOI ES]]+Proj[[#This Row],[TOI PP]]+Proj[[#This Row],[TOI PK]]</f>
        <v>13.5593738326451</v>
      </c>
      <c r="N2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2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298" s="10">
        <f>Proj[[#This Row],[Goals]]+Proj[[#This Row],[Assists]]</f>
        <v>35</v>
      </c>
      <c r="Q298" s="10">
        <f>ROUND(_xlfn.IFNA(INDEX(Table2[],MATCH(Proj[[#This Row],[Player]],Table2[Player],0),11)/60,IF(Proj[[#This Row],[Pos]] = "D", 'Per 60 PP'!$K$527,'Per 60 PP'!$K$526)/60)*Proj[[#This Row],[TOI PP]]*Proj[[#This Row],[GP]],0)</f>
        <v>2</v>
      </c>
      <c r="R298" s="10">
        <f>ROUND(_xlfn.IFNA(INDEX(Table2[],MATCH(Proj[[#This Row],[Player]],Table2[Player],0),7)/60,IF(Proj[[#This Row],[Pos]] = "D", 'Per 60 PP'!$G$527,'Per 60 PP'!$G$526)/60)*Proj[[#This Row],[TOI PP]]*Proj[[#This Row],[GP]],0)</f>
        <v>1</v>
      </c>
      <c r="S298" s="10">
        <f>Proj[[#This Row],[PPG]]+Proj[[#This Row],[PPA]]</f>
        <v>3</v>
      </c>
      <c r="T298">
        <f>ROUND((_xlfn.IFNA(INDEX(Table3[],MATCH(Proj[[#This Row],[Player]],Table3[Player],0),6)/60,IF(Proj[[#This Row],[Pos]] ="D", 'Per 60 PK'!$F$623, 'Per 60 PK'!$F$622)/60)+_xlfn.IFNA(INDEX(Table3[],MATCH(Proj[[#This Row],[Player]],Table3[Player],0),8)/60,IF(Proj[[#This Row],[Pos]] ="D", 'Per 60 PK'!$H$623, 'Per 60 PK'!$H$622)/60))*Proj[[#This Row],[TOI PK]]*Proj[[#This Row],[GP]],0)</f>
        <v>1</v>
      </c>
      <c r="U2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162</v>
      </c>
      <c r="V2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2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73</v>
      </c>
      <c r="X2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109</v>
      </c>
      <c r="Y2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136</v>
      </c>
      <c r="Z2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2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-162.97779363353015</v>
      </c>
      <c r="AB298" s="10">
        <f>_xlfn.RANK.EQ(Proj[[#This Row],[VOR]],Proj[VOR])</f>
        <v>226</v>
      </c>
      <c r="AC298" s="10">
        <f>INDEX(Std[],MATCH(Proj[[#This Row],[Player]],Std[Player],0),20)</f>
        <v>283.5669307567187</v>
      </c>
      <c r="AD2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402.9</v>
      </c>
    </row>
    <row r="299" spans="1:30" x14ac:dyDescent="0.25">
      <c r="A299" t="s">
        <v>496</v>
      </c>
      <c r="B299">
        <v>32</v>
      </c>
      <c r="C299" t="s">
        <v>74</v>
      </c>
      <c r="D299" t="s">
        <v>20</v>
      </c>
      <c r="E299" s="9">
        <f>INDEX(Table1[],MATCH(Proj[[#This Row],[Player]],Table1[Player],0),5)</f>
        <v>12.6156653105947</v>
      </c>
      <c r="F299" s="9">
        <f>_xlfn.IFNA(INDEX(Table2[],MATCH(Proj[[#This Row],[Player]],Table2[Player],0),5),0)</f>
        <v>1.57</v>
      </c>
      <c r="G299" s="9">
        <f>_xlfn.IFNA(INDEX(Table3[],MATCH(Proj[[#This Row],[Player]],Table3[Player],0),5),0)</f>
        <v>1.92</v>
      </c>
      <c r="H299" s="10">
        <v>82</v>
      </c>
      <c r="I299">
        <v>82</v>
      </c>
      <c r="J299" s="9">
        <v>12.6156653105947</v>
      </c>
      <c r="K299" s="9">
        <v>1.57</v>
      </c>
      <c r="L299" s="9">
        <v>1.92</v>
      </c>
      <c r="M299" s="9">
        <f>Proj[[#This Row],[TOI ES]]+Proj[[#This Row],[TOI PP]]+Proj[[#This Row],[TOI PK]]</f>
        <v>16.105665310594702</v>
      </c>
      <c r="N2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2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299" s="10">
        <f>Proj[[#This Row],[Goals]]+Proj[[#This Row],[Assists]]</f>
        <v>35</v>
      </c>
      <c r="Q299" s="10">
        <f>ROUND(_xlfn.IFNA(INDEX(Table2[],MATCH(Proj[[#This Row],[Player]],Table2[Player],0),11)/60,IF(Proj[[#This Row],[Pos]] = "D", 'Per 60 PP'!$K$527,'Per 60 PP'!$K$526)/60)*Proj[[#This Row],[TOI PP]]*Proj[[#This Row],[GP]],0)</f>
        <v>2</v>
      </c>
      <c r="R299" s="10">
        <f>ROUND(_xlfn.IFNA(INDEX(Table2[],MATCH(Proj[[#This Row],[Player]],Table2[Player],0),7)/60,IF(Proj[[#This Row],[Pos]] = "D", 'Per 60 PP'!$G$527,'Per 60 PP'!$G$526)/60)*Proj[[#This Row],[TOI PP]]*Proj[[#This Row],[GP]],0)</f>
        <v>2</v>
      </c>
      <c r="S299" s="10">
        <f>Proj[[#This Row],[PPG]]+Proj[[#This Row],[PPA]]</f>
        <v>4</v>
      </c>
      <c r="T299">
        <f>ROUND((_xlfn.IFNA(INDEX(Table3[],MATCH(Proj[[#This Row],[Player]],Table3[Player],0),6)/60,IF(Proj[[#This Row],[Pos]] ="D", 'Per 60 PK'!$F$623, 'Per 60 PK'!$F$622)/60)+_xlfn.IFNA(INDEX(Table3[],MATCH(Proj[[#This Row],[Player]],Table3[Player],0),8)/60,IF(Proj[[#This Row],[Pos]] ="D", 'Per 60 PK'!$H$623, 'Per 60 PK'!$H$622)/60))*Proj[[#This Row],[TOI PK]]*Proj[[#This Row],[GP]],0)</f>
        <v>4</v>
      </c>
      <c r="U2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172</v>
      </c>
      <c r="V2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75</v>
      </c>
      <c r="W2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2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681</v>
      </c>
      <c r="Y2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548</v>
      </c>
      <c r="Z2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108</v>
      </c>
      <c r="AA2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-346.481087846734</v>
      </c>
      <c r="AB299" s="10">
        <f>_xlfn.RANK.EQ(Proj[[#This Row],[VOR]],Proj[VOR])</f>
        <v>345</v>
      </c>
      <c r="AC299" s="10">
        <f>INDEX(Std[],MATCH(Proj[[#This Row],[Player]],Std[Player],0),20)</f>
        <v>388.1527664635646</v>
      </c>
      <c r="AD2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446.05</v>
      </c>
    </row>
    <row r="300" spans="1:30" x14ac:dyDescent="0.25">
      <c r="A300" t="s">
        <v>343</v>
      </c>
      <c r="B300">
        <v>30</v>
      </c>
      <c r="C300" t="s">
        <v>3</v>
      </c>
      <c r="D300" t="s">
        <v>23</v>
      </c>
      <c r="E300" s="9">
        <f>INDEX(Table1[],MATCH(Proj[[#This Row],[Player]],Table1[Player],0),5)</f>
        <v>18.5522299706194</v>
      </c>
      <c r="F300" s="9">
        <f>_xlfn.IFNA(INDEX(Table2[],MATCH(Proj[[#This Row],[Player]],Table2[Player],0),5),0)</f>
        <v>1.21</v>
      </c>
      <c r="G300" s="9">
        <f>_xlfn.IFNA(INDEX(Table3[],MATCH(Proj[[#This Row],[Player]],Table3[Player],0),5),0)</f>
        <v>1.24</v>
      </c>
      <c r="H300" s="10">
        <v>80</v>
      </c>
      <c r="I300">
        <v>80</v>
      </c>
      <c r="J300" s="9">
        <v>18.5522299706194</v>
      </c>
      <c r="K300" s="9">
        <v>1.21</v>
      </c>
      <c r="L300" s="9">
        <v>1.24</v>
      </c>
      <c r="M300" s="9">
        <f>Proj[[#This Row],[TOI ES]]+Proj[[#This Row],[TOI PP]]+Proj[[#This Row],[TOI PK]]</f>
        <v>21.0022299706194</v>
      </c>
      <c r="N3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3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300" s="10">
        <f>Proj[[#This Row],[Goals]]+Proj[[#This Row],[Assists]]</f>
        <v>34</v>
      </c>
      <c r="Q300" s="10">
        <f>ROUND(_xlfn.IFNA(INDEX(Table2[],MATCH(Proj[[#This Row],[Player]],Table2[Player],0),11)/60,IF(Proj[[#This Row],[Pos]] = "D", 'Per 60 PP'!$K$527,'Per 60 PP'!$K$526)/60)*Proj[[#This Row],[TOI PP]]*Proj[[#This Row],[GP]],0)</f>
        <v>1</v>
      </c>
      <c r="R300" s="10">
        <f>ROUND(_xlfn.IFNA(INDEX(Table2[],MATCH(Proj[[#This Row],[Player]],Table2[Player],0),7)/60,IF(Proj[[#This Row],[Pos]] = "D", 'Per 60 PP'!$G$527,'Per 60 PP'!$G$526)/60)*Proj[[#This Row],[TOI PP]]*Proj[[#This Row],[GP]],0)</f>
        <v>4</v>
      </c>
      <c r="S300" s="10">
        <f>Proj[[#This Row],[PPG]]+Proj[[#This Row],[PPA]]</f>
        <v>5</v>
      </c>
      <c r="T300">
        <f>ROUND((_xlfn.IFNA(INDEX(Table3[],MATCH(Proj[[#This Row],[Player]],Table3[Player],0),6)/60,IF(Proj[[#This Row],[Pos]] ="D", 'Per 60 PK'!$F$623, 'Per 60 PK'!$F$622)/60)+_xlfn.IFNA(INDEX(Table3[],MATCH(Proj[[#This Row],[Player]],Table3[Player],0),8)/60,IF(Proj[[#This Row],[Pos]] ="D", 'Per 60 PK'!$H$623, 'Per 60 PK'!$H$622)/60))*Proj[[#This Row],[TOI PK]]*Proj[[#This Row],[GP]],0)</f>
        <v>2</v>
      </c>
      <c r="U3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3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3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53</v>
      </c>
      <c r="X3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106</v>
      </c>
      <c r="AA3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-101.18165324942966</v>
      </c>
      <c r="AB300" s="10">
        <f>_xlfn.RANK.EQ(Proj[[#This Row],[VOR]],Proj[VOR])</f>
        <v>199</v>
      </c>
      <c r="AC300" s="10">
        <f>INDEX(Std[],MATCH(Proj[[#This Row],[Player]],Std[Player],0),20)</f>
        <v>6.1831144700348233</v>
      </c>
      <c r="AD3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329.7</v>
      </c>
    </row>
    <row r="301" spans="1:30" x14ac:dyDescent="0.25">
      <c r="A301" t="s">
        <v>261</v>
      </c>
      <c r="B301">
        <v>28</v>
      </c>
      <c r="C301" t="s">
        <v>3</v>
      </c>
      <c r="D301" t="s">
        <v>31</v>
      </c>
      <c r="E301" s="9">
        <f>INDEX(Table1[],MATCH(Proj[[#This Row],[Player]],Table1[Player],0),5)</f>
        <v>16.454513591786998</v>
      </c>
      <c r="F301" s="9">
        <f>_xlfn.IFNA(INDEX(Table2[],MATCH(Proj[[#This Row],[Player]],Table2[Player],0),5),0)</f>
        <v>1.87</v>
      </c>
      <c r="G301" s="9">
        <f>_xlfn.IFNA(INDEX(Table3[],MATCH(Proj[[#This Row],[Player]],Table3[Player],0),5),0)</f>
        <v>3.01</v>
      </c>
      <c r="H301" s="10">
        <v>74</v>
      </c>
      <c r="I301">
        <v>74</v>
      </c>
      <c r="J301" s="9">
        <v>16.454513591786998</v>
      </c>
      <c r="K301" s="9">
        <v>1.87</v>
      </c>
      <c r="L301" s="9">
        <v>3.01</v>
      </c>
      <c r="M301" s="9">
        <f>Proj[[#This Row],[TOI ES]]+Proj[[#This Row],[TOI PP]]+Proj[[#This Row],[TOI PK]]</f>
        <v>21.334513591787001</v>
      </c>
      <c r="N3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301" s="10">
        <f>Proj[[#This Row],[Goals]]+Proj[[#This Row],[Assists]]</f>
        <v>34</v>
      </c>
      <c r="Q301" s="10">
        <f>ROUND(_xlfn.IFNA(INDEX(Table2[],MATCH(Proj[[#This Row],[Player]],Table2[Player],0),11)/60,IF(Proj[[#This Row],[Pos]] = "D", 'Per 60 PP'!$K$527,'Per 60 PP'!$K$526)/60)*Proj[[#This Row],[TOI PP]]*Proj[[#This Row],[GP]],0)</f>
        <v>4</v>
      </c>
      <c r="R301" s="10">
        <f>ROUND(_xlfn.IFNA(INDEX(Table2[],MATCH(Proj[[#This Row],[Player]],Table2[Player],0),7)/60,IF(Proj[[#This Row],[Pos]] = "D", 'Per 60 PP'!$G$527,'Per 60 PP'!$G$526)/60)*Proj[[#This Row],[TOI PP]]*Proj[[#This Row],[GP]],0)</f>
        <v>6</v>
      </c>
      <c r="S301" s="10">
        <f>Proj[[#This Row],[PPG]]+Proj[[#This Row],[PPA]]</f>
        <v>10</v>
      </c>
      <c r="T301">
        <f>ROUND((_xlfn.IFNA(INDEX(Table3[],MATCH(Proj[[#This Row],[Player]],Table3[Player],0),6)/60,IF(Proj[[#This Row],[Pos]] ="D", 'Per 60 PK'!$F$623, 'Per 60 PK'!$F$622)/60)+_xlfn.IFNA(INDEX(Table3[],MATCH(Proj[[#This Row],[Player]],Table3[Player],0),8)/60,IF(Proj[[#This Row],[Pos]] ="D", 'Per 60 PK'!$H$623, 'Per 60 PK'!$H$622)/60))*Proj[[#This Row],[TOI PK]]*Proj[[#This Row],[GP]],0)</f>
        <v>1</v>
      </c>
      <c r="U3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3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92</v>
      </c>
      <c r="W3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3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156</v>
      </c>
      <c r="AA3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99.107663678650908</v>
      </c>
      <c r="AB301" s="10">
        <f>_xlfn.RANK.EQ(Proj[[#This Row],[VOR]],Proj[VOR])</f>
        <v>125</v>
      </c>
      <c r="AC301" s="10">
        <f>INDEX(Std[],MATCH(Proj[[#This Row],[Player]],Std[Player],0),20)</f>
        <v>206.47243139811539</v>
      </c>
      <c r="AD3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378.2</v>
      </c>
    </row>
    <row r="302" spans="1:30" x14ac:dyDescent="0.25">
      <c r="A302" t="s">
        <v>1015</v>
      </c>
      <c r="B302">
        <v>31</v>
      </c>
      <c r="C302" t="s">
        <v>104</v>
      </c>
      <c r="D302" t="s">
        <v>156</v>
      </c>
      <c r="E302" s="9">
        <f>INDEX(Table1[],MATCH(Proj[[#This Row],[Player]],Table1[Player],0),5)</f>
        <v>10.266327985891101</v>
      </c>
      <c r="F302" s="9">
        <f>_xlfn.IFNA(INDEX(Table2[],MATCH(Proj[[#This Row],[Player]],Table2[Player],0),5),0)</f>
        <v>1.68</v>
      </c>
      <c r="G302" s="9">
        <f>_xlfn.IFNA(INDEX(Table3[],MATCH(Proj[[#This Row],[Player]],Table3[Player],0),5),0)</f>
        <v>0</v>
      </c>
      <c r="H302" s="10">
        <v>80</v>
      </c>
      <c r="I302">
        <v>80</v>
      </c>
      <c r="J302" s="9">
        <v>10.266327985891101</v>
      </c>
      <c r="K302" s="9">
        <v>1.68</v>
      </c>
      <c r="L302" s="9">
        <v>0</v>
      </c>
      <c r="M302" s="9">
        <f>Proj[[#This Row],[TOI ES]]+Proj[[#This Row],[TOI PP]]+Proj[[#This Row],[TOI PK]]</f>
        <v>11.9463279858911</v>
      </c>
      <c r="N3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302" s="10">
        <f>Proj[[#This Row],[Goals]]+Proj[[#This Row],[Assists]]</f>
        <v>34</v>
      </c>
      <c r="Q302" s="10">
        <f>ROUND(_xlfn.IFNA(INDEX(Table2[],MATCH(Proj[[#This Row],[Player]],Table2[Player],0),11)/60,IF(Proj[[#This Row],[Pos]] = "D", 'Per 60 PP'!$K$527,'Per 60 PP'!$K$526)/60)*Proj[[#This Row],[TOI PP]]*Proj[[#This Row],[GP]],0)</f>
        <v>4</v>
      </c>
      <c r="R302" s="10">
        <f>ROUND(_xlfn.IFNA(INDEX(Table2[],MATCH(Proj[[#This Row],[Player]],Table2[Player],0),7)/60,IF(Proj[[#This Row],[Pos]] = "D", 'Per 60 PP'!$G$527,'Per 60 PP'!$G$526)/60)*Proj[[#This Row],[TOI PP]]*Proj[[#This Row],[GP]],0)</f>
        <v>6</v>
      </c>
      <c r="S302" s="10">
        <f>Proj[[#This Row],[PPG]]+Proj[[#This Row],[PPA]]</f>
        <v>10</v>
      </c>
      <c r="T302">
        <f>ROUND((_xlfn.IFNA(INDEX(Table3[],MATCH(Proj[[#This Row],[Player]],Table3[Player],0),6)/60,IF(Proj[[#This Row],[Pos]] ="D", 'Per 60 PK'!$F$623, 'Per 60 PK'!$F$622)/60)+_xlfn.IFNA(INDEX(Table3[],MATCH(Proj[[#This Row],[Player]],Table3[Player],0),8)/60,IF(Proj[[#This Row],[Pos]] ="D", 'Per 60 PK'!$H$623, 'Per 60 PK'!$H$622)/60))*Proj[[#This Row],[TOI PK]]*Proj[[#This Row],[GP]],0)</f>
        <v>0</v>
      </c>
      <c r="U3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103</v>
      </c>
      <c r="V3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3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3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52</v>
      </c>
      <c r="Y3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65</v>
      </c>
      <c r="Z3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113</v>
      </c>
      <c r="AA3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-517.89922349938797</v>
      </c>
      <c r="AB302" s="10">
        <f>_xlfn.RANK.EQ(Proj[[#This Row],[VOR]],Proj[VOR])</f>
        <v>433</v>
      </c>
      <c r="AC302" s="10">
        <f>INDEX(Std[],MATCH(Proj[[#This Row],[Player]],Std[Player],0),20)</f>
        <v>-71.35449910913907</v>
      </c>
      <c r="AD3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323.09999999999997</v>
      </c>
    </row>
    <row r="303" spans="1:30" x14ac:dyDescent="0.25">
      <c r="A303" t="s">
        <v>540</v>
      </c>
      <c r="B303">
        <v>29</v>
      </c>
      <c r="C303" t="s">
        <v>102</v>
      </c>
      <c r="D303" t="s">
        <v>11</v>
      </c>
      <c r="E303" s="9">
        <f>INDEX(Table1[],MATCH(Proj[[#This Row],[Player]],Table1[Player],0),5)</f>
        <v>12.058005958265699</v>
      </c>
      <c r="F303" s="9">
        <f>_xlfn.IFNA(INDEX(Table2[],MATCH(Proj[[#This Row],[Player]],Table2[Player],0),5),0)</f>
        <v>1.3</v>
      </c>
      <c r="G303" s="9">
        <f>_xlfn.IFNA(INDEX(Table3[],MATCH(Proj[[#This Row],[Player]],Table3[Player],0),5),0)</f>
        <v>1.27</v>
      </c>
      <c r="H303" s="10">
        <v>78</v>
      </c>
      <c r="I303">
        <v>78</v>
      </c>
      <c r="J303" s="9">
        <v>12.058005958265699</v>
      </c>
      <c r="K303" s="9">
        <v>1.3</v>
      </c>
      <c r="L303" s="9">
        <v>1.27</v>
      </c>
      <c r="M303" s="9">
        <f>Proj[[#This Row],[TOI ES]]+Proj[[#This Row],[TOI PP]]+Proj[[#This Row],[TOI PK]]</f>
        <v>14.6280059582657</v>
      </c>
      <c r="N3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03" s="10">
        <f>Proj[[#This Row],[Goals]]+Proj[[#This Row],[Assists]]</f>
        <v>34</v>
      </c>
      <c r="Q303" s="10">
        <f>ROUND(_xlfn.IFNA(INDEX(Table2[],MATCH(Proj[[#This Row],[Player]],Table2[Player],0),11)/60,IF(Proj[[#This Row],[Pos]] = "D", 'Per 60 PP'!$K$527,'Per 60 PP'!$K$526)/60)*Proj[[#This Row],[TOI PP]]*Proj[[#This Row],[GP]],0)</f>
        <v>3</v>
      </c>
      <c r="R303" s="10">
        <f>ROUND(_xlfn.IFNA(INDEX(Table2[],MATCH(Proj[[#This Row],[Player]],Table2[Player],0),7)/60,IF(Proj[[#This Row],[Pos]] = "D", 'Per 60 PP'!$G$527,'Per 60 PP'!$G$526)/60)*Proj[[#This Row],[TOI PP]]*Proj[[#This Row],[GP]],0)</f>
        <v>2</v>
      </c>
      <c r="S303" s="10">
        <f>Proj[[#This Row],[PPG]]+Proj[[#This Row],[PPA]]</f>
        <v>5</v>
      </c>
      <c r="T303">
        <f>ROUND((_xlfn.IFNA(INDEX(Table3[],MATCH(Proj[[#This Row],[Player]],Table3[Player],0),6)/60,IF(Proj[[#This Row],[Pos]] ="D", 'Per 60 PK'!$F$623, 'Per 60 PK'!$F$622)/60)+_xlfn.IFNA(INDEX(Table3[],MATCH(Proj[[#This Row],[Player]],Table3[Player],0),8)/60,IF(Proj[[#This Row],[Pos]] ="D", 'Per 60 PK'!$H$623, 'Per 60 PK'!$H$622)/60))*Proj[[#This Row],[TOI PK]]*Proj[[#This Row],[GP]],0)</f>
        <v>1</v>
      </c>
      <c r="U3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103</v>
      </c>
      <c r="V3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3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84</v>
      </c>
      <c r="X3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26</v>
      </c>
      <c r="Y3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38</v>
      </c>
      <c r="Z3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189</v>
      </c>
      <c r="AA3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-219.54304536125767</v>
      </c>
      <c r="AB303" s="10">
        <f>_xlfn.RANK.EQ(Proj[[#This Row],[VOR]],Proj[VOR])</f>
        <v>262</v>
      </c>
      <c r="AC303" s="10">
        <f>INDEX(Std[],MATCH(Proj[[#This Row],[Player]],Std[Player],0),20)</f>
        <v>252.00167902899119</v>
      </c>
      <c r="AD3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382.35000000000008</v>
      </c>
    </row>
    <row r="304" spans="1:30" x14ac:dyDescent="0.25">
      <c r="A304" t="s">
        <v>521</v>
      </c>
      <c r="B304">
        <v>31</v>
      </c>
      <c r="C304" t="s">
        <v>74</v>
      </c>
      <c r="D304" t="s">
        <v>9</v>
      </c>
      <c r="E304" s="9">
        <f>INDEX(Table1[],MATCH(Proj[[#This Row],[Player]],Table1[Player],0),5)</f>
        <v>13.1869909942249</v>
      </c>
      <c r="F304" s="9">
        <f>_xlfn.IFNA(INDEX(Table2[],MATCH(Proj[[#This Row],[Player]],Table2[Player],0),5),0)</f>
        <v>0.68</v>
      </c>
      <c r="G304" s="9">
        <f>_xlfn.IFNA(INDEX(Table3[],MATCH(Proj[[#This Row],[Player]],Table3[Player],0),5),0)</f>
        <v>2.15</v>
      </c>
      <c r="H304" s="10">
        <v>82</v>
      </c>
      <c r="I304">
        <v>82</v>
      </c>
      <c r="J304" s="9">
        <v>13.1869909942249</v>
      </c>
      <c r="K304" s="9">
        <v>0.68</v>
      </c>
      <c r="L304" s="9">
        <v>2.15</v>
      </c>
      <c r="M304" s="9">
        <f>Proj[[#This Row],[TOI ES]]+Proj[[#This Row],[TOI PP]]+Proj[[#This Row],[TOI PK]]</f>
        <v>16.016990994224898</v>
      </c>
      <c r="N3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304">
        <f>Proj[[#This Row],[Goals]]+Proj[[#This Row],[Assists]]</f>
        <v>34</v>
      </c>
      <c r="Q304" s="10">
        <f>ROUND(_xlfn.IFNA(INDEX(Table2[],MATCH(Proj[[#This Row],[Player]],Table2[Player],0),11)/60,IF(Proj[[#This Row],[Pos]] = "D", 'Per 60 PP'!$K$527,'Per 60 PP'!$K$526)/60)*Proj[[#This Row],[TOI PP]]*Proj[[#This Row],[GP]],0)</f>
        <v>1</v>
      </c>
      <c r="R304" s="10">
        <f>ROUND(_xlfn.IFNA(INDEX(Table2[],MATCH(Proj[[#This Row],[Player]],Table2[Player],0),7)/60,IF(Proj[[#This Row],[Pos]] = "D", 'Per 60 PP'!$G$527,'Per 60 PP'!$G$526)/60)*Proj[[#This Row],[TOI PP]]*Proj[[#This Row],[GP]],0)</f>
        <v>2</v>
      </c>
      <c r="S304" s="10">
        <f>Proj[[#This Row],[PPG]]+Proj[[#This Row],[PPA]]</f>
        <v>3</v>
      </c>
      <c r="T304">
        <f>ROUND((_xlfn.IFNA(INDEX(Table3[],MATCH(Proj[[#This Row],[Player]],Table3[Player],0),6)/60,IF(Proj[[#This Row],[Pos]] ="D", 'Per 60 PK'!$F$623, 'Per 60 PK'!$F$622)/60)+_xlfn.IFNA(INDEX(Table3[],MATCH(Proj[[#This Row],[Player]],Table3[Player],0),8)/60,IF(Proj[[#This Row],[Pos]] ="D", 'Per 60 PK'!$H$623, 'Per 60 PK'!$H$622)/60))*Proj[[#This Row],[TOI PK]]*Proj[[#This Row],[GP]],0)</f>
        <v>3</v>
      </c>
      <c r="U3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178</v>
      </c>
      <c r="V3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3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59</v>
      </c>
      <c r="X3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642</v>
      </c>
      <c r="Y3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655</v>
      </c>
      <c r="Z3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3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-210.27193592235835</v>
      </c>
      <c r="AB304" s="10">
        <f>_xlfn.RANK.EQ(Proj[[#This Row],[VOR]],Proj[VOR])</f>
        <v>256</v>
      </c>
      <c r="AC304" s="10">
        <f>INDEX(Std[],MATCH(Proj[[#This Row],[Player]],Std[Player],0),20)</f>
        <v>524.36191838794025</v>
      </c>
      <c r="AD3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454.5</v>
      </c>
    </row>
    <row r="305" spans="1:30" x14ac:dyDescent="0.25">
      <c r="A305" t="s">
        <v>1073</v>
      </c>
      <c r="B305">
        <v>21</v>
      </c>
      <c r="C305" t="s">
        <v>3</v>
      </c>
      <c r="D305" t="s">
        <v>156</v>
      </c>
      <c r="E305" s="9">
        <f>INDEX(Table1[],MATCH(Proj[[#This Row],[Player]],Table1[Player],0),5)</f>
        <v>17.737678791826401</v>
      </c>
      <c r="F305" s="9">
        <f>_xlfn.IFNA(INDEX(Table2[],MATCH(Proj[[#This Row],[Player]],Table2[Player],0),5),0)</f>
        <v>2.35</v>
      </c>
      <c r="G305" s="9">
        <f>_xlfn.IFNA(INDEX(Table3[],MATCH(Proj[[#This Row],[Player]],Table3[Player],0),5),0)</f>
        <v>0</v>
      </c>
      <c r="H305" s="10">
        <v>68</v>
      </c>
      <c r="I305">
        <v>68</v>
      </c>
      <c r="J305" s="9">
        <v>17.737678791826401</v>
      </c>
      <c r="K305" s="9">
        <v>2.35</v>
      </c>
      <c r="L305" s="9">
        <v>0</v>
      </c>
      <c r="M305" s="9">
        <f>Proj[[#This Row],[TOI ES]]+Proj[[#This Row],[TOI PP]]+Proj[[#This Row],[TOI PK]]</f>
        <v>20.087678791826402</v>
      </c>
      <c r="N3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305" s="10">
        <f>Proj[[#This Row],[Goals]]+Proj[[#This Row],[Assists]]</f>
        <v>33</v>
      </c>
      <c r="Q305" s="10">
        <f>ROUND(_xlfn.IFNA(INDEX(Table2[],MATCH(Proj[[#This Row],[Player]],Table2[Player],0),11)/60,IF(Proj[[#This Row],[Pos]] = "D", 'Per 60 PP'!$K$527,'Per 60 PP'!$K$526)/60)*Proj[[#This Row],[TOI PP]]*Proj[[#This Row],[GP]],0)</f>
        <v>2</v>
      </c>
      <c r="R305" s="10">
        <f>ROUND(_xlfn.IFNA(INDEX(Table2[],MATCH(Proj[[#This Row],[Player]],Table2[Player],0),7)/60,IF(Proj[[#This Row],[Pos]] = "D", 'Per 60 PP'!$G$527,'Per 60 PP'!$G$526)/60)*Proj[[#This Row],[TOI PP]]*Proj[[#This Row],[GP]],0)</f>
        <v>11</v>
      </c>
      <c r="S305" s="10">
        <f>Proj[[#This Row],[PPG]]+Proj[[#This Row],[PPA]]</f>
        <v>13</v>
      </c>
      <c r="T305">
        <f>ROUND((_xlfn.IFNA(INDEX(Table3[],MATCH(Proj[[#This Row],[Player]],Table3[Player],0),6)/60,IF(Proj[[#This Row],[Pos]] ="D", 'Per 60 PK'!$F$623, 'Per 60 PK'!$F$622)/60)+_xlfn.IFNA(INDEX(Table3[],MATCH(Proj[[#This Row],[Player]],Table3[Player],0),8)/60,IF(Proj[[#This Row],[Pos]] ="D", 'Per 60 PK'!$H$623, 'Per 60 PK'!$H$622)/60))*Proj[[#This Row],[TOI PK]]*Proj[[#This Row],[GP]],0)</f>
        <v>0</v>
      </c>
      <c r="U3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v>
      </c>
      <c r="V3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3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3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3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-341.57986344425979</v>
      </c>
      <c r="AB305" s="10">
        <f>_xlfn.RANK.EQ(Proj[[#This Row],[VOR]],Proj[VOR])</f>
        <v>338</v>
      </c>
      <c r="AC305" s="10">
        <f>INDEX(Std[],MATCH(Proj[[#This Row],[Player]],Std[Player],0),20)</f>
        <v>-234.2150957247953</v>
      </c>
      <c r="AD3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268.65000000000003</v>
      </c>
    </row>
    <row r="306" spans="1:30" x14ac:dyDescent="0.25">
      <c r="A306" t="s">
        <v>1008</v>
      </c>
      <c r="B306">
        <v>24</v>
      </c>
      <c r="C306" t="s">
        <v>103</v>
      </c>
      <c r="D306" t="s">
        <v>2</v>
      </c>
      <c r="E306" s="9">
        <f>INDEX(Table1[],MATCH(Proj[[#This Row],[Player]],Table1[Player],0),5)</f>
        <v>13</v>
      </c>
      <c r="F306" s="9">
        <f>_xlfn.IFNA(INDEX(Table2[],MATCH(Proj[[#This Row],[Player]],Table2[Player],0),5),0)</f>
        <v>1.87</v>
      </c>
      <c r="G306" s="9">
        <f>_xlfn.IFNA(INDEX(Table3[],MATCH(Proj[[#This Row],[Player]],Table3[Player],0),5),0)</f>
        <v>0</v>
      </c>
      <c r="H306" s="10">
        <v>76</v>
      </c>
      <c r="I306">
        <v>76</v>
      </c>
      <c r="J306" s="9">
        <v>13</v>
      </c>
      <c r="K306" s="9">
        <v>1.87</v>
      </c>
      <c r="L306" s="9">
        <v>0</v>
      </c>
      <c r="M306" s="9">
        <f>Proj[[#This Row],[TOI ES]]+Proj[[#This Row],[TOI PP]]+Proj[[#This Row],[TOI PK]]</f>
        <v>14.870000000000001</v>
      </c>
      <c r="N3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06" s="10">
        <f>Proj[[#This Row],[Goals]]+Proj[[#This Row],[Assists]]</f>
        <v>33</v>
      </c>
      <c r="Q306" s="10">
        <f>ROUND(_xlfn.IFNA(INDEX(Table2[],MATCH(Proj[[#This Row],[Player]],Table2[Player],0),11)/60,IF(Proj[[#This Row],[Pos]] = "D", 'Per 60 PP'!$K$527,'Per 60 PP'!$K$526)/60)*Proj[[#This Row],[TOI PP]]*Proj[[#This Row],[GP]],0)</f>
        <v>5</v>
      </c>
      <c r="R306" s="10">
        <f>ROUND(_xlfn.IFNA(INDEX(Table2[],MATCH(Proj[[#This Row],[Player]],Table2[Player],0),7)/60,IF(Proj[[#This Row],[Pos]] = "D", 'Per 60 PP'!$G$527,'Per 60 PP'!$G$526)/60)*Proj[[#This Row],[TOI PP]]*Proj[[#This Row],[GP]],0)</f>
        <v>5</v>
      </c>
      <c r="S306" s="10">
        <f>Proj[[#This Row],[PPG]]+Proj[[#This Row],[PPA]]</f>
        <v>10</v>
      </c>
      <c r="T306">
        <f>ROUND((_xlfn.IFNA(INDEX(Table3[],MATCH(Proj[[#This Row],[Player]],Table3[Player],0),6)/60,IF(Proj[[#This Row],[Pos]] ="D", 'Per 60 PK'!$F$623, 'Per 60 PK'!$F$622)/60)+_xlfn.IFNA(INDEX(Table3[],MATCH(Proj[[#This Row],[Player]],Table3[Player],0),8)/60,IF(Proj[[#This Row],[Pos]] ="D", 'Per 60 PK'!$H$623, 'Per 60 PK'!$H$622)/60))*Proj[[#This Row],[TOI PK]]*Proj[[#This Row],[GP]],0)</f>
        <v>0</v>
      </c>
      <c r="U3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3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3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3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v>
      </c>
      <c r="Y3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v>
      </c>
      <c r="Z3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122</v>
      </c>
      <c r="AA3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-669.7536437917172</v>
      </c>
      <c r="AB306" s="10">
        <f>_xlfn.RANK.EQ(Proj[[#This Row],[VOR]],Proj[VOR])</f>
        <v>513</v>
      </c>
      <c r="AC306" s="10">
        <f>INDEX(Std[],MATCH(Proj[[#This Row],[Player]],Std[Player],0),20)</f>
        <v>-223.20891940146828</v>
      </c>
      <c r="AD3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285.35000000000002</v>
      </c>
    </row>
    <row r="307" spans="1:30" x14ac:dyDescent="0.25">
      <c r="A307" t="s">
        <v>864</v>
      </c>
      <c r="B307">
        <v>22</v>
      </c>
      <c r="C307" t="s">
        <v>3</v>
      </c>
      <c r="D307" t="s">
        <v>4</v>
      </c>
      <c r="E307" s="9">
        <f>INDEX(Table1[],MATCH(Proj[[#This Row],[Player]],Table1[Player],0),5)</f>
        <v>19.495883017110501</v>
      </c>
      <c r="F307" s="9">
        <f>_xlfn.IFNA(INDEX(Table2[],MATCH(Proj[[#This Row],[Player]],Table2[Player],0),5),0)</f>
        <v>1.69</v>
      </c>
      <c r="G307" s="9">
        <f>_xlfn.IFNA(INDEX(Table3[],MATCH(Proj[[#This Row],[Player]],Table3[Player],0),5),0)</f>
        <v>1.68</v>
      </c>
      <c r="H307" s="10">
        <v>80</v>
      </c>
      <c r="I307">
        <v>80</v>
      </c>
      <c r="J307" s="9">
        <v>19.495883017110501</v>
      </c>
      <c r="K307" s="9">
        <v>1.69</v>
      </c>
      <c r="L307" s="9">
        <v>1.68</v>
      </c>
      <c r="M307" s="9">
        <f>Proj[[#This Row],[TOI ES]]+Proj[[#This Row],[TOI PP]]+Proj[[#This Row],[TOI PK]]</f>
        <v>22.865883017110502</v>
      </c>
      <c r="N3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307">
        <f>Proj[[#This Row],[Goals]]+Proj[[#This Row],[Assists]]</f>
        <v>33</v>
      </c>
      <c r="Q307" s="10">
        <f>ROUND(_xlfn.IFNA(INDEX(Table2[],MATCH(Proj[[#This Row],[Player]],Table2[Player],0),11)/60,IF(Proj[[#This Row],[Pos]] = "D", 'Per 60 PP'!$K$527,'Per 60 PP'!$K$526)/60)*Proj[[#This Row],[TOI PP]]*Proj[[#This Row],[GP]],0)</f>
        <v>1</v>
      </c>
      <c r="R307" s="10">
        <f>ROUND(_xlfn.IFNA(INDEX(Table2[],MATCH(Proj[[#This Row],[Player]],Table2[Player],0),7)/60,IF(Proj[[#This Row],[Pos]] = "D", 'Per 60 PP'!$G$527,'Per 60 PP'!$G$526)/60)*Proj[[#This Row],[TOI PP]]*Proj[[#This Row],[GP]],0)</f>
        <v>6</v>
      </c>
      <c r="S307" s="10">
        <f>Proj[[#This Row],[PPG]]+Proj[[#This Row],[PPA]]</f>
        <v>7</v>
      </c>
      <c r="T307">
        <f>ROUND((_xlfn.IFNA(INDEX(Table3[],MATCH(Proj[[#This Row],[Player]],Table3[Player],0),6)/60,IF(Proj[[#This Row],[Pos]] ="D", 'Per 60 PK'!$F$623, 'Per 60 PK'!$F$622)/60)+_xlfn.IFNA(INDEX(Table3[],MATCH(Proj[[#This Row],[Player]],Table3[Player],0),8)/60,IF(Proj[[#This Row],[Pos]] ="D", 'Per 60 PK'!$H$623, 'Per 60 PK'!$H$622)/60))*Proj[[#This Row],[TOI PK]]*Proj[[#This Row],[GP]],0)</f>
        <v>1</v>
      </c>
      <c r="U3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3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111</v>
      </c>
      <c r="W3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3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117</v>
      </c>
      <c r="AA3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-194.39949852740736</v>
      </c>
      <c r="AB307" s="10">
        <f>_xlfn.RANK.EQ(Proj[[#This Row],[VOR]],Proj[VOR])</f>
        <v>244</v>
      </c>
      <c r="AC307" s="10">
        <f>INDEX(Std[],MATCH(Proj[[#This Row],[Player]],Std[Player],0),20)</f>
        <v>-87.034730807942879</v>
      </c>
      <c r="AD3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316.65000000000003</v>
      </c>
    </row>
    <row r="308" spans="1:30" x14ac:dyDescent="0.25">
      <c r="A308" t="s">
        <v>418</v>
      </c>
      <c r="B308">
        <v>35</v>
      </c>
      <c r="C308" t="s">
        <v>3</v>
      </c>
      <c r="D308" t="s">
        <v>18</v>
      </c>
      <c r="E308" s="9">
        <f>INDEX(Table1[],MATCH(Proj[[#This Row],[Player]],Table1[Player],0),5)</f>
        <v>16.6732779886724</v>
      </c>
      <c r="F308" s="9">
        <f>_xlfn.IFNA(INDEX(Table2[],MATCH(Proj[[#This Row],[Player]],Table2[Player],0),5),0)</f>
        <v>2.46</v>
      </c>
      <c r="G308" s="9">
        <f>_xlfn.IFNA(INDEX(Table3[],MATCH(Proj[[#This Row],[Player]],Table3[Player],0),5),0)</f>
        <v>3.48</v>
      </c>
      <c r="H308" s="10">
        <v>78</v>
      </c>
      <c r="I308">
        <v>78</v>
      </c>
      <c r="J308" s="9">
        <v>16.6732779886724</v>
      </c>
      <c r="K308" s="9">
        <v>2.46</v>
      </c>
      <c r="L308" s="9">
        <v>3.48</v>
      </c>
      <c r="M308" s="9">
        <f>Proj[[#This Row],[TOI ES]]+Proj[[#This Row],[TOI PP]]+Proj[[#This Row],[TOI PK]]</f>
        <v>22.613277988672401</v>
      </c>
      <c r="N3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308" s="10">
        <f>Proj[[#This Row],[Goals]]+Proj[[#This Row],[Assists]]</f>
        <v>33</v>
      </c>
      <c r="Q308" s="10">
        <f>ROUND(_xlfn.IFNA(INDEX(Table2[],MATCH(Proj[[#This Row],[Player]],Table2[Player],0),11)/60,IF(Proj[[#This Row],[Pos]] = "D", 'Per 60 PP'!$K$527,'Per 60 PP'!$K$526)/60)*Proj[[#This Row],[TOI PP]]*Proj[[#This Row],[GP]],0)</f>
        <v>1</v>
      </c>
      <c r="R308" s="10">
        <f>ROUND(_xlfn.IFNA(INDEX(Table2[],MATCH(Proj[[#This Row],[Player]],Table2[Player],0),7)/60,IF(Proj[[#This Row],[Pos]] = "D", 'Per 60 PP'!$G$527,'Per 60 PP'!$G$526)/60)*Proj[[#This Row],[TOI PP]]*Proj[[#This Row],[GP]],0)</f>
        <v>12</v>
      </c>
      <c r="S308" s="10">
        <f>Proj[[#This Row],[PPG]]+Proj[[#This Row],[PPA]]</f>
        <v>13</v>
      </c>
      <c r="T308">
        <f>ROUND((_xlfn.IFNA(INDEX(Table3[],MATCH(Proj[[#This Row],[Player]],Table3[Player],0),6)/60,IF(Proj[[#This Row],[Pos]] ="D", 'Per 60 PK'!$F$623, 'Per 60 PK'!$F$622)/60)+_xlfn.IFNA(INDEX(Table3[],MATCH(Proj[[#This Row],[Player]],Table3[Player],0),8)/60,IF(Proj[[#This Row],[Pos]] ="D", 'Per 60 PK'!$H$623, 'Per 60 PK'!$H$622)/60))*Proj[[#This Row],[TOI PK]]*Proj[[#This Row],[GP]],0)</f>
        <v>0</v>
      </c>
      <c r="U3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3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151</v>
      </c>
      <c r="W3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3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116</v>
      </c>
      <c r="AA3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-77.494294514286935</v>
      </c>
      <c r="AB308" s="10">
        <f>_xlfn.RANK.EQ(Proj[[#This Row],[VOR]],Proj[VOR])</f>
        <v>191</v>
      </c>
      <c r="AC308" s="10">
        <f>INDEX(Std[],MATCH(Proj[[#This Row],[Player]],Std[Player],0),20)</f>
        <v>29.87047320517755</v>
      </c>
      <c r="AD3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350.54999999999995</v>
      </c>
    </row>
    <row r="309" spans="1:30" x14ac:dyDescent="0.25">
      <c r="A309" t="s">
        <v>633</v>
      </c>
      <c r="B309">
        <v>35</v>
      </c>
      <c r="C309" t="s">
        <v>74</v>
      </c>
      <c r="D309" t="s">
        <v>25</v>
      </c>
      <c r="E309" s="9">
        <f>INDEX(Table1[],MATCH(Proj[[#This Row],[Player]],Table1[Player],0),5)</f>
        <v>12.3821584831734</v>
      </c>
      <c r="F309" s="9">
        <f>_xlfn.IFNA(INDEX(Table2[],MATCH(Proj[[#This Row],[Player]],Table2[Player],0),5),0)</f>
        <v>1.37</v>
      </c>
      <c r="G309" s="9">
        <f>_xlfn.IFNA(INDEX(Table3[],MATCH(Proj[[#This Row],[Player]],Table3[Player],0),5),0)</f>
        <v>2.0099999999999998</v>
      </c>
      <c r="H309" s="10">
        <v>82</v>
      </c>
      <c r="I309">
        <v>82</v>
      </c>
      <c r="J309" s="9">
        <v>12.3821584831734</v>
      </c>
      <c r="K309" s="9">
        <v>1.37</v>
      </c>
      <c r="L309" s="9">
        <v>2.0099999999999998</v>
      </c>
      <c r="M309" s="9">
        <f>Proj[[#This Row],[TOI ES]]+Proj[[#This Row],[TOI PP]]+Proj[[#This Row],[TOI PK]]</f>
        <v>15.762158483173399</v>
      </c>
      <c r="N3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09" s="10">
        <f>Proj[[#This Row],[Goals]]+Proj[[#This Row],[Assists]]</f>
        <v>33</v>
      </c>
      <c r="Q309" s="10">
        <f>ROUND(_xlfn.IFNA(INDEX(Table2[],MATCH(Proj[[#This Row],[Player]],Table2[Player],0),11)/60,IF(Proj[[#This Row],[Pos]] = "D", 'Per 60 PP'!$K$527,'Per 60 PP'!$K$526)/60)*Proj[[#This Row],[TOI PP]]*Proj[[#This Row],[GP]],0)</f>
        <v>3</v>
      </c>
      <c r="R309" s="10">
        <f>ROUND(_xlfn.IFNA(INDEX(Table2[],MATCH(Proj[[#This Row],[Player]],Table2[Player],0),7)/60,IF(Proj[[#This Row],[Pos]] = "D", 'Per 60 PP'!$G$527,'Per 60 PP'!$G$526)/60)*Proj[[#This Row],[TOI PP]]*Proj[[#This Row],[GP]],0)</f>
        <v>3</v>
      </c>
      <c r="S309" s="10">
        <f>Proj[[#This Row],[PPG]]+Proj[[#This Row],[PPA]]</f>
        <v>6</v>
      </c>
      <c r="T309">
        <f>ROUND((_xlfn.IFNA(INDEX(Table3[],MATCH(Proj[[#This Row],[Player]],Table3[Player],0),6)/60,IF(Proj[[#This Row],[Pos]] ="D", 'Per 60 PK'!$F$623, 'Per 60 PK'!$F$622)/60)+_xlfn.IFNA(INDEX(Table3[],MATCH(Proj[[#This Row],[Player]],Table3[Player],0),8)/60,IF(Proj[[#This Row],[Pos]] ="D", 'Per 60 PK'!$H$623, 'Per 60 PK'!$H$622)/60))*Proj[[#This Row],[TOI PK]]*Proj[[#This Row],[GP]],0)</f>
        <v>2</v>
      </c>
      <c r="U3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3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3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3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489</v>
      </c>
      <c r="Y3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451</v>
      </c>
      <c r="Z3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141</v>
      </c>
      <c r="AA3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-577.5785601740123</v>
      </c>
      <c r="AB309" s="10">
        <f>_xlfn.RANK.EQ(Proj[[#This Row],[VOR]],Proj[VOR])</f>
        <v>470</v>
      </c>
      <c r="AC309" s="10">
        <f>INDEX(Std[],MATCH(Proj[[#This Row],[Player]],Std[Player],0),20)</f>
        <v>157.05529413628631</v>
      </c>
      <c r="AD3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366.20000000000005</v>
      </c>
    </row>
    <row r="310" spans="1:30" x14ac:dyDescent="0.25">
      <c r="A310" t="s">
        <v>1068</v>
      </c>
      <c r="B310">
        <v>21</v>
      </c>
      <c r="C310" t="s">
        <v>74</v>
      </c>
      <c r="D310" t="s">
        <v>87</v>
      </c>
      <c r="E310" s="9">
        <f>INDEX(Table1[],MATCH(Proj[[#This Row],[Player]],Table1[Player],0),5)</f>
        <v>12.320437232275163</v>
      </c>
      <c r="F310" s="9">
        <f>_xlfn.IFNA(INDEX(Table2[],MATCH(Proj[[#This Row],[Player]],Table2[Player],0),5),0)</f>
        <v>1.8</v>
      </c>
      <c r="G310" s="9">
        <f>_xlfn.IFNA(INDEX(Table3[],MATCH(Proj[[#This Row],[Player]],Table3[Player],0),5),0)</f>
        <v>0</v>
      </c>
      <c r="H310" s="10">
        <v>72</v>
      </c>
      <c r="I310">
        <v>72</v>
      </c>
      <c r="J310" s="9">
        <v>12.320437232275163</v>
      </c>
      <c r="K310" s="9">
        <v>1.8</v>
      </c>
      <c r="L310" s="9">
        <v>0</v>
      </c>
      <c r="M310" s="9">
        <f>Proj[[#This Row],[TOI ES]]+Proj[[#This Row],[TOI PP]]+Proj[[#This Row],[TOI PK]]</f>
        <v>14.120437232275163</v>
      </c>
      <c r="N3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10" s="10">
        <f>Proj[[#This Row],[Goals]]+Proj[[#This Row],[Assists]]</f>
        <v>33</v>
      </c>
      <c r="Q310" s="10">
        <f>ROUND(_xlfn.IFNA(INDEX(Table2[],MATCH(Proj[[#This Row],[Player]],Table2[Player],0),11)/60,IF(Proj[[#This Row],[Pos]] = "D", 'Per 60 PP'!$K$527,'Per 60 PP'!$K$526)/60)*Proj[[#This Row],[TOI PP]]*Proj[[#This Row],[GP]],0)</f>
        <v>3</v>
      </c>
      <c r="R310" s="10">
        <f>ROUND(_xlfn.IFNA(INDEX(Table2[],MATCH(Proj[[#This Row],[Player]],Table2[Player],0),7)/60,IF(Proj[[#This Row],[Pos]] = "D", 'Per 60 PP'!$G$527,'Per 60 PP'!$G$526)/60)*Proj[[#This Row],[TOI PP]]*Proj[[#This Row],[GP]],0)</f>
        <v>5</v>
      </c>
      <c r="S310" s="10">
        <f>Proj[[#This Row],[PPG]]+Proj[[#This Row],[PPA]]</f>
        <v>8</v>
      </c>
      <c r="T310">
        <f>ROUND((_xlfn.IFNA(INDEX(Table3[],MATCH(Proj[[#This Row],[Player]],Table3[Player],0),6)/60,IF(Proj[[#This Row],[Pos]] ="D", 'Per 60 PK'!$F$623, 'Per 60 PK'!$F$622)/60)+_xlfn.IFNA(INDEX(Table3[],MATCH(Proj[[#This Row],[Player]],Table3[Player],0),8)/60,IF(Proj[[#This Row],[Pos]] ="D", 'Per 60 PK'!$H$623, 'Per 60 PK'!$H$622)/60))*Proj[[#This Row],[TOI PK]]*Proj[[#This Row],[GP]],0)</f>
        <v>0</v>
      </c>
      <c r="U3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69</v>
      </c>
      <c r="V3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3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3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210</v>
      </c>
      <c r="Y3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237</v>
      </c>
      <c r="Z3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3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-763.74473318338187</v>
      </c>
      <c r="AB310" s="10">
        <f>_xlfn.RANK.EQ(Proj[[#This Row],[VOR]],Proj[VOR])</f>
        <v>566</v>
      </c>
      <c r="AC310" s="10">
        <f>INDEX(Std[],MATCH(Proj[[#This Row],[Player]],Std[Player],0),20)</f>
        <v>-29.110878873083283</v>
      </c>
      <c r="AD3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323.74999999999994</v>
      </c>
    </row>
    <row r="311" spans="1:30" x14ac:dyDescent="0.25">
      <c r="A311" t="s">
        <v>1210</v>
      </c>
      <c r="B311">
        <v>22</v>
      </c>
      <c r="C311" t="s">
        <v>104</v>
      </c>
      <c r="D311" t="s">
        <v>13</v>
      </c>
      <c r="E311" s="9">
        <f>INDEX(Table1[],MATCH(Proj[[#This Row],[Player]],Table1[Player],0),5)</f>
        <v>12.303187829633421</v>
      </c>
      <c r="F311" s="9">
        <f>_xlfn.IFNA(INDEX(Table2[],MATCH(Proj[[#This Row],[Player]],Table2[Player],0),5),0)</f>
        <v>1.5</v>
      </c>
      <c r="G311" s="9">
        <f>_xlfn.IFNA(INDEX(Table3[],MATCH(Proj[[#This Row],[Player]],Table3[Player],0),5),0)</f>
        <v>0</v>
      </c>
      <c r="H311" s="10">
        <v>76</v>
      </c>
      <c r="I311">
        <v>76</v>
      </c>
      <c r="J311" s="9">
        <v>12.303187829633421</v>
      </c>
      <c r="K311" s="9">
        <v>1.5</v>
      </c>
      <c r="L311" s="9">
        <v>0</v>
      </c>
      <c r="M311" s="9">
        <f>Proj[[#This Row],[TOI ES]]+Proj[[#This Row],[TOI PP]]+Proj[[#This Row],[TOI PK]]</f>
        <v>13.803187829633421</v>
      </c>
      <c r="N3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11" s="10">
        <f>Proj[[#This Row],[Goals]]+Proj[[#This Row],[Assists]]</f>
        <v>33</v>
      </c>
      <c r="Q311" s="10">
        <f>ROUND(_xlfn.IFNA(INDEX(Table2[],MATCH(Proj[[#This Row],[Player]],Table2[Player],0),11)/60,IF(Proj[[#This Row],[Pos]] = "D", 'Per 60 PP'!$K$527,'Per 60 PP'!$K$526)/60)*Proj[[#This Row],[TOI PP]]*Proj[[#This Row],[GP]],0)</f>
        <v>3</v>
      </c>
      <c r="R311" s="10">
        <f>ROUND(_xlfn.IFNA(INDEX(Table2[],MATCH(Proj[[#This Row],[Player]],Table2[Player],0),7)/60,IF(Proj[[#This Row],[Pos]] = "D", 'Per 60 PP'!$G$527,'Per 60 PP'!$G$526)/60)*Proj[[#This Row],[TOI PP]]*Proj[[#This Row],[GP]],0)</f>
        <v>4</v>
      </c>
      <c r="S311" s="10">
        <f>Proj[[#This Row],[PPG]]+Proj[[#This Row],[PPA]]</f>
        <v>7</v>
      </c>
      <c r="T311">
        <f>ROUND((_xlfn.IFNA(INDEX(Table3[],MATCH(Proj[[#This Row],[Player]],Table3[Player],0),6)/60,IF(Proj[[#This Row],[Pos]] ="D", 'Per 60 PK'!$F$623, 'Per 60 PK'!$F$622)/60)+_xlfn.IFNA(INDEX(Table3[],MATCH(Proj[[#This Row],[Player]],Table3[Player],0),8)/60,IF(Proj[[#This Row],[Pos]] ="D", 'Per 60 PK'!$H$623, 'Per 60 PK'!$H$622)/60))*Proj[[#This Row],[TOI PK]]*Proj[[#This Row],[GP]],0)</f>
        <v>0</v>
      </c>
      <c r="U3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88</v>
      </c>
      <c r="V3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3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3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v>
      </c>
      <c r="Y3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v>
      </c>
      <c r="Z3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123</v>
      </c>
      <c r="AA3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-531.49275839884285</v>
      </c>
      <c r="AB311" s="10">
        <f>_xlfn.RANK.EQ(Proj[[#This Row],[VOR]],Proj[VOR])</f>
        <v>442</v>
      </c>
      <c r="AC311" s="10">
        <f>INDEX(Std[],MATCH(Proj[[#This Row],[Player]],Std[Player],0),20)</f>
        <v>-84.948034008593936</v>
      </c>
      <c r="AD3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319.25000000000006</v>
      </c>
    </row>
    <row r="312" spans="1:30" x14ac:dyDescent="0.25">
      <c r="A312" t="s">
        <v>982</v>
      </c>
      <c r="B312">
        <v>38</v>
      </c>
      <c r="C312" t="s">
        <v>103</v>
      </c>
      <c r="D312" t="s">
        <v>29</v>
      </c>
      <c r="E312" s="9">
        <f>INDEX(Table1[],MATCH(Proj[[#This Row],[Player]],Table1[Player],0),5)</f>
        <v>13.7309697727793</v>
      </c>
      <c r="F312" s="9">
        <f>_xlfn.IFNA(INDEX(Table2[],MATCH(Proj[[#This Row],[Player]],Table2[Player],0),5),0)</f>
        <v>2.8</v>
      </c>
      <c r="G312" s="9">
        <f>_xlfn.IFNA(INDEX(Table3[],MATCH(Proj[[#This Row],[Player]],Table3[Player],0),5),0)</f>
        <v>0</v>
      </c>
      <c r="H312" s="10">
        <v>62</v>
      </c>
      <c r="I312">
        <v>62</v>
      </c>
      <c r="J312" s="9">
        <v>13.7309697727793</v>
      </c>
      <c r="K312" s="9">
        <v>2.8</v>
      </c>
      <c r="L312" s="9">
        <v>0</v>
      </c>
      <c r="M312" s="9">
        <f>Proj[[#This Row],[TOI ES]]+Proj[[#This Row],[TOI PP]]+Proj[[#This Row],[TOI PK]]</f>
        <v>16.530969772779301</v>
      </c>
      <c r="N3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12" s="10">
        <f>Proj[[#This Row],[Goals]]+Proj[[#This Row],[Assists]]</f>
        <v>33</v>
      </c>
      <c r="Q312" s="10">
        <f>ROUND(_xlfn.IFNA(INDEX(Table2[],MATCH(Proj[[#This Row],[Player]],Table2[Player],0),11)/60,IF(Proj[[#This Row],[Pos]] = "D", 'Per 60 PP'!$K$527,'Per 60 PP'!$K$526)/60)*Proj[[#This Row],[TOI PP]]*Proj[[#This Row],[GP]],0)</f>
        <v>8</v>
      </c>
      <c r="R312" s="10">
        <f>ROUND(_xlfn.IFNA(INDEX(Table2[],MATCH(Proj[[#This Row],[Player]],Table2[Player],0),7)/60,IF(Proj[[#This Row],[Pos]] = "D", 'Per 60 PP'!$G$527,'Per 60 PP'!$G$526)/60)*Proj[[#This Row],[TOI PP]]*Proj[[#This Row],[GP]],0)</f>
        <v>6</v>
      </c>
      <c r="S312" s="10">
        <f>Proj[[#This Row],[PPG]]+Proj[[#This Row],[PPA]]</f>
        <v>14</v>
      </c>
      <c r="T312">
        <f>ROUND((_xlfn.IFNA(INDEX(Table3[],MATCH(Proj[[#This Row],[Player]],Table3[Player],0),6)/60,IF(Proj[[#This Row],[Pos]] ="D", 'Per 60 PK'!$F$623, 'Per 60 PK'!$F$622)/60)+_xlfn.IFNA(INDEX(Table3[],MATCH(Proj[[#This Row],[Player]],Table3[Player],0),8)/60,IF(Proj[[#This Row],[Pos]] ="D", 'Per 60 PK'!$H$623, 'Per 60 PK'!$H$622)/60))*Proj[[#This Row],[TOI PK]]*Proj[[#This Row],[GP]],0)</f>
        <v>0</v>
      </c>
      <c r="U3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93</v>
      </c>
      <c r="V3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3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3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v>
      </c>
      <c r="Y3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62</v>
      </c>
      <c r="Z3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109</v>
      </c>
      <c r="AA3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-391.04873621639302</v>
      </c>
      <c r="AB312" s="10">
        <f>_xlfn.RANK.EQ(Proj[[#This Row],[VOR]],Proj[VOR])</f>
        <v>370</v>
      </c>
      <c r="AC312" s="10">
        <f>INDEX(Std[],MATCH(Proj[[#This Row],[Player]],Std[Player],0),20)</f>
        <v>55.495988173855835</v>
      </c>
      <c r="AD3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338.05</v>
      </c>
    </row>
    <row r="313" spans="1:30" x14ac:dyDescent="0.25">
      <c r="A313" t="s">
        <v>1199</v>
      </c>
      <c r="B313">
        <v>21</v>
      </c>
      <c r="C313" t="s">
        <v>3</v>
      </c>
      <c r="D313" t="s">
        <v>5</v>
      </c>
      <c r="E313" s="9">
        <f>INDEX(Table1[],MATCH(Proj[[#This Row],[Player]],Table1[Player],0),5)</f>
        <v>16.87</v>
      </c>
      <c r="F313" s="9">
        <f>_xlfn.IFNA(INDEX(Table2[],MATCH(Proj[[#This Row],[Player]],Table2[Player],0),5),0)</f>
        <v>1.94</v>
      </c>
      <c r="G313" s="9">
        <f>_xlfn.IFNA(INDEX(Table3[],MATCH(Proj[[#This Row],[Player]],Table3[Player],0),5),0)</f>
        <v>1.01</v>
      </c>
      <c r="H313" s="10">
        <v>79</v>
      </c>
      <c r="I313">
        <v>79</v>
      </c>
      <c r="J313" s="9">
        <v>16.87</v>
      </c>
      <c r="K313" s="9">
        <v>1.94</v>
      </c>
      <c r="L313" s="9">
        <v>1.01</v>
      </c>
      <c r="M313" s="9">
        <f>Proj[[#This Row],[TOI ES]]+Proj[[#This Row],[TOI PP]]+Proj[[#This Row],[TOI PK]]</f>
        <v>19.820000000000004</v>
      </c>
      <c r="N3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313">
        <f>Proj[[#This Row],[Goals]]+Proj[[#This Row],[Assists]]</f>
        <v>33</v>
      </c>
      <c r="Q313" s="10">
        <f>ROUND(_xlfn.IFNA(INDEX(Table2[],MATCH(Proj[[#This Row],[Player]],Table2[Player],0),11)/60,IF(Proj[[#This Row],[Pos]] = "D", 'Per 60 PP'!$K$527,'Per 60 PP'!$K$526)/60)*Proj[[#This Row],[TOI PP]]*Proj[[#This Row],[GP]],0)</f>
        <v>1</v>
      </c>
      <c r="R313" s="10">
        <f>ROUND(_xlfn.IFNA(INDEX(Table2[],MATCH(Proj[[#This Row],[Player]],Table2[Player],0),7)/60,IF(Proj[[#This Row],[Pos]] = "D", 'Per 60 PP'!$G$527,'Per 60 PP'!$G$526)/60)*Proj[[#This Row],[TOI PP]]*Proj[[#This Row],[GP]],0)</f>
        <v>8</v>
      </c>
      <c r="S313" s="10">
        <f>Proj[[#This Row],[PPG]]+Proj[[#This Row],[PPA]]</f>
        <v>9</v>
      </c>
      <c r="T313">
        <f>ROUND((_xlfn.IFNA(INDEX(Table3[],MATCH(Proj[[#This Row],[Player]],Table3[Player],0),6)/60,IF(Proj[[#This Row],[Pos]] ="D", 'Per 60 PK'!$F$623, 'Per 60 PK'!$F$622)/60)+_xlfn.IFNA(INDEX(Table3[],MATCH(Proj[[#This Row],[Player]],Table3[Player],0),8)/60,IF(Proj[[#This Row],[Pos]] ="D", 'Per 60 PK'!$H$623, 'Per 60 PK'!$H$622)/60))*Proj[[#This Row],[TOI PK]]*Proj[[#This Row],[GP]],0)</f>
        <v>1</v>
      </c>
      <c r="U3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101</v>
      </c>
      <c r="V3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93</v>
      </c>
      <c r="W3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3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117</v>
      </c>
      <c r="AA3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-86.916249950790188</v>
      </c>
      <c r="AB313" s="10">
        <f>_xlfn.RANK.EQ(Proj[[#This Row],[VOR]],Proj[VOR])</f>
        <v>194</v>
      </c>
      <c r="AC313" s="10">
        <f>INDEX(Std[],MATCH(Proj[[#This Row],[Player]],Std[Player],0),20)</f>
        <v>20.448517768674289</v>
      </c>
      <c r="AD3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345.25000000000006</v>
      </c>
    </row>
    <row r="314" spans="1:30" x14ac:dyDescent="0.25">
      <c r="A314" t="s">
        <v>1211</v>
      </c>
      <c r="B314">
        <v>26</v>
      </c>
      <c r="C314" t="s">
        <v>103</v>
      </c>
      <c r="D314" t="s">
        <v>20</v>
      </c>
      <c r="E314" s="9">
        <f>INDEX(Table1[],MATCH(Proj[[#This Row],[Player]],Table1[Player],0),5)</f>
        <v>12.5</v>
      </c>
      <c r="F314" s="9">
        <f>_xlfn.IFNA(INDEX(Table2[],MATCH(Proj[[#This Row],[Player]],Table2[Player],0),5),0)</f>
        <v>1.25</v>
      </c>
      <c r="G314" s="9">
        <f>_xlfn.IFNA(INDEX(Table3[],MATCH(Proj[[#This Row],[Player]],Table3[Player],0),5),0)</f>
        <v>0</v>
      </c>
      <c r="H314" s="10">
        <v>76</v>
      </c>
      <c r="I314">
        <v>76</v>
      </c>
      <c r="J314" s="9">
        <v>12.5</v>
      </c>
      <c r="K314" s="9">
        <v>1.25</v>
      </c>
      <c r="L314" s="9">
        <v>0</v>
      </c>
      <c r="M314" s="9">
        <f>Proj[[#This Row],[TOI ES]]+Proj[[#This Row],[TOI PP]]+Proj[[#This Row],[TOI PK]]</f>
        <v>13.75</v>
      </c>
      <c r="N3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14">
        <f>Proj[[#This Row],[Goals]]+Proj[[#This Row],[Assists]]</f>
        <v>33</v>
      </c>
      <c r="Q314" s="10">
        <f>ROUND(_xlfn.IFNA(INDEX(Table2[],MATCH(Proj[[#This Row],[Player]],Table2[Player],0),11)/60,IF(Proj[[#This Row],[Pos]] = "D", 'Per 60 PP'!$K$527,'Per 60 PP'!$K$526)/60)*Proj[[#This Row],[TOI PP]]*Proj[[#This Row],[GP]],0)</f>
        <v>2</v>
      </c>
      <c r="R314" s="10">
        <f>ROUND(_xlfn.IFNA(INDEX(Table2[],MATCH(Proj[[#This Row],[Player]],Table2[Player],0),7)/60,IF(Proj[[#This Row],[Pos]] = "D", 'Per 60 PP'!$G$527,'Per 60 PP'!$G$526)/60)*Proj[[#This Row],[TOI PP]]*Proj[[#This Row],[GP]],0)</f>
        <v>3</v>
      </c>
      <c r="S314" s="10">
        <f>Proj[[#This Row],[PPG]]+Proj[[#This Row],[PPA]]</f>
        <v>5</v>
      </c>
      <c r="T314">
        <f>ROUND((_xlfn.IFNA(INDEX(Table3[],MATCH(Proj[[#This Row],[Player]],Table3[Player],0),6)/60,IF(Proj[[#This Row],[Pos]] ="D", 'Per 60 PK'!$F$623, 'Per 60 PK'!$F$622)/60)+_xlfn.IFNA(INDEX(Table3[],MATCH(Proj[[#This Row],[Player]],Table3[Player],0),8)/60,IF(Proj[[#This Row],[Pos]] ="D", 'Per 60 PK'!$H$623, 'Per 60 PK'!$H$622)/60))*Proj[[#This Row],[TOI PK]]*Proj[[#This Row],[GP]],0)</f>
        <v>0</v>
      </c>
      <c r="U3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115</v>
      </c>
      <c r="V3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3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3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69</v>
      </c>
      <c r="Y3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78</v>
      </c>
      <c r="Z3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3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-483.3703029393032</v>
      </c>
      <c r="AB314" s="10">
        <f>_xlfn.RANK.EQ(Proj[[#This Row],[VOR]],Proj[VOR])</f>
        <v>414</v>
      </c>
      <c r="AC314" s="10">
        <f>INDEX(Std[],MATCH(Proj[[#This Row],[Player]],Std[Player],0),20)</f>
        <v>-36.825578549054342</v>
      </c>
      <c r="AD3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336.35</v>
      </c>
    </row>
    <row r="315" spans="1:30" x14ac:dyDescent="0.25">
      <c r="A315" t="s">
        <v>548</v>
      </c>
      <c r="B315">
        <v>36</v>
      </c>
      <c r="C315" t="s">
        <v>74</v>
      </c>
      <c r="D315" t="s">
        <v>34</v>
      </c>
      <c r="E315" s="9">
        <f>INDEX(Table1[],MATCH(Proj[[#This Row],[Player]],Table1[Player],0),5)</f>
        <v>13.1543529053494</v>
      </c>
      <c r="F315" s="9">
        <f>_xlfn.IFNA(INDEX(Table2[],MATCH(Proj[[#This Row],[Player]],Table2[Player],0),5),0)</f>
        <v>0</v>
      </c>
      <c r="G315" s="9">
        <f>_xlfn.IFNA(INDEX(Table3[],MATCH(Proj[[#This Row],[Player]],Table3[Player],0),5),0)</f>
        <v>2.17</v>
      </c>
      <c r="H315" s="10">
        <v>80</v>
      </c>
      <c r="I315">
        <v>80</v>
      </c>
      <c r="J315" s="9">
        <v>13.1543529053494</v>
      </c>
      <c r="K315" s="9">
        <v>0</v>
      </c>
      <c r="L315" s="9">
        <v>2.17</v>
      </c>
      <c r="M315" s="9">
        <f>Proj[[#This Row],[TOI ES]]+Proj[[#This Row],[TOI PP]]+Proj[[#This Row],[TOI PK]]</f>
        <v>15.3243529053494</v>
      </c>
      <c r="N3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15" s="10">
        <f>Proj[[#This Row],[Goals]]+Proj[[#This Row],[Assists]]</f>
        <v>33</v>
      </c>
      <c r="Q315" s="10">
        <f>ROUND(_xlfn.IFNA(INDEX(Table2[],MATCH(Proj[[#This Row],[Player]],Table2[Player],0),11)/60,IF(Proj[[#This Row],[Pos]] = "D", 'Per 60 PP'!$K$527,'Per 60 PP'!$K$526)/60)*Proj[[#This Row],[TOI PP]]*Proj[[#This Row],[GP]],0)</f>
        <v>0</v>
      </c>
      <c r="R315" s="10">
        <f>ROUND(_xlfn.IFNA(INDEX(Table2[],MATCH(Proj[[#This Row],[Player]],Table2[Player],0),7)/60,IF(Proj[[#This Row],[Pos]] = "D", 'Per 60 PP'!$G$527,'Per 60 PP'!$G$526)/60)*Proj[[#This Row],[TOI PP]]*Proj[[#This Row],[GP]],0)</f>
        <v>0</v>
      </c>
      <c r="S315" s="10">
        <f>Proj[[#This Row],[PPG]]+Proj[[#This Row],[PPA]]</f>
        <v>0</v>
      </c>
      <c r="T315">
        <f>ROUND((_xlfn.IFNA(INDEX(Table3[],MATCH(Proj[[#This Row],[Player]],Table3[Player],0),6)/60,IF(Proj[[#This Row],[Pos]] ="D", 'Per 60 PK'!$F$623, 'Per 60 PK'!$F$622)/60)+_xlfn.IFNA(INDEX(Table3[],MATCH(Proj[[#This Row],[Player]],Table3[Player],0),8)/60,IF(Proj[[#This Row],[Pos]] ="D", 'Per 60 PK'!$H$623, 'Per 60 PK'!$H$622)/60))*Proj[[#This Row],[TOI PK]]*Proj[[#This Row],[GP]],0)</f>
        <v>3</v>
      </c>
      <c r="U3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131</v>
      </c>
      <c r="V3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3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3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753</v>
      </c>
      <c r="Y3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555</v>
      </c>
      <c r="Z3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3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-459.78769050532605</v>
      </c>
      <c r="AB315" s="10">
        <f>_xlfn.RANK.EQ(Proj[[#This Row],[VOR]],Proj[VOR])</f>
        <v>402</v>
      </c>
      <c r="AC315" s="10">
        <f>INDEX(Std[],MATCH(Proj[[#This Row],[Player]],Std[Player],0),20)</f>
        <v>274.84616380497255</v>
      </c>
      <c r="AD3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408.05</v>
      </c>
    </row>
    <row r="316" spans="1:30" x14ac:dyDescent="0.25">
      <c r="A316" t="s">
        <v>454</v>
      </c>
      <c r="B316">
        <v>25</v>
      </c>
      <c r="C316" t="s">
        <v>3</v>
      </c>
      <c r="D316" t="s">
        <v>10</v>
      </c>
      <c r="E316" s="9">
        <f>INDEX(Table1[],MATCH(Proj[[#This Row],[Player]],Table1[Player],0),5)</f>
        <v>19.294015242055899</v>
      </c>
      <c r="F316" s="9">
        <f>_xlfn.IFNA(INDEX(Table2[],MATCH(Proj[[#This Row],[Player]],Table2[Player],0),5),0)</f>
        <v>0.7</v>
      </c>
      <c r="G316" s="9">
        <f>_xlfn.IFNA(INDEX(Table3[],MATCH(Proj[[#This Row],[Player]],Table3[Player],0),5),0)</f>
        <v>1.88</v>
      </c>
      <c r="H316" s="10">
        <v>82</v>
      </c>
      <c r="I316">
        <v>82</v>
      </c>
      <c r="J316" s="9">
        <v>19.294015242055899</v>
      </c>
      <c r="K316" s="9">
        <v>0.7</v>
      </c>
      <c r="L316" s="9">
        <v>1.88</v>
      </c>
      <c r="M316" s="9">
        <f>Proj[[#This Row],[TOI ES]]+Proj[[#This Row],[TOI PP]]+Proj[[#This Row],[TOI PK]]</f>
        <v>21.874015242055897</v>
      </c>
      <c r="N3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3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316">
        <f>Proj[[#This Row],[Goals]]+Proj[[#This Row],[Assists]]</f>
        <v>33</v>
      </c>
      <c r="Q316" s="10">
        <f>ROUND(_xlfn.IFNA(INDEX(Table2[],MATCH(Proj[[#This Row],[Player]],Table2[Player],0),11)/60,IF(Proj[[#This Row],[Pos]] = "D", 'Per 60 PP'!$K$527,'Per 60 PP'!$K$526)/60)*Proj[[#This Row],[TOI PP]]*Proj[[#This Row],[GP]],0)</f>
        <v>0</v>
      </c>
      <c r="R316" s="10">
        <f>ROUND(_xlfn.IFNA(INDEX(Table2[],MATCH(Proj[[#This Row],[Player]],Table2[Player],0),7)/60,IF(Proj[[#This Row],[Pos]] = "D", 'Per 60 PP'!$G$527,'Per 60 PP'!$G$526)/60)*Proj[[#This Row],[TOI PP]]*Proj[[#This Row],[GP]],0)</f>
        <v>3</v>
      </c>
      <c r="S316" s="10">
        <f>Proj[[#This Row],[PPG]]+Proj[[#This Row],[PPA]]</f>
        <v>3</v>
      </c>
      <c r="T316">
        <f>ROUND((_xlfn.IFNA(INDEX(Table3[],MATCH(Proj[[#This Row],[Player]],Table3[Player],0),6)/60,IF(Proj[[#This Row],[Pos]] ="D", 'Per 60 PK'!$F$623, 'Per 60 PK'!$F$622)/60)+_xlfn.IFNA(INDEX(Table3[],MATCH(Proj[[#This Row],[Player]],Table3[Player],0),8)/60,IF(Proj[[#This Row],[Pos]] ="D", 'Per 60 PK'!$H$623, 'Per 60 PK'!$H$622)/60))*Proj[[#This Row],[TOI PK]]*Proj[[#This Row],[GP]],0)</f>
        <v>2</v>
      </c>
      <c r="U3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136</v>
      </c>
      <c r="V3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123</v>
      </c>
      <c r="W3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3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3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0</v>
      </c>
      <c r="AB316" s="10">
        <f>_xlfn.RANK.EQ(Proj[[#This Row],[VOR]],Proj[VOR])</f>
        <v>162</v>
      </c>
      <c r="AC316" s="10">
        <f>INDEX(Std[],MATCH(Proj[[#This Row],[Player]],Std[Player],0),20)</f>
        <v>107.36476771946448</v>
      </c>
      <c r="AD3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377.15000000000003</v>
      </c>
    </row>
    <row r="317" spans="1:30" x14ac:dyDescent="0.25">
      <c r="A317" t="s">
        <v>662</v>
      </c>
      <c r="B317">
        <v>28</v>
      </c>
      <c r="C317" t="s">
        <v>102</v>
      </c>
      <c r="D317" t="s">
        <v>29</v>
      </c>
      <c r="E317" s="9">
        <f>INDEX(Table1[],MATCH(Proj[[#This Row],[Player]],Table1[Player],0),5)</f>
        <v>11.732485059644</v>
      </c>
      <c r="F317" s="9">
        <f>_xlfn.IFNA(INDEX(Table2[],MATCH(Proj[[#This Row],[Player]],Table2[Player],0),5),0)</f>
        <v>1</v>
      </c>
      <c r="G317" s="9">
        <f>_xlfn.IFNA(INDEX(Table3[],MATCH(Proj[[#This Row],[Player]],Table3[Player],0),5),0)</f>
        <v>0</v>
      </c>
      <c r="H317" s="10">
        <v>74</v>
      </c>
      <c r="I317">
        <v>74</v>
      </c>
      <c r="J317" s="9">
        <v>11.732485059644</v>
      </c>
      <c r="K317" s="9">
        <v>1</v>
      </c>
      <c r="L317" s="9">
        <v>0</v>
      </c>
      <c r="M317" s="9">
        <f>Proj[[#This Row],[TOI ES]]+Proj[[#This Row],[TOI PP]]+Proj[[#This Row],[TOI PK]]</f>
        <v>12.732485059644</v>
      </c>
      <c r="N3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17" s="10">
        <f>Proj[[#This Row],[Goals]]+Proj[[#This Row],[Assists]]</f>
        <v>32</v>
      </c>
      <c r="Q317" s="10">
        <f>ROUND(_xlfn.IFNA(INDEX(Table2[],MATCH(Proj[[#This Row],[Player]],Table2[Player],0),11)/60,IF(Proj[[#This Row],[Pos]] = "D", 'Per 60 PP'!$K$527,'Per 60 PP'!$K$526)/60)*Proj[[#This Row],[TOI PP]]*Proj[[#This Row],[GP]],0)</f>
        <v>3</v>
      </c>
      <c r="R317" s="10">
        <f>ROUND(_xlfn.IFNA(INDEX(Table2[],MATCH(Proj[[#This Row],[Player]],Table2[Player],0),7)/60,IF(Proj[[#This Row],[Pos]] = "D", 'Per 60 PP'!$G$527,'Per 60 PP'!$G$526)/60)*Proj[[#This Row],[TOI PP]]*Proj[[#This Row],[GP]],0)</f>
        <v>2</v>
      </c>
      <c r="S317" s="10">
        <f>Proj[[#This Row],[PPG]]+Proj[[#This Row],[PPA]]</f>
        <v>5</v>
      </c>
      <c r="T317">
        <f>ROUND((_xlfn.IFNA(INDEX(Table3[],MATCH(Proj[[#This Row],[Player]],Table3[Player],0),6)/60,IF(Proj[[#This Row],[Pos]] ="D", 'Per 60 PK'!$F$623, 'Per 60 PK'!$F$622)/60)+_xlfn.IFNA(INDEX(Table3[],MATCH(Proj[[#This Row],[Player]],Table3[Player],0),8)/60,IF(Proj[[#This Row],[Pos]] ="D", 'Per 60 PK'!$H$623, 'Per 60 PK'!$H$622)/60))*Proj[[#This Row],[TOI PK]]*Proj[[#This Row],[GP]],0)</f>
        <v>0</v>
      </c>
      <c r="U3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3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3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3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3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v>
      </c>
      <c r="Z3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80</v>
      </c>
      <c r="AA3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-924.65235905476925</v>
      </c>
      <c r="AB317" s="10">
        <f>_xlfn.RANK.EQ(Proj[[#This Row],[VOR]],Proj[VOR])</f>
        <v>638</v>
      </c>
      <c r="AC317" s="10">
        <f>INDEX(Std[],MATCH(Proj[[#This Row],[Player]],Std[Player],0),20)</f>
        <v>-453.10763466452045</v>
      </c>
      <c r="AD3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238.05</v>
      </c>
    </row>
    <row r="318" spans="1:30" x14ac:dyDescent="0.25">
      <c r="A318" t="s">
        <v>523</v>
      </c>
      <c r="B318">
        <v>31</v>
      </c>
      <c r="C318" t="s">
        <v>1108</v>
      </c>
      <c r="D318" t="s">
        <v>9</v>
      </c>
      <c r="E318" s="9">
        <f>INDEX(Table1[],MATCH(Proj[[#This Row],[Player]],Table1[Player],0),5)</f>
        <v>12.4320727602805</v>
      </c>
      <c r="F318" s="9">
        <f>_xlfn.IFNA(INDEX(Table2[],MATCH(Proj[[#This Row],[Player]],Table2[Player],0),5),0)</f>
        <v>1.61</v>
      </c>
      <c r="G318" s="9">
        <f>_xlfn.IFNA(INDEX(Table3[],MATCH(Proj[[#This Row],[Player]],Table3[Player],0),5),0)</f>
        <v>1.47</v>
      </c>
      <c r="H318" s="10">
        <v>79</v>
      </c>
      <c r="I318">
        <v>79</v>
      </c>
      <c r="J318" s="9">
        <v>12.4320727602805</v>
      </c>
      <c r="K318" s="9">
        <v>1.61</v>
      </c>
      <c r="L318" s="9">
        <v>1.47</v>
      </c>
      <c r="M318" s="9">
        <f>Proj[[#This Row],[TOI ES]]+Proj[[#This Row],[TOI PP]]+Proj[[#This Row],[TOI PK]]</f>
        <v>15.5120727602805</v>
      </c>
      <c r="N3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18" s="10">
        <f>Proj[[#This Row],[Goals]]+Proj[[#This Row],[Assists]]</f>
        <v>32</v>
      </c>
      <c r="Q318" s="10">
        <f>ROUND(_xlfn.IFNA(INDEX(Table2[],MATCH(Proj[[#This Row],[Player]],Table2[Player],0),11)/60,IF(Proj[[#This Row],[Pos]] = "D", 'Per 60 PP'!$K$527,'Per 60 PP'!$K$526)/60)*Proj[[#This Row],[TOI PP]]*Proj[[#This Row],[GP]],0)</f>
        <v>4</v>
      </c>
      <c r="R318" s="10">
        <f>ROUND(_xlfn.IFNA(INDEX(Table2[],MATCH(Proj[[#This Row],[Player]],Table2[Player],0),7)/60,IF(Proj[[#This Row],[Pos]] = "D", 'Per 60 PP'!$G$527,'Per 60 PP'!$G$526)/60)*Proj[[#This Row],[TOI PP]]*Proj[[#This Row],[GP]],0)</f>
        <v>2</v>
      </c>
      <c r="S318" s="10">
        <f>Proj[[#This Row],[PPG]]+Proj[[#This Row],[PPA]]</f>
        <v>6</v>
      </c>
      <c r="T318">
        <f>ROUND((_xlfn.IFNA(INDEX(Table3[],MATCH(Proj[[#This Row],[Player]],Table3[Player],0),6)/60,IF(Proj[[#This Row],[Pos]] ="D", 'Per 60 PK'!$F$623, 'Per 60 PK'!$F$622)/60)+_xlfn.IFNA(INDEX(Table3[],MATCH(Proj[[#This Row],[Player]],Table3[Player],0),8)/60,IF(Proj[[#This Row],[Pos]] ="D", 'Per 60 PK'!$H$623, 'Per 60 PK'!$H$622)/60))*Proj[[#This Row],[TOI PK]]*Proj[[#This Row],[GP]],0)</f>
        <v>1</v>
      </c>
      <c r="U3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3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3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3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3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v>
      </c>
      <c r="Z3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3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-708.35312071322778</v>
      </c>
      <c r="AB318" s="10">
        <f>_xlfn.RANK.EQ(Proj[[#This Row],[VOR]],Proj[VOR])</f>
        <v>529</v>
      </c>
      <c r="AC318" s="10">
        <f>INDEX(Std[],MATCH(Proj[[#This Row],[Player]],Std[Player],0),20)</f>
        <v>-261.80839632297887</v>
      </c>
      <c r="AD3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290.8</v>
      </c>
    </row>
    <row r="319" spans="1:30" x14ac:dyDescent="0.25">
      <c r="A319" t="s">
        <v>938</v>
      </c>
      <c r="B319">
        <v>35</v>
      </c>
      <c r="C319" t="s">
        <v>103</v>
      </c>
      <c r="D319" t="s">
        <v>17</v>
      </c>
      <c r="E319" s="9">
        <f>INDEX(Table1[],MATCH(Proj[[#This Row],[Player]],Table1[Player],0),5)</f>
        <v>12.4249391609886</v>
      </c>
      <c r="F319" s="9">
        <f>_xlfn.IFNA(INDEX(Table2[],MATCH(Proj[[#This Row],[Player]],Table2[Player],0),5),0)</f>
        <v>0.94</v>
      </c>
      <c r="G319" s="9">
        <f>_xlfn.IFNA(INDEX(Table3[],MATCH(Proj[[#This Row],[Player]],Table3[Player],0),5),0)</f>
        <v>0.54</v>
      </c>
      <c r="H319" s="10">
        <v>80</v>
      </c>
      <c r="I319">
        <v>80</v>
      </c>
      <c r="J319" s="9">
        <v>12.4249391609886</v>
      </c>
      <c r="K319" s="9">
        <v>0.94</v>
      </c>
      <c r="L319" s="9">
        <v>0.54</v>
      </c>
      <c r="M319" s="9">
        <f>Proj[[#This Row],[TOI ES]]+Proj[[#This Row],[TOI PP]]+Proj[[#This Row],[TOI PK]]</f>
        <v>13.904939160988601</v>
      </c>
      <c r="N3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19" s="10">
        <f>Proj[[#This Row],[Goals]]+Proj[[#This Row],[Assists]]</f>
        <v>32</v>
      </c>
      <c r="Q319" s="10">
        <f>ROUND(_xlfn.IFNA(INDEX(Table2[],MATCH(Proj[[#This Row],[Player]],Table2[Player],0),11)/60,IF(Proj[[#This Row],[Pos]] = "D", 'Per 60 PP'!$K$527,'Per 60 PP'!$K$526)/60)*Proj[[#This Row],[TOI PP]]*Proj[[#This Row],[GP]],0)</f>
        <v>1</v>
      </c>
      <c r="R319" s="10">
        <f>ROUND(_xlfn.IFNA(INDEX(Table2[],MATCH(Proj[[#This Row],[Player]],Table2[Player],0),7)/60,IF(Proj[[#This Row],[Pos]] = "D", 'Per 60 PP'!$G$527,'Per 60 PP'!$G$526)/60)*Proj[[#This Row],[TOI PP]]*Proj[[#This Row],[GP]],0)</f>
        <v>2</v>
      </c>
      <c r="S319" s="10">
        <f>Proj[[#This Row],[PPG]]+Proj[[#This Row],[PPA]]</f>
        <v>3</v>
      </c>
      <c r="T319">
        <f>ROUND((_xlfn.IFNA(INDEX(Table3[],MATCH(Proj[[#This Row],[Player]],Table3[Player],0),6)/60,IF(Proj[[#This Row],[Pos]] ="D", 'Per 60 PK'!$F$623, 'Per 60 PK'!$F$622)/60)+_xlfn.IFNA(INDEX(Table3[],MATCH(Proj[[#This Row],[Player]],Table3[Player],0),8)/60,IF(Proj[[#This Row],[Pos]] ="D", 'Per 60 PK'!$H$623, 'Per 60 PK'!$H$622)/60))*Proj[[#This Row],[TOI PK]]*Proj[[#This Row],[GP]],0)</f>
        <v>0</v>
      </c>
      <c r="U3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3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3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3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3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3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114</v>
      </c>
      <c r="AA3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-797.13117366213942</v>
      </c>
      <c r="AB319" s="10">
        <f>_xlfn.RANK.EQ(Proj[[#This Row],[VOR]],Proj[VOR])</f>
        <v>586</v>
      </c>
      <c r="AC319" s="10">
        <f>INDEX(Std[],MATCH(Proj[[#This Row],[Player]],Std[Player],0),20)</f>
        <v>-350.5864492718905</v>
      </c>
      <c r="AD3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268.99999999999994</v>
      </c>
    </row>
    <row r="320" spans="1:30" x14ac:dyDescent="0.25">
      <c r="A320" t="s">
        <v>638</v>
      </c>
      <c r="B320">
        <v>28</v>
      </c>
      <c r="C320" t="s">
        <v>74</v>
      </c>
      <c r="D320" t="s">
        <v>8</v>
      </c>
      <c r="E320" s="9">
        <f>INDEX(Table1[],MATCH(Proj[[#This Row],[Player]],Table1[Player],0),5)</f>
        <v>12.529679633768399</v>
      </c>
      <c r="F320" s="9">
        <f>_xlfn.IFNA(INDEX(Table2[],MATCH(Proj[[#This Row],[Player]],Table2[Player],0),5),0)</f>
        <v>1.67</v>
      </c>
      <c r="G320" s="9">
        <f>_xlfn.IFNA(INDEX(Table3[],MATCH(Proj[[#This Row],[Player]],Table3[Player],0),5),0)</f>
        <v>1.42</v>
      </c>
      <c r="H320" s="10">
        <v>75</v>
      </c>
      <c r="I320">
        <v>75</v>
      </c>
      <c r="J320" s="9">
        <v>12.529679633768399</v>
      </c>
      <c r="K320" s="9">
        <v>1.67</v>
      </c>
      <c r="L320" s="9">
        <v>1.42</v>
      </c>
      <c r="M320" s="9">
        <f>Proj[[#This Row],[TOI ES]]+Proj[[#This Row],[TOI PP]]+Proj[[#This Row],[TOI PK]]</f>
        <v>15.619679633768399</v>
      </c>
      <c r="N3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20">
        <f>Proj[[#This Row],[Goals]]+Proj[[#This Row],[Assists]]</f>
        <v>32</v>
      </c>
      <c r="Q320" s="10">
        <f>ROUND(_xlfn.IFNA(INDEX(Table2[],MATCH(Proj[[#This Row],[Player]],Table2[Player],0),11)/60,IF(Proj[[#This Row],[Pos]] = "D", 'Per 60 PP'!$K$527,'Per 60 PP'!$K$526)/60)*Proj[[#This Row],[TOI PP]]*Proj[[#This Row],[GP]],0)</f>
        <v>2</v>
      </c>
      <c r="R320" s="10">
        <f>ROUND(_xlfn.IFNA(INDEX(Table2[],MATCH(Proj[[#This Row],[Player]],Table2[Player],0),7)/60,IF(Proj[[#This Row],[Pos]] = "D", 'Per 60 PP'!$G$527,'Per 60 PP'!$G$526)/60)*Proj[[#This Row],[TOI PP]]*Proj[[#This Row],[GP]],0)</f>
        <v>4</v>
      </c>
      <c r="S320" s="10">
        <f>Proj[[#This Row],[PPG]]+Proj[[#This Row],[PPA]]</f>
        <v>6</v>
      </c>
      <c r="T320">
        <f>ROUND((_xlfn.IFNA(INDEX(Table3[],MATCH(Proj[[#This Row],[Player]],Table3[Player],0),6)/60,IF(Proj[[#This Row],[Pos]] ="D", 'Per 60 PK'!$F$623, 'Per 60 PK'!$F$622)/60)+_xlfn.IFNA(INDEX(Table3[],MATCH(Proj[[#This Row],[Player]],Table3[Player],0),8)/60,IF(Proj[[#This Row],[Pos]] ="D", 'Per 60 PK'!$H$623, 'Per 60 PK'!$H$622)/60))*Proj[[#This Row],[TOI PK]]*Proj[[#This Row],[GP]],0)</f>
        <v>1</v>
      </c>
      <c r="U3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3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3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3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230</v>
      </c>
      <c r="Y3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242</v>
      </c>
      <c r="Z3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3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-933.49693503536469</v>
      </c>
      <c r="AB320" s="10">
        <f>_xlfn.RANK.EQ(Proj[[#This Row],[VOR]],Proj[VOR])</f>
        <v>640</v>
      </c>
      <c r="AC320" s="10">
        <f>INDEX(Std[],MATCH(Proj[[#This Row],[Player]],Std[Player],0),20)</f>
        <v>-198.86308072506614</v>
      </c>
      <c r="AD3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297.45</v>
      </c>
    </row>
    <row r="321" spans="1:30" x14ac:dyDescent="0.25">
      <c r="A321" t="s">
        <v>700</v>
      </c>
      <c r="B321">
        <v>28</v>
      </c>
      <c r="C321" t="s">
        <v>3</v>
      </c>
      <c r="D321" t="s">
        <v>154</v>
      </c>
      <c r="E321" s="9">
        <f>INDEX(Table1[],MATCH(Proj[[#This Row],[Player]],Table1[Player],0),5)</f>
        <v>17.5</v>
      </c>
      <c r="F321" s="9">
        <f>_xlfn.IFNA(INDEX(Table2[],MATCH(Proj[[#This Row],[Player]],Table2[Player],0),5),0)</f>
        <v>2</v>
      </c>
      <c r="G321" s="9">
        <f>_xlfn.IFNA(INDEX(Table3[],MATCH(Proj[[#This Row],[Player]],Table3[Player],0),5),0)</f>
        <v>2.34</v>
      </c>
      <c r="H321" s="10">
        <v>76</v>
      </c>
      <c r="I321">
        <v>76</v>
      </c>
      <c r="J321" s="9">
        <v>17.5</v>
      </c>
      <c r="K321" s="9">
        <v>2</v>
      </c>
      <c r="L321" s="9">
        <v>2.34</v>
      </c>
      <c r="M321" s="9">
        <f>Proj[[#This Row],[TOI ES]]+Proj[[#This Row],[TOI PP]]+Proj[[#This Row],[TOI PK]]</f>
        <v>21.84</v>
      </c>
      <c r="N3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3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321" s="10">
        <f>Proj[[#This Row],[Goals]]+Proj[[#This Row],[Assists]]</f>
        <v>32</v>
      </c>
      <c r="Q321" s="10">
        <f>ROUND(_xlfn.IFNA(INDEX(Table2[],MATCH(Proj[[#This Row],[Player]],Table2[Player],0),11)/60,IF(Proj[[#This Row],[Pos]] = "D", 'Per 60 PP'!$K$527,'Per 60 PP'!$K$526)/60)*Proj[[#This Row],[TOI PP]]*Proj[[#This Row],[GP]],0)</f>
        <v>2</v>
      </c>
      <c r="R321" s="10">
        <f>ROUND(_xlfn.IFNA(INDEX(Table2[],MATCH(Proj[[#This Row],[Player]],Table2[Player],0),7)/60,IF(Proj[[#This Row],[Pos]] = "D", 'Per 60 PP'!$G$527,'Per 60 PP'!$G$526)/60)*Proj[[#This Row],[TOI PP]]*Proj[[#This Row],[GP]],0)</f>
        <v>8</v>
      </c>
      <c r="S321" s="10">
        <f>Proj[[#This Row],[PPG]]+Proj[[#This Row],[PPA]]</f>
        <v>10</v>
      </c>
      <c r="T321">
        <f>ROUND((_xlfn.IFNA(INDEX(Table3[],MATCH(Proj[[#This Row],[Player]],Table3[Player],0),6)/60,IF(Proj[[#This Row],[Pos]] ="D", 'Per 60 PK'!$F$623, 'Per 60 PK'!$F$622)/60)+_xlfn.IFNA(INDEX(Table3[],MATCH(Proj[[#This Row],[Player]],Table3[Player],0),8)/60,IF(Proj[[#This Row],[Pos]] ="D", 'Per 60 PK'!$H$623, 'Per 60 PK'!$H$622)/60))*Proj[[#This Row],[TOI PK]]*Proj[[#This Row],[GP]],0)</f>
        <v>1</v>
      </c>
      <c r="U3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57</v>
      </c>
      <c r="V3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168</v>
      </c>
      <c r="W3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3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159</v>
      </c>
      <c r="AA3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140.1481737987348</v>
      </c>
      <c r="AB321" s="10">
        <f>_xlfn.RANK.EQ(Proj[[#This Row],[VOR]],Proj[VOR])</f>
        <v>116</v>
      </c>
      <c r="AC321" s="10">
        <f>INDEX(Std[],MATCH(Proj[[#This Row],[Player]],Std[Player],0),20)</f>
        <v>247.51294151819928</v>
      </c>
      <c r="AD3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392.65</v>
      </c>
    </row>
    <row r="322" spans="1:30" x14ac:dyDescent="0.25">
      <c r="A322" t="s">
        <v>1164</v>
      </c>
      <c r="B322">
        <v>25</v>
      </c>
      <c r="C322" t="s">
        <v>103</v>
      </c>
      <c r="D322" t="s">
        <v>25</v>
      </c>
      <c r="E322" s="9">
        <f>INDEX(Table1[],MATCH(Proj[[#This Row],[Player]],Table1[Player],0),5)</f>
        <v>10.7113335044411</v>
      </c>
      <c r="F322" s="9">
        <f>_xlfn.IFNA(INDEX(Table2[],MATCH(Proj[[#This Row],[Player]],Table2[Player],0),5),0)</f>
        <v>1.69</v>
      </c>
      <c r="G322" s="9">
        <f>_xlfn.IFNA(INDEX(Table3[],MATCH(Proj[[#This Row],[Player]],Table3[Player],0),5),0)</f>
        <v>0</v>
      </c>
      <c r="H322" s="10">
        <v>76</v>
      </c>
      <c r="I322">
        <v>76</v>
      </c>
      <c r="J322" s="9">
        <v>10.7113335044411</v>
      </c>
      <c r="K322" s="9">
        <v>1.69</v>
      </c>
      <c r="L322" s="9">
        <v>0</v>
      </c>
      <c r="M322" s="9">
        <f>Proj[[#This Row],[TOI ES]]+Proj[[#This Row],[TOI PP]]+Proj[[#This Row],[TOI PK]]</f>
        <v>12.4013335044411</v>
      </c>
      <c r="N3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3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322" s="10">
        <f>Proj[[#This Row],[Goals]]+Proj[[#This Row],[Assists]]</f>
        <v>32</v>
      </c>
      <c r="Q322" s="10">
        <f>ROUND(_xlfn.IFNA(INDEX(Table2[],MATCH(Proj[[#This Row],[Player]],Table2[Player],0),11)/60,IF(Proj[[#This Row],[Pos]] = "D", 'Per 60 PP'!$K$527,'Per 60 PP'!$K$526)/60)*Proj[[#This Row],[TOI PP]]*Proj[[#This Row],[GP]],0)</f>
        <v>3</v>
      </c>
      <c r="R322" s="10">
        <f>ROUND(_xlfn.IFNA(INDEX(Table2[],MATCH(Proj[[#This Row],[Player]],Table2[Player],0),7)/60,IF(Proj[[#This Row],[Pos]] = "D", 'Per 60 PP'!$G$527,'Per 60 PP'!$G$526)/60)*Proj[[#This Row],[TOI PP]]*Proj[[#This Row],[GP]],0)</f>
        <v>5</v>
      </c>
      <c r="S322" s="10">
        <f>Proj[[#This Row],[PPG]]+Proj[[#This Row],[PPA]]</f>
        <v>8</v>
      </c>
      <c r="T322">
        <f>ROUND((_xlfn.IFNA(INDEX(Table3[],MATCH(Proj[[#This Row],[Player]],Table3[Player],0),6)/60,IF(Proj[[#This Row],[Pos]] ="D", 'Per 60 PK'!$F$623, 'Per 60 PK'!$F$622)/60)+_xlfn.IFNA(INDEX(Table3[],MATCH(Proj[[#This Row],[Player]],Table3[Player],0),8)/60,IF(Proj[[#This Row],[Pos]] ="D", 'Per 60 PK'!$H$623, 'Per 60 PK'!$H$622)/60))*Proj[[#This Row],[TOI PK]]*Proj[[#This Row],[GP]],0)</f>
        <v>0</v>
      </c>
      <c r="U3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3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3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3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v>
      </c>
      <c r="Y3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v>
      </c>
      <c r="Z3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132</v>
      </c>
      <c r="AA3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-668.26903540008163</v>
      </c>
      <c r="AB322" s="10">
        <f>_xlfn.RANK.EQ(Proj[[#This Row],[VOR]],Proj[VOR])</f>
        <v>511</v>
      </c>
      <c r="AC322" s="10">
        <f>INDEX(Std[],MATCH(Proj[[#This Row],[Player]],Std[Player],0),20)</f>
        <v>-221.72431100983277</v>
      </c>
      <c r="AD3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295.05</v>
      </c>
    </row>
    <row r="323" spans="1:30" x14ac:dyDescent="0.25">
      <c r="A323" t="s">
        <v>916</v>
      </c>
      <c r="B323">
        <v>25</v>
      </c>
      <c r="C323" t="s">
        <v>102</v>
      </c>
      <c r="D323" t="s">
        <v>32</v>
      </c>
      <c r="E323" s="9">
        <f>INDEX(Table1[],MATCH(Proj[[#This Row],[Player]],Table1[Player],0),5)</f>
        <v>11.864892571683701</v>
      </c>
      <c r="F323" s="9">
        <f>_xlfn.IFNA(INDEX(Table2[],MATCH(Proj[[#This Row],[Player]],Table2[Player],0),5),0)</f>
        <v>1.1299999999999999</v>
      </c>
      <c r="G323" s="9">
        <f>_xlfn.IFNA(INDEX(Table3[],MATCH(Proj[[#This Row],[Player]],Table3[Player],0),5),0)</f>
        <v>1.6</v>
      </c>
      <c r="H323" s="10">
        <v>79</v>
      </c>
      <c r="I323">
        <v>79</v>
      </c>
      <c r="J323" s="9">
        <v>11.864892571683701</v>
      </c>
      <c r="K323" s="9">
        <v>1.1299999999999999</v>
      </c>
      <c r="L323" s="9">
        <v>1.6</v>
      </c>
      <c r="M323" s="9">
        <f>Proj[[#This Row],[TOI ES]]+Proj[[#This Row],[TOI PP]]+Proj[[#This Row],[TOI PK]]</f>
        <v>14.594892571683699</v>
      </c>
      <c r="N3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323">
        <f>Proj[[#This Row],[Goals]]+Proj[[#This Row],[Assists]]</f>
        <v>32</v>
      </c>
      <c r="Q323" s="10">
        <f>ROUND(_xlfn.IFNA(INDEX(Table2[],MATCH(Proj[[#This Row],[Player]],Table2[Player],0),11)/60,IF(Proj[[#This Row],[Pos]] = "D", 'Per 60 PP'!$K$527,'Per 60 PP'!$K$526)/60)*Proj[[#This Row],[TOI PP]]*Proj[[#This Row],[GP]],0)</f>
        <v>2</v>
      </c>
      <c r="R323" s="10">
        <f>ROUND(_xlfn.IFNA(INDEX(Table2[],MATCH(Proj[[#This Row],[Player]],Table2[Player],0),7)/60,IF(Proj[[#This Row],[Pos]] = "D", 'Per 60 PP'!$G$527,'Per 60 PP'!$G$526)/60)*Proj[[#This Row],[TOI PP]]*Proj[[#This Row],[GP]],0)</f>
        <v>2</v>
      </c>
      <c r="S323" s="10">
        <f>Proj[[#This Row],[PPG]]+Proj[[#This Row],[PPA]]</f>
        <v>4</v>
      </c>
      <c r="T323">
        <f>ROUND((_xlfn.IFNA(INDEX(Table3[],MATCH(Proj[[#This Row],[Player]],Table3[Player],0),6)/60,IF(Proj[[#This Row],[Pos]] ="D", 'Per 60 PK'!$F$623, 'Per 60 PK'!$F$622)/60)+_xlfn.IFNA(INDEX(Table3[],MATCH(Proj[[#This Row],[Player]],Table3[Player],0),8)/60,IF(Proj[[#This Row],[Pos]] ="D", 'Per 60 PK'!$H$623, 'Per 60 PK'!$H$622)/60))*Proj[[#This Row],[TOI PK]]*Proj[[#This Row],[GP]],0)</f>
        <v>2</v>
      </c>
      <c r="U3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3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3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3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202</v>
      </c>
      <c r="Y3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257</v>
      </c>
      <c r="Z3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3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-671.50702451150266</v>
      </c>
      <c r="AB323" s="10">
        <f>_xlfn.RANK.EQ(Proj[[#This Row],[VOR]],Proj[VOR])</f>
        <v>514</v>
      </c>
      <c r="AC323" s="10">
        <f>INDEX(Std[],MATCH(Proj[[#This Row],[Player]],Std[Player],0),20)</f>
        <v>-199.96230012125383</v>
      </c>
      <c r="AD3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305.09999999999997</v>
      </c>
    </row>
    <row r="324" spans="1:30" x14ac:dyDescent="0.25">
      <c r="A324" t="s">
        <v>348</v>
      </c>
      <c r="B324">
        <v>33</v>
      </c>
      <c r="C324" t="s">
        <v>3</v>
      </c>
      <c r="D324" t="s">
        <v>30</v>
      </c>
      <c r="E324" s="9">
        <f>INDEX(Table1[],MATCH(Proj[[#This Row],[Player]],Table1[Player],0),5)</f>
        <v>15.3302799509515</v>
      </c>
      <c r="F324" s="9">
        <f>_xlfn.IFNA(INDEX(Table2[],MATCH(Proj[[#This Row],[Player]],Table2[Player],0),5),0)</f>
        <v>1.83</v>
      </c>
      <c r="G324" s="9">
        <f>_xlfn.IFNA(INDEX(Table3[],MATCH(Proj[[#This Row],[Player]],Table3[Player],0),5),0)</f>
        <v>1.37</v>
      </c>
      <c r="H324" s="10">
        <v>79</v>
      </c>
      <c r="I324">
        <v>79</v>
      </c>
      <c r="J324" s="9">
        <v>15.3302799509515</v>
      </c>
      <c r="K324" s="9">
        <v>1.83</v>
      </c>
      <c r="L324" s="9">
        <v>1.37</v>
      </c>
      <c r="M324" s="9">
        <f>Proj[[#This Row],[TOI ES]]+Proj[[#This Row],[TOI PP]]+Proj[[#This Row],[TOI PK]]</f>
        <v>18.530279950951499</v>
      </c>
      <c r="N3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324" s="10">
        <f>Proj[[#This Row],[Goals]]+Proj[[#This Row],[Assists]]</f>
        <v>32</v>
      </c>
      <c r="Q324" s="10">
        <f>ROUND(_xlfn.IFNA(INDEX(Table2[],MATCH(Proj[[#This Row],[Player]],Table2[Player],0),11)/60,IF(Proj[[#This Row],[Pos]] = "D", 'Per 60 PP'!$K$527,'Per 60 PP'!$K$526)/60)*Proj[[#This Row],[TOI PP]]*Proj[[#This Row],[GP]],0)</f>
        <v>1</v>
      </c>
      <c r="R324" s="10">
        <f>ROUND(_xlfn.IFNA(INDEX(Table2[],MATCH(Proj[[#This Row],[Player]],Table2[Player],0),7)/60,IF(Proj[[#This Row],[Pos]] = "D", 'Per 60 PP'!$G$527,'Per 60 PP'!$G$526)/60)*Proj[[#This Row],[TOI PP]]*Proj[[#This Row],[GP]],0)</f>
        <v>10</v>
      </c>
      <c r="S324" s="10">
        <f>Proj[[#This Row],[PPG]]+Proj[[#This Row],[PPA]]</f>
        <v>11</v>
      </c>
      <c r="T324">
        <f>ROUND((_xlfn.IFNA(INDEX(Table3[],MATCH(Proj[[#This Row],[Player]],Table3[Player],0),6)/60,IF(Proj[[#This Row],[Pos]] ="D", 'Per 60 PK'!$F$623, 'Per 60 PK'!$F$622)/60)+_xlfn.IFNA(INDEX(Table3[],MATCH(Proj[[#This Row],[Player]],Table3[Player],0),8)/60,IF(Proj[[#This Row],[Pos]] ="D", 'Per 60 PK'!$H$623, 'Per 60 PK'!$H$622)/60))*Proj[[#This Row],[TOI PK]]*Proj[[#This Row],[GP]],0)</f>
        <v>0</v>
      </c>
      <c r="U3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3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75</v>
      </c>
      <c r="W3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3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3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-66.936891861311864</v>
      </c>
      <c r="AB324" s="10">
        <f>_xlfn.RANK.EQ(Proj[[#This Row],[VOR]],Proj[VOR])</f>
        <v>188</v>
      </c>
      <c r="AC324" s="10">
        <f>INDEX(Std[],MATCH(Proj[[#This Row],[Player]],Std[Player],0),20)</f>
        <v>40.427875858152618</v>
      </c>
      <c r="AD3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331.7</v>
      </c>
    </row>
    <row r="325" spans="1:30" x14ac:dyDescent="0.25">
      <c r="A325" t="s">
        <v>1001</v>
      </c>
      <c r="B325">
        <v>23</v>
      </c>
      <c r="C325" t="s">
        <v>102</v>
      </c>
      <c r="D325" t="s">
        <v>14</v>
      </c>
      <c r="E325" s="9">
        <f>INDEX(Table1[],MATCH(Proj[[#This Row],[Player]],Table1[Player],0),5)</f>
        <v>13.75</v>
      </c>
      <c r="F325" s="9">
        <f>_xlfn.IFNA(INDEX(Table2[],MATCH(Proj[[#This Row],[Player]],Table2[Player],0),5),0)</f>
        <v>1.51</v>
      </c>
      <c r="G325" s="9">
        <f>_xlfn.IFNA(INDEX(Table3[],MATCH(Proj[[#This Row],[Player]],Table3[Player],0),5),0)</f>
        <v>0</v>
      </c>
      <c r="H325" s="10">
        <v>78</v>
      </c>
      <c r="I325">
        <v>78</v>
      </c>
      <c r="J325" s="9">
        <v>13.75</v>
      </c>
      <c r="K325" s="9">
        <v>1.51</v>
      </c>
      <c r="L325" s="9">
        <v>0</v>
      </c>
      <c r="M325" s="9">
        <f>Proj[[#This Row],[TOI ES]]+Proj[[#This Row],[TOI PP]]+Proj[[#This Row],[TOI PK]]</f>
        <v>15.26</v>
      </c>
      <c r="N3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25" s="10">
        <f>Proj[[#This Row],[Goals]]+Proj[[#This Row],[Assists]]</f>
        <v>32</v>
      </c>
      <c r="Q325" s="10">
        <f>ROUND(_xlfn.IFNA(INDEX(Table2[],MATCH(Proj[[#This Row],[Player]],Table2[Player],0),11)/60,IF(Proj[[#This Row],[Pos]] = "D", 'Per 60 PP'!$K$527,'Per 60 PP'!$K$526)/60)*Proj[[#This Row],[TOI PP]]*Proj[[#This Row],[GP]],0)</f>
        <v>3</v>
      </c>
      <c r="R325" s="10">
        <f>ROUND(_xlfn.IFNA(INDEX(Table2[],MATCH(Proj[[#This Row],[Player]],Table2[Player],0),7)/60,IF(Proj[[#This Row],[Pos]] = "D", 'Per 60 PP'!$G$527,'Per 60 PP'!$G$526)/60)*Proj[[#This Row],[TOI PP]]*Proj[[#This Row],[GP]],0)</f>
        <v>4</v>
      </c>
      <c r="S325" s="10">
        <f>Proj[[#This Row],[PPG]]+Proj[[#This Row],[PPA]]</f>
        <v>7</v>
      </c>
      <c r="T325">
        <f>ROUND((_xlfn.IFNA(INDEX(Table3[],MATCH(Proj[[#This Row],[Player]],Table3[Player],0),6)/60,IF(Proj[[#This Row],[Pos]] ="D", 'Per 60 PK'!$F$623, 'Per 60 PK'!$F$622)/60)+_xlfn.IFNA(INDEX(Table3[],MATCH(Proj[[#This Row],[Player]],Table3[Player],0),8)/60,IF(Proj[[#This Row],[Pos]] ="D", 'Per 60 PK'!$H$623, 'Per 60 PK'!$H$622)/60))*Proj[[#This Row],[TOI PK]]*Proj[[#This Row],[GP]],0)</f>
        <v>0</v>
      </c>
      <c r="U3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202</v>
      </c>
      <c r="V3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3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65</v>
      </c>
      <c r="X3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86</v>
      </c>
      <c r="Y3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84</v>
      </c>
      <c r="Z3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3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-176.50264074439707</v>
      </c>
      <c r="AB325" s="10">
        <f>_xlfn.RANK.EQ(Proj[[#This Row],[VOR]],Proj[VOR])</f>
        <v>237</v>
      </c>
      <c r="AC325" s="10">
        <f>INDEX(Std[],MATCH(Proj[[#This Row],[Player]],Std[Player],0),20)</f>
        <v>295.04208364585179</v>
      </c>
      <c r="AD3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405.8</v>
      </c>
    </row>
    <row r="326" spans="1:30" x14ac:dyDescent="0.25">
      <c r="A326" t="s">
        <v>1150</v>
      </c>
      <c r="B326">
        <v>25</v>
      </c>
      <c r="C326" t="s">
        <v>105</v>
      </c>
      <c r="D326" t="s">
        <v>22</v>
      </c>
      <c r="E326" s="9">
        <f>INDEX(Table1[],MATCH(Proj[[#This Row],[Player]],Table1[Player],0),5)</f>
        <v>13</v>
      </c>
      <c r="F326" s="9">
        <f>_xlfn.IFNA(INDEX(Table2[],MATCH(Proj[[#This Row],[Player]],Table2[Player],0),5),0)</f>
        <v>0.5</v>
      </c>
      <c r="G326" s="9">
        <f>_xlfn.IFNA(INDEX(Table3[],MATCH(Proj[[#This Row],[Player]],Table3[Player],0),5),0)</f>
        <v>0</v>
      </c>
      <c r="H326" s="10">
        <v>76</v>
      </c>
      <c r="I326">
        <v>76</v>
      </c>
      <c r="J326" s="9">
        <v>13</v>
      </c>
      <c r="K326" s="9">
        <v>0.5</v>
      </c>
      <c r="L326" s="9">
        <v>0</v>
      </c>
      <c r="M326" s="9">
        <f>Proj[[#This Row],[TOI ES]]+Proj[[#This Row],[TOI PP]]+Proj[[#This Row],[TOI PK]]</f>
        <v>13.5</v>
      </c>
      <c r="N3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26" s="10">
        <f>Proj[[#This Row],[Goals]]+Proj[[#This Row],[Assists]]</f>
        <v>32</v>
      </c>
      <c r="Q326" s="10">
        <f>ROUND(_xlfn.IFNA(INDEX(Table2[],MATCH(Proj[[#This Row],[Player]],Table2[Player],0),11)/60,IF(Proj[[#This Row],[Pos]] = "D", 'Per 60 PP'!$K$527,'Per 60 PP'!$K$526)/60)*Proj[[#This Row],[TOI PP]]*Proj[[#This Row],[GP]],0)</f>
        <v>1</v>
      </c>
      <c r="R326" s="10">
        <f>ROUND(_xlfn.IFNA(INDEX(Table2[],MATCH(Proj[[#This Row],[Player]],Table2[Player],0),7)/60,IF(Proj[[#This Row],[Pos]] = "D", 'Per 60 PP'!$G$527,'Per 60 PP'!$G$526)/60)*Proj[[#This Row],[TOI PP]]*Proj[[#This Row],[GP]],0)</f>
        <v>1</v>
      </c>
      <c r="S326" s="10">
        <f>Proj[[#This Row],[PPG]]+Proj[[#This Row],[PPA]]</f>
        <v>2</v>
      </c>
      <c r="T326">
        <f>ROUND((_xlfn.IFNA(INDEX(Table3[],MATCH(Proj[[#This Row],[Player]],Table3[Player],0),6)/60,IF(Proj[[#This Row],[Pos]] ="D", 'Per 60 PK'!$F$623, 'Per 60 PK'!$F$622)/60)+_xlfn.IFNA(INDEX(Table3[],MATCH(Proj[[#This Row],[Player]],Table3[Player],0),8)/60,IF(Proj[[#This Row],[Pos]] ="D", 'Per 60 PK'!$H$623, 'Per 60 PK'!$H$622)/60))*Proj[[#This Row],[TOI PK]]*Proj[[#This Row],[GP]],0)</f>
        <v>0</v>
      </c>
      <c r="U3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260</v>
      </c>
      <c r="V3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3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121</v>
      </c>
      <c r="X3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50</v>
      </c>
      <c r="Y3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55</v>
      </c>
      <c r="Z3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150</v>
      </c>
      <c r="AA3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156.65115936068634</v>
      </c>
      <c r="AB326" s="10">
        <f>_xlfn.RANK.EQ(Proj[[#This Row],[VOR]],Proj[VOR])</f>
        <v>111</v>
      </c>
      <c r="AC326" s="10">
        <f>INDEX(Std[],MATCH(Proj[[#This Row],[Player]],Std[Player],0),20)</f>
        <v>603.1958837509352</v>
      </c>
      <c r="AD3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457.25</v>
      </c>
    </row>
    <row r="327" spans="1:30" x14ac:dyDescent="0.25">
      <c r="A327" t="s">
        <v>859</v>
      </c>
      <c r="B327">
        <v>22</v>
      </c>
      <c r="C327" t="s">
        <v>74</v>
      </c>
      <c r="D327" t="s">
        <v>23</v>
      </c>
      <c r="E327" s="9">
        <f>INDEX(Table1[],MATCH(Proj[[#This Row],[Player]],Table1[Player],0),5)</f>
        <v>11.606983817239801</v>
      </c>
      <c r="F327" s="9">
        <f>_xlfn.IFNA(INDEX(Table2[],MATCH(Proj[[#This Row],[Player]],Table2[Player],0),5),0)</f>
        <v>2.34</v>
      </c>
      <c r="G327" s="9">
        <f>_xlfn.IFNA(INDEX(Table3[],MATCH(Proj[[#This Row],[Player]],Table3[Player],0),5),0)</f>
        <v>0</v>
      </c>
      <c r="H327" s="10">
        <v>72</v>
      </c>
      <c r="I327">
        <v>72</v>
      </c>
      <c r="J327" s="9">
        <v>11.606983817239801</v>
      </c>
      <c r="K327" s="9">
        <v>2.34</v>
      </c>
      <c r="L327" s="9">
        <v>0</v>
      </c>
      <c r="M327" s="9">
        <f>Proj[[#This Row],[TOI ES]]+Proj[[#This Row],[TOI PP]]+Proj[[#This Row],[TOI PK]]</f>
        <v>13.946983817239801</v>
      </c>
      <c r="N3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327" s="10">
        <f>Proj[[#This Row],[Goals]]+Proj[[#This Row],[Assists]]</f>
        <v>31</v>
      </c>
      <c r="Q327" s="10">
        <f>ROUND(_xlfn.IFNA(INDEX(Table2[],MATCH(Proj[[#This Row],[Player]],Table2[Player],0),11)/60,IF(Proj[[#This Row],[Pos]] = "D", 'Per 60 PP'!$K$527,'Per 60 PP'!$K$526)/60)*Proj[[#This Row],[TOI PP]]*Proj[[#This Row],[GP]],0)</f>
        <v>3</v>
      </c>
      <c r="R327" s="10">
        <f>ROUND(_xlfn.IFNA(INDEX(Table2[],MATCH(Proj[[#This Row],[Player]],Table2[Player],0),7)/60,IF(Proj[[#This Row],[Pos]] = "D", 'Per 60 PP'!$G$527,'Per 60 PP'!$G$526)/60)*Proj[[#This Row],[TOI PP]]*Proj[[#This Row],[GP]],0)</f>
        <v>4</v>
      </c>
      <c r="S327" s="10">
        <f>Proj[[#This Row],[PPG]]+Proj[[#This Row],[PPA]]</f>
        <v>7</v>
      </c>
      <c r="T327">
        <f>ROUND((_xlfn.IFNA(INDEX(Table3[],MATCH(Proj[[#This Row],[Player]],Table3[Player],0),6)/60,IF(Proj[[#This Row],[Pos]] ="D", 'Per 60 PK'!$F$623, 'Per 60 PK'!$F$622)/60)+_xlfn.IFNA(INDEX(Table3[],MATCH(Proj[[#This Row],[Player]],Table3[Player],0),8)/60,IF(Proj[[#This Row],[Pos]] ="D", 'Per 60 PK'!$H$623, 'Per 60 PK'!$H$622)/60))*Proj[[#This Row],[TOI PK]]*Proj[[#This Row],[GP]],0)</f>
        <v>0</v>
      </c>
      <c r="U3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v>
      </c>
      <c r="V3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3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v>
      </c>
      <c r="Y3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44</v>
      </c>
      <c r="Z3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110</v>
      </c>
      <c r="AA3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-1137.317285566513</v>
      </c>
      <c r="AB327" s="10">
        <f>_xlfn.RANK.EQ(Proj[[#This Row],[VOR]],Proj[VOR])</f>
        <v>687</v>
      </c>
      <c r="AC327" s="10">
        <f>INDEX(Std[],MATCH(Proj[[#This Row],[Player]],Std[Player],0),20)</f>
        <v>-402.68343125621442</v>
      </c>
      <c r="AD3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245.25</v>
      </c>
    </row>
    <row r="328" spans="1:30" x14ac:dyDescent="0.25">
      <c r="A328" t="s">
        <v>381</v>
      </c>
      <c r="B328">
        <v>33</v>
      </c>
      <c r="C328" t="s">
        <v>3</v>
      </c>
      <c r="D328" t="s">
        <v>7</v>
      </c>
      <c r="E328" s="9">
        <f>INDEX(Table1[],MATCH(Proj[[#This Row],[Player]],Table1[Player],0),5)</f>
        <v>15.5268853104157</v>
      </c>
      <c r="F328" s="9">
        <f>_xlfn.IFNA(INDEX(Table2[],MATCH(Proj[[#This Row],[Player]],Table2[Player],0),5),0)</f>
        <v>2.77</v>
      </c>
      <c r="G328" s="9">
        <f>_xlfn.IFNA(INDEX(Table3[],MATCH(Proj[[#This Row],[Player]],Table3[Player],0),5),0)</f>
        <v>0.63</v>
      </c>
      <c r="H328" s="10">
        <v>64</v>
      </c>
      <c r="I328">
        <v>64</v>
      </c>
      <c r="J328" s="9">
        <v>15.5268853104157</v>
      </c>
      <c r="K328" s="9">
        <v>2.77</v>
      </c>
      <c r="L328" s="9">
        <v>0.63</v>
      </c>
      <c r="M328" s="9">
        <f>Proj[[#This Row],[TOI ES]]+Proj[[#This Row],[TOI PP]]+Proj[[#This Row],[TOI PK]]</f>
        <v>18.926885310415699</v>
      </c>
      <c r="N3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328" s="10">
        <f>Proj[[#This Row],[Goals]]+Proj[[#This Row],[Assists]]</f>
        <v>31</v>
      </c>
      <c r="Q328" s="10">
        <f>ROUND(_xlfn.IFNA(INDEX(Table2[],MATCH(Proj[[#This Row],[Player]],Table2[Player],0),11)/60,IF(Proj[[#This Row],[Pos]] = "D", 'Per 60 PP'!$K$527,'Per 60 PP'!$K$526)/60)*Proj[[#This Row],[TOI PP]]*Proj[[#This Row],[GP]],0)</f>
        <v>2</v>
      </c>
      <c r="R328" s="10">
        <f>ROUND(_xlfn.IFNA(INDEX(Table2[],MATCH(Proj[[#This Row],[Player]],Table2[Player],0),7)/60,IF(Proj[[#This Row],[Pos]] = "D", 'Per 60 PP'!$G$527,'Per 60 PP'!$G$526)/60)*Proj[[#This Row],[TOI PP]]*Proj[[#This Row],[GP]],0)</f>
        <v>12</v>
      </c>
      <c r="S328" s="10">
        <f>Proj[[#This Row],[PPG]]+Proj[[#This Row],[PPA]]</f>
        <v>14</v>
      </c>
      <c r="T328">
        <f>ROUND((_xlfn.IFNA(INDEX(Table3[],MATCH(Proj[[#This Row],[Player]],Table3[Player],0),6)/60,IF(Proj[[#This Row],[Pos]] ="D", 'Per 60 PK'!$F$623, 'Per 60 PK'!$F$622)/60)+_xlfn.IFNA(INDEX(Table3[],MATCH(Proj[[#This Row],[Player]],Table3[Player],0),8)/60,IF(Proj[[#This Row],[Pos]] ="D", 'Per 60 PK'!$H$623, 'Per 60 PK'!$H$622)/60))*Proj[[#This Row],[TOI PK]]*Proj[[#This Row],[GP]],0)</f>
        <v>1</v>
      </c>
      <c r="U3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24</v>
      </c>
      <c r="V3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79</v>
      </c>
      <c r="W3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3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3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-309.28383538105993</v>
      </c>
      <c r="AB328" s="10">
        <f>_xlfn.RANK.EQ(Proj[[#This Row],[VOR]],Proj[VOR])</f>
        <v>318</v>
      </c>
      <c r="AC328" s="10">
        <f>INDEX(Std[],MATCH(Proj[[#This Row],[Player]],Std[Player],0),20)</f>
        <v>-201.91906766159545</v>
      </c>
      <c r="AD3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276.75</v>
      </c>
    </row>
    <row r="329" spans="1:30" x14ac:dyDescent="0.25">
      <c r="A329" t="s">
        <v>1069</v>
      </c>
      <c r="B329">
        <v>23</v>
      </c>
      <c r="C329" t="s">
        <v>102</v>
      </c>
      <c r="D329" t="s">
        <v>30</v>
      </c>
      <c r="E329" s="9">
        <f>INDEX(Table1[],MATCH(Proj[[#This Row],[Player]],Table1[Player],0),5)</f>
        <v>10.8791241363691</v>
      </c>
      <c r="F329" s="9">
        <f>_xlfn.IFNA(INDEX(Table2[],MATCH(Proj[[#This Row],[Player]],Table2[Player],0),5),0)</f>
        <v>1.48</v>
      </c>
      <c r="G329" s="9">
        <f>_xlfn.IFNA(INDEX(Table3[],MATCH(Proj[[#This Row],[Player]],Table3[Player],0),5),0)</f>
        <v>0</v>
      </c>
      <c r="H329" s="10">
        <v>66</v>
      </c>
      <c r="I329">
        <v>66</v>
      </c>
      <c r="J329" s="9">
        <v>10.8791241363691</v>
      </c>
      <c r="K329" s="9">
        <v>1.48</v>
      </c>
      <c r="L329" s="9">
        <v>0</v>
      </c>
      <c r="M329" s="9">
        <f>Proj[[#This Row],[TOI ES]]+Proj[[#This Row],[TOI PP]]+Proj[[#This Row],[TOI PK]]</f>
        <v>12.3591241363691</v>
      </c>
      <c r="N3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29" s="10">
        <f>Proj[[#This Row],[Goals]]+Proj[[#This Row],[Assists]]</f>
        <v>31</v>
      </c>
      <c r="Q329" s="10">
        <f>ROUND(_xlfn.IFNA(INDEX(Table2[],MATCH(Proj[[#This Row],[Player]],Table2[Player],0),11)/60,IF(Proj[[#This Row],[Pos]] = "D", 'Per 60 PP'!$K$527,'Per 60 PP'!$K$526)/60)*Proj[[#This Row],[TOI PP]]*Proj[[#This Row],[GP]],0)</f>
        <v>2</v>
      </c>
      <c r="R329" s="10">
        <f>ROUND(_xlfn.IFNA(INDEX(Table2[],MATCH(Proj[[#This Row],[Player]],Table2[Player],0),7)/60,IF(Proj[[#This Row],[Pos]] = "D", 'Per 60 PP'!$G$527,'Per 60 PP'!$G$526)/60)*Proj[[#This Row],[TOI PP]]*Proj[[#This Row],[GP]],0)</f>
        <v>4</v>
      </c>
      <c r="S329" s="10">
        <f>Proj[[#This Row],[PPG]]+Proj[[#This Row],[PPA]]</f>
        <v>6</v>
      </c>
      <c r="T329">
        <f>ROUND((_xlfn.IFNA(INDEX(Table3[],MATCH(Proj[[#This Row],[Player]],Table3[Player],0),6)/60,IF(Proj[[#This Row],[Pos]] ="D", 'Per 60 PK'!$F$623, 'Per 60 PK'!$F$622)/60)+_xlfn.IFNA(INDEX(Table3[],MATCH(Proj[[#This Row],[Player]],Table3[Player],0),8)/60,IF(Proj[[#This Row],[Pos]] ="D", 'Per 60 PK'!$H$623, 'Per 60 PK'!$H$622)/60))*Proj[[#This Row],[TOI PK]]*Proj[[#This Row],[GP]],0)</f>
        <v>0</v>
      </c>
      <c r="U3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3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3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v>
      </c>
      <c r="Y3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v>
      </c>
      <c r="Z3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3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-824.84760504535302</v>
      </c>
      <c r="AB329" s="10">
        <f>_xlfn.RANK.EQ(Proj[[#This Row],[VOR]],Proj[VOR])</f>
        <v>602</v>
      </c>
      <c r="AC329" s="10">
        <f>INDEX(Std[],MATCH(Proj[[#This Row],[Player]],Std[Player],0),20)</f>
        <v>-353.3028806551041</v>
      </c>
      <c r="AD3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266.8</v>
      </c>
    </row>
    <row r="330" spans="1:30" x14ac:dyDescent="0.25">
      <c r="A330" t="s">
        <v>897</v>
      </c>
      <c r="B330">
        <v>35</v>
      </c>
      <c r="C330" t="s">
        <v>3</v>
      </c>
      <c r="D330" t="s">
        <v>153</v>
      </c>
      <c r="E330" s="9">
        <f>INDEX(Table1[],MATCH(Proj[[#This Row],[Player]],Table1[Player],0),5)</f>
        <v>17.973340569474999</v>
      </c>
      <c r="F330" s="9">
        <f>_xlfn.IFNA(INDEX(Table2[],MATCH(Proj[[#This Row],[Player]],Table2[Player],0),5),0)</f>
        <v>1.03</v>
      </c>
      <c r="G330" s="9">
        <f>_xlfn.IFNA(INDEX(Table3[],MATCH(Proj[[#This Row],[Player]],Table3[Player],0),5),0)</f>
        <v>2.9</v>
      </c>
      <c r="H330" s="10">
        <v>78</v>
      </c>
      <c r="I330">
        <v>78</v>
      </c>
      <c r="J330" s="9">
        <v>17.973340569474999</v>
      </c>
      <c r="K330" s="9">
        <v>1.03</v>
      </c>
      <c r="L330" s="9">
        <v>2.9</v>
      </c>
      <c r="M330" s="9">
        <f>Proj[[#This Row],[TOI ES]]+Proj[[#This Row],[TOI PP]]+Proj[[#This Row],[TOI PK]]</f>
        <v>21.903340569474999</v>
      </c>
      <c r="N3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3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27</v>
      </c>
      <c r="P330" s="10">
        <f>Proj[[#This Row],[Goals]]+Proj[[#This Row],[Assists]]</f>
        <v>31</v>
      </c>
      <c r="Q330" s="10">
        <f>ROUND(_xlfn.IFNA(INDEX(Table2[],MATCH(Proj[[#This Row],[Player]],Table2[Player],0),11)/60,IF(Proj[[#This Row],[Pos]] = "D", 'Per 60 PP'!$K$527,'Per 60 PP'!$K$526)/60)*Proj[[#This Row],[TOI PP]]*Proj[[#This Row],[GP]],0)</f>
        <v>0</v>
      </c>
      <c r="R330" s="10">
        <f>ROUND(_xlfn.IFNA(INDEX(Table2[],MATCH(Proj[[#This Row],[Player]],Table2[Player],0),7)/60,IF(Proj[[#This Row],[Pos]] = "D", 'Per 60 PP'!$G$527,'Per 60 PP'!$G$526)/60)*Proj[[#This Row],[TOI PP]]*Proj[[#This Row],[GP]],0)</f>
        <v>4</v>
      </c>
      <c r="S330" s="10">
        <f>Proj[[#This Row],[PPG]]+Proj[[#This Row],[PPA]]</f>
        <v>4</v>
      </c>
      <c r="T330">
        <f>ROUND((_xlfn.IFNA(INDEX(Table3[],MATCH(Proj[[#This Row],[Player]],Table3[Player],0),6)/60,IF(Proj[[#This Row],[Pos]] ="D", 'Per 60 PK'!$F$623, 'Per 60 PK'!$F$622)/60)+_xlfn.IFNA(INDEX(Table3[],MATCH(Proj[[#This Row],[Player]],Table3[Player],0),8)/60,IF(Proj[[#This Row],[Pos]] ="D", 'Per 60 PK'!$H$623, 'Per 60 PK'!$H$622)/60))*Proj[[#This Row],[TOI PK]]*Proj[[#This Row],[GP]],0)</f>
        <v>0</v>
      </c>
      <c r="U3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3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163</v>
      </c>
      <c r="W3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3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91</v>
      </c>
      <c r="AA3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-198.83182001097549</v>
      </c>
      <c r="AB330" s="10">
        <f>_xlfn.RANK.EQ(Proj[[#This Row],[VOR]],Proj[VOR])</f>
        <v>245</v>
      </c>
      <c r="AC330" s="10">
        <f>INDEX(Std[],MATCH(Proj[[#This Row],[Player]],Std[Player],0),20)</f>
        <v>-91.46705229151101</v>
      </c>
      <c r="AD3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323.05</v>
      </c>
    </row>
    <row r="331" spans="1:30" x14ac:dyDescent="0.25">
      <c r="A331" t="s">
        <v>744</v>
      </c>
      <c r="B331">
        <v>23</v>
      </c>
      <c r="C331" t="s">
        <v>103</v>
      </c>
      <c r="D331" t="s">
        <v>23</v>
      </c>
      <c r="E331" s="9">
        <f>INDEX(Table1[],MATCH(Proj[[#This Row],[Player]],Table1[Player],0),5)</f>
        <v>12.6559458445185</v>
      </c>
      <c r="F331" s="9">
        <f>_xlfn.IFNA(INDEX(Table2[],MATCH(Proj[[#This Row],[Player]],Table2[Player],0),5),0)</f>
        <v>1.99</v>
      </c>
      <c r="G331" s="9">
        <f>_xlfn.IFNA(INDEX(Table3[],MATCH(Proj[[#This Row],[Player]],Table3[Player],0),5),0)</f>
        <v>0.6</v>
      </c>
      <c r="H331" s="10">
        <v>71</v>
      </c>
      <c r="I331">
        <v>71</v>
      </c>
      <c r="J331" s="9">
        <v>12.6559458445185</v>
      </c>
      <c r="K331" s="9">
        <v>1.99</v>
      </c>
      <c r="L331" s="9">
        <v>0.6</v>
      </c>
      <c r="M331" s="9">
        <f>Proj[[#This Row],[TOI ES]]+Proj[[#This Row],[TOI PP]]+Proj[[#This Row],[TOI PK]]</f>
        <v>15.2459458445185</v>
      </c>
      <c r="N3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31" s="10">
        <f>Proj[[#This Row],[Goals]]+Proj[[#This Row],[Assists]]</f>
        <v>31</v>
      </c>
      <c r="Q331" s="10">
        <f>ROUND(_xlfn.IFNA(INDEX(Table2[],MATCH(Proj[[#This Row],[Player]],Table2[Player],0),11)/60,IF(Proj[[#This Row],[Pos]] = "D", 'Per 60 PP'!$K$527,'Per 60 PP'!$K$526)/60)*Proj[[#This Row],[TOI PP]]*Proj[[#This Row],[GP]],0)</f>
        <v>3</v>
      </c>
      <c r="R331" s="10">
        <f>ROUND(_xlfn.IFNA(INDEX(Table2[],MATCH(Proj[[#This Row],[Player]],Table2[Player],0),7)/60,IF(Proj[[#This Row],[Pos]] = "D", 'Per 60 PP'!$G$527,'Per 60 PP'!$G$526)/60)*Proj[[#This Row],[TOI PP]]*Proj[[#This Row],[GP]],0)</f>
        <v>2</v>
      </c>
      <c r="S331" s="10">
        <f>Proj[[#This Row],[PPG]]+Proj[[#This Row],[PPA]]</f>
        <v>5</v>
      </c>
      <c r="T331">
        <f>ROUND((_xlfn.IFNA(INDEX(Table3[],MATCH(Proj[[#This Row],[Player]],Table3[Player],0),6)/60,IF(Proj[[#This Row],[Pos]] ="D", 'Per 60 PK'!$F$623, 'Per 60 PK'!$F$622)/60)+_xlfn.IFNA(INDEX(Table3[],MATCH(Proj[[#This Row],[Player]],Table3[Player],0),8)/60,IF(Proj[[#This Row],[Pos]] ="D", 'Per 60 PK'!$H$623, 'Per 60 PK'!$H$622)/60))*Proj[[#This Row],[TOI PK]]*Proj[[#This Row],[GP]],0)</f>
        <v>0</v>
      </c>
      <c r="U3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3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3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3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3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3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3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-711.98466173727616</v>
      </c>
      <c r="AB331" s="10">
        <f>_xlfn.RANK.EQ(Proj[[#This Row],[VOR]],Proj[VOR])</f>
        <v>533</v>
      </c>
      <c r="AC331" s="10">
        <f>INDEX(Std[],MATCH(Proj[[#This Row],[Player]],Std[Player],0),20)</f>
        <v>-265.43993734702724</v>
      </c>
      <c r="AD3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289.90000000000003</v>
      </c>
    </row>
    <row r="332" spans="1:30" x14ac:dyDescent="0.25">
      <c r="A332" t="s">
        <v>739</v>
      </c>
      <c r="B332">
        <v>32</v>
      </c>
      <c r="C332" t="s">
        <v>102</v>
      </c>
      <c r="D332" t="s">
        <v>34</v>
      </c>
      <c r="E332" s="9">
        <f>INDEX(Table1[],MATCH(Proj[[#This Row],[Player]],Table1[Player],0),5)</f>
        <v>12.9025422750935</v>
      </c>
      <c r="F332" s="9">
        <f>_xlfn.IFNA(INDEX(Table2[],MATCH(Proj[[#This Row],[Player]],Table2[Player],0),5),0)</f>
        <v>0</v>
      </c>
      <c r="G332" s="9">
        <f>_xlfn.IFNA(INDEX(Table3[],MATCH(Proj[[#This Row],[Player]],Table3[Player],0),5),0)</f>
        <v>1.57</v>
      </c>
      <c r="H332" s="10">
        <v>82</v>
      </c>
      <c r="I332">
        <v>82</v>
      </c>
      <c r="J332" s="9">
        <v>12.9025422750935</v>
      </c>
      <c r="K332" s="9">
        <v>0</v>
      </c>
      <c r="L332" s="9">
        <v>1.57</v>
      </c>
      <c r="M332" s="9">
        <f>Proj[[#This Row],[TOI ES]]+Proj[[#This Row],[TOI PP]]+Proj[[#This Row],[TOI PK]]</f>
        <v>14.472542275093501</v>
      </c>
      <c r="N3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32" s="10">
        <f>Proj[[#This Row],[Goals]]+Proj[[#This Row],[Assists]]</f>
        <v>31</v>
      </c>
      <c r="Q332" s="10">
        <f>ROUND(_xlfn.IFNA(INDEX(Table2[],MATCH(Proj[[#This Row],[Player]],Table2[Player],0),11)/60,IF(Proj[[#This Row],[Pos]] = "D", 'Per 60 PP'!$K$527,'Per 60 PP'!$K$526)/60)*Proj[[#This Row],[TOI PP]]*Proj[[#This Row],[GP]],0)</f>
        <v>0</v>
      </c>
      <c r="R332" s="10">
        <f>ROUND(_xlfn.IFNA(INDEX(Table2[],MATCH(Proj[[#This Row],[Player]],Table2[Player],0),7)/60,IF(Proj[[#This Row],[Pos]] = "D", 'Per 60 PP'!$G$527,'Per 60 PP'!$G$526)/60)*Proj[[#This Row],[TOI PP]]*Proj[[#This Row],[GP]],0)</f>
        <v>0</v>
      </c>
      <c r="S332" s="10">
        <f>Proj[[#This Row],[PPG]]+Proj[[#This Row],[PPA]]</f>
        <v>0</v>
      </c>
      <c r="T332">
        <f>ROUND((_xlfn.IFNA(INDEX(Table3[],MATCH(Proj[[#This Row],[Player]],Table3[Player],0),6)/60,IF(Proj[[#This Row],[Pos]] ="D", 'Per 60 PK'!$F$623, 'Per 60 PK'!$F$622)/60)+_xlfn.IFNA(INDEX(Table3[],MATCH(Proj[[#This Row],[Player]],Table3[Player],0),8)/60,IF(Proj[[#This Row],[Pos]] ="D", 'Per 60 PK'!$H$623, 'Per 60 PK'!$H$622)/60))*Proj[[#This Row],[TOI PK]]*Proj[[#This Row],[GP]],0)</f>
        <v>2</v>
      </c>
      <c r="U3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3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3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3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47</v>
      </c>
      <c r="Y3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v>
      </c>
      <c r="Z3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142</v>
      </c>
      <c r="AA3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-636.4416813852888</v>
      </c>
      <c r="AB332" s="10">
        <f>_xlfn.RANK.EQ(Proj[[#This Row],[VOR]],Proj[VOR])</f>
        <v>493</v>
      </c>
      <c r="AC332" s="10">
        <f>INDEX(Std[],MATCH(Proj[[#This Row],[Player]],Std[Player],0),20)</f>
        <v>-164.89695699503989</v>
      </c>
      <c r="AD3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302.95</v>
      </c>
    </row>
    <row r="333" spans="1:30" x14ac:dyDescent="0.25">
      <c r="A333" t="s">
        <v>669</v>
      </c>
      <c r="B333">
        <v>32</v>
      </c>
      <c r="C333" t="s">
        <v>101</v>
      </c>
      <c r="D333" t="s">
        <v>9</v>
      </c>
      <c r="E333" s="9">
        <f>INDEX(Table1[],MATCH(Proj[[#This Row],[Player]],Table1[Player],0),5)</f>
        <v>11.7650499786265</v>
      </c>
      <c r="F333" s="9">
        <f>_xlfn.IFNA(INDEX(Table2[],MATCH(Proj[[#This Row],[Player]],Table2[Player],0),5),0)</f>
        <v>1.25</v>
      </c>
      <c r="G333" s="9">
        <f>_xlfn.IFNA(INDEX(Table3[],MATCH(Proj[[#This Row],[Player]],Table3[Player],0),5),0)</f>
        <v>1.1499999999999999</v>
      </c>
      <c r="H333" s="10">
        <v>78</v>
      </c>
      <c r="I333">
        <v>78</v>
      </c>
      <c r="J333" s="9">
        <v>11.7650499786265</v>
      </c>
      <c r="K333" s="9">
        <v>1.25</v>
      </c>
      <c r="L333" s="9">
        <v>1.1499999999999999</v>
      </c>
      <c r="M333" s="9">
        <f>Proj[[#This Row],[TOI ES]]+Proj[[#This Row],[TOI PP]]+Proj[[#This Row],[TOI PK]]</f>
        <v>14.165049978626501</v>
      </c>
      <c r="N3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3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333" s="10">
        <f>Proj[[#This Row],[Goals]]+Proj[[#This Row],[Assists]]</f>
        <v>31</v>
      </c>
      <c r="Q333" s="10">
        <f>ROUND(_xlfn.IFNA(INDEX(Table2[],MATCH(Proj[[#This Row],[Player]],Table2[Player],0),11)/60,IF(Proj[[#This Row],[Pos]] = "D", 'Per 60 PP'!$K$527,'Per 60 PP'!$K$526)/60)*Proj[[#This Row],[TOI PP]]*Proj[[#This Row],[GP]],0)</f>
        <v>2</v>
      </c>
      <c r="R333" s="10">
        <f>ROUND(_xlfn.IFNA(INDEX(Table2[],MATCH(Proj[[#This Row],[Player]],Table2[Player],0),7)/60,IF(Proj[[#This Row],[Pos]] = "D", 'Per 60 PP'!$G$527,'Per 60 PP'!$G$526)/60)*Proj[[#This Row],[TOI PP]]*Proj[[#This Row],[GP]],0)</f>
        <v>2</v>
      </c>
      <c r="S333" s="10">
        <f>Proj[[#This Row],[PPG]]+Proj[[#This Row],[PPA]]</f>
        <v>4</v>
      </c>
      <c r="T333">
        <f>ROUND((_xlfn.IFNA(INDEX(Table3[],MATCH(Proj[[#This Row],[Player]],Table3[Player],0),6)/60,IF(Proj[[#This Row],[Pos]] ="D", 'Per 60 PK'!$F$623, 'Per 60 PK'!$F$622)/60)+_xlfn.IFNA(INDEX(Table3[],MATCH(Proj[[#This Row],[Player]],Table3[Player],0),8)/60,IF(Proj[[#This Row],[Pos]] ="D", 'Per 60 PK'!$H$623, 'Per 60 PK'!$H$622)/60))*Proj[[#This Row],[TOI PK]]*Proj[[#This Row],[GP]],0)</f>
        <v>1</v>
      </c>
      <c r="U3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3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3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3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142</v>
      </c>
      <c r="Y3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241</v>
      </c>
      <c r="Z3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95</v>
      </c>
      <c r="AA3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-588.39363812338445</v>
      </c>
      <c r="AB333" s="10">
        <f>_xlfn.RANK.EQ(Proj[[#This Row],[VOR]],Proj[VOR])</f>
        <v>477</v>
      </c>
      <c r="AC333" s="10">
        <f>INDEX(Std[],MATCH(Proj[[#This Row],[Player]],Std[Player],0),20)</f>
        <v>-116.84891373313562</v>
      </c>
      <c r="AD3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305.2</v>
      </c>
    </row>
    <row r="334" spans="1:30" x14ac:dyDescent="0.25">
      <c r="A334" t="s">
        <v>680</v>
      </c>
      <c r="B334">
        <v>29</v>
      </c>
      <c r="C334" t="s">
        <v>105</v>
      </c>
      <c r="D334" t="s">
        <v>9</v>
      </c>
      <c r="E334" s="9">
        <f>INDEX(Table1[],MATCH(Proj[[#This Row],[Player]],Table1[Player],0),5)</f>
        <v>14.1709962973095</v>
      </c>
      <c r="F334" s="9">
        <f>_xlfn.IFNA(INDEX(Table2[],MATCH(Proj[[#This Row],[Player]],Table2[Player],0),5),0)</f>
        <v>0</v>
      </c>
      <c r="G334" s="9">
        <f>_xlfn.IFNA(INDEX(Table3[],MATCH(Proj[[#This Row],[Player]],Table3[Player],0),5),0)</f>
        <v>1.71</v>
      </c>
      <c r="H334" s="10">
        <v>79</v>
      </c>
      <c r="I334">
        <v>79</v>
      </c>
      <c r="J334" s="9">
        <v>14.1709962973095</v>
      </c>
      <c r="K334" s="9">
        <v>0</v>
      </c>
      <c r="L334" s="9">
        <v>1.71</v>
      </c>
      <c r="M334" s="9">
        <f>Proj[[#This Row],[TOI ES]]+Proj[[#This Row],[TOI PP]]+Proj[[#This Row],[TOI PK]]</f>
        <v>15.880996297309501</v>
      </c>
      <c r="N3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334" s="10">
        <f>Proj[[#This Row],[Goals]]+Proj[[#This Row],[Assists]]</f>
        <v>31</v>
      </c>
      <c r="Q334" s="10">
        <f>ROUND(_xlfn.IFNA(INDEX(Table2[],MATCH(Proj[[#This Row],[Player]],Table2[Player],0),11)/60,IF(Proj[[#This Row],[Pos]] = "D", 'Per 60 PP'!$K$527,'Per 60 PP'!$K$526)/60)*Proj[[#This Row],[TOI PP]]*Proj[[#This Row],[GP]],0)</f>
        <v>0</v>
      </c>
      <c r="R334" s="10">
        <f>ROUND(_xlfn.IFNA(INDEX(Table2[],MATCH(Proj[[#This Row],[Player]],Table2[Player],0),7)/60,IF(Proj[[#This Row],[Pos]] = "D", 'Per 60 PP'!$G$527,'Per 60 PP'!$G$526)/60)*Proj[[#This Row],[TOI PP]]*Proj[[#This Row],[GP]],0)</f>
        <v>0</v>
      </c>
      <c r="S334" s="10">
        <f>Proj[[#This Row],[PPG]]+Proj[[#This Row],[PPA]]</f>
        <v>0</v>
      </c>
      <c r="T334">
        <f>ROUND((_xlfn.IFNA(INDEX(Table3[],MATCH(Proj[[#This Row],[Player]],Table3[Player],0),6)/60,IF(Proj[[#This Row],[Pos]] ="D", 'Per 60 PK'!$F$623, 'Per 60 PK'!$F$622)/60)+_xlfn.IFNA(INDEX(Table3[],MATCH(Proj[[#This Row],[Player]],Table3[Player],0),8)/60,IF(Proj[[#This Row],[Pos]] ="D", 'Per 60 PK'!$H$623, 'Per 60 PK'!$H$622)/60))*Proj[[#This Row],[TOI PK]]*Proj[[#This Row],[GP]],0)</f>
        <v>1</v>
      </c>
      <c r="U3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86</v>
      </c>
      <c r="V3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3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3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3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3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115</v>
      </c>
      <c r="AA3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-747.11463930606351</v>
      </c>
      <c r="AB334" s="10">
        <f>_xlfn.RANK.EQ(Proj[[#This Row],[VOR]],Proj[VOR])</f>
        <v>559</v>
      </c>
      <c r="AC334" s="10">
        <f>INDEX(Std[],MATCH(Proj[[#This Row],[Player]],Std[Player],0),20)</f>
        <v>-300.56991491581471</v>
      </c>
      <c r="AD3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285.65000000000003</v>
      </c>
    </row>
    <row r="335" spans="1:30" x14ac:dyDescent="0.25">
      <c r="A335" t="s">
        <v>778</v>
      </c>
      <c r="B335">
        <v>28</v>
      </c>
      <c r="C335" t="s">
        <v>101</v>
      </c>
      <c r="D335" t="s">
        <v>21</v>
      </c>
      <c r="E335" s="9">
        <f>INDEX(Table1[],MATCH(Proj[[#This Row],[Player]],Table1[Player],0),5)</f>
        <v>11.8356392050246</v>
      </c>
      <c r="F335" s="9">
        <f>_xlfn.IFNA(INDEX(Table2[],MATCH(Proj[[#This Row],[Player]],Table2[Player],0),5),0)</f>
        <v>1.39</v>
      </c>
      <c r="G335" s="9">
        <f>_xlfn.IFNA(INDEX(Table3[],MATCH(Proj[[#This Row],[Player]],Table3[Player],0),5),0)</f>
        <v>0.57999999999999996</v>
      </c>
      <c r="H335" s="10">
        <v>79</v>
      </c>
      <c r="I335">
        <v>79</v>
      </c>
      <c r="J335" s="9">
        <v>11.8356392050246</v>
      </c>
      <c r="K335" s="9">
        <v>1.39</v>
      </c>
      <c r="L335" s="9">
        <v>0.57999999999999996</v>
      </c>
      <c r="M335" s="9">
        <f>Proj[[#This Row],[TOI ES]]+Proj[[#This Row],[TOI PP]]+Proj[[#This Row],[TOI PK]]</f>
        <v>13.805639205024601</v>
      </c>
      <c r="N3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35" s="10">
        <f>Proj[[#This Row],[Goals]]+Proj[[#This Row],[Assists]]</f>
        <v>31</v>
      </c>
      <c r="Q335" s="10">
        <f>ROUND(_xlfn.IFNA(INDEX(Table2[],MATCH(Proj[[#This Row],[Player]],Table2[Player],0),11)/60,IF(Proj[[#This Row],[Pos]] = "D", 'Per 60 PP'!$K$527,'Per 60 PP'!$K$526)/60)*Proj[[#This Row],[TOI PP]]*Proj[[#This Row],[GP]],0)</f>
        <v>2</v>
      </c>
      <c r="R335" s="10">
        <f>ROUND(_xlfn.IFNA(INDEX(Table2[],MATCH(Proj[[#This Row],[Player]],Table2[Player],0),7)/60,IF(Proj[[#This Row],[Pos]] = "D", 'Per 60 PP'!$G$527,'Per 60 PP'!$G$526)/60)*Proj[[#This Row],[TOI PP]]*Proj[[#This Row],[GP]],0)</f>
        <v>2</v>
      </c>
      <c r="S335" s="10">
        <f>Proj[[#This Row],[PPG]]+Proj[[#This Row],[PPA]]</f>
        <v>4</v>
      </c>
      <c r="T335">
        <f>ROUND((_xlfn.IFNA(INDEX(Table3[],MATCH(Proj[[#This Row],[Player]],Table3[Player],0),6)/60,IF(Proj[[#This Row],[Pos]] ="D", 'Per 60 PK'!$F$623, 'Per 60 PK'!$F$622)/60)+_xlfn.IFNA(INDEX(Table3[],MATCH(Proj[[#This Row],[Player]],Table3[Player],0),8)/60,IF(Proj[[#This Row],[Pos]] ="D", 'Per 60 PK'!$H$623, 'Per 60 PK'!$H$622)/60))*Proj[[#This Row],[TOI PK]]*Proj[[#This Row],[GP]],0)</f>
        <v>0</v>
      </c>
      <c r="U3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90</v>
      </c>
      <c r="V3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3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3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88</v>
      </c>
      <c r="Y3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111</v>
      </c>
      <c r="Z3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148</v>
      </c>
      <c r="AA3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-532.63287051400948</v>
      </c>
      <c r="AB335" s="10">
        <f>_xlfn.RANK.EQ(Proj[[#This Row],[VOR]],Proj[VOR])</f>
        <v>443</v>
      </c>
      <c r="AC335" s="10">
        <f>INDEX(Std[],MATCH(Proj[[#This Row],[Player]],Std[Player],0),20)</f>
        <v>-61.088146123760609</v>
      </c>
      <c r="AD3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324.3</v>
      </c>
    </row>
    <row r="336" spans="1:30" x14ac:dyDescent="0.25">
      <c r="A336" t="s">
        <v>1109</v>
      </c>
      <c r="B336">
        <v>23</v>
      </c>
      <c r="C336" t="s">
        <v>103</v>
      </c>
      <c r="D336" t="s">
        <v>155</v>
      </c>
      <c r="E336" s="9">
        <f>INDEX(Table1[],MATCH(Proj[[#This Row],[Player]],Table1[Player],0),5)</f>
        <v>12.541383919964099</v>
      </c>
      <c r="F336" s="9">
        <f>_xlfn.IFNA(INDEX(Table2[],MATCH(Proj[[#This Row],[Player]],Table2[Player],0),5),0)</f>
        <v>1.32</v>
      </c>
      <c r="G336" s="9">
        <f>_xlfn.IFNA(INDEX(Table3[],MATCH(Proj[[#This Row],[Player]],Table3[Player],0),5),0)</f>
        <v>0</v>
      </c>
      <c r="H336" s="10">
        <v>81</v>
      </c>
      <c r="I336">
        <v>81</v>
      </c>
      <c r="J336" s="9">
        <v>12.541383919964099</v>
      </c>
      <c r="K336" s="9">
        <v>1.32</v>
      </c>
      <c r="L336" s="9">
        <v>0</v>
      </c>
      <c r="M336" s="9">
        <f>Proj[[#This Row],[TOI ES]]+Proj[[#This Row],[TOI PP]]+Proj[[#This Row],[TOI PK]]</f>
        <v>13.8613839199641</v>
      </c>
      <c r="N3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36" s="10">
        <f>Proj[[#This Row],[Goals]]+Proj[[#This Row],[Assists]]</f>
        <v>31</v>
      </c>
      <c r="Q336" s="10">
        <f>ROUND(_xlfn.IFNA(INDEX(Table2[],MATCH(Proj[[#This Row],[Player]],Table2[Player],0),11)/60,IF(Proj[[#This Row],[Pos]] = "D", 'Per 60 PP'!$K$527,'Per 60 PP'!$K$526)/60)*Proj[[#This Row],[TOI PP]]*Proj[[#This Row],[GP]],0)</f>
        <v>2</v>
      </c>
      <c r="R336" s="10">
        <f>ROUND(_xlfn.IFNA(INDEX(Table2[],MATCH(Proj[[#This Row],[Player]],Table2[Player],0),7)/60,IF(Proj[[#This Row],[Pos]] = "D", 'Per 60 PP'!$G$527,'Per 60 PP'!$G$526)/60)*Proj[[#This Row],[TOI PP]]*Proj[[#This Row],[GP]],0)</f>
        <v>5</v>
      </c>
      <c r="S336" s="10">
        <f>Proj[[#This Row],[PPG]]+Proj[[#This Row],[PPA]]</f>
        <v>7</v>
      </c>
      <c r="T336">
        <f>ROUND((_xlfn.IFNA(INDEX(Table3[],MATCH(Proj[[#This Row],[Player]],Table3[Player],0),6)/60,IF(Proj[[#This Row],[Pos]] ="D", 'Per 60 PK'!$F$623, 'Per 60 PK'!$F$622)/60)+_xlfn.IFNA(INDEX(Table3[],MATCH(Proj[[#This Row],[Player]],Table3[Player],0),8)/60,IF(Proj[[#This Row],[Pos]] ="D", 'Per 60 PK'!$H$623, 'Per 60 PK'!$H$622)/60))*Proj[[#This Row],[TOI PK]]*Proj[[#This Row],[GP]],0)</f>
        <v>0</v>
      </c>
      <c r="U3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105</v>
      </c>
      <c r="V3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3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3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32</v>
      </c>
      <c r="Y3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3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152</v>
      </c>
      <c r="AA3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-443.7346250981891</v>
      </c>
      <c r="AB336" s="10">
        <f>_xlfn.RANK.EQ(Proj[[#This Row],[VOR]],Proj[VOR])</f>
        <v>390</v>
      </c>
      <c r="AC336" s="10">
        <f>INDEX(Std[],MATCH(Proj[[#This Row],[Player]],Std[Player],0),20)</f>
        <v>2.8100992920597645</v>
      </c>
      <c r="AD3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336.9</v>
      </c>
    </row>
    <row r="337" spans="1:30" x14ac:dyDescent="0.25">
      <c r="A337" t="s">
        <v>323</v>
      </c>
      <c r="B337">
        <v>29</v>
      </c>
      <c r="C337" t="s">
        <v>3</v>
      </c>
      <c r="D337" t="s">
        <v>9</v>
      </c>
      <c r="E337" s="9">
        <f>INDEX(Table1[],MATCH(Proj[[#This Row],[Player]],Table1[Player],0),5)</f>
        <v>17.5114533255928</v>
      </c>
      <c r="F337" s="9">
        <f>_xlfn.IFNA(INDEX(Table2[],MATCH(Proj[[#This Row],[Player]],Table2[Player],0),5),0)</f>
        <v>1.81</v>
      </c>
      <c r="G337" s="9">
        <f>_xlfn.IFNA(INDEX(Table3[],MATCH(Proj[[#This Row],[Player]],Table3[Player],0),5),0)</f>
        <v>1.64</v>
      </c>
      <c r="H337" s="10">
        <v>82</v>
      </c>
      <c r="I337">
        <v>82</v>
      </c>
      <c r="J337" s="9">
        <v>17.5114533255928</v>
      </c>
      <c r="K337" s="9">
        <v>1.81</v>
      </c>
      <c r="L337" s="9">
        <v>1.64</v>
      </c>
      <c r="M337" s="9">
        <f>Proj[[#This Row],[TOI ES]]+Proj[[#This Row],[TOI PP]]+Proj[[#This Row],[TOI PK]]</f>
        <v>20.9614533255928</v>
      </c>
      <c r="N3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25</v>
      </c>
      <c r="P337" s="10">
        <f>Proj[[#This Row],[Goals]]+Proj[[#This Row],[Assists]]</f>
        <v>31</v>
      </c>
      <c r="Q337" s="10">
        <f>ROUND(_xlfn.IFNA(INDEX(Table2[],MATCH(Proj[[#This Row],[Player]],Table2[Player],0),11)/60,IF(Proj[[#This Row],[Pos]] = "D", 'Per 60 PP'!$K$527,'Per 60 PP'!$K$526)/60)*Proj[[#This Row],[TOI PP]]*Proj[[#This Row],[GP]],0)</f>
        <v>1</v>
      </c>
      <c r="R337" s="10">
        <f>ROUND(_xlfn.IFNA(INDEX(Table2[],MATCH(Proj[[#This Row],[Player]],Table2[Player],0),7)/60,IF(Proj[[#This Row],[Pos]] = "D", 'Per 60 PP'!$G$527,'Per 60 PP'!$G$526)/60)*Proj[[#This Row],[TOI PP]]*Proj[[#This Row],[GP]],0)</f>
        <v>4</v>
      </c>
      <c r="S337" s="10">
        <f>Proj[[#This Row],[PPG]]+Proj[[#This Row],[PPA]]</f>
        <v>5</v>
      </c>
      <c r="T337">
        <f>ROUND((_xlfn.IFNA(INDEX(Table3[],MATCH(Proj[[#This Row],[Player]],Table3[Player],0),6)/60,IF(Proj[[#This Row],[Pos]] ="D", 'Per 60 PK'!$F$623, 'Per 60 PK'!$F$622)/60)+_xlfn.IFNA(INDEX(Table3[],MATCH(Proj[[#This Row],[Player]],Table3[Player],0),8)/60,IF(Proj[[#This Row],[Pos]] ="D", 'Per 60 PK'!$H$623, 'Per 60 PK'!$H$622)/60))*Proj[[#This Row],[TOI PK]]*Proj[[#This Row],[GP]],0)</f>
        <v>0</v>
      </c>
      <c r="U3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190</v>
      </c>
      <c r="V3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123</v>
      </c>
      <c r="W3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3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137</v>
      </c>
      <c r="AA3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203.57055082766973</v>
      </c>
      <c r="AB337" s="10">
        <f>_xlfn.RANK.EQ(Proj[[#This Row],[VOR]],Proj[VOR])</f>
        <v>105</v>
      </c>
      <c r="AC337" s="10">
        <f>INDEX(Std[],MATCH(Proj[[#This Row],[Player]],Std[Player],0),20)</f>
        <v>310.93531854713422</v>
      </c>
      <c r="AD3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421.35</v>
      </c>
    </row>
    <row r="338" spans="1:30" x14ac:dyDescent="0.25">
      <c r="A338" t="s">
        <v>933</v>
      </c>
      <c r="B338">
        <v>28</v>
      </c>
      <c r="C338" t="s">
        <v>101</v>
      </c>
      <c r="D338" t="s">
        <v>8</v>
      </c>
      <c r="E338" s="9">
        <f>INDEX(Table1[],MATCH(Proj[[#This Row],[Player]],Table1[Player],0),5)</f>
        <v>11.682602341202699</v>
      </c>
      <c r="F338" s="9">
        <f>_xlfn.IFNA(INDEX(Table2[],MATCH(Proj[[#This Row],[Player]],Table2[Player],0),5),0)</f>
        <v>0</v>
      </c>
      <c r="G338" s="9">
        <f>_xlfn.IFNA(INDEX(Table3[],MATCH(Proj[[#This Row],[Player]],Table3[Player],0),5),0)</f>
        <v>1.62</v>
      </c>
      <c r="H338" s="10">
        <v>81</v>
      </c>
      <c r="I338">
        <v>81</v>
      </c>
      <c r="J338" s="9">
        <v>11.682602341202699</v>
      </c>
      <c r="K338" s="9">
        <v>0</v>
      </c>
      <c r="L338" s="9">
        <v>1.62</v>
      </c>
      <c r="M338" s="9">
        <f>Proj[[#This Row],[TOI ES]]+Proj[[#This Row],[TOI PP]]+Proj[[#This Row],[TOI PK]]</f>
        <v>13.3026023412027</v>
      </c>
      <c r="N3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38" s="10">
        <f>Proj[[#This Row],[Goals]]+Proj[[#This Row],[Assists]]</f>
        <v>31</v>
      </c>
      <c r="Q338" s="10">
        <f>ROUND(_xlfn.IFNA(INDEX(Table2[],MATCH(Proj[[#This Row],[Player]],Table2[Player],0),11)/60,IF(Proj[[#This Row],[Pos]] = "D", 'Per 60 PP'!$K$527,'Per 60 PP'!$K$526)/60)*Proj[[#This Row],[TOI PP]]*Proj[[#This Row],[GP]],0)</f>
        <v>0</v>
      </c>
      <c r="R338" s="10">
        <f>ROUND(_xlfn.IFNA(INDEX(Table2[],MATCH(Proj[[#This Row],[Player]],Table2[Player],0),7)/60,IF(Proj[[#This Row],[Pos]] = "D", 'Per 60 PP'!$G$527,'Per 60 PP'!$G$526)/60)*Proj[[#This Row],[TOI PP]]*Proj[[#This Row],[GP]],0)</f>
        <v>0</v>
      </c>
      <c r="S338" s="10">
        <f>Proj[[#This Row],[PPG]]+Proj[[#This Row],[PPA]]</f>
        <v>0</v>
      </c>
      <c r="T338">
        <f>ROUND((_xlfn.IFNA(INDEX(Table3[],MATCH(Proj[[#This Row],[Player]],Table3[Player],0),6)/60,IF(Proj[[#This Row],[Pos]] ="D", 'Per 60 PK'!$F$623, 'Per 60 PK'!$F$622)/60)+_xlfn.IFNA(INDEX(Table3[],MATCH(Proj[[#This Row],[Player]],Table3[Player],0),8)/60,IF(Proj[[#This Row],[Pos]] ="D", 'Per 60 PK'!$H$623, 'Per 60 PK'!$H$622)/60))*Proj[[#This Row],[TOI PK]]*Proj[[#This Row],[GP]],0)</f>
        <v>1</v>
      </c>
      <c r="U3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254</v>
      </c>
      <c r="V3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3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65</v>
      </c>
      <c r="X3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55</v>
      </c>
      <c r="Y3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59</v>
      </c>
      <c r="Z3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92</v>
      </c>
      <c r="AA3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-224.88261518486007</v>
      </c>
      <c r="AB338" s="10">
        <f>_xlfn.RANK.EQ(Proj[[#This Row],[VOR]],Proj[VOR])</f>
        <v>265</v>
      </c>
      <c r="AC338" s="10">
        <f>INDEX(Std[],MATCH(Proj[[#This Row],[Player]],Std[Player],0),20)</f>
        <v>246.66210920538879</v>
      </c>
      <c r="AD3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408</v>
      </c>
    </row>
    <row r="339" spans="1:30" x14ac:dyDescent="0.25">
      <c r="A339" t="s">
        <v>591</v>
      </c>
      <c r="B339">
        <v>30</v>
      </c>
      <c r="C339" t="s">
        <v>74</v>
      </c>
      <c r="D339" t="s">
        <v>21</v>
      </c>
      <c r="E339" s="9">
        <f>INDEX(Table1[],MATCH(Proj[[#This Row],[Player]],Table1[Player],0),5)</f>
        <v>12.3391470621329</v>
      </c>
      <c r="F339" s="9">
        <f>_xlfn.IFNA(INDEX(Table2[],MATCH(Proj[[#This Row],[Player]],Table2[Player],0),5),0)</f>
        <v>1.22</v>
      </c>
      <c r="G339" s="9">
        <f>_xlfn.IFNA(INDEX(Table3[],MATCH(Proj[[#This Row],[Player]],Table3[Player],0),5),0)</f>
        <v>0</v>
      </c>
      <c r="H339" s="10">
        <v>77</v>
      </c>
      <c r="I339">
        <v>77</v>
      </c>
      <c r="J339" s="9">
        <v>12.3391470621329</v>
      </c>
      <c r="K339" s="9">
        <v>1.22</v>
      </c>
      <c r="L339" s="9">
        <v>0</v>
      </c>
      <c r="M339" s="9">
        <f>Proj[[#This Row],[TOI ES]]+Proj[[#This Row],[TOI PP]]+Proj[[#This Row],[TOI PK]]</f>
        <v>13.559147062132901</v>
      </c>
      <c r="N3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39" s="10">
        <f>Proj[[#This Row],[Goals]]+Proj[[#This Row],[Assists]]</f>
        <v>30</v>
      </c>
      <c r="Q339" s="10">
        <f>ROUND(_xlfn.IFNA(INDEX(Table2[],MATCH(Proj[[#This Row],[Player]],Table2[Player],0),11)/60,IF(Proj[[#This Row],[Pos]] = "D", 'Per 60 PP'!$K$527,'Per 60 PP'!$K$526)/60)*Proj[[#This Row],[TOI PP]]*Proj[[#This Row],[GP]],0)</f>
        <v>2</v>
      </c>
      <c r="R339" s="10">
        <f>ROUND(_xlfn.IFNA(INDEX(Table2[],MATCH(Proj[[#This Row],[Player]],Table2[Player],0),7)/60,IF(Proj[[#This Row],[Pos]] = "D", 'Per 60 PP'!$G$527,'Per 60 PP'!$G$526)/60)*Proj[[#This Row],[TOI PP]]*Proj[[#This Row],[GP]],0)</f>
        <v>3</v>
      </c>
      <c r="S339" s="10">
        <f>Proj[[#This Row],[PPG]]+Proj[[#This Row],[PPA]]</f>
        <v>5</v>
      </c>
      <c r="T339">
        <f>ROUND((_xlfn.IFNA(INDEX(Table3[],MATCH(Proj[[#This Row],[Player]],Table3[Player],0),6)/60,IF(Proj[[#This Row],[Pos]] ="D", 'Per 60 PK'!$F$623, 'Per 60 PK'!$F$622)/60)+_xlfn.IFNA(INDEX(Table3[],MATCH(Proj[[#This Row],[Player]],Table3[Player],0),8)/60,IF(Proj[[#This Row],[Pos]] ="D", 'Per 60 PK'!$H$623, 'Per 60 PK'!$H$622)/60))*Proj[[#This Row],[TOI PK]]*Proj[[#This Row],[GP]],0)</f>
        <v>0</v>
      </c>
      <c r="U3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3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3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3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173</v>
      </c>
      <c r="Y3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199</v>
      </c>
      <c r="Z3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136</v>
      </c>
      <c r="AA3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-967.08824637138946</v>
      </c>
      <c r="AB339" s="10">
        <f>_xlfn.RANK.EQ(Proj[[#This Row],[VOR]],Proj[VOR])</f>
        <v>650</v>
      </c>
      <c r="AC339" s="10">
        <f>INDEX(Std[],MATCH(Proj[[#This Row],[Player]],Std[Player],0),20)</f>
        <v>-232.45439206109086</v>
      </c>
      <c r="AD3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285.85000000000002</v>
      </c>
    </row>
    <row r="340" spans="1:30" x14ac:dyDescent="0.25">
      <c r="A340" t="s">
        <v>725</v>
      </c>
      <c r="B340">
        <v>23</v>
      </c>
      <c r="C340" t="s">
        <v>103</v>
      </c>
      <c r="D340" t="s">
        <v>10</v>
      </c>
      <c r="E340" s="9">
        <f>INDEX(Table1[],MATCH(Proj[[#This Row],[Player]],Table1[Player],0),5)</f>
        <v>12.4345775243647</v>
      </c>
      <c r="F340" s="9">
        <f>_xlfn.IFNA(INDEX(Table2[],MATCH(Proj[[#This Row],[Player]],Table2[Player],0),5),0)</f>
        <v>1.39</v>
      </c>
      <c r="G340" s="9">
        <f>_xlfn.IFNA(INDEX(Table3[],MATCH(Proj[[#This Row],[Player]],Table3[Player],0),5),0)</f>
        <v>0.54</v>
      </c>
      <c r="H340" s="10">
        <v>79</v>
      </c>
      <c r="I340">
        <v>79</v>
      </c>
      <c r="J340" s="9">
        <v>12.4345775243647</v>
      </c>
      <c r="K340" s="9">
        <v>1.39</v>
      </c>
      <c r="L340" s="9">
        <v>0.54</v>
      </c>
      <c r="M340" s="9">
        <f>Proj[[#This Row],[TOI ES]]+Proj[[#This Row],[TOI PP]]+Proj[[#This Row],[TOI PK]]</f>
        <v>14.364577524364702</v>
      </c>
      <c r="N3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340" s="10">
        <f>Proj[[#This Row],[Goals]]+Proj[[#This Row],[Assists]]</f>
        <v>30</v>
      </c>
      <c r="Q340" s="10">
        <f>ROUND(_xlfn.IFNA(INDEX(Table2[],MATCH(Proj[[#This Row],[Player]],Table2[Player],0),11)/60,IF(Proj[[#This Row],[Pos]] = "D", 'Per 60 PP'!$K$527,'Per 60 PP'!$K$526)/60)*Proj[[#This Row],[TOI PP]]*Proj[[#This Row],[GP]],0)</f>
        <v>2</v>
      </c>
      <c r="R340" s="10">
        <f>ROUND(_xlfn.IFNA(INDEX(Table2[],MATCH(Proj[[#This Row],[Player]],Table2[Player],0),7)/60,IF(Proj[[#This Row],[Pos]] = "D", 'Per 60 PP'!$G$527,'Per 60 PP'!$G$526)/60)*Proj[[#This Row],[TOI PP]]*Proj[[#This Row],[GP]],0)</f>
        <v>2</v>
      </c>
      <c r="S340" s="10">
        <f>Proj[[#This Row],[PPG]]+Proj[[#This Row],[PPA]]</f>
        <v>4</v>
      </c>
      <c r="T340">
        <f>ROUND((_xlfn.IFNA(INDEX(Table3[],MATCH(Proj[[#This Row],[Player]],Table3[Player],0),6)/60,IF(Proj[[#This Row],[Pos]] ="D", 'Per 60 PK'!$F$623, 'Per 60 PK'!$F$622)/60)+_xlfn.IFNA(INDEX(Table3[],MATCH(Proj[[#This Row],[Player]],Table3[Player],0),8)/60,IF(Proj[[#This Row],[Pos]] ="D", 'Per 60 PK'!$H$623, 'Per 60 PK'!$H$622)/60))*Proj[[#This Row],[TOI PK]]*Proj[[#This Row],[GP]],0)</f>
        <v>0</v>
      </c>
      <c r="U3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3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3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3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3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115</v>
      </c>
      <c r="AA3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-843.38793567443327</v>
      </c>
      <c r="AB340" s="10">
        <f>_xlfn.RANK.EQ(Proj[[#This Row],[VOR]],Proj[VOR])</f>
        <v>610</v>
      </c>
      <c r="AC340" s="10">
        <f>INDEX(Std[],MATCH(Proj[[#This Row],[Player]],Std[Player],0),20)</f>
        <v>-396.84321128418446</v>
      </c>
      <c r="AD3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250.95</v>
      </c>
    </row>
    <row r="341" spans="1:30" x14ac:dyDescent="0.25">
      <c r="A341" t="s">
        <v>600</v>
      </c>
      <c r="B341">
        <v>29</v>
      </c>
      <c r="C341" t="s">
        <v>102</v>
      </c>
      <c r="D341" t="s">
        <v>28</v>
      </c>
      <c r="E341" s="9">
        <f>INDEX(Table1[],MATCH(Proj[[#This Row],[Player]],Table1[Player],0),5)</f>
        <v>12</v>
      </c>
      <c r="F341" s="9">
        <f>_xlfn.IFNA(INDEX(Table2[],MATCH(Proj[[#This Row],[Player]],Table2[Player],0),5),0)</f>
        <v>1.55</v>
      </c>
      <c r="G341" s="9">
        <f>_xlfn.IFNA(INDEX(Table3[],MATCH(Proj[[#This Row],[Player]],Table3[Player],0),5),0)</f>
        <v>0</v>
      </c>
      <c r="H341" s="10">
        <v>74</v>
      </c>
      <c r="I341">
        <v>74</v>
      </c>
      <c r="J341" s="9">
        <v>12</v>
      </c>
      <c r="K341" s="9">
        <v>1.55</v>
      </c>
      <c r="L341" s="9">
        <v>0</v>
      </c>
      <c r="M341" s="9">
        <f>Proj[[#This Row],[TOI ES]]+Proj[[#This Row],[TOI PP]]+Proj[[#This Row],[TOI PK]]</f>
        <v>13.55</v>
      </c>
      <c r="N3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341" s="10">
        <f>Proj[[#This Row],[Goals]]+Proj[[#This Row],[Assists]]</f>
        <v>30</v>
      </c>
      <c r="Q341" s="10">
        <f>ROUND(_xlfn.IFNA(INDEX(Table2[],MATCH(Proj[[#This Row],[Player]],Table2[Player],0),11)/60,IF(Proj[[#This Row],[Pos]] = "D", 'Per 60 PP'!$K$527,'Per 60 PP'!$K$526)/60)*Proj[[#This Row],[TOI PP]]*Proj[[#This Row],[GP]],0)</f>
        <v>3</v>
      </c>
      <c r="R341" s="10">
        <f>ROUND(_xlfn.IFNA(INDEX(Table2[],MATCH(Proj[[#This Row],[Player]],Table2[Player],0),7)/60,IF(Proj[[#This Row],[Pos]] = "D", 'Per 60 PP'!$G$527,'Per 60 PP'!$G$526)/60)*Proj[[#This Row],[TOI PP]]*Proj[[#This Row],[GP]],0)</f>
        <v>3</v>
      </c>
      <c r="S341" s="10">
        <f>Proj[[#This Row],[PPG]]+Proj[[#This Row],[PPA]]</f>
        <v>6</v>
      </c>
      <c r="T341">
        <f>ROUND((_xlfn.IFNA(INDEX(Table3[],MATCH(Proj[[#This Row],[Player]],Table3[Player],0),6)/60,IF(Proj[[#This Row],[Pos]] ="D", 'Per 60 PK'!$F$623, 'Per 60 PK'!$F$622)/60)+_xlfn.IFNA(INDEX(Table3[],MATCH(Proj[[#This Row],[Player]],Table3[Player],0),8)/60,IF(Proj[[#This Row],[Pos]] ="D", 'Per 60 PK'!$H$623, 'Per 60 PK'!$H$622)/60))*Proj[[#This Row],[TOI PK]]*Proj[[#This Row],[GP]],0)</f>
        <v>0</v>
      </c>
      <c r="U3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29</v>
      </c>
      <c r="V3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v>
      </c>
      <c r="W3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v>
      </c>
      <c r="X3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3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v>
      </c>
      <c r="Z3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3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-922.414010098272</v>
      </c>
      <c r="AB341" s="10">
        <f>_xlfn.RANK.EQ(Proj[[#This Row],[VOR]],Proj[VOR])</f>
        <v>637</v>
      </c>
      <c r="AC341" s="10">
        <f>INDEX(Std[],MATCH(Proj[[#This Row],[Player]],Std[Player],0),20)</f>
        <v>-450.86928570802314</v>
      </c>
      <c r="AD3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244.25000000000003</v>
      </c>
    </row>
    <row r="342" spans="1:30" x14ac:dyDescent="0.25">
      <c r="A342" t="s">
        <v>1094</v>
      </c>
      <c r="B342">
        <v>23</v>
      </c>
      <c r="C342" t="s">
        <v>74</v>
      </c>
      <c r="D342" t="s">
        <v>154</v>
      </c>
      <c r="E342" s="9">
        <f>INDEX(Table1[],MATCH(Proj[[#This Row],[Player]],Table1[Player],0),5)</f>
        <v>12.3100937686267</v>
      </c>
      <c r="F342" s="9">
        <f>_xlfn.IFNA(INDEX(Table2[],MATCH(Proj[[#This Row],[Player]],Table2[Player],0),5),0)</f>
        <v>2.88</v>
      </c>
      <c r="G342" s="9">
        <f>_xlfn.IFNA(INDEX(Table3[],MATCH(Proj[[#This Row],[Player]],Table3[Player],0),5),0)</f>
        <v>0</v>
      </c>
      <c r="H342" s="10">
        <v>64</v>
      </c>
      <c r="I342">
        <v>64</v>
      </c>
      <c r="J342" s="9">
        <v>12.3100937686267</v>
      </c>
      <c r="K342" s="9">
        <v>2.88</v>
      </c>
      <c r="L342" s="9">
        <v>0</v>
      </c>
      <c r="M342" s="9">
        <f>Proj[[#This Row],[TOI ES]]+Proj[[#This Row],[TOI PP]]+Proj[[#This Row],[TOI PK]]</f>
        <v>15.190093768626699</v>
      </c>
      <c r="N3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42" s="10">
        <f>Proj[[#This Row],[Goals]]+Proj[[#This Row],[Assists]]</f>
        <v>30</v>
      </c>
      <c r="Q342" s="10">
        <f>ROUND(_xlfn.IFNA(INDEX(Table2[],MATCH(Proj[[#This Row],[Player]],Table2[Player],0),11)/60,IF(Proj[[#This Row],[Pos]] = "D", 'Per 60 PP'!$K$527,'Per 60 PP'!$K$526)/60)*Proj[[#This Row],[TOI PP]]*Proj[[#This Row],[GP]],0)</f>
        <v>6</v>
      </c>
      <c r="R342" s="10">
        <f>ROUND(_xlfn.IFNA(INDEX(Table2[],MATCH(Proj[[#This Row],[Player]],Table2[Player],0),7)/60,IF(Proj[[#This Row],[Pos]] = "D", 'Per 60 PP'!$G$527,'Per 60 PP'!$G$526)/60)*Proj[[#This Row],[TOI PP]]*Proj[[#This Row],[GP]],0)</f>
        <v>7</v>
      </c>
      <c r="S342" s="10">
        <f>Proj[[#This Row],[PPG]]+Proj[[#This Row],[PPA]]</f>
        <v>13</v>
      </c>
      <c r="T342">
        <f>ROUND((_xlfn.IFNA(INDEX(Table3[],MATCH(Proj[[#This Row],[Player]],Table3[Player],0),6)/60,IF(Proj[[#This Row],[Pos]] ="D", 'Per 60 PK'!$F$623, 'Per 60 PK'!$F$622)/60)+_xlfn.IFNA(INDEX(Table3[],MATCH(Proj[[#This Row],[Player]],Table3[Player],0),8)/60,IF(Proj[[#This Row],[Pos]] ="D", 'Per 60 PK'!$H$623, 'Per 60 PK'!$H$622)/60))*Proj[[#This Row],[TOI PK]]*Proj[[#This Row],[GP]],0)</f>
        <v>0</v>
      </c>
      <c r="U3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37</v>
      </c>
      <c r="V3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3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3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145</v>
      </c>
      <c r="Y3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133</v>
      </c>
      <c r="Z3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116</v>
      </c>
      <c r="AA3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-821.15501268126286</v>
      </c>
      <c r="AB342" s="10">
        <f>_xlfn.RANK.EQ(Proj[[#This Row],[VOR]],Proj[VOR])</f>
        <v>600</v>
      </c>
      <c r="AC342" s="10">
        <f>INDEX(Std[],MATCH(Proj[[#This Row],[Player]],Std[Player],0),20)</f>
        <v>-86.521158370964301</v>
      </c>
      <c r="AD3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292.3</v>
      </c>
    </row>
    <row r="343" spans="1:30" x14ac:dyDescent="0.25">
      <c r="A343" t="s">
        <v>1019</v>
      </c>
      <c r="B343">
        <v>23</v>
      </c>
      <c r="C343" t="s">
        <v>103</v>
      </c>
      <c r="D343" t="s">
        <v>32</v>
      </c>
      <c r="E343" s="9">
        <f>INDEX(Table1[],MATCH(Proj[[#This Row],[Player]],Table1[Player],0),5)</f>
        <v>11.734429407034</v>
      </c>
      <c r="F343" s="9">
        <f>_xlfn.IFNA(INDEX(Table2[],MATCH(Proj[[#This Row],[Player]],Table2[Player],0),5),0)</f>
        <v>2.5</v>
      </c>
      <c r="G343" s="9">
        <f>_xlfn.IFNA(INDEX(Table3[],MATCH(Proj[[#This Row],[Player]],Table3[Player],0),5),0)</f>
        <v>0</v>
      </c>
      <c r="H343" s="10">
        <v>67</v>
      </c>
      <c r="I343">
        <v>67</v>
      </c>
      <c r="J343" s="9">
        <v>11.734429407034</v>
      </c>
      <c r="K343" s="9">
        <v>2.5</v>
      </c>
      <c r="L343" s="9">
        <v>0</v>
      </c>
      <c r="M343" s="9">
        <f>Proj[[#This Row],[TOI ES]]+Proj[[#This Row],[TOI PP]]+Proj[[#This Row],[TOI PK]]</f>
        <v>14.234429407034</v>
      </c>
      <c r="N3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43" s="10">
        <f>Proj[[#This Row],[Goals]]+Proj[[#This Row],[Assists]]</f>
        <v>30</v>
      </c>
      <c r="Q343" s="10">
        <f>ROUND(_xlfn.IFNA(INDEX(Table2[],MATCH(Proj[[#This Row],[Player]],Table2[Player],0),11)/60,IF(Proj[[#This Row],[Pos]] = "D", 'Per 60 PP'!$K$527,'Per 60 PP'!$K$526)/60)*Proj[[#This Row],[TOI PP]]*Proj[[#This Row],[GP]],0)</f>
        <v>3</v>
      </c>
      <c r="R343" s="10">
        <f>ROUND(_xlfn.IFNA(INDEX(Table2[],MATCH(Proj[[#This Row],[Player]],Table2[Player],0),7)/60,IF(Proj[[#This Row],[Pos]] = "D", 'Per 60 PP'!$G$527,'Per 60 PP'!$G$526)/60)*Proj[[#This Row],[TOI PP]]*Proj[[#This Row],[GP]],0)</f>
        <v>5</v>
      </c>
      <c r="S343" s="10">
        <f>Proj[[#This Row],[PPG]]+Proj[[#This Row],[PPA]]</f>
        <v>8</v>
      </c>
      <c r="T343">
        <f>ROUND((_xlfn.IFNA(INDEX(Table3[],MATCH(Proj[[#This Row],[Player]],Table3[Player],0),6)/60,IF(Proj[[#This Row],[Pos]] ="D", 'Per 60 PK'!$F$623, 'Per 60 PK'!$F$622)/60)+_xlfn.IFNA(INDEX(Table3[],MATCH(Proj[[#This Row],[Player]],Table3[Player],0),8)/60,IF(Proj[[#This Row],[Pos]] ="D", 'Per 60 PK'!$H$623, 'Per 60 PK'!$H$622)/60))*Proj[[#This Row],[TOI PK]]*Proj[[#This Row],[GP]],0)</f>
        <v>0</v>
      </c>
      <c r="U3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3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3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v>
      </c>
      <c r="Y3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3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98</v>
      </c>
      <c r="AA3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-809.65920155867502</v>
      </c>
      <c r="AB343" s="10">
        <f>_xlfn.RANK.EQ(Proj[[#This Row],[VOR]],Proj[VOR])</f>
        <v>597</v>
      </c>
      <c r="AC343" s="10">
        <f>INDEX(Std[],MATCH(Proj[[#This Row],[Player]],Std[Player],0),20)</f>
        <v>-363.11447716842616</v>
      </c>
      <c r="AD3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252.95000000000002</v>
      </c>
    </row>
    <row r="344" spans="1:30" x14ac:dyDescent="0.25">
      <c r="A344" t="s">
        <v>804</v>
      </c>
      <c r="B344">
        <v>28</v>
      </c>
      <c r="C344" t="s">
        <v>103</v>
      </c>
      <c r="D344" t="s">
        <v>15</v>
      </c>
      <c r="E344" s="9">
        <f>INDEX(Table1[],MATCH(Proj[[#This Row],[Player]],Table1[Player],0),5)</f>
        <v>12.2187466468541</v>
      </c>
      <c r="F344" s="9">
        <f>_xlfn.IFNA(INDEX(Table2[],MATCH(Proj[[#This Row],[Player]],Table2[Player],0),5),0)</f>
        <v>1.0900000000000001</v>
      </c>
      <c r="G344" s="9">
        <f>_xlfn.IFNA(INDEX(Table3[],MATCH(Proj[[#This Row],[Player]],Table3[Player],0),5),0)</f>
        <v>0</v>
      </c>
      <c r="H344" s="10">
        <v>75</v>
      </c>
      <c r="I344">
        <v>75</v>
      </c>
      <c r="J344" s="9">
        <v>12.2187466468541</v>
      </c>
      <c r="K344" s="9">
        <v>1.0900000000000001</v>
      </c>
      <c r="L344" s="9">
        <v>0</v>
      </c>
      <c r="M344" s="9">
        <f>Proj[[#This Row],[TOI ES]]+Proj[[#This Row],[TOI PP]]+Proj[[#This Row],[TOI PK]]</f>
        <v>13.3087466468541</v>
      </c>
      <c r="N3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344" s="10">
        <f>Proj[[#This Row],[Goals]]+Proj[[#This Row],[Assists]]</f>
        <v>30</v>
      </c>
      <c r="Q344" s="10">
        <f>ROUND(_xlfn.IFNA(INDEX(Table2[],MATCH(Proj[[#This Row],[Player]],Table2[Player],0),11)/60,IF(Proj[[#This Row],[Pos]] = "D", 'Per 60 PP'!$K$527,'Per 60 PP'!$K$526)/60)*Proj[[#This Row],[TOI PP]]*Proj[[#This Row],[GP]],0)</f>
        <v>3</v>
      </c>
      <c r="R344" s="10">
        <f>ROUND(_xlfn.IFNA(INDEX(Table2[],MATCH(Proj[[#This Row],[Player]],Table2[Player],0),7)/60,IF(Proj[[#This Row],[Pos]] = "D", 'Per 60 PP'!$G$527,'Per 60 PP'!$G$526)/60)*Proj[[#This Row],[TOI PP]]*Proj[[#This Row],[GP]],0)</f>
        <v>3</v>
      </c>
      <c r="S344" s="10">
        <f>Proj[[#This Row],[PPG]]+Proj[[#This Row],[PPA]]</f>
        <v>6</v>
      </c>
      <c r="T344">
        <f>ROUND((_xlfn.IFNA(INDEX(Table3[],MATCH(Proj[[#This Row],[Player]],Table3[Player],0),6)/60,IF(Proj[[#This Row],[Pos]] ="D", 'Per 60 PK'!$F$623, 'Per 60 PK'!$F$622)/60)+_xlfn.IFNA(INDEX(Table3[],MATCH(Proj[[#This Row],[Player]],Table3[Player],0),8)/60,IF(Proj[[#This Row],[Pos]] ="D", 'Per 60 PK'!$H$623, 'Per 60 PK'!$H$622)/60))*Proj[[#This Row],[TOI PK]]*Proj[[#This Row],[GP]],0)</f>
        <v>0</v>
      </c>
      <c r="U3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3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3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3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67</v>
      </c>
      <c r="Y3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66</v>
      </c>
      <c r="Z3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116</v>
      </c>
      <c r="AA3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-762.80685625441618</v>
      </c>
      <c r="AB344" s="10">
        <f>_xlfn.RANK.EQ(Proj[[#This Row],[VOR]],Proj[VOR])</f>
        <v>565</v>
      </c>
      <c r="AC344" s="10">
        <f>INDEX(Std[],MATCH(Proj[[#This Row],[Player]],Std[Player],0),20)</f>
        <v>-316.26213186416732</v>
      </c>
      <c r="AD3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270</v>
      </c>
    </row>
    <row r="345" spans="1:30" x14ac:dyDescent="0.25">
      <c r="A345" t="s">
        <v>997</v>
      </c>
      <c r="B345">
        <v>23</v>
      </c>
      <c r="C345" t="s">
        <v>103</v>
      </c>
      <c r="D345" t="s">
        <v>28</v>
      </c>
      <c r="E345" s="9">
        <f>INDEX(Table1[],MATCH(Proj[[#This Row],[Player]],Table1[Player],0),5)</f>
        <v>12.5</v>
      </c>
      <c r="F345" s="9">
        <f>_xlfn.IFNA(INDEX(Table2[],MATCH(Proj[[#This Row],[Player]],Table2[Player],0),5),0)</f>
        <v>1.64</v>
      </c>
      <c r="G345" s="9">
        <f>_xlfn.IFNA(INDEX(Table3[],MATCH(Proj[[#This Row],[Player]],Table3[Player],0),5),0)</f>
        <v>0</v>
      </c>
      <c r="H345" s="10">
        <v>77</v>
      </c>
      <c r="I345">
        <v>77</v>
      </c>
      <c r="J345" s="9">
        <v>12.5</v>
      </c>
      <c r="K345" s="9">
        <v>1.64</v>
      </c>
      <c r="L345" s="9">
        <v>0</v>
      </c>
      <c r="M345" s="9">
        <f>Proj[[#This Row],[TOI ES]]+Proj[[#This Row],[TOI PP]]+Proj[[#This Row],[TOI PK]]</f>
        <v>14.14</v>
      </c>
      <c r="N3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345" s="10">
        <f>Proj[[#This Row],[Goals]]+Proj[[#This Row],[Assists]]</f>
        <v>30</v>
      </c>
      <c r="Q345" s="10">
        <f>ROUND(_xlfn.IFNA(INDEX(Table2[],MATCH(Proj[[#This Row],[Player]],Table2[Player],0),11)/60,IF(Proj[[#This Row],[Pos]] = "D", 'Per 60 PP'!$K$527,'Per 60 PP'!$K$526)/60)*Proj[[#This Row],[TOI PP]]*Proj[[#This Row],[GP]],0)</f>
        <v>3</v>
      </c>
      <c r="R345" s="10">
        <f>ROUND(_xlfn.IFNA(INDEX(Table2[],MATCH(Proj[[#This Row],[Player]],Table2[Player],0),7)/60,IF(Proj[[#This Row],[Pos]] = "D", 'Per 60 PP'!$G$527,'Per 60 PP'!$G$526)/60)*Proj[[#This Row],[TOI PP]]*Proj[[#This Row],[GP]],0)</f>
        <v>2</v>
      </c>
      <c r="S345" s="10">
        <f>Proj[[#This Row],[PPG]]+Proj[[#This Row],[PPA]]</f>
        <v>5</v>
      </c>
      <c r="T345">
        <f>ROUND((_xlfn.IFNA(INDEX(Table3[],MATCH(Proj[[#This Row],[Player]],Table3[Player],0),6)/60,IF(Proj[[#This Row],[Pos]] ="D", 'Per 60 PK'!$F$623, 'Per 60 PK'!$F$622)/60)+_xlfn.IFNA(INDEX(Table3[],MATCH(Proj[[#This Row],[Player]],Table3[Player],0),8)/60,IF(Proj[[#This Row],[Pos]] ="D", 'Per 60 PK'!$H$623, 'Per 60 PK'!$H$622)/60))*Proj[[#This Row],[TOI PK]]*Proj[[#This Row],[GP]],0)</f>
        <v>0</v>
      </c>
      <c r="U3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3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3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3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v>
      </c>
      <c r="Y3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32</v>
      </c>
      <c r="Z3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128</v>
      </c>
      <c r="AA3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-721.26080343811134</v>
      </c>
      <c r="AB345" s="10">
        <f>_xlfn.RANK.EQ(Proj[[#This Row],[VOR]],Proj[VOR])</f>
        <v>537</v>
      </c>
      <c r="AC345" s="10">
        <f>INDEX(Std[],MATCH(Proj[[#This Row],[Player]],Std[Player],0),20)</f>
        <v>-274.71607904786248</v>
      </c>
      <c r="AD3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273.05</v>
      </c>
    </row>
    <row r="346" spans="1:30" x14ac:dyDescent="0.25">
      <c r="A346" t="s">
        <v>707</v>
      </c>
      <c r="B346">
        <v>33</v>
      </c>
      <c r="C346" t="s">
        <v>74</v>
      </c>
      <c r="D346" t="s">
        <v>30</v>
      </c>
      <c r="E346" s="9">
        <f>INDEX(Table1[],MATCH(Proj[[#This Row],[Player]],Table1[Player],0),5)</f>
        <v>12.392056097654001</v>
      </c>
      <c r="F346" s="9">
        <f>_xlfn.IFNA(INDEX(Table2[],MATCH(Proj[[#This Row],[Player]],Table2[Player],0),5),0)</f>
        <v>1.19</v>
      </c>
      <c r="G346" s="9">
        <f>_xlfn.IFNA(INDEX(Table3[],MATCH(Proj[[#This Row],[Player]],Table3[Player],0),5),0)</f>
        <v>1.53</v>
      </c>
      <c r="H346" s="10">
        <v>64</v>
      </c>
      <c r="I346">
        <v>64</v>
      </c>
      <c r="J346" s="9">
        <v>12.392056097654001</v>
      </c>
      <c r="K346" s="9">
        <v>1.19</v>
      </c>
      <c r="L346" s="9">
        <v>1.53</v>
      </c>
      <c r="M346" s="9">
        <f>Proj[[#This Row],[TOI ES]]+Proj[[#This Row],[TOI PP]]+Proj[[#This Row],[TOI PK]]</f>
        <v>15.112056097653999</v>
      </c>
      <c r="N3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46" s="10">
        <f>Proj[[#This Row],[Goals]]+Proj[[#This Row],[Assists]]</f>
        <v>30</v>
      </c>
      <c r="Q346" s="10">
        <f>ROUND(_xlfn.IFNA(INDEX(Table2[],MATCH(Proj[[#This Row],[Player]],Table2[Player],0),11)/60,IF(Proj[[#This Row],[Pos]] = "D", 'Per 60 PP'!$K$527,'Per 60 PP'!$K$526)/60)*Proj[[#This Row],[TOI PP]]*Proj[[#This Row],[GP]],0)</f>
        <v>2</v>
      </c>
      <c r="R346" s="10">
        <f>ROUND(_xlfn.IFNA(INDEX(Table2[],MATCH(Proj[[#This Row],[Player]],Table2[Player],0),7)/60,IF(Proj[[#This Row],[Pos]] = "D", 'Per 60 PP'!$G$527,'Per 60 PP'!$G$526)/60)*Proj[[#This Row],[TOI PP]]*Proj[[#This Row],[GP]],0)</f>
        <v>2</v>
      </c>
      <c r="S346" s="10">
        <f>Proj[[#This Row],[PPG]]+Proj[[#This Row],[PPA]]</f>
        <v>4</v>
      </c>
      <c r="T346">
        <f>ROUND((_xlfn.IFNA(INDEX(Table3[],MATCH(Proj[[#This Row],[Player]],Table3[Player],0),6)/60,IF(Proj[[#This Row],[Pos]] ="D", 'Per 60 PK'!$F$623, 'Per 60 PK'!$F$622)/60)+_xlfn.IFNA(INDEX(Table3[],MATCH(Proj[[#This Row],[Player]],Table3[Player],0),8)/60,IF(Proj[[#This Row],[Pos]] ="D", 'Per 60 PK'!$H$623, 'Per 60 PK'!$H$622)/60))*Proj[[#This Row],[TOI PK]]*Proj[[#This Row],[GP]],0)</f>
        <v>2</v>
      </c>
      <c r="U3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3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3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3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90</v>
      </c>
      <c r="Y3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94</v>
      </c>
      <c r="Z3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3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-1118.0281390556818</v>
      </c>
      <c r="AB346" s="10">
        <f>_xlfn.RANK.EQ(Proj[[#This Row],[VOR]],Proj[VOR])</f>
        <v>685</v>
      </c>
      <c r="AC346" s="10">
        <f>INDEX(Std[],MATCH(Proj[[#This Row],[Player]],Std[Player],0),20)</f>
        <v>-383.39428474538317</v>
      </c>
      <c r="AD3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255.25</v>
      </c>
    </row>
    <row r="347" spans="1:30" x14ac:dyDescent="0.25">
      <c r="A347" t="s">
        <v>808</v>
      </c>
      <c r="B347">
        <v>26</v>
      </c>
      <c r="C347" t="s">
        <v>74</v>
      </c>
      <c r="D347" t="s">
        <v>17</v>
      </c>
      <c r="E347" s="9">
        <f>INDEX(Table1[],MATCH(Proj[[#This Row],[Player]],Table1[Player],0),5)</f>
        <v>11.5246088474833</v>
      </c>
      <c r="F347" s="9">
        <f>_xlfn.IFNA(INDEX(Table2[],MATCH(Proj[[#This Row],[Player]],Table2[Player],0),5),0)</f>
        <v>1.1599999999999999</v>
      </c>
      <c r="G347" s="9">
        <f>_xlfn.IFNA(INDEX(Table3[],MATCH(Proj[[#This Row],[Player]],Table3[Player],0),5),0)</f>
        <v>1.63</v>
      </c>
      <c r="H347" s="10">
        <v>78</v>
      </c>
      <c r="I347">
        <v>78</v>
      </c>
      <c r="J347" s="9">
        <v>11.5246088474833</v>
      </c>
      <c r="K347" s="9">
        <v>1.1599999999999999</v>
      </c>
      <c r="L347" s="9">
        <v>1.63</v>
      </c>
      <c r="M347" s="9">
        <f>Proj[[#This Row],[TOI ES]]+Proj[[#This Row],[TOI PP]]+Proj[[#This Row],[TOI PK]]</f>
        <v>14.314608847483299</v>
      </c>
      <c r="N3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347" s="10">
        <f>Proj[[#This Row],[Goals]]+Proj[[#This Row],[Assists]]</f>
        <v>30</v>
      </c>
      <c r="Q347" s="10">
        <f>ROUND(_xlfn.IFNA(INDEX(Table2[],MATCH(Proj[[#This Row],[Player]],Table2[Player],0),11)/60,IF(Proj[[#This Row],[Pos]] = "D", 'Per 60 PP'!$K$527,'Per 60 PP'!$K$526)/60)*Proj[[#This Row],[TOI PP]]*Proj[[#This Row],[GP]],0)</f>
        <v>1</v>
      </c>
      <c r="R347" s="10">
        <f>ROUND(_xlfn.IFNA(INDEX(Table2[],MATCH(Proj[[#This Row],[Player]],Table2[Player],0),7)/60,IF(Proj[[#This Row],[Pos]] = "D", 'Per 60 PP'!$G$527,'Per 60 PP'!$G$526)/60)*Proj[[#This Row],[TOI PP]]*Proj[[#This Row],[GP]],0)</f>
        <v>4</v>
      </c>
      <c r="S347" s="10">
        <f>Proj[[#This Row],[PPG]]+Proj[[#This Row],[PPA]]</f>
        <v>5</v>
      </c>
      <c r="T347">
        <f>ROUND((_xlfn.IFNA(INDEX(Table3[],MATCH(Proj[[#This Row],[Player]],Table3[Player],0),6)/60,IF(Proj[[#This Row],[Pos]] ="D", 'Per 60 PK'!$F$623, 'Per 60 PK'!$F$622)/60)+_xlfn.IFNA(INDEX(Table3[],MATCH(Proj[[#This Row],[Player]],Table3[Player],0),8)/60,IF(Proj[[#This Row],[Pos]] ="D", 'Per 60 PK'!$H$623, 'Per 60 PK'!$H$622)/60))*Proj[[#This Row],[TOI PK]]*Proj[[#This Row],[GP]],0)</f>
        <v>2</v>
      </c>
      <c r="U3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3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3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3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163</v>
      </c>
      <c r="Y3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181</v>
      </c>
      <c r="Z3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89</v>
      </c>
      <c r="AA3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-1023.020667216864</v>
      </c>
      <c r="AB347" s="10">
        <f>_xlfn.RANK.EQ(Proj[[#This Row],[VOR]],Proj[VOR])</f>
        <v>664</v>
      </c>
      <c r="AC347" s="10">
        <f>INDEX(Std[],MATCH(Proj[[#This Row],[Player]],Std[Player],0),20)</f>
        <v>-288.38681290656541</v>
      </c>
      <c r="AD3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265</v>
      </c>
    </row>
    <row r="348" spans="1:30" x14ac:dyDescent="0.25">
      <c r="A348" t="s">
        <v>473</v>
      </c>
      <c r="B348">
        <v>32</v>
      </c>
      <c r="C348" t="s">
        <v>74</v>
      </c>
      <c r="D348" t="s">
        <v>1101</v>
      </c>
      <c r="E348" s="9">
        <f>INDEX(Table1[],MATCH(Proj[[#This Row],[Player]],Table1[Player],0),5)</f>
        <v>11.671544451425</v>
      </c>
      <c r="F348" s="9">
        <f>_xlfn.IFNA(INDEX(Table2[],MATCH(Proj[[#This Row],[Player]],Table2[Player],0),5),0)</f>
        <v>2.0099999999999998</v>
      </c>
      <c r="G348" s="9">
        <f>_xlfn.IFNA(INDEX(Table3[],MATCH(Proj[[#This Row],[Player]],Table3[Player],0),5),0)</f>
        <v>0.45</v>
      </c>
      <c r="H348" s="10">
        <v>71</v>
      </c>
      <c r="I348">
        <v>71</v>
      </c>
      <c r="J348" s="9">
        <v>11.671544451425</v>
      </c>
      <c r="K348" s="9">
        <v>2.0099999999999998</v>
      </c>
      <c r="L348" s="9">
        <v>0.45</v>
      </c>
      <c r="M348" s="9">
        <f>Proj[[#This Row],[TOI ES]]+Proj[[#This Row],[TOI PP]]+Proj[[#This Row],[TOI PK]]</f>
        <v>14.131544451424999</v>
      </c>
      <c r="N3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48" s="10">
        <f>Proj[[#This Row],[Goals]]+Proj[[#This Row],[Assists]]</f>
        <v>30</v>
      </c>
      <c r="Q348" s="10">
        <f>ROUND(_xlfn.IFNA(INDEX(Table2[],MATCH(Proj[[#This Row],[Player]],Table2[Player],0),11)/60,IF(Proj[[#This Row],[Pos]] = "D", 'Per 60 PP'!$K$527,'Per 60 PP'!$K$526)/60)*Proj[[#This Row],[TOI PP]]*Proj[[#This Row],[GP]],0)</f>
        <v>5</v>
      </c>
      <c r="R348" s="10">
        <f>ROUND(_xlfn.IFNA(INDEX(Table2[],MATCH(Proj[[#This Row],[Player]],Table2[Player],0),7)/60,IF(Proj[[#This Row],[Pos]] = "D", 'Per 60 PP'!$G$527,'Per 60 PP'!$G$526)/60)*Proj[[#This Row],[TOI PP]]*Proj[[#This Row],[GP]],0)</f>
        <v>4</v>
      </c>
      <c r="S348" s="10">
        <f>Proj[[#This Row],[PPG]]+Proj[[#This Row],[PPA]]</f>
        <v>9</v>
      </c>
      <c r="T348">
        <f>ROUND((_xlfn.IFNA(INDEX(Table3[],MATCH(Proj[[#This Row],[Player]],Table3[Player],0),6)/60,IF(Proj[[#This Row],[Pos]] ="D", 'Per 60 PK'!$F$623, 'Per 60 PK'!$F$622)/60)+_xlfn.IFNA(INDEX(Table3[],MATCH(Proj[[#This Row],[Player]],Table3[Player],0),8)/60,IF(Proj[[#This Row],[Pos]] ="D", 'Per 60 PK'!$H$623, 'Per 60 PK'!$H$622)/60))*Proj[[#This Row],[TOI PK]]*Proj[[#This Row],[GP]],0)</f>
        <v>0</v>
      </c>
      <c r="U3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3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26</v>
      </c>
      <c r="W3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3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500</v>
      </c>
      <c r="Y3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434</v>
      </c>
      <c r="Z3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3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-732.10836530839799</v>
      </c>
      <c r="AB348" s="10">
        <f>_xlfn.RANK.EQ(Proj[[#This Row],[VOR]],Proj[VOR])</f>
        <v>549</v>
      </c>
      <c r="AC348" s="10">
        <f>INDEX(Std[],MATCH(Proj[[#This Row],[Player]],Std[Player],0),20)</f>
        <v>2.5254890019006311</v>
      </c>
      <c r="AD3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311.89999999999998</v>
      </c>
    </row>
    <row r="349" spans="1:30" x14ac:dyDescent="0.25">
      <c r="A349" t="s">
        <v>440</v>
      </c>
      <c r="B349">
        <v>32</v>
      </c>
      <c r="C349" t="s">
        <v>103</v>
      </c>
      <c r="D349" t="s">
        <v>6</v>
      </c>
      <c r="E349" s="9">
        <f>INDEX(Table1[],MATCH(Proj[[#This Row],[Player]],Table1[Player],0),5)</f>
        <v>12.2394947408071</v>
      </c>
      <c r="F349" s="9">
        <f>_xlfn.IFNA(INDEX(Table2[],MATCH(Proj[[#This Row],[Player]],Table2[Player],0),5),0)</f>
        <v>1.52</v>
      </c>
      <c r="G349" s="9">
        <f>_xlfn.IFNA(INDEX(Table3[],MATCH(Proj[[#This Row],[Player]],Table3[Player],0),5),0)</f>
        <v>0</v>
      </c>
      <c r="H349" s="10">
        <v>79</v>
      </c>
      <c r="I349">
        <v>79</v>
      </c>
      <c r="J349" s="9">
        <v>12.2394947408071</v>
      </c>
      <c r="K349" s="9">
        <v>1.52</v>
      </c>
      <c r="L349" s="9">
        <v>0</v>
      </c>
      <c r="M349" s="9">
        <f>Proj[[#This Row],[TOI ES]]+Proj[[#This Row],[TOI PP]]+Proj[[#This Row],[TOI PK]]</f>
        <v>13.759494740807099</v>
      </c>
      <c r="N3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349" s="10">
        <f>Proj[[#This Row],[Goals]]+Proj[[#This Row],[Assists]]</f>
        <v>30</v>
      </c>
      <c r="Q349" s="10">
        <f>ROUND(_xlfn.IFNA(INDEX(Table2[],MATCH(Proj[[#This Row],[Player]],Table2[Player],0),11)/60,IF(Proj[[#This Row],[Pos]] = "D", 'Per 60 PP'!$K$527,'Per 60 PP'!$K$526)/60)*Proj[[#This Row],[TOI PP]]*Proj[[#This Row],[GP]],0)</f>
        <v>2</v>
      </c>
      <c r="R349" s="10">
        <f>ROUND(_xlfn.IFNA(INDEX(Table2[],MATCH(Proj[[#This Row],[Player]],Table2[Player],0),7)/60,IF(Proj[[#This Row],[Pos]] = "D", 'Per 60 PP'!$G$527,'Per 60 PP'!$G$526)/60)*Proj[[#This Row],[TOI PP]]*Proj[[#This Row],[GP]],0)</f>
        <v>3</v>
      </c>
      <c r="S349" s="10">
        <f>Proj[[#This Row],[PPG]]+Proj[[#This Row],[PPA]]</f>
        <v>5</v>
      </c>
      <c r="T349">
        <f>ROUND((_xlfn.IFNA(INDEX(Table3[],MATCH(Proj[[#This Row],[Player]],Table3[Player],0),6)/60,IF(Proj[[#This Row],[Pos]] ="D", 'Per 60 PK'!$F$623, 'Per 60 PK'!$F$622)/60)+_xlfn.IFNA(INDEX(Table3[],MATCH(Proj[[#This Row],[Player]],Table3[Player],0),8)/60,IF(Proj[[#This Row],[Pos]] ="D", 'Per 60 PK'!$H$623, 'Per 60 PK'!$H$622)/60))*Proj[[#This Row],[TOI PK]]*Proj[[#This Row],[GP]],0)</f>
        <v>0</v>
      </c>
      <c r="U3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57</v>
      </c>
      <c r="V3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3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85</v>
      </c>
      <c r="X3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3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3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166</v>
      </c>
      <c r="AA3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-363.34680187757289</v>
      </c>
      <c r="AB349" s="10">
        <f>_xlfn.RANK.EQ(Proj[[#This Row],[VOR]],Proj[VOR])</f>
        <v>354</v>
      </c>
      <c r="AC349" s="10">
        <f>INDEX(Std[],MATCH(Proj[[#This Row],[Player]],Std[Player],0),20)</f>
        <v>83.197922512675973</v>
      </c>
      <c r="AD3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327.79999999999995</v>
      </c>
    </row>
    <row r="350" spans="1:30" x14ac:dyDescent="0.25">
      <c r="A350" t="s">
        <v>443</v>
      </c>
      <c r="B350">
        <v>29</v>
      </c>
      <c r="C350" t="s">
        <v>3</v>
      </c>
      <c r="D350" t="s">
        <v>155</v>
      </c>
      <c r="E350" s="9">
        <f>INDEX(Table1[],MATCH(Proj[[#This Row],[Player]],Table1[Player],0),5)</f>
        <v>17.942771932391199</v>
      </c>
      <c r="F350" s="9">
        <f>_xlfn.IFNA(INDEX(Table2[],MATCH(Proj[[#This Row],[Player]],Table2[Player],0),5),0)</f>
        <v>1.08</v>
      </c>
      <c r="G350" s="9">
        <f>_xlfn.IFNA(INDEX(Table3[],MATCH(Proj[[#This Row],[Player]],Table3[Player],0),5),0)</f>
        <v>2.64</v>
      </c>
      <c r="H350" s="10">
        <v>79</v>
      </c>
      <c r="I350">
        <v>79</v>
      </c>
      <c r="J350" s="9">
        <v>17.942771932391199</v>
      </c>
      <c r="K350" s="9">
        <v>1.08</v>
      </c>
      <c r="L350" s="9">
        <v>2.64</v>
      </c>
      <c r="M350" s="9">
        <f>Proj[[#This Row],[TOI ES]]+Proj[[#This Row],[TOI PP]]+Proj[[#This Row],[TOI PK]]</f>
        <v>21.662771932391202</v>
      </c>
      <c r="N3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3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50" s="10">
        <f>Proj[[#This Row],[Goals]]+Proj[[#This Row],[Assists]]</f>
        <v>30</v>
      </c>
      <c r="Q350" s="10">
        <f>ROUND(_xlfn.IFNA(INDEX(Table2[],MATCH(Proj[[#This Row],[Player]],Table2[Player],0),11)/60,IF(Proj[[#This Row],[Pos]] = "D", 'Per 60 PP'!$K$527,'Per 60 PP'!$K$526)/60)*Proj[[#This Row],[TOI PP]]*Proj[[#This Row],[GP]],0)</f>
        <v>1</v>
      </c>
      <c r="R350" s="10">
        <f>ROUND(_xlfn.IFNA(INDEX(Table2[],MATCH(Proj[[#This Row],[Player]],Table2[Player],0),7)/60,IF(Proj[[#This Row],[Pos]] = "D", 'Per 60 PP'!$G$527,'Per 60 PP'!$G$526)/60)*Proj[[#This Row],[TOI PP]]*Proj[[#This Row],[GP]],0)</f>
        <v>4</v>
      </c>
      <c r="S350" s="10">
        <f>Proj[[#This Row],[PPG]]+Proj[[#This Row],[PPA]]</f>
        <v>5</v>
      </c>
      <c r="T350">
        <f>ROUND((_xlfn.IFNA(INDEX(Table3[],MATCH(Proj[[#This Row],[Player]],Table3[Player],0),6)/60,IF(Proj[[#This Row],[Pos]] ="D", 'Per 60 PK'!$F$623, 'Per 60 PK'!$F$622)/60)+_xlfn.IFNA(INDEX(Table3[],MATCH(Proj[[#This Row],[Player]],Table3[Player],0),8)/60,IF(Proj[[#This Row],[Pos]] ="D", 'Per 60 PK'!$H$623, 'Per 60 PK'!$H$622)/60))*Proj[[#This Row],[TOI PK]]*Proj[[#This Row],[GP]],0)</f>
        <v>1</v>
      </c>
      <c r="U3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3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130</v>
      </c>
      <c r="W3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3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113</v>
      </c>
      <c r="AA3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-120.0541919376894</v>
      </c>
      <c r="AB350" s="10">
        <f>_xlfn.RANK.EQ(Proj[[#This Row],[VOR]],Proj[VOR])</f>
        <v>209</v>
      </c>
      <c r="AC350" s="10">
        <f>INDEX(Std[],MATCH(Proj[[#This Row],[Player]],Std[Player],0),20)</f>
        <v>-12.689424218224909</v>
      </c>
      <c r="AD3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329.55</v>
      </c>
    </row>
    <row r="351" spans="1:30" x14ac:dyDescent="0.25">
      <c r="A351" t="s">
        <v>793</v>
      </c>
      <c r="B351">
        <v>26</v>
      </c>
      <c r="C351" t="s">
        <v>74</v>
      </c>
      <c r="D351" t="s">
        <v>32</v>
      </c>
      <c r="E351" s="9">
        <f>INDEX(Table1[],MATCH(Proj[[#This Row],[Player]],Table1[Player],0),5)</f>
        <v>12.147550763698099</v>
      </c>
      <c r="F351" s="9">
        <f>_xlfn.IFNA(INDEX(Table2[],MATCH(Proj[[#This Row],[Player]],Table2[Player],0),5),0)</f>
        <v>0.91</v>
      </c>
      <c r="G351" s="9">
        <f>_xlfn.IFNA(INDEX(Table3[],MATCH(Proj[[#This Row],[Player]],Table3[Player],0),5),0)</f>
        <v>1.93</v>
      </c>
      <c r="H351" s="10">
        <v>78</v>
      </c>
      <c r="I351">
        <v>78</v>
      </c>
      <c r="J351" s="9">
        <v>12.147550763698099</v>
      </c>
      <c r="K351" s="9">
        <v>0.91</v>
      </c>
      <c r="L351" s="9">
        <v>1.93</v>
      </c>
      <c r="M351" s="9">
        <f>Proj[[#This Row],[TOI ES]]+Proj[[#This Row],[TOI PP]]+Proj[[#This Row],[TOI PK]]</f>
        <v>14.987550763698099</v>
      </c>
      <c r="N3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51" s="10">
        <f>Proj[[#This Row],[Goals]]+Proj[[#This Row],[Assists]]</f>
        <v>30</v>
      </c>
      <c r="Q351" s="10">
        <f>ROUND(_xlfn.IFNA(INDEX(Table2[],MATCH(Proj[[#This Row],[Player]],Table2[Player],0),11)/60,IF(Proj[[#This Row],[Pos]] = "D", 'Per 60 PP'!$K$527,'Per 60 PP'!$K$526)/60)*Proj[[#This Row],[TOI PP]]*Proj[[#This Row],[GP]],0)</f>
        <v>2</v>
      </c>
      <c r="R351" s="10">
        <f>ROUND(_xlfn.IFNA(INDEX(Table2[],MATCH(Proj[[#This Row],[Player]],Table2[Player],0),7)/60,IF(Proj[[#This Row],[Pos]] = "D", 'Per 60 PP'!$G$527,'Per 60 PP'!$G$526)/60)*Proj[[#This Row],[TOI PP]]*Proj[[#This Row],[GP]],0)</f>
        <v>3</v>
      </c>
      <c r="S351" s="10">
        <f>Proj[[#This Row],[PPG]]+Proj[[#This Row],[PPA]]</f>
        <v>5</v>
      </c>
      <c r="T351">
        <f>ROUND((_xlfn.IFNA(INDEX(Table3[],MATCH(Proj[[#This Row],[Player]],Table3[Player],0),6)/60,IF(Proj[[#This Row],[Pos]] ="D", 'Per 60 PK'!$F$623, 'Per 60 PK'!$F$622)/60)+_xlfn.IFNA(INDEX(Table3[],MATCH(Proj[[#This Row],[Player]],Table3[Player],0),8)/60,IF(Proj[[#This Row],[Pos]] ="D", 'Per 60 PK'!$H$623, 'Per 60 PK'!$H$622)/60))*Proj[[#This Row],[TOI PK]]*Proj[[#This Row],[GP]],0)</f>
        <v>3</v>
      </c>
      <c r="U3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3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80</v>
      </c>
      <c r="W3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3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422</v>
      </c>
      <c r="Y3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454</v>
      </c>
      <c r="Z3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126</v>
      </c>
      <c r="AA3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-744.15826781284113</v>
      </c>
      <c r="AB351" s="10">
        <f>_xlfn.RANK.EQ(Proj[[#This Row],[VOR]],Proj[VOR])</f>
        <v>557</v>
      </c>
      <c r="AC351" s="10">
        <f>INDEX(Std[],MATCH(Proj[[#This Row],[Player]],Std[Player],0),20)</f>
        <v>-9.5244135025425614</v>
      </c>
      <c r="AD3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342.7</v>
      </c>
    </row>
    <row r="352" spans="1:30" x14ac:dyDescent="0.25">
      <c r="A352" t="s">
        <v>509</v>
      </c>
      <c r="B352">
        <v>24</v>
      </c>
      <c r="C352" t="s">
        <v>3</v>
      </c>
      <c r="D352" t="s">
        <v>32</v>
      </c>
      <c r="E352" s="9">
        <f>INDEX(Table1[],MATCH(Proj[[#This Row],[Player]],Table1[Player],0),5)</f>
        <v>18.060853390699499</v>
      </c>
      <c r="F352" s="9">
        <f>_xlfn.IFNA(INDEX(Table2[],MATCH(Proj[[#This Row],[Player]],Table2[Player],0),5),0)</f>
        <v>1.97</v>
      </c>
      <c r="G352" s="9">
        <f>_xlfn.IFNA(INDEX(Table3[],MATCH(Proj[[#This Row],[Player]],Table3[Player],0),5),0)</f>
        <v>1.86</v>
      </c>
      <c r="H352" s="10">
        <v>81</v>
      </c>
      <c r="I352">
        <v>81</v>
      </c>
      <c r="J352" s="9">
        <v>18.060853390699499</v>
      </c>
      <c r="K352" s="9">
        <v>1.97</v>
      </c>
      <c r="L352" s="9">
        <v>1.86</v>
      </c>
      <c r="M352" s="9">
        <f>Proj[[#This Row],[TOI ES]]+Proj[[#This Row],[TOI PP]]+Proj[[#This Row],[TOI PK]]</f>
        <v>21.890853390699498</v>
      </c>
      <c r="N3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3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352" s="10">
        <f>Proj[[#This Row],[Goals]]+Proj[[#This Row],[Assists]]</f>
        <v>30</v>
      </c>
      <c r="Q352" s="10">
        <f>ROUND(_xlfn.IFNA(INDEX(Table2[],MATCH(Proj[[#This Row],[Player]],Table2[Player],0),11)/60,IF(Proj[[#This Row],[Pos]] = "D", 'Per 60 PP'!$K$527,'Per 60 PP'!$K$526)/60)*Proj[[#This Row],[TOI PP]]*Proj[[#This Row],[GP]],0)</f>
        <v>1</v>
      </c>
      <c r="R352" s="10">
        <f>ROUND(_xlfn.IFNA(INDEX(Table2[],MATCH(Proj[[#This Row],[Player]],Table2[Player],0),7)/60,IF(Proj[[#This Row],[Pos]] = "D", 'Per 60 PP'!$G$527,'Per 60 PP'!$G$526)/60)*Proj[[#This Row],[TOI PP]]*Proj[[#This Row],[GP]],0)</f>
        <v>5</v>
      </c>
      <c r="S352" s="10">
        <f>Proj[[#This Row],[PPG]]+Proj[[#This Row],[PPA]]</f>
        <v>6</v>
      </c>
      <c r="T352">
        <f>ROUND((_xlfn.IFNA(INDEX(Table3[],MATCH(Proj[[#This Row],[Player]],Table3[Player],0),6)/60,IF(Proj[[#This Row],[Pos]] ="D", 'Per 60 PK'!$F$623, 'Per 60 PK'!$F$622)/60)+_xlfn.IFNA(INDEX(Table3[],MATCH(Proj[[#This Row],[Player]],Table3[Player],0),8)/60,IF(Proj[[#This Row],[Pos]] ="D", 'Per 60 PK'!$H$623, 'Per 60 PK'!$H$622)/60))*Proj[[#This Row],[TOI PK]]*Proj[[#This Row],[GP]],0)</f>
        <v>2</v>
      </c>
      <c r="U3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3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153</v>
      </c>
      <c r="W3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3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3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-111.55558256739219</v>
      </c>
      <c r="AB352" s="10">
        <f>_xlfn.RANK.EQ(Proj[[#This Row],[VOR]],Proj[VOR])</f>
        <v>204</v>
      </c>
      <c r="AC352" s="10">
        <f>INDEX(Std[],MATCH(Proj[[#This Row],[Player]],Std[Player],0),20)</f>
        <v>-4.1908148479277072</v>
      </c>
      <c r="AD3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337.8</v>
      </c>
    </row>
    <row r="353" spans="1:30" x14ac:dyDescent="0.25">
      <c r="A353" t="s">
        <v>603</v>
      </c>
      <c r="B353">
        <v>24</v>
      </c>
      <c r="C353" t="s">
        <v>102</v>
      </c>
      <c r="D353" t="s">
        <v>8</v>
      </c>
      <c r="E353" s="9">
        <f>INDEX(Table1[],MATCH(Proj[[#This Row],[Player]],Table1[Player],0),5)</f>
        <v>11.620041936996801</v>
      </c>
      <c r="F353" s="9">
        <f>_xlfn.IFNA(INDEX(Table2[],MATCH(Proj[[#This Row],[Player]],Table2[Player],0),5),0)</f>
        <v>1.04</v>
      </c>
      <c r="G353" s="9">
        <f>_xlfn.IFNA(INDEX(Table3[],MATCH(Proj[[#This Row],[Player]],Table3[Player],0),5),0)</f>
        <v>0</v>
      </c>
      <c r="H353" s="10">
        <v>76</v>
      </c>
      <c r="I353">
        <v>76</v>
      </c>
      <c r="J353" s="9">
        <v>11.620041936996801</v>
      </c>
      <c r="K353" s="9">
        <v>1.04</v>
      </c>
      <c r="L353" s="9">
        <v>0</v>
      </c>
      <c r="M353" s="9">
        <f>Proj[[#This Row],[TOI ES]]+Proj[[#This Row],[TOI PP]]+Proj[[#This Row],[TOI PK]]</f>
        <v>12.660041936996802</v>
      </c>
      <c r="N3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3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353" s="10">
        <f>Proj[[#This Row],[Goals]]+Proj[[#This Row],[Assists]]</f>
        <v>30</v>
      </c>
      <c r="Q353" s="10">
        <f>ROUND(_xlfn.IFNA(INDEX(Table2[],MATCH(Proj[[#This Row],[Player]],Table2[Player],0),11)/60,IF(Proj[[#This Row],[Pos]] = "D", 'Per 60 PP'!$K$527,'Per 60 PP'!$K$526)/60)*Proj[[#This Row],[TOI PP]]*Proj[[#This Row],[GP]],0)</f>
        <v>2</v>
      </c>
      <c r="R353" s="10">
        <f>ROUND(_xlfn.IFNA(INDEX(Table2[],MATCH(Proj[[#This Row],[Player]],Table2[Player],0),7)/60,IF(Proj[[#This Row],[Pos]] = "D", 'Per 60 PP'!$G$527,'Per 60 PP'!$G$526)/60)*Proj[[#This Row],[TOI PP]]*Proj[[#This Row],[GP]],0)</f>
        <v>1</v>
      </c>
      <c r="S353" s="10">
        <f>Proj[[#This Row],[PPG]]+Proj[[#This Row],[PPA]]</f>
        <v>3</v>
      </c>
      <c r="T353">
        <f>ROUND((_xlfn.IFNA(INDEX(Table3[],MATCH(Proj[[#This Row],[Player]],Table3[Player],0),6)/60,IF(Proj[[#This Row],[Pos]] ="D", 'Per 60 PK'!$F$623, 'Per 60 PK'!$F$622)/60)+_xlfn.IFNA(INDEX(Table3[],MATCH(Proj[[#This Row],[Player]],Table3[Player],0),8)/60,IF(Proj[[#This Row],[Pos]] ="D", 'Per 60 PK'!$H$623, 'Per 60 PK'!$H$622)/60))*Proj[[#This Row],[TOI PK]]*Proj[[#This Row],[GP]],0)</f>
        <v>0</v>
      </c>
      <c r="U3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79</v>
      </c>
      <c r="V3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3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3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3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v>
      </c>
      <c r="Z3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124</v>
      </c>
      <c r="AA3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-723.93637634310153</v>
      </c>
      <c r="AB353" s="10">
        <f>_xlfn.RANK.EQ(Proj[[#This Row],[VOR]],Proj[VOR])</f>
        <v>540</v>
      </c>
      <c r="AC353" s="10">
        <f>INDEX(Std[],MATCH(Proj[[#This Row],[Player]],Std[Player],0),20)</f>
        <v>-252.39165195285267</v>
      </c>
      <c r="AD3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287.64999999999992</v>
      </c>
    </row>
    <row r="354" spans="1:30" x14ac:dyDescent="0.25">
      <c r="A354" t="s">
        <v>572</v>
      </c>
      <c r="B354">
        <v>24</v>
      </c>
      <c r="C354" t="s">
        <v>3</v>
      </c>
      <c r="D354" t="s">
        <v>29</v>
      </c>
      <c r="E354" s="9">
        <f>INDEX(Table1[],MATCH(Proj[[#This Row],[Player]],Table1[Player],0),5)</f>
        <v>19.1481264363733</v>
      </c>
      <c r="F354" s="9">
        <f>_xlfn.IFNA(INDEX(Table2[],MATCH(Proj[[#This Row],[Player]],Table2[Player],0),5),0)</f>
        <v>1.54</v>
      </c>
      <c r="G354" s="9">
        <f>_xlfn.IFNA(INDEX(Table3[],MATCH(Proj[[#This Row],[Player]],Table3[Player],0),5),0)</f>
        <v>0.42</v>
      </c>
      <c r="H354" s="10">
        <v>74</v>
      </c>
      <c r="I354">
        <v>74</v>
      </c>
      <c r="J354" s="9">
        <v>19.1481264363733</v>
      </c>
      <c r="K354" s="9">
        <v>1.54</v>
      </c>
      <c r="L354" s="9">
        <v>0.42</v>
      </c>
      <c r="M354" s="9">
        <f>Proj[[#This Row],[TOI ES]]+Proj[[#This Row],[TOI PP]]+Proj[[#This Row],[TOI PK]]</f>
        <v>21.108126436373301</v>
      </c>
      <c r="N3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354" s="10">
        <f>Proj[[#This Row],[Goals]]+Proj[[#This Row],[Assists]]</f>
        <v>30</v>
      </c>
      <c r="Q354" s="10">
        <f>ROUND(_xlfn.IFNA(INDEX(Table2[],MATCH(Proj[[#This Row],[Player]],Table2[Player],0),11)/60,IF(Proj[[#This Row],[Pos]] = "D", 'Per 60 PP'!$K$527,'Per 60 PP'!$K$526)/60)*Proj[[#This Row],[TOI PP]]*Proj[[#This Row],[GP]],0)</f>
        <v>0</v>
      </c>
      <c r="R354" s="10">
        <f>ROUND(_xlfn.IFNA(INDEX(Table2[],MATCH(Proj[[#This Row],[Player]],Table2[Player],0),7)/60,IF(Proj[[#This Row],[Pos]] = "D", 'Per 60 PP'!$G$527,'Per 60 PP'!$G$526)/60)*Proj[[#This Row],[TOI PP]]*Proj[[#This Row],[GP]],0)</f>
        <v>7</v>
      </c>
      <c r="S354" s="10">
        <f>Proj[[#This Row],[PPG]]+Proj[[#This Row],[PPA]]</f>
        <v>7</v>
      </c>
      <c r="T354">
        <f>ROUND((_xlfn.IFNA(INDEX(Table3[],MATCH(Proj[[#This Row],[Player]],Table3[Player],0),6)/60,IF(Proj[[#This Row],[Pos]] ="D", 'Per 60 PK'!$F$623, 'Per 60 PK'!$F$622)/60)+_xlfn.IFNA(INDEX(Table3[],MATCH(Proj[[#This Row],[Player]],Table3[Player],0),8)/60,IF(Proj[[#This Row],[Pos]] ="D", 'Per 60 PK'!$H$623, 'Per 60 PK'!$H$622)/60))*Proj[[#This Row],[TOI PK]]*Proj[[#This Row],[GP]],0)</f>
        <v>0</v>
      </c>
      <c r="U3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90</v>
      </c>
      <c r="V3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110</v>
      </c>
      <c r="W3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3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3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-208.27994908197678</v>
      </c>
      <c r="AB354" s="10">
        <f>_xlfn.RANK.EQ(Proj[[#This Row],[VOR]],Proj[VOR])</f>
        <v>255</v>
      </c>
      <c r="AC354" s="10">
        <f>INDEX(Std[],MATCH(Proj[[#This Row],[Player]],Std[Player],0),20)</f>
        <v>-100.91518136251231</v>
      </c>
      <c r="AD3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316.3</v>
      </c>
    </row>
    <row r="355" spans="1:30" x14ac:dyDescent="0.25">
      <c r="A355" t="s">
        <v>365</v>
      </c>
      <c r="B355">
        <v>31</v>
      </c>
      <c r="C355" t="s">
        <v>3</v>
      </c>
      <c r="D355" t="s">
        <v>14</v>
      </c>
      <c r="E355" s="9">
        <f>INDEX(Table1[],MATCH(Proj[[#This Row],[Player]],Table1[Player],0),5)</f>
        <v>20.647293906861101</v>
      </c>
      <c r="F355" s="9">
        <f>_xlfn.IFNA(INDEX(Table2[],MATCH(Proj[[#This Row],[Player]],Table2[Player],0),5),0)</f>
        <v>0.78</v>
      </c>
      <c r="G355" s="9">
        <f>_xlfn.IFNA(INDEX(Table3[],MATCH(Proj[[#This Row],[Player]],Table3[Player],0),5),0)</f>
        <v>2.5299999999999998</v>
      </c>
      <c r="H355" s="10">
        <v>81</v>
      </c>
      <c r="I355">
        <v>81</v>
      </c>
      <c r="J355" s="9">
        <v>20.647293906861101</v>
      </c>
      <c r="K355" s="9">
        <v>0.78</v>
      </c>
      <c r="L355" s="9">
        <v>2.5299999999999998</v>
      </c>
      <c r="M355" s="9">
        <f>Proj[[#This Row],[TOI ES]]+Proj[[#This Row],[TOI PP]]+Proj[[#This Row],[TOI PK]]</f>
        <v>23.957293906861103</v>
      </c>
      <c r="N3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3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55" s="10">
        <f>Proj[[#This Row],[Goals]]+Proj[[#This Row],[Assists]]</f>
        <v>30</v>
      </c>
      <c r="Q355" s="10">
        <f>ROUND(_xlfn.IFNA(INDEX(Table2[],MATCH(Proj[[#This Row],[Player]],Table2[Player],0),11)/60,IF(Proj[[#This Row],[Pos]] = "D", 'Per 60 PP'!$K$527,'Per 60 PP'!$K$526)/60)*Proj[[#This Row],[TOI PP]]*Proj[[#This Row],[GP]],0)</f>
        <v>0</v>
      </c>
      <c r="R355" s="10">
        <f>ROUND(_xlfn.IFNA(INDEX(Table2[],MATCH(Proj[[#This Row],[Player]],Table2[Player],0),7)/60,IF(Proj[[#This Row],[Pos]] = "D", 'Per 60 PP'!$G$527,'Per 60 PP'!$G$526)/60)*Proj[[#This Row],[TOI PP]]*Proj[[#This Row],[GP]],0)</f>
        <v>3</v>
      </c>
      <c r="S355" s="10">
        <f>Proj[[#This Row],[PPG]]+Proj[[#This Row],[PPA]]</f>
        <v>3</v>
      </c>
      <c r="T355">
        <f>ROUND((_xlfn.IFNA(INDEX(Table3[],MATCH(Proj[[#This Row],[Player]],Table3[Player],0),6)/60,IF(Proj[[#This Row],[Pos]] ="D", 'Per 60 PK'!$F$623, 'Per 60 PK'!$F$622)/60)+_xlfn.IFNA(INDEX(Table3[],MATCH(Proj[[#This Row],[Player]],Table3[Player],0),8)/60,IF(Proj[[#This Row],[Pos]] ="D", 'Per 60 PK'!$H$623, 'Per 60 PK'!$H$622)/60))*Proj[[#This Row],[TOI PK]]*Proj[[#This Row],[GP]],0)</f>
        <v>1</v>
      </c>
      <c r="U3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100</v>
      </c>
      <c r="V3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196</v>
      </c>
      <c r="W3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3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142</v>
      </c>
      <c r="AA3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59.57523760673584</v>
      </c>
      <c r="AB355" s="10">
        <f>_xlfn.RANK.EQ(Proj[[#This Row],[VOR]],Proj[VOR])</f>
        <v>135</v>
      </c>
      <c r="AC355" s="10">
        <f>INDEX(Std[],MATCH(Proj[[#This Row],[Player]],Std[Player],0),20)</f>
        <v>166.94000532620032</v>
      </c>
      <c r="AD3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398.65000000000003</v>
      </c>
    </row>
    <row r="356" spans="1:30" x14ac:dyDescent="0.25">
      <c r="A356" t="s">
        <v>449</v>
      </c>
      <c r="B356">
        <v>33</v>
      </c>
      <c r="C356" t="s">
        <v>3</v>
      </c>
      <c r="D356" t="s">
        <v>34</v>
      </c>
      <c r="E356" s="9">
        <f>INDEX(Table1[],MATCH(Proj[[#This Row],[Player]],Table1[Player],0),5)</f>
        <v>16.300108344803199</v>
      </c>
      <c r="F356" s="9">
        <f>_xlfn.IFNA(INDEX(Table2[],MATCH(Proj[[#This Row],[Player]],Table2[Player],0),5),0)</f>
        <v>0.87</v>
      </c>
      <c r="G356" s="9">
        <f>_xlfn.IFNA(INDEX(Table3[],MATCH(Proj[[#This Row],[Player]],Table3[Player],0),5),0)</f>
        <v>1.19</v>
      </c>
      <c r="H356" s="10">
        <v>79</v>
      </c>
      <c r="I356">
        <v>79</v>
      </c>
      <c r="J356" s="9">
        <v>16.300108344803199</v>
      </c>
      <c r="K356" s="9">
        <v>0.87</v>
      </c>
      <c r="L356" s="9">
        <v>1.19</v>
      </c>
      <c r="M356" s="9">
        <f>Proj[[#This Row],[TOI ES]]+Proj[[#This Row],[TOI PP]]+Proj[[#This Row],[TOI PK]]</f>
        <v>18.360108344803201</v>
      </c>
      <c r="N3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3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56" s="10">
        <f>Proj[[#This Row],[Goals]]+Proj[[#This Row],[Assists]]</f>
        <v>30</v>
      </c>
      <c r="Q356" s="10">
        <f>ROUND(_xlfn.IFNA(INDEX(Table2[],MATCH(Proj[[#This Row],[Player]],Table2[Player],0),11)/60,IF(Proj[[#This Row],[Pos]] = "D", 'Per 60 PP'!$K$527,'Per 60 PP'!$K$526)/60)*Proj[[#This Row],[TOI PP]]*Proj[[#This Row],[GP]],0)</f>
        <v>1</v>
      </c>
      <c r="R356" s="10">
        <f>ROUND(_xlfn.IFNA(INDEX(Table2[],MATCH(Proj[[#This Row],[Player]],Table2[Player],0),7)/60,IF(Proj[[#This Row],[Pos]] = "D", 'Per 60 PP'!$G$527,'Per 60 PP'!$G$526)/60)*Proj[[#This Row],[TOI PP]]*Proj[[#This Row],[GP]],0)</f>
        <v>5</v>
      </c>
      <c r="S356" s="10">
        <f>Proj[[#This Row],[PPG]]+Proj[[#This Row],[PPA]]</f>
        <v>6</v>
      </c>
      <c r="T356">
        <f>ROUND((_xlfn.IFNA(INDEX(Table3[],MATCH(Proj[[#This Row],[Player]],Table3[Player],0),6)/60,IF(Proj[[#This Row],[Pos]] ="D", 'Per 60 PK'!$F$623, 'Per 60 PK'!$F$622)/60)+_xlfn.IFNA(INDEX(Table3[],MATCH(Proj[[#This Row],[Player]],Table3[Player],0),8)/60,IF(Proj[[#This Row],[Pos]] ="D", 'Per 60 PK'!$H$623, 'Per 60 PK'!$H$622)/60))*Proj[[#This Row],[TOI PK]]*Proj[[#This Row],[GP]],0)</f>
        <v>1</v>
      </c>
      <c r="U3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101</v>
      </c>
      <c r="V3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81</v>
      </c>
      <c r="W3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3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3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-180.60650024682923</v>
      </c>
      <c r="AB356" s="10">
        <f>_xlfn.RANK.EQ(Proj[[#This Row],[VOR]],Proj[VOR])</f>
        <v>240</v>
      </c>
      <c r="AC356" s="10">
        <f>INDEX(Std[],MATCH(Proj[[#This Row],[Player]],Std[Player],0),20)</f>
        <v>-73.241732527364761</v>
      </c>
      <c r="AD3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324.65000000000003</v>
      </c>
    </row>
    <row r="357" spans="1:30" x14ac:dyDescent="0.25">
      <c r="A357" t="s">
        <v>1043</v>
      </c>
      <c r="B357">
        <v>22</v>
      </c>
      <c r="C357" t="s">
        <v>74</v>
      </c>
      <c r="D357" t="s">
        <v>15</v>
      </c>
      <c r="E357" s="9">
        <f>INDEX(Table1[],MATCH(Proj[[#This Row],[Player]],Table1[Player],0),5)</f>
        <v>12.3772622560965</v>
      </c>
      <c r="F357" s="9">
        <f>_xlfn.IFNA(INDEX(Table2[],MATCH(Proj[[#This Row],[Player]],Table2[Player],0),5),0)</f>
        <v>1.47</v>
      </c>
      <c r="G357" s="9">
        <f>_xlfn.IFNA(INDEX(Table3[],MATCH(Proj[[#This Row],[Player]],Table3[Player],0),5),0)</f>
        <v>1.38</v>
      </c>
      <c r="H357" s="10">
        <v>73</v>
      </c>
      <c r="I357">
        <v>73</v>
      </c>
      <c r="J357" s="9">
        <v>12.3772622560965</v>
      </c>
      <c r="K357" s="9">
        <v>1.47</v>
      </c>
      <c r="L357" s="9">
        <v>1.38</v>
      </c>
      <c r="M357" s="9">
        <f>Proj[[#This Row],[TOI ES]]+Proj[[#This Row],[TOI PP]]+Proj[[#This Row],[TOI PK]]</f>
        <v>15.227262256096502</v>
      </c>
      <c r="N3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57" s="10">
        <f>Proj[[#This Row],[Goals]]+Proj[[#This Row],[Assists]]</f>
        <v>30</v>
      </c>
      <c r="Q357" s="10">
        <f>ROUND(_xlfn.IFNA(INDEX(Table2[],MATCH(Proj[[#This Row],[Player]],Table2[Player],0),11)/60,IF(Proj[[#This Row],[Pos]] = "D", 'Per 60 PP'!$K$527,'Per 60 PP'!$K$526)/60)*Proj[[#This Row],[TOI PP]]*Proj[[#This Row],[GP]],0)</f>
        <v>3</v>
      </c>
      <c r="R357" s="10">
        <f>ROUND(_xlfn.IFNA(INDEX(Table2[],MATCH(Proj[[#This Row],[Player]],Table2[Player],0),7)/60,IF(Proj[[#This Row],[Pos]] = "D", 'Per 60 PP'!$G$527,'Per 60 PP'!$G$526)/60)*Proj[[#This Row],[TOI PP]]*Proj[[#This Row],[GP]],0)</f>
        <v>3</v>
      </c>
      <c r="S357" s="10">
        <f>Proj[[#This Row],[PPG]]+Proj[[#This Row],[PPA]]</f>
        <v>6</v>
      </c>
      <c r="T357">
        <f>ROUND((_xlfn.IFNA(INDEX(Table3[],MATCH(Proj[[#This Row],[Player]],Table3[Player],0),6)/60,IF(Proj[[#This Row],[Pos]] ="D", 'Per 60 PK'!$F$623, 'Per 60 PK'!$F$622)/60)+_xlfn.IFNA(INDEX(Table3[],MATCH(Proj[[#This Row],[Player]],Table3[Player],0),8)/60,IF(Proj[[#This Row],[Pos]] ="D", 'Per 60 PK'!$H$623, 'Per 60 PK'!$H$622)/60))*Proj[[#This Row],[TOI PK]]*Proj[[#This Row],[GP]],0)</f>
        <v>1</v>
      </c>
      <c r="U3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3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3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3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197</v>
      </c>
      <c r="Y3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256</v>
      </c>
      <c r="Z3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109</v>
      </c>
      <c r="AA3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-659.15910836281546</v>
      </c>
      <c r="AB357" s="10">
        <f>_xlfn.RANK.EQ(Proj[[#This Row],[VOR]],Proj[VOR])</f>
        <v>504</v>
      </c>
      <c r="AC357" s="10">
        <f>INDEX(Std[],MATCH(Proj[[#This Row],[Player]],Std[Player],0),20)</f>
        <v>75.4747459474832</v>
      </c>
      <c r="AD3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338.95</v>
      </c>
    </row>
    <row r="358" spans="1:30" x14ac:dyDescent="0.25">
      <c r="A358" t="s">
        <v>610</v>
      </c>
      <c r="B358">
        <v>28</v>
      </c>
      <c r="C358" t="s">
        <v>3</v>
      </c>
      <c r="D358" t="s">
        <v>25</v>
      </c>
      <c r="E358" s="9">
        <f>INDEX(Table1[],MATCH(Proj[[#This Row],[Player]],Table1[Player],0),5)</f>
        <v>19.465444153977899</v>
      </c>
      <c r="F358" s="9">
        <f>_xlfn.IFNA(INDEX(Table2[],MATCH(Proj[[#This Row],[Player]],Table2[Player],0),5),0)</f>
        <v>0</v>
      </c>
      <c r="G358" s="9">
        <f>_xlfn.IFNA(INDEX(Table3[],MATCH(Proj[[#This Row],[Player]],Table3[Player],0),5),0)</f>
        <v>2.38</v>
      </c>
      <c r="H358" s="10">
        <v>81</v>
      </c>
      <c r="I358">
        <v>81</v>
      </c>
      <c r="J358" s="9">
        <v>19.465444153977899</v>
      </c>
      <c r="K358" s="9">
        <v>0</v>
      </c>
      <c r="L358" s="9">
        <v>2.38</v>
      </c>
      <c r="M358" s="9">
        <f>Proj[[#This Row],[TOI ES]]+Proj[[#This Row],[TOI PP]]+Proj[[#This Row],[TOI PK]]</f>
        <v>21.845444153977898</v>
      </c>
      <c r="N3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3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358" s="10">
        <f>Proj[[#This Row],[Goals]]+Proj[[#This Row],[Assists]]</f>
        <v>30</v>
      </c>
      <c r="Q358" s="10">
        <f>ROUND(_xlfn.IFNA(INDEX(Table2[],MATCH(Proj[[#This Row],[Player]],Table2[Player],0),11)/60,IF(Proj[[#This Row],[Pos]] = "D", 'Per 60 PP'!$K$527,'Per 60 PP'!$K$526)/60)*Proj[[#This Row],[TOI PP]]*Proj[[#This Row],[GP]],0)</f>
        <v>0</v>
      </c>
      <c r="R358" s="10">
        <f>ROUND(_xlfn.IFNA(INDEX(Table2[],MATCH(Proj[[#This Row],[Player]],Table2[Player],0),7)/60,IF(Proj[[#This Row],[Pos]] = "D", 'Per 60 PP'!$G$527,'Per 60 PP'!$G$526)/60)*Proj[[#This Row],[TOI PP]]*Proj[[#This Row],[GP]],0)</f>
        <v>0</v>
      </c>
      <c r="S358" s="10">
        <f>Proj[[#This Row],[PPG]]+Proj[[#This Row],[PPA]]</f>
        <v>0</v>
      </c>
      <c r="T358">
        <f>ROUND((_xlfn.IFNA(INDEX(Table3[],MATCH(Proj[[#This Row],[Player]],Table3[Player],0),6)/60,IF(Proj[[#This Row],[Pos]] ="D", 'Per 60 PK'!$F$623, 'Per 60 PK'!$F$622)/60)+_xlfn.IFNA(INDEX(Table3[],MATCH(Proj[[#This Row],[Player]],Table3[Player],0),8)/60,IF(Proj[[#This Row],[Pos]] ="D", 'Per 60 PK'!$H$623, 'Per 60 PK'!$H$622)/60))*Proj[[#This Row],[TOI PK]]*Proj[[#This Row],[GP]],0)</f>
        <v>0</v>
      </c>
      <c r="U3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3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157</v>
      </c>
      <c r="W3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3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106</v>
      </c>
      <c r="AA3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57.539243191619363</v>
      </c>
      <c r="AB358" s="10">
        <f>_xlfn.RANK.EQ(Proj[[#This Row],[VOR]],Proj[VOR])</f>
        <v>136</v>
      </c>
      <c r="AC358" s="10">
        <f>INDEX(Std[],MATCH(Proj[[#This Row],[Player]],Std[Player],0),20)</f>
        <v>164.90401091108384</v>
      </c>
      <c r="AD3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376.7</v>
      </c>
    </row>
    <row r="359" spans="1:30" x14ac:dyDescent="0.25">
      <c r="A359" t="s">
        <v>771</v>
      </c>
      <c r="B359">
        <v>29</v>
      </c>
      <c r="C359" t="s">
        <v>74</v>
      </c>
      <c r="D359" t="s">
        <v>21</v>
      </c>
      <c r="E359" s="9">
        <f>INDEX(Table1[],MATCH(Proj[[#This Row],[Player]],Table1[Player],0),5)</f>
        <v>13.4569653214892</v>
      </c>
      <c r="F359" s="9">
        <f>_xlfn.IFNA(INDEX(Table2[],MATCH(Proj[[#This Row],[Player]],Table2[Player],0),5),0)</f>
        <v>0.94</v>
      </c>
      <c r="G359" s="9">
        <f>_xlfn.IFNA(INDEX(Table3[],MATCH(Proj[[#This Row],[Player]],Table3[Player],0),5),0)</f>
        <v>2.0299999999999998</v>
      </c>
      <c r="H359" s="10">
        <v>82</v>
      </c>
      <c r="I359">
        <v>82</v>
      </c>
      <c r="J359" s="9">
        <v>13.4569653214892</v>
      </c>
      <c r="K359" s="9">
        <v>0.94</v>
      </c>
      <c r="L359" s="9">
        <v>2.0299999999999998</v>
      </c>
      <c r="M359" s="9">
        <f>Proj[[#This Row],[TOI ES]]+Proj[[#This Row],[TOI PP]]+Proj[[#This Row],[TOI PK]]</f>
        <v>16.426965321489199</v>
      </c>
      <c r="N3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359" s="10">
        <f>Proj[[#This Row],[Goals]]+Proj[[#This Row],[Assists]]</f>
        <v>30</v>
      </c>
      <c r="Q359" s="10">
        <f>ROUND(_xlfn.IFNA(INDEX(Table2[],MATCH(Proj[[#This Row],[Player]],Table2[Player],0),11)/60,IF(Proj[[#This Row],[Pos]] = "D", 'Per 60 PP'!$K$527,'Per 60 PP'!$K$526)/60)*Proj[[#This Row],[TOI PP]]*Proj[[#This Row],[GP]],0)</f>
        <v>2</v>
      </c>
      <c r="R359" s="10">
        <f>ROUND(_xlfn.IFNA(INDEX(Table2[],MATCH(Proj[[#This Row],[Player]],Table2[Player],0),7)/60,IF(Proj[[#This Row],[Pos]] = "D", 'Per 60 PP'!$G$527,'Per 60 PP'!$G$526)/60)*Proj[[#This Row],[TOI PP]]*Proj[[#This Row],[GP]],0)</f>
        <v>2</v>
      </c>
      <c r="S359" s="10">
        <f>Proj[[#This Row],[PPG]]+Proj[[#This Row],[PPA]]</f>
        <v>4</v>
      </c>
      <c r="T359">
        <f>ROUND((_xlfn.IFNA(INDEX(Table3[],MATCH(Proj[[#This Row],[Player]],Table3[Player],0),6)/60,IF(Proj[[#This Row],[Pos]] ="D", 'Per 60 PK'!$F$623, 'Per 60 PK'!$F$622)/60)+_xlfn.IFNA(INDEX(Table3[],MATCH(Proj[[#This Row],[Player]],Table3[Player],0),8)/60,IF(Proj[[#This Row],[Pos]] ="D", 'Per 60 PK'!$H$623, 'Per 60 PK'!$H$622)/60))*Proj[[#This Row],[TOI PK]]*Proj[[#This Row],[GP]],0)</f>
        <v>1</v>
      </c>
      <c r="U3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128</v>
      </c>
      <c r="V3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78</v>
      </c>
      <c r="W3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3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511</v>
      </c>
      <c r="Y3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526</v>
      </c>
      <c r="Z3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3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-479.30857216375091</v>
      </c>
      <c r="AB359" s="10">
        <f>_xlfn.RANK.EQ(Proj[[#This Row],[VOR]],Proj[VOR])</f>
        <v>412</v>
      </c>
      <c r="AC359" s="10">
        <f>INDEX(Std[],MATCH(Proj[[#This Row],[Player]],Std[Player],0),20)</f>
        <v>255.32528214654769</v>
      </c>
      <c r="AD3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398.45000000000005</v>
      </c>
    </row>
    <row r="360" spans="1:30" x14ac:dyDescent="0.25">
      <c r="A360" t="s">
        <v>461</v>
      </c>
      <c r="B360">
        <v>30</v>
      </c>
      <c r="C360" t="s">
        <v>103</v>
      </c>
      <c r="D360" t="s">
        <v>6</v>
      </c>
      <c r="E360" s="9">
        <f>INDEX(Table1[],MATCH(Proj[[#This Row],[Player]],Table1[Player],0),5)</f>
        <v>13.688178574993801</v>
      </c>
      <c r="F360" s="9">
        <f>_xlfn.IFNA(INDEX(Table2[],MATCH(Proj[[#This Row],[Player]],Table2[Player],0),5),0)</f>
        <v>1.71</v>
      </c>
      <c r="G360" s="9">
        <f>_xlfn.IFNA(INDEX(Table3[],MATCH(Proj[[#This Row],[Player]],Table3[Player],0),5),0)</f>
        <v>1.31</v>
      </c>
      <c r="H360" s="10">
        <v>79</v>
      </c>
      <c r="I360">
        <v>79</v>
      </c>
      <c r="J360" s="9">
        <v>13.688178574993801</v>
      </c>
      <c r="K360" s="9">
        <v>1.71</v>
      </c>
      <c r="L360" s="9">
        <v>1.31</v>
      </c>
      <c r="M360" s="9">
        <f>Proj[[#This Row],[TOI ES]]+Proj[[#This Row],[TOI PP]]+Proj[[#This Row],[TOI PK]]</f>
        <v>16.708178574993799</v>
      </c>
      <c r="N3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17</v>
      </c>
      <c r="O3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360" s="10">
        <f>Proj[[#This Row],[Goals]]+Proj[[#This Row],[Assists]]</f>
        <v>30</v>
      </c>
      <c r="Q360" s="10">
        <f>ROUND(_xlfn.IFNA(INDEX(Table2[],MATCH(Proj[[#This Row],[Player]],Table2[Player],0),11)/60,IF(Proj[[#This Row],[Pos]] = "D", 'Per 60 PP'!$K$527,'Per 60 PP'!$K$526)/60)*Proj[[#This Row],[TOI PP]]*Proj[[#This Row],[GP]],0)</f>
        <v>3</v>
      </c>
      <c r="R360" s="10">
        <f>ROUND(_xlfn.IFNA(INDEX(Table2[],MATCH(Proj[[#This Row],[Player]],Table2[Player],0),7)/60,IF(Proj[[#This Row],[Pos]] = "D", 'Per 60 PP'!$G$527,'Per 60 PP'!$G$526)/60)*Proj[[#This Row],[TOI PP]]*Proj[[#This Row],[GP]],0)</f>
        <v>1</v>
      </c>
      <c r="S360" s="10">
        <f>Proj[[#This Row],[PPG]]+Proj[[#This Row],[PPA]]</f>
        <v>4</v>
      </c>
      <c r="T360">
        <f>ROUND((_xlfn.IFNA(INDEX(Table3[],MATCH(Proj[[#This Row],[Player]],Table3[Player],0),6)/60,IF(Proj[[#This Row],[Pos]] ="D", 'Per 60 PK'!$F$623, 'Per 60 PK'!$F$622)/60)+_xlfn.IFNA(INDEX(Table3[],MATCH(Proj[[#This Row],[Player]],Table3[Player],0),8)/60,IF(Proj[[#This Row],[Pos]] ="D", 'Per 60 PK'!$H$623, 'Per 60 PK'!$H$622)/60))*Proj[[#This Row],[TOI PK]]*Proj[[#This Row],[GP]],0)</f>
        <v>1</v>
      </c>
      <c r="U3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155</v>
      </c>
      <c r="V3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3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72</v>
      </c>
      <c r="X3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v>
      </c>
      <c r="Y3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29</v>
      </c>
      <c r="Z3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158</v>
      </c>
      <c r="AA3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-215.38770623193403</v>
      </c>
      <c r="AB360" s="10">
        <f>_xlfn.RANK.EQ(Proj[[#This Row],[VOR]],Proj[VOR])</f>
        <v>260</v>
      </c>
      <c r="AC360" s="10">
        <f>INDEX(Std[],MATCH(Proj[[#This Row],[Player]],Std[Player],0),20)</f>
        <v>231.15701815831483</v>
      </c>
      <c r="AD3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387.65000000000003</v>
      </c>
    </row>
    <row r="361" spans="1:30" x14ac:dyDescent="0.25">
      <c r="A361" t="s">
        <v>612</v>
      </c>
      <c r="B361">
        <v>37</v>
      </c>
      <c r="C361" t="s">
        <v>102</v>
      </c>
      <c r="D361" t="s">
        <v>21</v>
      </c>
      <c r="E361" s="9">
        <f>INDEX(Table1[],MATCH(Proj[[#This Row],[Player]],Table1[Player],0),5)</f>
        <v>13.2382902068584</v>
      </c>
      <c r="F361" s="9">
        <f>_xlfn.IFNA(INDEX(Table2[],MATCH(Proj[[#This Row],[Player]],Table2[Player],0),5),0)</f>
        <v>1.25</v>
      </c>
      <c r="G361" s="9">
        <f>_xlfn.IFNA(INDEX(Table3[],MATCH(Proj[[#This Row],[Player]],Table3[Player],0),5),0)</f>
        <v>1.25</v>
      </c>
      <c r="H361" s="10">
        <v>79</v>
      </c>
      <c r="I361">
        <v>79</v>
      </c>
      <c r="J361" s="9">
        <v>13.2382902068584</v>
      </c>
      <c r="K361" s="9">
        <v>1.25</v>
      </c>
      <c r="L361" s="9">
        <v>1.25</v>
      </c>
      <c r="M361" s="9">
        <f>Proj[[#This Row],[TOI ES]]+Proj[[#This Row],[TOI PP]]+Proj[[#This Row],[TOI PK]]</f>
        <v>15.7382902068584</v>
      </c>
      <c r="N3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61" s="10">
        <f>Proj[[#This Row],[Goals]]+Proj[[#This Row],[Assists]]</f>
        <v>30</v>
      </c>
      <c r="Q361" s="10">
        <f>ROUND(_xlfn.IFNA(INDEX(Table2[],MATCH(Proj[[#This Row],[Player]],Table2[Player],0),11)/60,IF(Proj[[#This Row],[Pos]] = "D", 'Per 60 PP'!$K$527,'Per 60 PP'!$K$526)/60)*Proj[[#This Row],[TOI PP]]*Proj[[#This Row],[GP]],0)</f>
        <v>3</v>
      </c>
      <c r="R361" s="10">
        <f>ROUND(_xlfn.IFNA(INDEX(Table2[],MATCH(Proj[[#This Row],[Player]],Table2[Player],0),7)/60,IF(Proj[[#This Row],[Pos]] = "D", 'Per 60 PP'!$G$527,'Per 60 PP'!$G$526)/60)*Proj[[#This Row],[TOI PP]]*Proj[[#This Row],[GP]],0)</f>
        <v>3</v>
      </c>
      <c r="S361" s="10">
        <f>Proj[[#This Row],[PPG]]+Proj[[#This Row],[PPA]]</f>
        <v>6</v>
      </c>
      <c r="T361">
        <f>ROUND((_xlfn.IFNA(INDEX(Table3[],MATCH(Proj[[#This Row],[Player]],Table3[Player],0),6)/60,IF(Proj[[#This Row],[Pos]] ="D", 'Per 60 PK'!$F$623, 'Per 60 PK'!$F$622)/60)+_xlfn.IFNA(INDEX(Table3[],MATCH(Proj[[#This Row],[Player]],Table3[Player],0),8)/60,IF(Proj[[#This Row],[Pos]] ="D", 'Per 60 PK'!$H$623, 'Per 60 PK'!$H$622)/60))*Proj[[#This Row],[TOI PK]]*Proj[[#This Row],[GP]],0)</f>
        <v>1</v>
      </c>
      <c r="U3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185</v>
      </c>
      <c r="V3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3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70</v>
      </c>
      <c r="X3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157</v>
      </c>
      <c r="Y3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142</v>
      </c>
      <c r="Z3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3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-170.95374385434849</v>
      </c>
      <c r="AB361" s="10">
        <f>_xlfn.RANK.EQ(Proj[[#This Row],[VOR]],Proj[VOR])</f>
        <v>232</v>
      </c>
      <c r="AC361" s="10">
        <f>INDEX(Std[],MATCH(Proj[[#This Row],[Player]],Std[Player],0),20)</f>
        <v>300.59098053590037</v>
      </c>
      <c r="AD3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397</v>
      </c>
    </row>
    <row r="362" spans="1:30" x14ac:dyDescent="0.25">
      <c r="A362" t="s">
        <v>1010</v>
      </c>
      <c r="B362">
        <v>29</v>
      </c>
      <c r="C362" t="s">
        <v>102</v>
      </c>
      <c r="D362" t="s">
        <v>8</v>
      </c>
      <c r="E362" s="9">
        <f>INDEX(Table1[],MATCH(Proj[[#This Row],[Player]],Table1[Player],0),5)</f>
        <v>11.676189907236701</v>
      </c>
      <c r="F362" s="9">
        <f>_xlfn.IFNA(INDEX(Table2[],MATCH(Proj[[#This Row],[Player]],Table2[Player],0),5),0)</f>
        <v>1.5</v>
      </c>
      <c r="G362" s="9">
        <f>_xlfn.IFNA(INDEX(Table3[],MATCH(Proj[[#This Row],[Player]],Table3[Player],0),5),0)</f>
        <v>0.55000000000000004</v>
      </c>
      <c r="H362" s="10">
        <v>68</v>
      </c>
      <c r="I362">
        <v>68</v>
      </c>
      <c r="J362" s="9">
        <v>11.676189907236701</v>
      </c>
      <c r="K362" s="9">
        <v>1.5</v>
      </c>
      <c r="L362" s="9">
        <v>0.55000000000000004</v>
      </c>
      <c r="M362" s="9">
        <f>Proj[[#This Row],[TOI ES]]+Proj[[#This Row],[TOI PP]]+Proj[[#This Row],[TOI PK]]</f>
        <v>13.726189907236702</v>
      </c>
      <c r="N3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62" s="10">
        <f>Proj[[#This Row],[Goals]]+Proj[[#This Row],[Assists]]</f>
        <v>30</v>
      </c>
      <c r="Q362" s="10">
        <f>ROUND(_xlfn.IFNA(INDEX(Table2[],MATCH(Proj[[#This Row],[Player]],Table2[Player],0),11)/60,IF(Proj[[#This Row],[Pos]] = "D", 'Per 60 PP'!$K$527,'Per 60 PP'!$K$526)/60)*Proj[[#This Row],[TOI PP]]*Proj[[#This Row],[GP]],0)</f>
        <v>3</v>
      </c>
      <c r="R362" s="10">
        <f>ROUND(_xlfn.IFNA(INDEX(Table2[],MATCH(Proj[[#This Row],[Player]],Table2[Player],0),7)/60,IF(Proj[[#This Row],[Pos]] = "D", 'Per 60 PP'!$G$527,'Per 60 PP'!$G$526)/60)*Proj[[#This Row],[TOI PP]]*Proj[[#This Row],[GP]],0)</f>
        <v>4</v>
      </c>
      <c r="S362" s="10">
        <f>Proj[[#This Row],[PPG]]+Proj[[#This Row],[PPA]]</f>
        <v>7</v>
      </c>
      <c r="T362">
        <f>ROUND((_xlfn.IFNA(INDEX(Table3[],MATCH(Proj[[#This Row],[Player]],Table3[Player],0),6)/60,IF(Proj[[#This Row],[Pos]] ="D", 'Per 60 PK'!$F$623, 'Per 60 PK'!$F$622)/60)+_xlfn.IFNA(INDEX(Table3[],MATCH(Proj[[#This Row],[Player]],Table3[Player],0),8)/60,IF(Proj[[#This Row],[Pos]] ="D", 'Per 60 PK'!$H$623, 'Per 60 PK'!$H$622)/60))*Proj[[#This Row],[TOI PK]]*Proj[[#This Row],[GP]],0)</f>
        <v>0</v>
      </c>
      <c r="U3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204</v>
      </c>
      <c r="V3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3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3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v>
      </c>
      <c r="Y3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33</v>
      </c>
      <c r="Z3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122</v>
      </c>
      <c r="AA3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-328.90143350766516</v>
      </c>
      <c r="AB362" s="10">
        <f>_xlfn.RANK.EQ(Proj[[#This Row],[VOR]],Proj[VOR])</f>
        <v>328</v>
      </c>
      <c r="AC362" s="10">
        <f>INDEX(Std[],MATCH(Proj[[#This Row],[Player]],Std[Player],0),20)</f>
        <v>142.64329088258367</v>
      </c>
      <c r="AD3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375.94999999999993</v>
      </c>
    </row>
    <row r="363" spans="1:30" x14ac:dyDescent="0.25">
      <c r="A363" t="s">
        <v>1041</v>
      </c>
      <c r="B363">
        <v>25</v>
      </c>
      <c r="C363" t="s">
        <v>74</v>
      </c>
      <c r="D363" t="s">
        <v>156</v>
      </c>
      <c r="E363" s="9">
        <f>INDEX(Table1[],MATCH(Proj[[#This Row],[Player]],Table1[Player],0),5)</f>
        <v>12.229542509842499</v>
      </c>
      <c r="F363" s="9">
        <f>_xlfn.IFNA(INDEX(Table2[],MATCH(Proj[[#This Row],[Player]],Table2[Player],0),5),0)</f>
        <v>1.24</v>
      </c>
      <c r="G363" s="9">
        <f>_xlfn.IFNA(INDEX(Table3[],MATCH(Proj[[#This Row],[Player]],Table3[Player],0),5),0)</f>
        <v>0</v>
      </c>
      <c r="H363" s="10">
        <v>77</v>
      </c>
      <c r="I363">
        <v>77</v>
      </c>
      <c r="J363" s="9">
        <v>12.229542509842499</v>
      </c>
      <c r="K363" s="9">
        <v>1.24</v>
      </c>
      <c r="L363" s="9">
        <v>0</v>
      </c>
      <c r="M363" s="9">
        <f>Proj[[#This Row],[TOI ES]]+Proj[[#This Row],[TOI PP]]+Proj[[#This Row],[TOI PK]]</f>
        <v>13.469542509842499</v>
      </c>
      <c r="N3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63" s="10">
        <f>Proj[[#This Row],[Goals]]+Proj[[#This Row],[Assists]]</f>
        <v>30</v>
      </c>
      <c r="Q363" s="10">
        <f>ROUND(_xlfn.IFNA(INDEX(Table2[],MATCH(Proj[[#This Row],[Player]],Table2[Player],0),11)/60,IF(Proj[[#This Row],[Pos]] = "D", 'Per 60 PP'!$K$527,'Per 60 PP'!$K$526)/60)*Proj[[#This Row],[TOI PP]]*Proj[[#This Row],[GP]],0)</f>
        <v>3</v>
      </c>
      <c r="R363" s="10">
        <f>ROUND(_xlfn.IFNA(INDEX(Table2[],MATCH(Proj[[#This Row],[Player]],Table2[Player],0),7)/60,IF(Proj[[#This Row],[Pos]] = "D", 'Per 60 PP'!$G$527,'Per 60 PP'!$G$526)/60)*Proj[[#This Row],[TOI PP]]*Proj[[#This Row],[GP]],0)</f>
        <v>4</v>
      </c>
      <c r="S363" s="10">
        <f>Proj[[#This Row],[PPG]]+Proj[[#This Row],[PPA]]</f>
        <v>7</v>
      </c>
      <c r="T363">
        <f>ROUND((_xlfn.IFNA(INDEX(Table3[],MATCH(Proj[[#This Row],[Player]],Table3[Player],0),6)/60,IF(Proj[[#This Row],[Pos]] ="D", 'Per 60 PK'!$F$623, 'Per 60 PK'!$F$622)/60)+_xlfn.IFNA(INDEX(Table3[],MATCH(Proj[[#This Row],[Player]],Table3[Player],0),8)/60,IF(Proj[[#This Row],[Pos]] ="D", 'Per 60 PK'!$H$623, 'Per 60 PK'!$H$622)/60))*Proj[[#This Row],[TOI PK]]*Proj[[#This Row],[GP]],0)</f>
        <v>0</v>
      </c>
      <c r="U3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212</v>
      </c>
      <c r="V3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3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39</v>
      </c>
      <c r="Y3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40</v>
      </c>
      <c r="Z3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109</v>
      </c>
      <c r="AA3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-704.26894985784145</v>
      </c>
      <c r="AB363" s="10">
        <f>_xlfn.RANK.EQ(Proj[[#This Row],[VOR]],Proj[VOR])</f>
        <v>526</v>
      </c>
      <c r="AC363" s="10">
        <f>INDEX(Std[],MATCH(Proj[[#This Row],[Player]],Std[Player],0),20)</f>
        <v>30.364904452457164</v>
      </c>
      <c r="AD3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364.94999999999993</v>
      </c>
    </row>
    <row r="364" spans="1:30" x14ac:dyDescent="0.25">
      <c r="A364" t="s">
        <v>1014</v>
      </c>
      <c r="B364">
        <v>24</v>
      </c>
      <c r="C364" t="s">
        <v>102</v>
      </c>
      <c r="D364" t="s">
        <v>28</v>
      </c>
      <c r="E364" s="9">
        <f>INDEX(Table1[],MATCH(Proj[[#This Row],[Player]],Table1[Player],0),5)</f>
        <v>12.355960425666799</v>
      </c>
      <c r="F364" s="9">
        <f>_xlfn.IFNA(INDEX(Table2[],MATCH(Proj[[#This Row],[Player]],Table2[Player],0),5),0)</f>
        <v>1.49</v>
      </c>
      <c r="G364" s="9">
        <f>_xlfn.IFNA(INDEX(Table3[],MATCH(Proj[[#This Row],[Player]],Table3[Player],0),5),0)</f>
        <v>0</v>
      </c>
      <c r="H364" s="10">
        <v>62</v>
      </c>
      <c r="I364">
        <v>62</v>
      </c>
      <c r="J364" s="9">
        <v>12.355960425666799</v>
      </c>
      <c r="K364" s="9">
        <v>1.49</v>
      </c>
      <c r="L364" s="9">
        <v>0</v>
      </c>
      <c r="M364" s="9">
        <f>Proj[[#This Row],[TOI ES]]+Proj[[#This Row],[TOI PP]]+Proj[[#This Row],[TOI PK]]</f>
        <v>13.845960425666799</v>
      </c>
      <c r="N3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18</v>
      </c>
      <c r="O3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364" s="10">
        <f>Proj[[#This Row],[Goals]]+Proj[[#This Row],[Assists]]</f>
        <v>29</v>
      </c>
      <c r="Q364" s="10">
        <f>ROUND(_xlfn.IFNA(INDEX(Table2[],MATCH(Proj[[#This Row],[Player]],Table2[Player],0),11)/60,IF(Proj[[#This Row],[Pos]] = "D", 'Per 60 PP'!$K$527,'Per 60 PP'!$K$526)/60)*Proj[[#This Row],[TOI PP]]*Proj[[#This Row],[GP]],0)</f>
        <v>3</v>
      </c>
      <c r="R364" s="10">
        <f>ROUND(_xlfn.IFNA(INDEX(Table2[],MATCH(Proj[[#This Row],[Player]],Table2[Player],0),7)/60,IF(Proj[[#This Row],[Pos]] = "D", 'Per 60 PP'!$G$527,'Per 60 PP'!$G$526)/60)*Proj[[#This Row],[TOI PP]]*Proj[[#This Row],[GP]],0)</f>
        <v>2</v>
      </c>
      <c r="S364" s="10">
        <f>Proj[[#This Row],[PPG]]+Proj[[#This Row],[PPA]]</f>
        <v>5</v>
      </c>
      <c r="T364">
        <f>ROUND((_xlfn.IFNA(INDEX(Table3[],MATCH(Proj[[#This Row],[Player]],Table3[Player],0),6)/60,IF(Proj[[#This Row],[Pos]] ="D", 'Per 60 PK'!$F$623, 'Per 60 PK'!$F$622)/60)+_xlfn.IFNA(INDEX(Table3[],MATCH(Proj[[#This Row],[Player]],Table3[Player],0),8)/60,IF(Proj[[#This Row],[Pos]] ="D", 'Per 60 PK'!$H$623, 'Per 60 PK'!$H$622)/60))*Proj[[#This Row],[TOI PK]]*Proj[[#This Row],[GP]],0)</f>
        <v>0</v>
      </c>
      <c r="U3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23</v>
      </c>
      <c r="V3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3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3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3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3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3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-835.019590879661</v>
      </c>
      <c r="AB364" s="10">
        <f>_xlfn.RANK.EQ(Proj[[#This Row],[VOR]],Proj[VOR])</f>
        <v>605</v>
      </c>
      <c r="AC364" s="10">
        <f>INDEX(Std[],MATCH(Proj[[#This Row],[Player]],Std[Player],0),20)</f>
        <v>-363.47486648941214</v>
      </c>
      <c r="AD3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258.04999999999995</v>
      </c>
    </row>
    <row r="365" spans="1:30" x14ac:dyDescent="0.25">
      <c r="A365" t="s">
        <v>511</v>
      </c>
      <c r="B365">
        <v>35</v>
      </c>
      <c r="C365" t="s">
        <v>104</v>
      </c>
      <c r="D365" t="s">
        <v>1101</v>
      </c>
      <c r="E365" s="9">
        <f>INDEX(Table1[],MATCH(Proj[[#This Row],[Player]],Table1[Player],0),5)</f>
        <v>12.3893639444415</v>
      </c>
      <c r="F365" s="9">
        <f>_xlfn.IFNA(INDEX(Table2[],MATCH(Proj[[#This Row],[Player]],Table2[Player],0),5),0)</f>
        <v>1.63</v>
      </c>
      <c r="G365" s="9">
        <f>_xlfn.IFNA(INDEX(Table3[],MATCH(Proj[[#This Row],[Player]],Table3[Player],0),5),0)</f>
        <v>0</v>
      </c>
      <c r="H365" s="10">
        <v>75</v>
      </c>
      <c r="I365">
        <v>75</v>
      </c>
      <c r="J365" s="9">
        <v>12.3893639444415</v>
      </c>
      <c r="K365" s="9">
        <v>1.63</v>
      </c>
      <c r="L365" s="9">
        <v>0</v>
      </c>
      <c r="M365" s="9">
        <f>Proj[[#This Row],[TOI ES]]+Proj[[#This Row],[TOI PP]]+Proj[[#This Row],[TOI PK]]</f>
        <v>14.019363944441501</v>
      </c>
      <c r="N3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65" s="10">
        <f>Proj[[#This Row],[Goals]]+Proj[[#This Row],[Assists]]</f>
        <v>29</v>
      </c>
      <c r="Q365" s="10">
        <f>ROUND(_xlfn.IFNA(INDEX(Table2[],MATCH(Proj[[#This Row],[Player]],Table2[Player],0),11)/60,IF(Proj[[#This Row],[Pos]] = "D", 'Per 60 PP'!$K$527,'Per 60 PP'!$K$526)/60)*Proj[[#This Row],[TOI PP]]*Proj[[#This Row],[GP]],0)</f>
        <v>3</v>
      </c>
      <c r="R365" s="10">
        <f>ROUND(_xlfn.IFNA(INDEX(Table2[],MATCH(Proj[[#This Row],[Player]],Table2[Player],0),7)/60,IF(Proj[[#This Row],[Pos]] = "D", 'Per 60 PP'!$G$527,'Per 60 PP'!$G$526)/60)*Proj[[#This Row],[TOI PP]]*Proj[[#This Row],[GP]],0)</f>
        <v>5</v>
      </c>
      <c r="S365" s="10">
        <f>Proj[[#This Row],[PPG]]+Proj[[#This Row],[PPA]]</f>
        <v>8</v>
      </c>
      <c r="T365">
        <f>ROUND((_xlfn.IFNA(INDEX(Table3[],MATCH(Proj[[#This Row],[Player]],Table3[Player],0),6)/60,IF(Proj[[#This Row],[Pos]] ="D", 'Per 60 PK'!$F$623, 'Per 60 PK'!$F$622)/60)+_xlfn.IFNA(INDEX(Table3[],MATCH(Proj[[#This Row],[Player]],Table3[Player],0),8)/60,IF(Proj[[#This Row],[Pos]] ="D", 'Per 60 PK'!$H$623, 'Per 60 PK'!$H$622)/60))*Proj[[#This Row],[TOI PK]]*Proj[[#This Row],[GP]],0)</f>
        <v>0</v>
      </c>
      <c r="U3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24</v>
      </c>
      <c r="V3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3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3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3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3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3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-796.56050817417031</v>
      </c>
      <c r="AB365" s="10">
        <f>_xlfn.RANK.EQ(Proj[[#This Row],[VOR]],Proj[VOR])</f>
        <v>585</v>
      </c>
      <c r="AC365" s="10">
        <f>INDEX(Std[],MATCH(Proj[[#This Row],[Player]],Std[Player],0),20)</f>
        <v>-350.01578378392139</v>
      </c>
      <c r="AD3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244.15</v>
      </c>
    </row>
    <row r="366" spans="1:30" x14ac:dyDescent="0.25">
      <c r="A366" t="s">
        <v>639</v>
      </c>
      <c r="B366">
        <v>34</v>
      </c>
      <c r="C366" t="s">
        <v>3</v>
      </c>
      <c r="D366" t="s">
        <v>87</v>
      </c>
      <c r="E366" s="9">
        <f>INDEX(Table1[],MATCH(Proj[[#This Row],[Player]],Table1[Player],0),5)</f>
        <v>14.2951095724766</v>
      </c>
      <c r="F366" s="9">
        <f>_xlfn.IFNA(INDEX(Table2[],MATCH(Proj[[#This Row],[Player]],Table2[Player],0),5),0)</f>
        <v>2.29</v>
      </c>
      <c r="G366" s="9">
        <f>_xlfn.IFNA(INDEX(Table3[],MATCH(Proj[[#This Row],[Player]],Table3[Player],0),5),0)</f>
        <v>0</v>
      </c>
      <c r="H366" s="10">
        <v>75</v>
      </c>
      <c r="I366">
        <v>75</v>
      </c>
      <c r="J366" s="9">
        <v>14.2951095724766</v>
      </c>
      <c r="K366" s="9">
        <v>2.29</v>
      </c>
      <c r="L366" s="9">
        <v>0</v>
      </c>
      <c r="M366" s="9">
        <f>Proj[[#This Row],[TOI ES]]+Proj[[#This Row],[TOI PP]]+Proj[[#This Row],[TOI PK]]</f>
        <v>16.5851095724766</v>
      </c>
      <c r="N3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66" s="10">
        <f>Proj[[#This Row],[Goals]]+Proj[[#This Row],[Assists]]</f>
        <v>29</v>
      </c>
      <c r="Q366" s="10">
        <f>ROUND(_xlfn.IFNA(INDEX(Table2[],MATCH(Proj[[#This Row],[Player]],Table2[Player],0),11)/60,IF(Proj[[#This Row],[Pos]] = "D", 'Per 60 PP'!$K$527,'Per 60 PP'!$K$526)/60)*Proj[[#This Row],[TOI PP]]*Proj[[#This Row],[GP]],0)</f>
        <v>1</v>
      </c>
      <c r="R366" s="10">
        <f>ROUND(_xlfn.IFNA(INDEX(Table2[],MATCH(Proj[[#This Row],[Player]],Table2[Player],0),7)/60,IF(Proj[[#This Row],[Pos]] = "D", 'Per 60 PP'!$G$527,'Per 60 PP'!$G$526)/60)*Proj[[#This Row],[TOI PP]]*Proj[[#This Row],[GP]],0)</f>
        <v>11</v>
      </c>
      <c r="S366" s="10">
        <f>Proj[[#This Row],[PPG]]+Proj[[#This Row],[PPA]]</f>
        <v>12</v>
      </c>
      <c r="T366">
        <f>ROUND((_xlfn.IFNA(INDEX(Table3[],MATCH(Proj[[#This Row],[Player]],Table3[Player],0),6)/60,IF(Proj[[#This Row],[Pos]] ="D", 'Per 60 PK'!$F$623, 'Per 60 PK'!$F$622)/60)+_xlfn.IFNA(INDEX(Table3[],MATCH(Proj[[#This Row],[Player]],Table3[Player],0),8)/60,IF(Proj[[#This Row],[Pos]] ="D", 'Per 60 PK'!$H$623, 'Per 60 PK'!$H$622)/60))*Proj[[#This Row],[TOI PK]]*Proj[[#This Row],[GP]],0)</f>
        <v>0</v>
      </c>
      <c r="U3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v>
      </c>
      <c r="V3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79</v>
      </c>
      <c r="W3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3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98</v>
      </c>
      <c r="AA3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-341.53115219623066</v>
      </c>
      <c r="AB366" s="10">
        <f>_xlfn.RANK.EQ(Proj[[#This Row],[VOR]],Proj[VOR])</f>
        <v>337</v>
      </c>
      <c r="AC366" s="10">
        <f>INDEX(Std[],MATCH(Proj[[#This Row],[Player]],Std[Player],0),20)</f>
        <v>-234.16638447676615</v>
      </c>
      <c r="AD3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265.35000000000002</v>
      </c>
    </row>
    <row r="367" spans="1:30" x14ac:dyDescent="0.25">
      <c r="A367" t="s">
        <v>1205</v>
      </c>
      <c r="B367">
        <v>20</v>
      </c>
      <c r="C367" t="s">
        <v>3</v>
      </c>
      <c r="D367" t="s">
        <v>156</v>
      </c>
      <c r="E367" s="9">
        <f>INDEX(Table1[],MATCH(Proj[[#This Row],[Player]],Table1[Player],0),5)</f>
        <v>17.495129632574798</v>
      </c>
      <c r="F367" s="9">
        <f>_xlfn.IFNA(INDEX(Table2[],MATCH(Proj[[#This Row],[Player]],Table2[Player],0),5),0)</f>
        <v>1.44</v>
      </c>
      <c r="G367" s="9">
        <f>_xlfn.IFNA(INDEX(Table3[],MATCH(Proj[[#This Row],[Player]],Table3[Player],0),5),0)</f>
        <v>0.9</v>
      </c>
      <c r="H367" s="10">
        <v>77</v>
      </c>
      <c r="I367">
        <v>77</v>
      </c>
      <c r="J367" s="9">
        <v>17.495129632574798</v>
      </c>
      <c r="K367" s="9">
        <v>1.44</v>
      </c>
      <c r="L367" s="9">
        <v>0.9</v>
      </c>
      <c r="M367" s="9">
        <f>Proj[[#This Row],[TOI ES]]+Proj[[#This Row],[TOI PP]]+Proj[[#This Row],[TOI PK]]</f>
        <v>19.835129632574798</v>
      </c>
      <c r="N3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67" s="10">
        <f>Proj[[#This Row],[Goals]]+Proj[[#This Row],[Assists]]</f>
        <v>29</v>
      </c>
      <c r="Q367" s="10">
        <f>ROUND(_xlfn.IFNA(INDEX(Table2[],MATCH(Proj[[#This Row],[Player]],Table2[Player],0),11)/60,IF(Proj[[#This Row],[Pos]] = "D", 'Per 60 PP'!$K$527,'Per 60 PP'!$K$526)/60)*Proj[[#This Row],[TOI PP]]*Proj[[#This Row],[GP]],0)</f>
        <v>1</v>
      </c>
      <c r="R367" s="10">
        <f>ROUND(_xlfn.IFNA(INDEX(Table2[],MATCH(Proj[[#This Row],[Player]],Table2[Player],0),7)/60,IF(Proj[[#This Row],[Pos]] = "D", 'Per 60 PP'!$G$527,'Per 60 PP'!$G$526)/60)*Proj[[#This Row],[TOI PP]]*Proj[[#This Row],[GP]],0)</f>
        <v>4</v>
      </c>
      <c r="S367" s="10">
        <f>Proj[[#This Row],[PPG]]+Proj[[#This Row],[PPA]]</f>
        <v>5</v>
      </c>
      <c r="T367">
        <f>ROUND((_xlfn.IFNA(INDEX(Table3[],MATCH(Proj[[#This Row],[Player]],Table3[Player],0),6)/60,IF(Proj[[#This Row],[Pos]] ="D", 'Per 60 PK'!$F$623, 'Per 60 PK'!$F$622)/60)+_xlfn.IFNA(INDEX(Table3[],MATCH(Proj[[#This Row],[Player]],Table3[Player],0),8)/60,IF(Proj[[#This Row],[Pos]] ="D", 'Per 60 PK'!$H$623, 'Per 60 PK'!$H$622)/60))*Proj[[#This Row],[TOI PK]]*Proj[[#This Row],[GP]],0)</f>
        <v>0</v>
      </c>
      <c r="U3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v>
      </c>
      <c r="V3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128</v>
      </c>
      <c r="W3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3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100</v>
      </c>
      <c r="AA3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-223.86251506457336</v>
      </c>
      <c r="AB367" s="10">
        <f>_xlfn.RANK.EQ(Proj[[#This Row],[VOR]],Proj[VOR])</f>
        <v>264</v>
      </c>
      <c r="AC367" s="10">
        <f>INDEX(Std[],MATCH(Proj[[#This Row],[Player]],Std[Player],0),20)</f>
        <v>-116.49774734510889</v>
      </c>
      <c r="AD3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297.95</v>
      </c>
    </row>
    <row r="368" spans="1:30" x14ac:dyDescent="0.25">
      <c r="A368" t="s">
        <v>589</v>
      </c>
      <c r="B368">
        <v>34</v>
      </c>
      <c r="C368" t="s">
        <v>102</v>
      </c>
      <c r="D368" t="s">
        <v>156</v>
      </c>
      <c r="E368" s="9">
        <f>INDEX(Table1[],MATCH(Proj[[#This Row],[Player]],Table1[Player],0),5)</f>
        <v>11.8199007102882</v>
      </c>
      <c r="F368" s="9">
        <f>_xlfn.IFNA(INDEX(Table2[],MATCH(Proj[[#This Row],[Player]],Table2[Player],0),5),0)</f>
        <v>0.8</v>
      </c>
      <c r="G368" s="9">
        <f>_xlfn.IFNA(INDEX(Table3[],MATCH(Proj[[#This Row],[Player]],Table3[Player],0),5),0)</f>
        <v>0.53</v>
      </c>
      <c r="H368" s="10">
        <v>76</v>
      </c>
      <c r="I368">
        <v>76</v>
      </c>
      <c r="J368" s="9">
        <v>11.8199007102882</v>
      </c>
      <c r="K368" s="9">
        <v>0.8</v>
      </c>
      <c r="L368" s="9">
        <v>0.53</v>
      </c>
      <c r="M368" s="9">
        <f>Proj[[#This Row],[TOI ES]]+Proj[[#This Row],[TOI PP]]+Proj[[#This Row],[TOI PK]]</f>
        <v>13.1499007102882</v>
      </c>
      <c r="N3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68" s="10">
        <f>Proj[[#This Row],[Goals]]+Proj[[#This Row],[Assists]]</f>
        <v>29</v>
      </c>
      <c r="Q368" s="10">
        <f>ROUND(_xlfn.IFNA(INDEX(Table2[],MATCH(Proj[[#This Row],[Player]],Table2[Player],0),11)/60,IF(Proj[[#This Row],[Pos]] = "D", 'Per 60 PP'!$K$527,'Per 60 PP'!$K$526)/60)*Proj[[#This Row],[TOI PP]]*Proj[[#This Row],[GP]],0)</f>
        <v>1</v>
      </c>
      <c r="R368" s="10">
        <f>ROUND(_xlfn.IFNA(INDEX(Table2[],MATCH(Proj[[#This Row],[Player]],Table2[Player],0),7)/60,IF(Proj[[#This Row],[Pos]] = "D", 'Per 60 PP'!$G$527,'Per 60 PP'!$G$526)/60)*Proj[[#This Row],[TOI PP]]*Proj[[#This Row],[GP]],0)</f>
        <v>1</v>
      </c>
      <c r="S368" s="10">
        <f>Proj[[#This Row],[PPG]]+Proj[[#This Row],[PPA]]</f>
        <v>2</v>
      </c>
      <c r="T368">
        <f>ROUND((_xlfn.IFNA(INDEX(Table3[],MATCH(Proj[[#This Row],[Player]],Table3[Player],0),6)/60,IF(Proj[[#This Row],[Pos]] ="D", 'Per 60 PK'!$F$623, 'Per 60 PK'!$F$622)/60)+_xlfn.IFNA(INDEX(Table3[],MATCH(Proj[[#This Row],[Player]],Table3[Player],0),8)/60,IF(Proj[[#This Row],[Pos]] ="D", 'Per 60 PK'!$H$623, 'Per 60 PK'!$H$622)/60))*Proj[[#This Row],[TOI PK]]*Proj[[#This Row],[GP]],0)</f>
        <v>0</v>
      </c>
      <c r="U3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3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3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3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3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3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3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-886.49953082780451</v>
      </c>
      <c r="AB368" s="10">
        <f>_xlfn.RANK.EQ(Proj[[#This Row],[VOR]],Proj[VOR])</f>
        <v>619</v>
      </c>
      <c r="AC368" s="10">
        <f>INDEX(Std[],MATCH(Proj[[#This Row],[Player]],Std[Player],0),20)</f>
        <v>-414.95480643755565</v>
      </c>
      <c r="AD3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244.64999999999998</v>
      </c>
    </row>
    <row r="369" spans="1:30" x14ac:dyDescent="0.25">
      <c r="A369" t="s">
        <v>608</v>
      </c>
      <c r="B369">
        <v>33</v>
      </c>
      <c r="C369" t="s">
        <v>3</v>
      </c>
      <c r="D369" t="s">
        <v>14</v>
      </c>
      <c r="E369" s="9">
        <f>INDEX(Table1[],MATCH(Proj[[#This Row],[Player]],Table1[Player],0),5)</f>
        <v>19.491695924304299</v>
      </c>
      <c r="F369" s="9">
        <f>_xlfn.IFNA(INDEX(Table2[],MATCH(Proj[[#This Row],[Player]],Table2[Player],0),5),0)</f>
        <v>1.05</v>
      </c>
      <c r="G369" s="9">
        <f>_xlfn.IFNA(INDEX(Table3[],MATCH(Proj[[#This Row],[Player]],Table3[Player],0),5),0)</f>
        <v>2.35</v>
      </c>
      <c r="H369" s="10">
        <v>81</v>
      </c>
      <c r="I369">
        <v>81</v>
      </c>
      <c r="J369" s="9">
        <v>19.491695924304299</v>
      </c>
      <c r="K369" s="9">
        <v>1.05</v>
      </c>
      <c r="L369" s="9">
        <v>2.35</v>
      </c>
      <c r="M369" s="9">
        <f>Proj[[#This Row],[TOI ES]]+Proj[[#This Row],[TOI PP]]+Proj[[#This Row],[TOI PK]]</f>
        <v>22.891695924304301</v>
      </c>
      <c r="N3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3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26</v>
      </c>
      <c r="P369" s="10">
        <f>Proj[[#This Row],[Goals]]+Proj[[#This Row],[Assists]]</f>
        <v>29</v>
      </c>
      <c r="Q369" s="10">
        <f>ROUND(_xlfn.IFNA(INDEX(Table2[],MATCH(Proj[[#This Row],[Player]],Table2[Player],0),11)/60,IF(Proj[[#This Row],[Pos]] = "D", 'Per 60 PP'!$K$527,'Per 60 PP'!$K$526)/60)*Proj[[#This Row],[TOI PP]]*Proj[[#This Row],[GP]],0)</f>
        <v>1</v>
      </c>
      <c r="R369" s="10">
        <f>ROUND(_xlfn.IFNA(INDEX(Table2[],MATCH(Proj[[#This Row],[Player]],Table2[Player],0),7)/60,IF(Proj[[#This Row],[Pos]] = "D", 'Per 60 PP'!$G$527,'Per 60 PP'!$G$526)/60)*Proj[[#This Row],[TOI PP]]*Proj[[#This Row],[GP]],0)</f>
        <v>4</v>
      </c>
      <c r="S369" s="10">
        <f>Proj[[#This Row],[PPG]]+Proj[[#This Row],[PPA]]</f>
        <v>5</v>
      </c>
      <c r="T369">
        <f>ROUND((_xlfn.IFNA(INDEX(Table3[],MATCH(Proj[[#This Row],[Player]],Table3[Player],0),6)/60,IF(Proj[[#This Row],[Pos]] ="D", 'Per 60 PK'!$F$623, 'Per 60 PK'!$F$622)/60)+_xlfn.IFNA(INDEX(Table3[],MATCH(Proj[[#This Row],[Player]],Table3[Player],0),8)/60,IF(Proj[[#This Row],[Pos]] ="D", 'Per 60 PK'!$H$623, 'Per 60 PK'!$H$622)/60))*Proj[[#This Row],[TOI PK]]*Proj[[#This Row],[GP]],0)</f>
        <v>1</v>
      </c>
      <c r="U3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48</v>
      </c>
      <c r="V3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121</v>
      </c>
      <c r="W3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3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3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-332.28527145049304</v>
      </c>
      <c r="AB369" s="10">
        <f>_xlfn.RANK.EQ(Proj[[#This Row],[VOR]],Proj[VOR])</f>
        <v>329</v>
      </c>
      <c r="AC369" s="10">
        <f>INDEX(Std[],MATCH(Proj[[#This Row],[Player]],Std[Player],0),20)</f>
        <v>-224.92050373102853</v>
      </c>
      <c r="AD3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285.2</v>
      </c>
    </row>
    <row r="370" spans="1:30" x14ac:dyDescent="0.25">
      <c r="A370" t="s">
        <v>1049</v>
      </c>
      <c r="B370">
        <v>28</v>
      </c>
      <c r="C370" t="s">
        <v>102</v>
      </c>
      <c r="D370" t="s">
        <v>1240</v>
      </c>
      <c r="E370" s="9">
        <f>INDEX(Table1[],MATCH(Proj[[#This Row],[Player]],Table1[Player],0),5)</f>
        <v>11.093670407239699</v>
      </c>
      <c r="F370" s="9">
        <f>_xlfn.IFNA(INDEX(Table2[],MATCH(Proj[[#This Row],[Player]],Table2[Player],0),5),0)</f>
        <v>1.2</v>
      </c>
      <c r="G370" s="9">
        <f>_xlfn.IFNA(INDEX(Table3[],MATCH(Proj[[#This Row],[Player]],Table3[Player],0),5),0)</f>
        <v>0</v>
      </c>
      <c r="H370" s="10">
        <v>71</v>
      </c>
      <c r="I370">
        <v>71</v>
      </c>
      <c r="J370" s="9">
        <v>11.093670407239699</v>
      </c>
      <c r="K370" s="9">
        <v>1.2</v>
      </c>
      <c r="L370" s="9">
        <v>0</v>
      </c>
      <c r="M370" s="9">
        <f>Proj[[#This Row],[TOI ES]]+Proj[[#This Row],[TOI PP]]+Proj[[#This Row],[TOI PK]]</f>
        <v>12.293670407239699</v>
      </c>
      <c r="N3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370">
        <f>Proj[[#This Row],[Goals]]+Proj[[#This Row],[Assists]]</f>
        <v>29</v>
      </c>
      <c r="Q370" s="10">
        <f>ROUND(_xlfn.IFNA(INDEX(Table2[],MATCH(Proj[[#This Row],[Player]],Table2[Player],0),11)/60,IF(Proj[[#This Row],[Pos]] = "D", 'Per 60 PP'!$K$527,'Per 60 PP'!$K$526)/60)*Proj[[#This Row],[TOI PP]]*Proj[[#This Row],[GP]],0)</f>
        <v>2</v>
      </c>
      <c r="R370" s="10">
        <f>ROUND(_xlfn.IFNA(INDEX(Table2[],MATCH(Proj[[#This Row],[Player]],Table2[Player],0),7)/60,IF(Proj[[#This Row],[Pos]] = "D", 'Per 60 PP'!$G$527,'Per 60 PP'!$G$526)/60)*Proj[[#This Row],[TOI PP]]*Proj[[#This Row],[GP]],0)</f>
        <v>3</v>
      </c>
      <c r="S370" s="10">
        <f>Proj[[#This Row],[PPG]]+Proj[[#This Row],[PPA]]</f>
        <v>5</v>
      </c>
      <c r="T370">
        <f>ROUND((_xlfn.IFNA(INDEX(Table3[],MATCH(Proj[[#This Row],[Player]],Table3[Player],0),6)/60,IF(Proj[[#This Row],[Pos]] ="D", 'Per 60 PK'!$F$623, 'Per 60 PK'!$F$622)/60)+_xlfn.IFNA(INDEX(Table3[],MATCH(Proj[[#This Row],[Player]],Table3[Player],0),8)/60,IF(Proj[[#This Row],[Pos]] ="D", 'Per 60 PK'!$H$623, 'Per 60 PK'!$H$622)/60))*Proj[[#This Row],[TOI PK]]*Proj[[#This Row],[GP]],0)</f>
        <v>0</v>
      </c>
      <c r="U3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3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3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3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3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3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112</v>
      </c>
      <c r="AA3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-711.38812350954788</v>
      </c>
      <c r="AB370" s="10">
        <f>_xlfn.RANK.EQ(Proj[[#This Row],[VOR]],Proj[VOR])</f>
        <v>532</v>
      </c>
      <c r="AC370" s="10">
        <f>INDEX(Std[],MATCH(Proj[[#This Row],[Player]],Std[Player],0),20)</f>
        <v>-239.84339911929902</v>
      </c>
      <c r="AD3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274.45</v>
      </c>
    </row>
    <row r="371" spans="1:30" x14ac:dyDescent="0.25">
      <c r="A371" t="s">
        <v>830</v>
      </c>
      <c r="B371">
        <v>26</v>
      </c>
      <c r="C371" t="s">
        <v>102</v>
      </c>
      <c r="D371" t="s">
        <v>25</v>
      </c>
      <c r="E371" s="9">
        <f>INDEX(Table1[],MATCH(Proj[[#This Row],[Player]],Table1[Player],0),5)</f>
        <v>12.8814950932519</v>
      </c>
      <c r="F371" s="9">
        <f>_xlfn.IFNA(INDEX(Table2[],MATCH(Proj[[#This Row],[Player]],Table2[Player],0),5),0)</f>
        <v>0</v>
      </c>
      <c r="G371" s="9">
        <f>_xlfn.IFNA(INDEX(Table3[],MATCH(Proj[[#This Row],[Player]],Table3[Player],0),5),0)</f>
        <v>1.42</v>
      </c>
      <c r="H371" s="10">
        <v>78</v>
      </c>
      <c r="I371">
        <v>78</v>
      </c>
      <c r="J371" s="9">
        <v>12.8814950932519</v>
      </c>
      <c r="K371" s="9">
        <v>0</v>
      </c>
      <c r="L371" s="9">
        <v>1.42</v>
      </c>
      <c r="M371" s="9">
        <f>Proj[[#This Row],[TOI ES]]+Proj[[#This Row],[TOI PP]]+Proj[[#This Row],[TOI PK]]</f>
        <v>14.3014950932519</v>
      </c>
      <c r="N3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371" s="10">
        <f>Proj[[#This Row],[Goals]]+Proj[[#This Row],[Assists]]</f>
        <v>29</v>
      </c>
      <c r="Q371" s="10">
        <f>ROUND(_xlfn.IFNA(INDEX(Table2[],MATCH(Proj[[#This Row],[Player]],Table2[Player],0),11)/60,IF(Proj[[#This Row],[Pos]] = "D", 'Per 60 PP'!$K$527,'Per 60 PP'!$K$526)/60)*Proj[[#This Row],[TOI PP]]*Proj[[#This Row],[GP]],0)</f>
        <v>0</v>
      </c>
      <c r="R371" s="10">
        <f>ROUND(_xlfn.IFNA(INDEX(Table2[],MATCH(Proj[[#This Row],[Player]],Table2[Player],0),7)/60,IF(Proj[[#This Row],[Pos]] = "D", 'Per 60 PP'!$G$527,'Per 60 PP'!$G$526)/60)*Proj[[#This Row],[TOI PP]]*Proj[[#This Row],[GP]],0)</f>
        <v>0</v>
      </c>
      <c r="S371" s="10">
        <f>Proj[[#This Row],[PPG]]+Proj[[#This Row],[PPA]]</f>
        <v>0</v>
      </c>
      <c r="T371">
        <f>ROUND((_xlfn.IFNA(INDEX(Table3[],MATCH(Proj[[#This Row],[Player]],Table3[Player],0),6)/60,IF(Proj[[#This Row],[Pos]] ="D", 'Per 60 PK'!$F$623, 'Per 60 PK'!$F$622)/60)+_xlfn.IFNA(INDEX(Table3[],MATCH(Proj[[#This Row],[Player]],Table3[Player],0),8)/60,IF(Proj[[#This Row],[Pos]] ="D", 'Per 60 PK'!$H$623, 'Per 60 PK'!$H$622)/60))*Proj[[#This Row],[TOI PK]]*Proj[[#This Row],[GP]],0)</f>
        <v>1</v>
      </c>
      <c r="U3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3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3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3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35</v>
      </c>
      <c r="Y3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v>
      </c>
      <c r="Z3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151</v>
      </c>
      <c r="AA3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-727.11148192528924</v>
      </c>
      <c r="AB371" s="10">
        <f>_xlfn.RANK.EQ(Proj[[#This Row],[VOR]],Proj[VOR])</f>
        <v>542</v>
      </c>
      <c r="AC371" s="10">
        <f>INDEX(Std[],MATCH(Proj[[#This Row],[Player]],Std[Player],0),20)</f>
        <v>-255.56675753504038</v>
      </c>
      <c r="AD3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295.40000000000003</v>
      </c>
    </row>
    <row r="372" spans="1:30" x14ac:dyDescent="0.25">
      <c r="A372" t="s">
        <v>305</v>
      </c>
      <c r="B372">
        <v>28</v>
      </c>
      <c r="C372" t="s">
        <v>3</v>
      </c>
      <c r="D372" t="s">
        <v>23</v>
      </c>
      <c r="E372" s="9">
        <f>INDEX(Table1[],MATCH(Proj[[#This Row],[Player]],Table1[Player],0),5)</f>
        <v>18.026459722756702</v>
      </c>
      <c r="F372" s="9">
        <f>_xlfn.IFNA(INDEX(Table2[],MATCH(Proj[[#This Row],[Player]],Table2[Player],0),5),0)</f>
        <v>1.35</v>
      </c>
      <c r="G372" s="9">
        <f>_xlfn.IFNA(INDEX(Table3[],MATCH(Proj[[#This Row],[Player]],Table3[Player],0),5),0)</f>
        <v>2.79</v>
      </c>
      <c r="H372" s="10">
        <v>82</v>
      </c>
      <c r="I372">
        <v>82</v>
      </c>
      <c r="J372" s="9">
        <v>18.026459722756702</v>
      </c>
      <c r="K372" s="9">
        <v>1.35</v>
      </c>
      <c r="L372" s="9">
        <v>2.79</v>
      </c>
      <c r="M372" s="9">
        <f>Proj[[#This Row],[TOI ES]]+Proj[[#This Row],[TOI PP]]+Proj[[#This Row],[TOI PK]]</f>
        <v>22.166459722756702</v>
      </c>
      <c r="N3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72" s="10">
        <f>Proj[[#This Row],[Goals]]+Proj[[#This Row],[Assists]]</f>
        <v>29</v>
      </c>
      <c r="Q372" s="10">
        <f>ROUND(_xlfn.IFNA(INDEX(Table2[],MATCH(Proj[[#This Row],[Player]],Table2[Player],0),11)/60,IF(Proj[[#This Row],[Pos]] = "D", 'Per 60 PP'!$K$527,'Per 60 PP'!$K$526)/60)*Proj[[#This Row],[TOI PP]]*Proj[[#This Row],[GP]],0)</f>
        <v>1</v>
      </c>
      <c r="R372" s="10">
        <f>ROUND(_xlfn.IFNA(INDEX(Table2[],MATCH(Proj[[#This Row],[Player]],Table2[Player],0),7)/60,IF(Proj[[#This Row],[Pos]] = "D", 'Per 60 PP'!$G$527,'Per 60 PP'!$G$526)/60)*Proj[[#This Row],[TOI PP]]*Proj[[#This Row],[GP]],0)</f>
        <v>5</v>
      </c>
      <c r="S372" s="10">
        <f>Proj[[#This Row],[PPG]]+Proj[[#This Row],[PPA]]</f>
        <v>6</v>
      </c>
      <c r="T372">
        <f>ROUND((_xlfn.IFNA(INDEX(Table3[],MATCH(Proj[[#This Row],[Player]],Table3[Player],0),6)/60,IF(Proj[[#This Row],[Pos]] ="D", 'Per 60 PK'!$F$623, 'Per 60 PK'!$F$622)/60)+_xlfn.IFNA(INDEX(Table3[],MATCH(Proj[[#This Row],[Player]],Table3[Player],0),8)/60,IF(Proj[[#This Row],[Pos]] ="D", 'Per 60 PK'!$H$623, 'Per 60 PK'!$H$622)/60))*Proj[[#This Row],[TOI PK]]*Proj[[#This Row],[GP]],0)</f>
        <v>1</v>
      </c>
      <c r="U3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3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165</v>
      </c>
      <c r="W3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3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112</v>
      </c>
      <c r="AA3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-109.60760147538561</v>
      </c>
      <c r="AB372" s="10">
        <f>_xlfn.RANK.EQ(Proj[[#This Row],[VOR]],Proj[VOR])</f>
        <v>202</v>
      </c>
      <c r="AC372" s="10">
        <f>INDEX(Std[],MATCH(Proj[[#This Row],[Player]],Std[Player],0),20)</f>
        <v>-2.2428337559211196</v>
      </c>
      <c r="AD3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342.15000000000003</v>
      </c>
    </row>
    <row r="373" spans="1:30" x14ac:dyDescent="0.25">
      <c r="A373" t="s">
        <v>912</v>
      </c>
      <c r="B373">
        <v>24</v>
      </c>
      <c r="C373" t="s">
        <v>3</v>
      </c>
      <c r="D373" t="s">
        <v>153</v>
      </c>
      <c r="E373" s="9">
        <f>INDEX(Table1[],MATCH(Proj[[#This Row],[Player]],Table1[Player],0),5)</f>
        <v>17.1629883580514</v>
      </c>
      <c r="F373" s="9">
        <f>_xlfn.IFNA(INDEX(Table2[],MATCH(Proj[[#This Row],[Player]],Table2[Player],0),5),0)</f>
        <v>1.2</v>
      </c>
      <c r="G373" s="9">
        <f>_xlfn.IFNA(INDEX(Table3[],MATCH(Proj[[#This Row],[Player]],Table3[Player],0),5),0)</f>
        <v>2.52</v>
      </c>
      <c r="H373" s="10">
        <v>81</v>
      </c>
      <c r="I373">
        <v>81</v>
      </c>
      <c r="J373" s="9">
        <v>17.1629883580514</v>
      </c>
      <c r="K373" s="9">
        <v>1.2</v>
      </c>
      <c r="L373" s="9">
        <v>2.52</v>
      </c>
      <c r="M373" s="9">
        <f>Proj[[#This Row],[TOI ES]]+Proj[[#This Row],[TOI PP]]+Proj[[#This Row],[TOI PK]]</f>
        <v>20.882988358051399</v>
      </c>
      <c r="N3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73" s="10">
        <f>Proj[[#This Row],[Goals]]+Proj[[#This Row],[Assists]]</f>
        <v>29</v>
      </c>
      <c r="Q373" s="10">
        <f>ROUND(_xlfn.IFNA(INDEX(Table2[],MATCH(Proj[[#This Row],[Player]],Table2[Player],0),11)/60,IF(Proj[[#This Row],[Pos]] = "D", 'Per 60 PP'!$K$527,'Per 60 PP'!$K$526)/60)*Proj[[#This Row],[TOI PP]]*Proj[[#This Row],[GP]],0)</f>
        <v>1</v>
      </c>
      <c r="R373" s="10">
        <f>ROUND(_xlfn.IFNA(INDEX(Table2[],MATCH(Proj[[#This Row],[Player]],Table2[Player],0),7)/60,IF(Proj[[#This Row],[Pos]] = "D", 'Per 60 PP'!$G$527,'Per 60 PP'!$G$526)/60)*Proj[[#This Row],[TOI PP]]*Proj[[#This Row],[GP]],0)</f>
        <v>4</v>
      </c>
      <c r="S373" s="10">
        <f>Proj[[#This Row],[PPG]]+Proj[[#This Row],[PPA]]</f>
        <v>5</v>
      </c>
      <c r="T373">
        <f>ROUND((_xlfn.IFNA(INDEX(Table3[],MATCH(Proj[[#This Row],[Player]],Table3[Player],0),6)/60,IF(Proj[[#This Row],[Pos]] ="D", 'Per 60 PK'!$F$623, 'Per 60 PK'!$F$622)/60)+_xlfn.IFNA(INDEX(Table3[],MATCH(Proj[[#This Row],[Player]],Table3[Player],0),8)/60,IF(Proj[[#This Row],[Pos]] ="D", 'Per 60 PK'!$H$623, 'Per 60 PK'!$H$622)/60))*Proj[[#This Row],[TOI PK]]*Proj[[#This Row],[GP]],0)</f>
        <v>1</v>
      </c>
      <c r="U3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85</v>
      </c>
      <c r="V3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129</v>
      </c>
      <c r="W3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3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3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-164.69991358577829</v>
      </c>
      <c r="AB373" s="10">
        <f>_xlfn.RANK.EQ(Proj[[#This Row],[VOR]],Proj[VOR])</f>
        <v>229</v>
      </c>
      <c r="AC373" s="10">
        <f>INDEX(Std[],MATCH(Proj[[#This Row],[Player]],Std[Player],0),20)</f>
        <v>-57.335145866313816</v>
      </c>
      <c r="AD3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320.34999999999997</v>
      </c>
    </row>
    <row r="374" spans="1:30" x14ac:dyDescent="0.25">
      <c r="A374" t="s">
        <v>533</v>
      </c>
      <c r="B374">
        <v>21</v>
      </c>
      <c r="C374" t="s">
        <v>74</v>
      </c>
      <c r="D374" t="s">
        <v>23</v>
      </c>
      <c r="E374" s="9">
        <f>INDEX(Table1[],MATCH(Proj[[#This Row],[Player]],Table1[Player],0),5)</f>
        <v>12.9848931455893</v>
      </c>
      <c r="F374" s="9">
        <f>_xlfn.IFNA(INDEX(Table2[],MATCH(Proj[[#This Row],[Player]],Table2[Player],0),5),0)</f>
        <v>1.28</v>
      </c>
      <c r="G374" s="9">
        <f>_xlfn.IFNA(INDEX(Table3[],MATCH(Proj[[#This Row],[Player]],Table3[Player],0),5),0)</f>
        <v>1.71</v>
      </c>
      <c r="H374" s="10">
        <v>78</v>
      </c>
      <c r="I374">
        <v>78</v>
      </c>
      <c r="J374" s="9">
        <v>12.9848931455893</v>
      </c>
      <c r="K374" s="9">
        <v>1.28</v>
      </c>
      <c r="L374" s="9">
        <v>1.71</v>
      </c>
      <c r="M374" s="9">
        <f>Proj[[#This Row],[TOI ES]]+Proj[[#This Row],[TOI PP]]+Proj[[#This Row],[TOI PK]]</f>
        <v>15.974893145589299</v>
      </c>
      <c r="N3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3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374" s="10">
        <f>Proj[[#This Row],[Goals]]+Proj[[#This Row],[Assists]]</f>
        <v>29</v>
      </c>
      <c r="Q374" s="10">
        <f>ROUND(_xlfn.IFNA(INDEX(Table2[],MATCH(Proj[[#This Row],[Player]],Table2[Player],0),11)/60,IF(Proj[[#This Row],[Pos]] = "D", 'Per 60 PP'!$K$527,'Per 60 PP'!$K$526)/60)*Proj[[#This Row],[TOI PP]]*Proj[[#This Row],[GP]],0)</f>
        <v>3</v>
      </c>
      <c r="R374" s="10">
        <f>ROUND(_xlfn.IFNA(INDEX(Table2[],MATCH(Proj[[#This Row],[Player]],Table2[Player],0),7)/60,IF(Proj[[#This Row],[Pos]] = "D", 'Per 60 PP'!$G$527,'Per 60 PP'!$G$526)/60)*Proj[[#This Row],[TOI PP]]*Proj[[#This Row],[GP]],0)</f>
        <v>2</v>
      </c>
      <c r="S374" s="10">
        <f>Proj[[#This Row],[PPG]]+Proj[[#This Row],[PPA]]</f>
        <v>5</v>
      </c>
      <c r="T374">
        <f>ROUND((_xlfn.IFNA(INDEX(Table3[],MATCH(Proj[[#This Row],[Player]],Table3[Player],0),6)/60,IF(Proj[[#This Row],[Pos]] ="D", 'Per 60 PK'!$F$623, 'Per 60 PK'!$F$622)/60)+_xlfn.IFNA(INDEX(Table3[],MATCH(Proj[[#This Row],[Player]],Table3[Player],0),8)/60,IF(Proj[[#This Row],[Pos]] ="D", 'Per 60 PK'!$H$623, 'Per 60 PK'!$H$622)/60))*Proj[[#This Row],[TOI PK]]*Proj[[#This Row],[GP]],0)</f>
        <v>1</v>
      </c>
      <c r="U3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111</v>
      </c>
      <c r="V3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66</v>
      </c>
      <c r="W3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3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432</v>
      </c>
      <c r="Y3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511</v>
      </c>
      <c r="Z3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155</v>
      </c>
      <c r="AA3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-504.98024001232693</v>
      </c>
      <c r="AB374" s="10">
        <f>_xlfn.RANK.EQ(Proj[[#This Row],[VOR]],Proj[VOR])</f>
        <v>424</v>
      </c>
      <c r="AC374" s="10">
        <f>INDEX(Std[],MATCH(Proj[[#This Row],[Player]],Std[Player],0),20)</f>
        <v>229.6536142979717</v>
      </c>
      <c r="AD3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388.65000000000003</v>
      </c>
    </row>
    <row r="375" spans="1:30" x14ac:dyDescent="0.25">
      <c r="A375" t="s">
        <v>1224</v>
      </c>
      <c r="B375">
        <v>19</v>
      </c>
      <c r="C375" t="s">
        <v>3</v>
      </c>
      <c r="D375" t="s">
        <v>21</v>
      </c>
      <c r="E375" s="9">
        <f>INDEX(Table1[],MATCH(Proj[[#This Row],[Player]],Table1[Player],0),5)</f>
        <v>17</v>
      </c>
      <c r="F375" s="9">
        <f>_xlfn.IFNA(INDEX(Table2[],MATCH(Proj[[#This Row],[Player]],Table2[Player],0),5),0)</f>
        <v>2</v>
      </c>
      <c r="G375" s="9">
        <f>_xlfn.IFNA(INDEX(Table3[],MATCH(Proj[[#This Row],[Player]],Table3[Player],0),5),0)</f>
        <v>1.35</v>
      </c>
      <c r="H375" s="10">
        <v>74</v>
      </c>
      <c r="I375">
        <v>74</v>
      </c>
      <c r="J375" s="9">
        <v>17</v>
      </c>
      <c r="K375" s="9">
        <v>2</v>
      </c>
      <c r="L375" s="9">
        <v>1.35</v>
      </c>
      <c r="M375" s="9">
        <f>Proj[[#This Row],[TOI ES]]+Proj[[#This Row],[TOI PP]]+Proj[[#This Row],[TOI PK]]</f>
        <v>20.350000000000001</v>
      </c>
      <c r="N3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75" s="10">
        <f>Proj[[#This Row],[Goals]]+Proj[[#This Row],[Assists]]</f>
        <v>29</v>
      </c>
      <c r="Q375" s="10">
        <f>ROUND(_xlfn.IFNA(INDEX(Table2[],MATCH(Proj[[#This Row],[Player]],Table2[Player],0),11)/60,IF(Proj[[#This Row],[Pos]] = "D", 'Per 60 PP'!$K$527,'Per 60 PP'!$K$526)/60)*Proj[[#This Row],[TOI PP]]*Proj[[#This Row],[GP]],0)</f>
        <v>1</v>
      </c>
      <c r="R375" s="10">
        <f>ROUND(_xlfn.IFNA(INDEX(Table2[],MATCH(Proj[[#This Row],[Player]],Table2[Player],0),7)/60,IF(Proj[[#This Row],[Pos]] = "D", 'Per 60 PP'!$G$527,'Per 60 PP'!$G$526)/60)*Proj[[#This Row],[TOI PP]]*Proj[[#This Row],[GP]],0)</f>
        <v>8</v>
      </c>
      <c r="S375" s="10">
        <f>Proj[[#This Row],[PPG]]+Proj[[#This Row],[PPA]]</f>
        <v>9</v>
      </c>
      <c r="T375">
        <f>ROUND((_xlfn.IFNA(INDEX(Table3[],MATCH(Proj[[#This Row],[Player]],Table3[Player],0),6)/60,IF(Proj[[#This Row],[Pos]] ="D", 'Per 60 PK'!$F$623, 'Per 60 PK'!$F$622)/60)+_xlfn.IFNA(INDEX(Table3[],MATCH(Proj[[#This Row],[Player]],Table3[Player],0),8)/60,IF(Proj[[#This Row],[Pos]] ="D", 'Per 60 PK'!$H$623, 'Per 60 PK'!$H$622)/60))*Proj[[#This Row],[TOI PK]]*Proj[[#This Row],[GP]],0)</f>
        <v>0</v>
      </c>
      <c r="U3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112</v>
      </c>
      <c r="V3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129</v>
      </c>
      <c r="W3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3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3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41.548392313687089</v>
      </c>
      <c r="AB375" s="10">
        <f>_xlfn.RANK.EQ(Proj[[#This Row],[VOR]],Proj[VOR])</f>
        <v>142</v>
      </c>
      <c r="AC375" s="10">
        <f>INDEX(Std[],MATCH(Proj[[#This Row],[Player]],Std[Player],0),20)</f>
        <v>148.91316003315157</v>
      </c>
      <c r="AD3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367.34999999999997</v>
      </c>
    </row>
    <row r="376" spans="1:30" x14ac:dyDescent="0.25">
      <c r="A376" t="s">
        <v>560</v>
      </c>
      <c r="B376">
        <v>25</v>
      </c>
      <c r="C376" t="s">
        <v>3</v>
      </c>
      <c r="D376" t="s">
        <v>30</v>
      </c>
      <c r="E376" s="9">
        <f>INDEX(Table1[],MATCH(Proj[[#This Row],[Player]],Table1[Player],0),5)</f>
        <v>16.784993693523901</v>
      </c>
      <c r="F376" s="9">
        <f>_xlfn.IFNA(INDEX(Table2[],MATCH(Proj[[#This Row],[Player]],Table2[Player],0),5),0)</f>
        <v>1.46</v>
      </c>
      <c r="G376" s="9">
        <f>_xlfn.IFNA(INDEX(Table3[],MATCH(Proj[[#This Row],[Player]],Table3[Player],0),5),0)</f>
        <v>1.18</v>
      </c>
      <c r="H376" s="10">
        <v>76</v>
      </c>
      <c r="I376">
        <v>76</v>
      </c>
      <c r="J376" s="9">
        <v>16.784993693523901</v>
      </c>
      <c r="K376" s="9">
        <v>1.46</v>
      </c>
      <c r="L376" s="9">
        <v>1.18</v>
      </c>
      <c r="M376" s="9">
        <f>Proj[[#This Row],[TOI ES]]+Proj[[#This Row],[TOI PP]]+Proj[[#This Row],[TOI PK]]</f>
        <v>19.424993693523902</v>
      </c>
      <c r="N3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3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376" s="10">
        <f>Proj[[#This Row],[Goals]]+Proj[[#This Row],[Assists]]</f>
        <v>29</v>
      </c>
      <c r="Q376" s="10">
        <f>ROUND(_xlfn.IFNA(INDEX(Table2[],MATCH(Proj[[#This Row],[Player]],Table2[Player],0),11)/60,IF(Proj[[#This Row],[Pos]] = "D", 'Per 60 PP'!$K$527,'Per 60 PP'!$K$526)/60)*Proj[[#This Row],[TOI PP]]*Proj[[#This Row],[GP]],0)</f>
        <v>1</v>
      </c>
      <c r="R376" s="10">
        <f>ROUND(_xlfn.IFNA(INDEX(Table2[],MATCH(Proj[[#This Row],[Player]],Table2[Player],0),7)/60,IF(Proj[[#This Row],[Pos]] = "D", 'Per 60 PP'!$G$527,'Per 60 PP'!$G$526)/60)*Proj[[#This Row],[TOI PP]]*Proj[[#This Row],[GP]],0)</f>
        <v>6</v>
      </c>
      <c r="S376" s="10">
        <f>Proj[[#This Row],[PPG]]+Proj[[#This Row],[PPA]]</f>
        <v>7</v>
      </c>
      <c r="T376">
        <f>ROUND((_xlfn.IFNA(INDEX(Table3[],MATCH(Proj[[#This Row],[Player]],Table3[Player],0),6)/60,IF(Proj[[#This Row],[Pos]] ="D", 'Per 60 PK'!$F$623, 'Per 60 PK'!$F$622)/60)+_xlfn.IFNA(INDEX(Table3[],MATCH(Proj[[#This Row],[Player]],Table3[Player],0),8)/60,IF(Proj[[#This Row],[Pos]] ="D", 'Per 60 PK'!$H$623, 'Per 60 PK'!$H$622)/60))*Proj[[#This Row],[TOI PK]]*Proj[[#This Row],[GP]],0)</f>
        <v>2</v>
      </c>
      <c r="U3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115</v>
      </c>
      <c r="V3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135</v>
      </c>
      <c r="W3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3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3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-105.7251643285704</v>
      </c>
      <c r="AB376" s="10">
        <f>_xlfn.RANK.EQ(Proj[[#This Row],[VOR]],Proj[VOR])</f>
        <v>201</v>
      </c>
      <c r="AC376" s="10">
        <f>INDEX(Std[],MATCH(Proj[[#This Row],[Player]],Std[Player],0),20)</f>
        <v>1.6396033908940788</v>
      </c>
      <c r="AD3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344.3</v>
      </c>
    </row>
    <row r="377" spans="1:30" x14ac:dyDescent="0.25">
      <c r="A377" t="s">
        <v>476</v>
      </c>
      <c r="B377">
        <v>27</v>
      </c>
      <c r="C377" t="s">
        <v>102</v>
      </c>
      <c r="D377" t="s">
        <v>4</v>
      </c>
      <c r="E377" s="9">
        <f>INDEX(Table1[],MATCH(Proj[[#This Row],[Player]],Table1[Player],0),5)</f>
        <v>13.3816980687195</v>
      </c>
      <c r="F377" s="9">
        <f>_xlfn.IFNA(INDEX(Table2[],MATCH(Proj[[#This Row],[Player]],Table2[Player],0),5),0)</f>
        <v>0.94</v>
      </c>
      <c r="G377" s="9">
        <f>_xlfn.IFNA(INDEX(Table3[],MATCH(Proj[[#This Row],[Player]],Table3[Player],0),5),0)</f>
        <v>2.27</v>
      </c>
      <c r="H377" s="10">
        <v>76</v>
      </c>
      <c r="I377">
        <v>76</v>
      </c>
      <c r="J377" s="9">
        <v>13.3816980687195</v>
      </c>
      <c r="K377" s="9">
        <v>0.94</v>
      </c>
      <c r="L377" s="9">
        <v>2.27</v>
      </c>
      <c r="M377" s="9">
        <f>Proj[[#This Row],[TOI ES]]+Proj[[#This Row],[TOI PP]]+Proj[[#This Row],[TOI PK]]</f>
        <v>16.591698068719499</v>
      </c>
      <c r="N3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77" s="10">
        <f>Proj[[#This Row],[Goals]]+Proj[[#This Row],[Assists]]</f>
        <v>29</v>
      </c>
      <c r="Q377" s="10">
        <f>ROUND(_xlfn.IFNA(INDEX(Table2[],MATCH(Proj[[#This Row],[Player]],Table2[Player],0),11)/60,IF(Proj[[#This Row],[Pos]] = "D", 'Per 60 PP'!$K$527,'Per 60 PP'!$K$526)/60)*Proj[[#This Row],[TOI PP]]*Proj[[#This Row],[GP]],0)</f>
        <v>1</v>
      </c>
      <c r="R377" s="10">
        <f>ROUND(_xlfn.IFNA(INDEX(Table2[],MATCH(Proj[[#This Row],[Player]],Table2[Player],0),7)/60,IF(Proj[[#This Row],[Pos]] = "D", 'Per 60 PP'!$G$527,'Per 60 PP'!$G$526)/60)*Proj[[#This Row],[TOI PP]]*Proj[[#This Row],[GP]],0)</f>
        <v>2</v>
      </c>
      <c r="S377" s="10">
        <f>Proj[[#This Row],[PPG]]+Proj[[#This Row],[PPA]]</f>
        <v>3</v>
      </c>
      <c r="T377">
        <f>ROUND((_xlfn.IFNA(INDEX(Table3[],MATCH(Proj[[#This Row],[Player]],Table3[Player],0),6)/60,IF(Proj[[#This Row],[Pos]] ="D", 'Per 60 PK'!$F$623, 'Per 60 PK'!$F$622)/60)+_xlfn.IFNA(INDEX(Table3[],MATCH(Proj[[#This Row],[Player]],Table3[Player],0),8)/60,IF(Proj[[#This Row],[Pos]] ="D", 'Per 60 PK'!$H$623, 'Per 60 PK'!$H$622)/60))*Proj[[#This Row],[TOI PK]]*Proj[[#This Row],[GP]],0)</f>
        <v>1</v>
      </c>
      <c r="U3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148</v>
      </c>
      <c r="V3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68</v>
      </c>
      <c r="W3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63</v>
      </c>
      <c r="X3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v>
      </c>
      <c r="Y3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v>
      </c>
      <c r="Z3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129</v>
      </c>
      <c r="AA3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-346.65287069375302</v>
      </c>
      <c r="AB377" s="10">
        <f>_xlfn.RANK.EQ(Proj[[#This Row],[VOR]],Proj[VOR])</f>
        <v>346</v>
      </c>
      <c r="AC377" s="10">
        <f>INDEX(Std[],MATCH(Proj[[#This Row],[Player]],Std[Player],0),20)</f>
        <v>124.89185369649583</v>
      </c>
      <c r="AD3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362.85</v>
      </c>
    </row>
    <row r="378" spans="1:30" x14ac:dyDescent="0.25">
      <c r="A378" t="s">
        <v>787</v>
      </c>
      <c r="B378">
        <v>30</v>
      </c>
      <c r="C378" t="s">
        <v>102</v>
      </c>
      <c r="D378" t="s">
        <v>34</v>
      </c>
      <c r="E378" s="9">
        <f>INDEX(Table1[],MATCH(Proj[[#This Row],[Player]],Table1[Player],0),5)</f>
        <v>11.199196437515401</v>
      </c>
      <c r="F378" s="9">
        <f>_xlfn.IFNA(INDEX(Table2[],MATCH(Proj[[#This Row],[Player]],Table2[Player],0),5),0)</f>
        <v>1.23</v>
      </c>
      <c r="G378" s="9">
        <f>_xlfn.IFNA(INDEX(Table3[],MATCH(Proj[[#This Row],[Player]],Table3[Player],0),5),0)</f>
        <v>0</v>
      </c>
      <c r="H378" s="10">
        <v>74</v>
      </c>
      <c r="I378">
        <v>74</v>
      </c>
      <c r="J378" s="9">
        <v>11.199196437515401</v>
      </c>
      <c r="K378" s="9">
        <v>1.23</v>
      </c>
      <c r="L378" s="9">
        <v>0</v>
      </c>
      <c r="M378" s="9">
        <f>Proj[[#This Row],[TOI ES]]+Proj[[#This Row],[TOI PP]]+Proj[[#This Row],[TOI PK]]</f>
        <v>12.429196437515401</v>
      </c>
      <c r="N3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378" s="10">
        <f>Proj[[#This Row],[Goals]]+Proj[[#This Row],[Assists]]</f>
        <v>29</v>
      </c>
      <c r="Q378" s="10">
        <f>ROUND(_xlfn.IFNA(INDEX(Table2[],MATCH(Proj[[#This Row],[Player]],Table2[Player],0),11)/60,IF(Proj[[#This Row],[Pos]] = "D", 'Per 60 PP'!$K$527,'Per 60 PP'!$K$526)/60)*Proj[[#This Row],[TOI PP]]*Proj[[#This Row],[GP]],0)</f>
        <v>2</v>
      </c>
      <c r="R378" s="10">
        <f>ROUND(_xlfn.IFNA(INDEX(Table2[],MATCH(Proj[[#This Row],[Player]],Table2[Player],0),7)/60,IF(Proj[[#This Row],[Pos]] = "D", 'Per 60 PP'!$G$527,'Per 60 PP'!$G$526)/60)*Proj[[#This Row],[TOI PP]]*Proj[[#This Row],[GP]],0)</f>
        <v>3</v>
      </c>
      <c r="S378" s="10">
        <f>Proj[[#This Row],[PPG]]+Proj[[#This Row],[PPA]]</f>
        <v>5</v>
      </c>
      <c r="T378">
        <f>ROUND((_xlfn.IFNA(INDEX(Table3[],MATCH(Proj[[#This Row],[Player]],Table3[Player],0),6)/60,IF(Proj[[#This Row],[Pos]] ="D", 'Per 60 PK'!$F$623, 'Per 60 PK'!$F$622)/60)+_xlfn.IFNA(INDEX(Table3[],MATCH(Proj[[#This Row],[Player]],Table3[Player],0),8)/60,IF(Proj[[#This Row],[Pos]] ="D", 'Per 60 PK'!$H$623, 'Per 60 PK'!$H$622)/60))*Proj[[#This Row],[TOI PK]]*Proj[[#This Row],[GP]],0)</f>
        <v>0</v>
      </c>
      <c r="U3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154</v>
      </c>
      <c r="V3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3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3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v>
      </c>
      <c r="Y3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3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144</v>
      </c>
      <c r="AA3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-480.01158696573367</v>
      </c>
      <c r="AB378" s="10">
        <f>_xlfn.RANK.EQ(Proj[[#This Row],[VOR]],Proj[VOR])</f>
        <v>413</v>
      </c>
      <c r="AC378" s="10">
        <f>INDEX(Std[],MATCH(Proj[[#This Row],[Player]],Std[Player],0),20)</f>
        <v>-8.4668625754848144</v>
      </c>
      <c r="AD3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348.34999999999997</v>
      </c>
    </row>
    <row r="379" spans="1:30" x14ac:dyDescent="0.25">
      <c r="A379" t="s">
        <v>579</v>
      </c>
      <c r="B379">
        <v>28</v>
      </c>
      <c r="C379" t="s">
        <v>74</v>
      </c>
      <c r="D379" t="s">
        <v>18</v>
      </c>
      <c r="E379" s="9">
        <f>INDEX(Table1[],MATCH(Proj[[#This Row],[Player]],Table1[Player],0),5)</f>
        <v>12.5228835313779</v>
      </c>
      <c r="F379" s="9">
        <f>_xlfn.IFNA(INDEX(Table2[],MATCH(Proj[[#This Row],[Player]],Table2[Player],0),5),0)</f>
        <v>1.1599999999999999</v>
      </c>
      <c r="G379" s="9">
        <f>_xlfn.IFNA(INDEX(Table3[],MATCH(Proj[[#This Row],[Player]],Table3[Player],0),5),0)</f>
        <v>1.95</v>
      </c>
      <c r="H379" s="10">
        <v>78</v>
      </c>
      <c r="I379">
        <v>78</v>
      </c>
      <c r="J379" s="9">
        <v>12.5228835313779</v>
      </c>
      <c r="K379" s="9">
        <v>1.1599999999999999</v>
      </c>
      <c r="L379" s="9">
        <v>1.95</v>
      </c>
      <c r="M379" s="9">
        <f>Proj[[#This Row],[TOI ES]]+Proj[[#This Row],[TOI PP]]+Proj[[#This Row],[TOI PK]]</f>
        <v>15.6328835313779</v>
      </c>
      <c r="N3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16</v>
      </c>
      <c r="O3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379" s="10">
        <f>Proj[[#This Row],[Goals]]+Proj[[#This Row],[Assists]]</f>
        <v>29</v>
      </c>
      <c r="Q379" s="10">
        <f>ROUND(_xlfn.IFNA(INDEX(Table2[],MATCH(Proj[[#This Row],[Player]],Table2[Player],0),11)/60,IF(Proj[[#This Row],[Pos]] = "D", 'Per 60 PP'!$K$527,'Per 60 PP'!$K$526)/60)*Proj[[#This Row],[TOI PP]]*Proj[[#This Row],[GP]],0)</f>
        <v>2</v>
      </c>
      <c r="R379" s="10">
        <f>ROUND(_xlfn.IFNA(INDEX(Table2[],MATCH(Proj[[#This Row],[Player]],Table2[Player],0),7)/60,IF(Proj[[#This Row],[Pos]] = "D", 'Per 60 PP'!$G$527,'Per 60 PP'!$G$526)/60)*Proj[[#This Row],[TOI PP]]*Proj[[#This Row],[GP]],0)</f>
        <v>3</v>
      </c>
      <c r="S379" s="10">
        <f>Proj[[#This Row],[PPG]]+Proj[[#This Row],[PPA]]</f>
        <v>5</v>
      </c>
      <c r="T379">
        <f>ROUND((_xlfn.IFNA(INDEX(Table3[],MATCH(Proj[[#This Row],[Player]],Table3[Player],0),6)/60,IF(Proj[[#This Row],[Pos]] ="D", 'Per 60 PK'!$F$623, 'Per 60 PK'!$F$622)/60)+_xlfn.IFNA(INDEX(Table3[],MATCH(Proj[[#This Row],[Player]],Table3[Player],0),8)/60,IF(Proj[[#This Row],[Pos]] ="D", 'Per 60 PK'!$H$623, 'Per 60 PK'!$H$622)/60))*Proj[[#This Row],[TOI PK]]*Proj[[#This Row],[GP]],0)</f>
        <v>2</v>
      </c>
      <c r="U3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176</v>
      </c>
      <c r="V3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3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3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87</v>
      </c>
      <c r="Y3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106</v>
      </c>
      <c r="Z3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138</v>
      </c>
      <c r="AA3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-621.3432898034024</v>
      </c>
      <c r="AB379" s="10">
        <f>_xlfn.RANK.EQ(Proj[[#This Row],[VOR]],Proj[VOR])</f>
        <v>488</v>
      </c>
      <c r="AC379" s="10">
        <f>INDEX(Std[],MATCH(Proj[[#This Row],[Player]],Std[Player],0),20)</f>
        <v>113.29056450689619</v>
      </c>
      <c r="AD3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372.75</v>
      </c>
    </row>
    <row r="380" spans="1:30" x14ac:dyDescent="0.25">
      <c r="A380" t="s">
        <v>427</v>
      </c>
      <c r="B380">
        <v>30</v>
      </c>
      <c r="C380" t="s">
        <v>3</v>
      </c>
      <c r="D380" t="s">
        <v>156</v>
      </c>
      <c r="E380" s="9">
        <f>INDEX(Table1[],MATCH(Proj[[#This Row],[Player]],Table1[Player],0),5)</f>
        <v>17.864075431907398</v>
      </c>
      <c r="F380" s="9">
        <f>_xlfn.IFNA(INDEX(Table2[],MATCH(Proj[[#This Row],[Player]],Table2[Player],0),5),0)</f>
        <v>1.21</v>
      </c>
      <c r="G380" s="9">
        <f>_xlfn.IFNA(INDEX(Table3[],MATCH(Proj[[#This Row],[Player]],Table3[Player],0),5),0)</f>
        <v>2.35</v>
      </c>
      <c r="H380" s="10">
        <v>76</v>
      </c>
      <c r="I380">
        <v>76</v>
      </c>
      <c r="J380" s="9">
        <v>17.864075431907398</v>
      </c>
      <c r="K380" s="9">
        <v>1.21</v>
      </c>
      <c r="L380" s="9">
        <v>2.35</v>
      </c>
      <c r="M380" s="9">
        <f>Proj[[#This Row],[TOI ES]]+Proj[[#This Row],[TOI PP]]+Proj[[#This Row],[TOI PK]]</f>
        <v>21.424075431907401</v>
      </c>
      <c r="N3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3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80" s="10">
        <f>Proj[[#This Row],[Goals]]+Proj[[#This Row],[Assists]]</f>
        <v>28</v>
      </c>
      <c r="Q380" s="10">
        <f>ROUND(_xlfn.IFNA(INDEX(Table2[],MATCH(Proj[[#This Row],[Player]],Table2[Player],0),11)/60,IF(Proj[[#This Row],[Pos]] = "D", 'Per 60 PP'!$K$527,'Per 60 PP'!$K$526)/60)*Proj[[#This Row],[TOI PP]]*Proj[[#This Row],[GP]],0)</f>
        <v>1</v>
      </c>
      <c r="R380" s="10">
        <f>ROUND(_xlfn.IFNA(INDEX(Table2[],MATCH(Proj[[#This Row],[Player]],Table2[Player],0),7)/60,IF(Proj[[#This Row],[Pos]] = "D", 'Per 60 PP'!$G$527,'Per 60 PP'!$G$526)/60)*Proj[[#This Row],[TOI PP]]*Proj[[#This Row],[GP]],0)</f>
        <v>6</v>
      </c>
      <c r="S380" s="10">
        <f>Proj[[#This Row],[PPG]]+Proj[[#This Row],[PPA]]</f>
        <v>7</v>
      </c>
      <c r="T380">
        <f>ROUND((_xlfn.IFNA(INDEX(Table3[],MATCH(Proj[[#This Row],[Player]],Table3[Player],0),6)/60,IF(Proj[[#This Row],[Pos]] ="D", 'Per 60 PK'!$F$623, 'Per 60 PK'!$F$622)/60)+_xlfn.IFNA(INDEX(Table3[],MATCH(Proj[[#This Row],[Player]],Table3[Player],0),8)/60,IF(Proj[[#This Row],[Pos]] ="D", 'Per 60 PK'!$H$623, 'Per 60 PK'!$H$622)/60))*Proj[[#This Row],[TOI PK]]*Proj[[#This Row],[GP]],0)</f>
        <v>1</v>
      </c>
      <c r="U3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28</v>
      </c>
      <c r="V3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120</v>
      </c>
      <c r="W3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3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128</v>
      </c>
      <c r="AA3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-233.60863042231631</v>
      </c>
      <c r="AB380" s="10">
        <f>_xlfn.RANK.EQ(Proj[[#This Row],[VOR]],Proj[VOR])</f>
        <v>271</v>
      </c>
      <c r="AC380" s="10">
        <f>INDEX(Std[],MATCH(Proj[[#This Row],[Player]],Std[Player],0),20)</f>
        <v>-126.24386270285181</v>
      </c>
      <c r="AD3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298.65000000000003</v>
      </c>
    </row>
    <row r="381" spans="1:30" x14ac:dyDescent="0.25">
      <c r="A381" t="s">
        <v>539</v>
      </c>
      <c r="B381">
        <v>24</v>
      </c>
      <c r="C381" t="s">
        <v>3</v>
      </c>
      <c r="D381" t="s">
        <v>31</v>
      </c>
      <c r="E381" s="9">
        <f>INDEX(Table1[],MATCH(Proj[[#This Row],[Player]],Table1[Player],0),5)</f>
        <v>16.086800683837499</v>
      </c>
      <c r="F381" s="9">
        <f>_xlfn.IFNA(INDEX(Table2[],MATCH(Proj[[#This Row],[Player]],Table2[Player],0),5),0)</f>
        <v>2.25</v>
      </c>
      <c r="G381" s="9">
        <f>_xlfn.IFNA(INDEX(Table3[],MATCH(Proj[[#This Row],[Player]],Table3[Player],0),5),0)</f>
        <v>0</v>
      </c>
      <c r="H381" s="10">
        <v>74</v>
      </c>
      <c r="I381">
        <v>74</v>
      </c>
      <c r="J381" s="9">
        <v>16.086800683837499</v>
      </c>
      <c r="K381" s="9">
        <v>2.25</v>
      </c>
      <c r="L381" s="9">
        <v>0</v>
      </c>
      <c r="M381" s="9">
        <f>Proj[[#This Row],[TOI ES]]+Proj[[#This Row],[TOI PP]]+Proj[[#This Row],[TOI PK]]</f>
        <v>18.336800683837499</v>
      </c>
      <c r="N3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3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381">
        <f>Proj[[#This Row],[Goals]]+Proj[[#This Row],[Assists]]</f>
        <v>28</v>
      </c>
      <c r="Q381" s="10">
        <f>ROUND(_xlfn.IFNA(INDEX(Table2[],MATCH(Proj[[#This Row],[Player]],Table2[Player],0),11)/60,IF(Proj[[#This Row],[Pos]] = "D", 'Per 60 PP'!$K$527,'Per 60 PP'!$K$526)/60)*Proj[[#This Row],[TOI PP]]*Proj[[#This Row],[GP]],0)</f>
        <v>2</v>
      </c>
      <c r="R381" s="10">
        <f>ROUND(_xlfn.IFNA(INDEX(Table2[],MATCH(Proj[[#This Row],[Player]],Table2[Player],0),7)/60,IF(Proj[[#This Row],[Pos]] = "D", 'Per 60 PP'!$G$527,'Per 60 PP'!$G$526)/60)*Proj[[#This Row],[TOI PP]]*Proj[[#This Row],[GP]],0)</f>
        <v>8</v>
      </c>
      <c r="S381" s="10">
        <f>Proj[[#This Row],[PPG]]+Proj[[#This Row],[PPA]]</f>
        <v>10</v>
      </c>
      <c r="T381">
        <f>ROUND((_xlfn.IFNA(INDEX(Table3[],MATCH(Proj[[#This Row],[Player]],Table3[Player],0),6)/60,IF(Proj[[#This Row],[Pos]] ="D", 'Per 60 PK'!$F$623, 'Per 60 PK'!$F$622)/60)+_xlfn.IFNA(INDEX(Table3[],MATCH(Proj[[#This Row],[Player]],Table3[Player],0),8)/60,IF(Proj[[#This Row],[Pos]] ="D", 'Per 60 PK'!$H$623, 'Per 60 PK'!$H$622)/60))*Proj[[#This Row],[TOI PK]]*Proj[[#This Row],[GP]],0)</f>
        <v>0</v>
      </c>
      <c r="U3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29</v>
      </c>
      <c r="V3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88</v>
      </c>
      <c r="W3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3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96</v>
      </c>
      <c r="AA3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-412.09872739183982</v>
      </c>
      <c r="AB381" s="10">
        <f>_xlfn.RANK.EQ(Proj[[#This Row],[VOR]],Proj[VOR])</f>
        <v>378</v>
      </c>
      <c r="AC381" s="10">
        <f>INDEX(Std[],MATCH(Proj[[#This Row],[Player]],Std[Player],0),20)</f>
        <v>-304.73395967237536</v>
      </c>
      <c r="AD3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261.55</v>
      </c>
    </row>
    <row r="382" spans="1:30" x14ac:dyDescent="0.25">
      <c r="A382" t="s">
        <v>657</v>
      </c>
      <c r="B382">
        <v>32</v>
      </c>
      <c r="C382" t="s">
        <v>102</v>
      </c>
      <c r="D382" t="s">
        <v>153</v>
      </c>
      <c r="E382" s="9">
        <f>INDEX(Table1[],MATCH(Proj[[#This Row],[Player]],Table1[Player],0),5)</f>
        <v>10.9540518323152</v>
      </c>
      <c r="F382" s="9">
        <f>_xlfn.IFNA(INDEX(Table2[],MATCH(Proj[[#This Row],[Player]],Table2[Player],0),5),0)</f>
        <v>1.1200000000000001</v>
      </c>
      <c r="G382" s="9">
        <f>_xlfn.IFNA(INDEX(Table3[],MATCH(Proj[[#This Row],[Player]],Table3[Player],0),5),0)</f>
        <v>0.76</v>
      </c>
      <c r="H382" s="10">
        <v>76</v>
      </c>
      <c r="I382">
        <v>76</v>
      </c>
      <c r="J382" s="9">
        <v>10.9540518323152</v>
      </c>
      <c r="K382" s="9">
        <v>1.1200000000000001</v>
      </c>
      <c r="L382" s="9">
        <v>0.76</v>
      </c>
      <c r="M382" s="9">
        <f>Proj[[#This Row],[TOI ES]]+Proj[[#This Row],[TOI PP]]+Proj[[#This Row],[TOI PK]]</f>
        <v>12.834051832315199</v>
      </c>
      <c r="N3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82" s="10">
        <f>Proj[[#This Row],[Goals]]+Proj[[#This Row],[Assists]]</f>
        <v>28</v>
      </c>
      <c r="Q382" s="10">
        <f>ROUND(_xlfn.IFNA(INDEX(Table2[],MATCH(Proj[[#This Row],[Player]],Table2[Player],0),11)/60,IF(Proj[[#This Row],[Pos]] = "D", 'Per 60 PP'!$K$527,'Per 60 PP'!$K$526)/60)*Proj[[#This Row],[TOI PP]]*Proj[[#This Row],[GP]],0)</f>
        <v>2</v>
      </c>
      <c r="R382" s="10">
        <f>ROUND(_xlfn.IFNA(INDEX(Table2[],MATCH(Proj[[#This Row],[Player]],Table2[Player],0),7)/60,IF(Proj[[#This Row],[Pos]] = "D", 'Per 60 PP'!$G$527,'Per 60 PP'!$G$526)/60)*Proj[[#This Row],[TOI PP]]*Proj[[#This Row],[GP]],0)</f>
        <v>3</v>
      </c>
      <c r="S382" s="10">
        <f>Proj[[#This Row],[PPG]]+Proj[[#This Row],[PPA]]</f>
        <v>5</v>
      </c>
      <c r="T382">
        <f>ROUND((_xlfn.IFNA(INDEX(Table3[],MATCH(Proj[[#This Row],[Player]],Table3[Player],0),6)/60,IF(Proj[[#This Row],[Pos]] ="D", 'Per 60 PK'!$F$623, 'Per 60 PK'!$F$622)/60)+_xlfn.IFNA(INDEX(Table3[],MATCH(Proj[[#This Row],[Player]],Table3[Player],0),8)/60,IF(Proj[[#This Row],[Pos]] ="D", 'Per 60 PK'!$H$623, 'Per 60 PK'!$H$622)/60))*Proj[[#This Row],[TOI PK]]*Proj[[#This Row],[GP]],0)</f>
        <v>0</v>
      </c>
      <c r="U3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v>
      </c>
      <c r="V3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44</v>
      </c>
      <c r="W3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3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v>
      </c>
      <c r="Y3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v>
      </c>
      <c r="Z3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92</v>
      </c>
      <c r="AA3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-903.05491752519015</v>
      </c>
      <c r="AB382" s="10">
        <f>_xlfn.RANK.EQ(Proj[[#This Row],[VOR]],Proj[VOR])</f>
        <v>626</v>
      </c>
      <c r="AC382" s="10">
        <f>INDEX(Std[],MATCH(Proj[[#This Row],[Player]],Std[Player],0),20)</f>
        <v>-431.51019313494129</v>
      </c>
      <c r="AD3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236</v>
      </c>
    </row>
    <row r="383" spans="1:30" x14ac:dyDescent="0.25">
      <c r="A383" t="s">
        <v>1177</v>
      </c>
      <c r="B383">
        <v>21</v>
      </c>
      <c r="C383" t="s">
        <v>3</v>
      </c>
      <c r="D383" t="s">
        <v>23</v>
      </c>
      <c r="E383" s="9">
        <f>INDEX(Table1[],MATCH(Proj[[#This Row],[Player]],Table1[Player],0),5)</f>
        <v>17.5</v>
      </c>
      <c r="F383" s="9">
        <f>_xlfn.IFNA(INDEX(Table2[],MATCH(Proj[[#This Row],[Player]],Table2[Player],0),5),0)</f>
        <v>1.7612195121951217</v>
      </c>
      <c r="G383" s="9">
        <f>_xlfn.IFNA(INDEX(Table3[],MATCH(Proj[[#This Row],[Player]],Table3[Player],0),5),0)</f>
        <v>0</v>
      </c>
      <c r="H383" s="10">
        <v>75</v>
      </c>
      <c r="I383">
        <v>75</v>
      </c>
      <c r="J383" s="9">
        <v>17.5</v>
      </c>
      <c r="K383" s="9">
        <v>1.7612195121951217</v>
      </c>
      <c r="L383" s="9">
        <v>0</v>
      </c>
      <c r="M383" s="9">
        <f>Proj[[#This Row],[TOI ES]]+Proj[[#This Row],[TOI PP]]+Proj[[#This Row],[TOI PK]]</f>
        <v>19.261219512195122</v>
      </c>
      <c r="N3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3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24</v>
      </c>
      <c r="P383">
        <f>Proj[[#This Row],[Goals]]+Proj[[#This Row],[Assists]]</f>
        <v>28</v>
      </c>
      <c r="Q383" s="10">
        <f>ROUND(_xlfn.IFNA(INDEX(Table2[],MATCH(Proj[[#This Row],[Player]],Table2[Player],0),11)/60,IF(Proj[[#This Row],[Pos]] = "D", 'Per 60 PP'!$K$527,'Per 60 PP'!$K$526)/60)*Proj[[#This Row],[TOI PP]]*Proj[[#This Row],[GP]],0)</f>
        <v>1</v>
      </c>
      <c r="R383" s="10">
        <f>ROUND(_xlfn.IFNA(INDEX(Table2[],MATCH(Proj[[#This Row],[Player]],Table2[Player],0),7)/60,IF(Proj[[#This Row],[Pos]] = "D", 'Per 60 PP'!$G$527,'Per 60 PP'!$G$526)/60)*Proj[[#This Row],[TOI PP]]*Proj[[#This Row],[GP]],0)</f>
        <v>7</v>
      </c>
      <c r="S383" s="10">
        <f>Proj[[#This Row],[PPG]]+Proj[[#This Row],[PPA]]</f>
        <v>8</v>
      </c>
      <c r="T383">
        <f>ROUND((_xlfn.IFNA(INDEX(Table3[],MATCH(Proj[[#This Row],[Player]],Table3[Player],0),6)/60,IF(Proj[[#This Row],[Pos]] ="D", 'Per 60 PK'!$F$623, 'Per 60 PK'!$F$622)/60)+_xlfn.IFNA(INDEX(Table3[],MATCH(Proj[[#This Row],[Player]],Table3[Player],0),8)/60,IF(Proj[[#This Row],[Pos]] ="D", 'Per 60 PK'!$H$623, 'Per 60 PK'!$H$622)/60))*Proj[[#This Row],[TOI PK]]*Proj[[#This Row],[GP]],0)</f>
        <v>0</v>
      </c>
      <c r="U3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3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101</v>
      </c>
      <c r="W3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3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3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-200.62747520458879</v>
      </c>
      <c r="AB383" s="10">
        <f>_xlfn.RANK.EQ(Proj[[#This Row],[VOR]],Proj[VOR])</f>
        <v>246</v>
      </c>
      <c r="AC383" s="10">
        <f>INDEX(Std[],MATCH(Proj[[#This Row],[Player]],Std[Player],0),20)</f>
        <v>-93.262707485124324</v>
      </c>
      <c r="AD3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292.89999999999998</v>
      </c>
    </row>
    <row r="384" spans="1:30" x14ac:dyDescent="0.25">
      <c r="A384" t="s">
        <v>503</v>
      </c>
      <c r="B384">
        <v>22</v>
      </c>
      <c r="C384" t="s">
        <v>3</v>
      </c>
      <c r="D384" t="s">
        <v>32</v>
      </c>
      <c r="E384" s="9">
        <f>INDEX(Table1[],MATCH(Proj[[#This Row],[Player]],Table1[Player],0),5)</f>
        <v>16.9848567664244</v>
      </c>
      <c r="F384" s="9">
        <f>_xlfn.IFNA(INDEX(Table2[],MATCH(Proj[[#This Row],[Player]],Table2[Player],0),5),0)</f>
        <v>2.34</v>
      </c>
      <c r="G384" s="9">
        <f>_xlfn.IFNA(INDEX(Table3[],MATCH(Proj[[#This Row],[Player]],Table3[Player],0),5),0)</f>
        <v>0</v>
      </c>
      <c r="H384" s="10">
        <v>78</v>
      </c>
      <c r="I384">
        <v>78</v>
      </c>
      <c r="J384" s="9">
        <v>16.9848567664244</v>
      </c>
      <c r="K384" s="9">
        <v>2.34</v>
      </c>
      <c r="L384" s="9">
        <v>0</v>
      </c>
      <c r="M384" s="9">
        <f>Proj[[#This Row],[TOI ES]]+Proj[[#This Row],[TOI PP]]+Proj[[#This Row],[TOI PK]]</f>
        <v>19.3248567664244</v>
      </c>
      <c r="N3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384">
        <f>Proj[[#This Row],[Goals]]+Proj[[#This Row],[Assists]]</f>
        <v>28</v>
      </c>
      <c r="Q384" s="10">
        <f>ROUND(_xlfn.IFNA(INDEX(Table2[],MATCH(Proj[[#This Row],[Player]],Table2[Player],0),11)/60,IF(Proj[[#This Row],[Pos]] = "D", 'Per 60 PP'!$K$527,'Per 60 PP'!$K$526)/60)*Proj[[#This Row],[TOI PP]]*Proj[[#This Row],[GP]],0)</f>
        <v>2</v>
      </c>
      <c r="R384" s="10">
        <f>ROUND(_xlfn.IFNA(INDEX(Table2[],MATCH(Proj[[#This Row],[Player]],Table2[Player],0),7)/60,IF(Proj[[#This Row],[Pos]] = "D", 'Per 60 PP'!$G$527,'Per 60 PP'!$G$526)/60)*Proj[[#This Row],[TOI PP]]*Proj[[#This Row],[GP]],0)</f>
        <v>7</v>
      </c>
      <c r="S384" s="10">
        <f>Proj[[#This Row],[PPG]]+Proj[[#This Row],[PPA]]</f>
        <v>9</v>
      </c>
      <c r="T384">
        <f>ROUND((_xlfn.IFNA(INDEX(Table3[],MATCH(Proj[[#This Row],[Player]],Table3[Player],0),6)/60,IF(Proj[[#This Row],[Pos]] ="D", 'Per 60 PK'!$F$623, 'Per 60 PK'!$F$622)/60)+_xlfn.IFNA(INDEX(Table3[],MATCH(Proj[[#This Row],[Player]],Table3[Player],0),8)/60,IF(Proj[[#This Row],[Pos]] ="D", 'Per 60 PK'!$H$623, 'Per 60 PK'!$H$622)/60))*Proj[[#This Row],[TOI PK]]*Proj[[#This Row],[GP]],0)</f>
        <v>0</v>
      </c>
      <c r="U3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3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95</v>
      </c>
      <c r="W3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3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120</v>
      </c>
      <c r="AA3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-299.56967405460546</v>
      </c>
      <c r="AB384" s="10">
        <f>_xlfn.RANK.EQ(Proj[[#This Row],[VOR]],Proj[VOR])</f>
        <v>307</v>
      </c>
      <c r="AC384" s="10">
        <f>INDEX(Std[],MATCH(Proj[[#This Row],[Player]],Std[Player],0),20)</f>
        <v>-192.20490633514095</v>
      </c>
      <c r="AD3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290.29999999999995</v>
      </c>
    </row>
    <row r="385" spans="1:30" x14ac:dyDescent="0.25">
      <c r="A385" t="s">
        <v>611</v>
      </c>
      <c r="B385">
        <v>27</v>
      </c>
      <c r="C385" t="s">
        <v>102</v>
      </c>
      <c r="D385" t="s">
        <v>25</v>
      </c>
      <c r="E385" s="9">
        <f>INDEX(Table1[],MATCH(Proj[[#This Row],[Player]],Table1[Player],0),5)</f>
        <v>12.730776036204199</v>
      </c>
      <c r="F385" s="9">
        <f>_xlfn.IFNA(INDEX(Table2[],MATCH(Proj[[#This Row],[Player]],Table2[Player],0),5),0)</f>
        <v>1.34</v>
      </c>
      <c r="G385" s="9">
        <f>_xlfn.IFNA(INDEX(Table3[],MATCH(Proj[[#This Row],[Player]],Table3[Player],0),5),0)</f>
        <v>0.43</v>
      </c>
      <c r="H385" s="10">
        <v>79</v>
      </c>
      <c r="I385">
        <v>79</v>
      </c>
      <c r="J385" s="9">
        <v>12.730776036204199</v>
      </c>
      <c r="K385" s="9">
        <v>1.34</v>
      </c>
      <c r="L385" s="9">
        <v>0.43</v>
      </c>
      <c r="M385" s="9">
        <f>Proj[[#This Row],[TOI ES]]+Proj[[#This Row],[TOI PP]]+Proj[[#This Row],[TOI PK]]</f>
        <v>14.500776036204199</v>
      </c>
      <c r="N3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3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85">
        <f>Proj[[#This Row],[Goals]]+Proj[[#This Row],[Assists]]</f>
        <v>28</v>
      </c>
      <c r="Q385" s="10">
        <f>ROUND(_xlfn.IFNA(INDEX(Table2[],MATCH(Proj[[#This Row],[Player]],Table2[Player],0),11)/60,IF(Proj[[#This Row],[Pos]] = "D", 'Per 60 PP'!$K$527,'Per 60 PP'!$K$526)/60)*Proj[[#This Row],[TOI PP]]*Proj[[#This Row],[GP]],0)</f>
        <v>3</v>
      </c>
      <c r="R385" s="10">
        <f>ROUND(_xlfn.IFNA(INDEX(Table2[],MATCH(Proj[[#This Row],[Player]],Table2[Player],0),7)/60,IF(Proj[[#This Row],[Pos]] = "D", 'Per 60 PP'!$G$527,'Per 60 PP'!$G$526)/60)*Proj[[#This Row],[TOI PP]]*Proj[[#This Row],[GP]],0)</f>
        <v>3</v>
      </c>
      <c r="S385" s="10">
        <f>Proj[[#This Row],[PPG]]+Proj[[#This Row],[PPA]]</f>
        <v>6</v>
      </c>
      <c r="T385">
        <f>ROUND((_xlfn.IFNA(INDEX(Table3[],MATCH(Proj[[#This Row],[Player]],Table3[Player],0),6)/60,IF(Proj[[#This Row],[Pos]] ="D", 'Per 60 PK'!$F$623, 'Per 60 PK'!$F$622)/60)+_xlfn.IFNA(INDEX(Table3[],MATCH(Proj[[#This Row],[Player]],Table3[Player],0),8)/60,IF(Proj[[#This Row],[Pos]] ="D", 'Per 60 PK'!$H$623, 'Per 60 PK'!$H$622)/60))*Proj[[#This Row],[TOI PK]]*Proj[[#This Row],[GP]],0)</f>
        <v>0</v>
      </c>
      <c r="U3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3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3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3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45</v>
      </c>
      <c r="Y3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46</v>
      </c>
      <c r="Z3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141</v>
      </c>
      <c r="AA3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-760.94289189417498</v>
      </c>
      <c r="AB385" s="10">
        <f>_xlfn.RANK.EQ(Proj[[#This Row],[VOR]],Proj[VOR])</f>
        <v>563</v>
      </c>
      <c r="AC385" s="10">
        <f>INDEX(Std[],MATCH(Proj[[#This Row],[Player]],Std[Player],0),20)</f>
        <v>-289.39816750392612</v>
      </c>
      <c r="AD3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278.55</v>
      </c>
    </row>
    <row r="386" spans="1:30" x14ac:dyDescent="0.25">
      <c r="A386" t="s">
        <v>604</v>
      </c>
      <c r="B386">
        <v>28</v>
      </c>
      <c r="C386" t="s">
        <v>103</v>
      </c>
      <c r="D386" t="s">
        <v>14</v>
      </c>
      <c r="E386" s="9">
        <f>INDEX(Table1[],MATCH(Proj[[#This Row],[Player]],Table1[Player],0),5)</f>
        <v>12.472184183598699</v>
      </c>
      <c r="F386" s="9">
        <f>_xlfn.IFNA(INDEX(Table2[],MATCH(Proj[[#This Row],[Player]],Table2[Player],0),5),0)</f>
        <v>0.81</v>
      </c>
      <c r="G386" s="9">
        <f>_xlfn.IFNA(INDEX(Table3[],MATCH(Proj[[#This Row],[Player]],Table3[Player],0),5),0)</f>
        <v>1.1100000000000001</v>
      </c>
      <c r="H386" s="10">
        <v>77</v>
      </c>
      <c r="I386">
        <v>77</v>
      </c>
      <c r="J386" s="9">
        <v>12.472184183598699</v>
      </c>
      <c r="K386" s="9">
        <v>0.81</v>
      </c>
      <c r="L386" s="9">
        <v>1.1100000000000001</v>
      </c>
      <c r="M386" s="9">
        <f>Proj[[#This Row],[TOI ES]]+Proj[[#This Row],[TOI PP]]+Proj[[#This Row],[TOI PK]]</f>
        <v>14.392184183598699</v>
      </c>
      <c r="N3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386" s="10">
        <f>Proj[[#This Row],[Goals]]+Proj[[#This Row],[Assists]]</f>
        <v>28</v>
      </c>
      <c r="Q386" s="10">
        <f>ROUND(_xlfn.IFNA(INDEX(Table2[],MATCH(Proj[[#This Row],[Player]],Table2[Player],0),11)/60,IF(Proj[[#This Row],[Pos]] = "D", 'Per 60 PP'!$K$527,'Per 60 PP'!$K$526)/60)*Proj[[#This Row],[TOI PP]]*Proj[[#This Row],[GP]],0)</f>
        <v>1</v>
      </c>
      <c r="R386" s="10">
        <f>ROUND(_xlfn.IFNA(INDEX(Table2[],MATCH(Proj[[#This Row],[Player]],Table2[Player],0),7)/60,IF(Proj[[#This Row],[Pos]] = "D", 'Per 60 PP'!$G$527,'Per 60 PP'!$G$526)/60)*Proj[[#This Row],[TOI PP]]*Proj[[#This Row],[GP]],0)</f>
        <v>1</v>
      </c>
      <c r="S386" s="10">
        <f>Proj[[#This Row],[PPG]]+Proj[[#This Row],[PPA]]</f>
        <v>2</v>
      </c>
      <c r="T386">
        <f>ROUND((_xlfn.IFNA(INDEX(Table3[],MATCH(Proj[[#This Row],[Player]],Table3[Player],0),6)/60,IF(Proj[[#This Row],[Pos]] ="D", 'Per 60 PK'!$F$623, 'Per 60 PK'!$F$622)/60)+_xlfn.IFNA(INDEX(Table3[],MATCH(Proj[[#This Row],[Player]],Table3[Player],0),8)/60,IF(Proj[[#This Row],[Pos]] ="D", 'Per 60 PK'!$H$623, 'Per 60 PK'!$H$622)/60))*Proj[[#This Row],[TOI PK]]*Proj[[#This Row],[GP]],0)</f>
        <v>1</v>
      </c>
      <c r="U3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73</v>
      </c>
      <c r="V3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3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3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21</v>
      </c>
      <c r="Y3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33</v>
      </c>
      <c r="Z3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114</v>
      </c>
      <c r="AA3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-821.63835941547677</v>
      </c>
      <c r="AB386" s="10">
        <f>_xlfn.RANK.EQ(Proj[[#This Row],[VOR]],Proj[VOR])</f>
        <v>601</v>
      </c>
      <c r="AC386" s="10">
        <f>INDEX(Std[],MATCH(Proj[[#This Row],[Player]],Std[Player],0),20)</f>
        <v>-375.09363502522791</v>
      </c>
      <c r="AD3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261.00000000000006</v>
      </c>
    </row>
    <row r="387" spans="1:30" x14ac:dyDescent="0.25">
      <c r="A387" t="s">
        <v>1216</v>
      </c>
      <c r="B387">
        <v>22</v>
      </c>
      <c r="C387" t="s">
        <v>103</v>
      </c>
      <c r="D387" t="s">
        <v>31</v>
      </c>
      <c r="E387" s="9">
        <f>INDEX(Table1[],MATCH(Proj[[#This Row],[Player]],Table1[Player],0),5)</f>
        <v>12.31365120294979</v>
      </c>
      <c r="F387" s="9">
        <f>_xlfn.IFNA(INDEX(Table2[],MATCH(Proj[[#This Row],[Player]],Table2[Player],0),5),0)</f>
        <v>0.6</v>
      </c>
      <c r="G387" s="9">
        <f>_xlfn.IFNA(INDEX(Table3[],MATCH(Proj[[#This Row],[Player]],Table3[Player],0),5),0)</f>
        <v>0</v>
      </c>
      <c r="H387" s="10">
        <v>74</v>
      </c>
      <c r="I387">
        <v>74</v>
      </c>
      <c r="J387" s="9">
        <v>12.31365120294979</v>
      </c>
      <c r="K387" s="9">
        <v>0.6</v>
      </c>
      <c r="L387" s="9">
        <v>0</v>
      </c>
      <c r="M387" s="9">
        <f>Proj[[#This Row],[TOI ES]]+Proj[[#This Row],[TOI PP]]+Proj[[#This Row],[TOI PK]]</f>
        <v>12.91365120294979</v>
      </c>
      <c r="N3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87">
        <f>Proj[[#This Row],[Goals]]+Proj[[#This Row],[Assists]]</f>
        <v>28</v>
      </c>
      <c r="Q387" s="10">
        <f>ROUND(_xlfn.IFNA(INDEX(Table2[],MATCH(Proj[[#This Row],[Player]],Table2[Player],0),11)/60,IF(Proj[[#This Row],[Pos]] = "D", 'Per 60 PP'!$K$527,'Per 60 PP'!$K$526)/60)*Proj[[#This Row],[TOI PP]]*Proj[[#This Row],[GP]],0)</f>
        <v>1</v>
      </c>
      <c r="R387" s="10">
        <f>ROUND(_xlfn.IFNA(INDEX(Table2[],MATCH(Proj[[#This Row],[Player]],Table2[Player],0),7)/60,IF(Proj[[#This Row],[Pos]] = "D", 'Per 60 PP'!$G$527,'Per 60 PP'!$G$526)/60)*Proj[[#This Row],[TOI PP]]*Proj[[#This Row],[GP]],0)</f>
        <v>2</v>
      </c>
      <c r="S387" s="10">
        <f>Proj[[#This Row],[PPG]]+Proj[[#This Row],[PPA]]</f>
        <v>3</v>
      </c>
      <c r="T387">
        <f>ROUND((_xlfn.IFNA(INDEX(Table3[],MATCH(Proj[[#This Row],[Player]],Table3[Player],0),6)/60,IF(Proj[[#This Row],[Pos]] ="D", 'Per 60 PK'!$F$623, 'Per 60 PK'!$F$622)/60)+_xlfn.IFNA(INDEX(Table3[],MATCH(Proj[[#This Row],[Player]],Table3[Player],0),8)/60,IF(Proj[[#This Row],[Pos]] ="D", 'Per 60 PK'!$H$623, 'Per 60 PK'!$H$622)/60))*Proj[[#This Row],[TOI PK]]*Proj[[#This Row],[GP]],0)</f>
        <v>0</v>
      </c>
      <c r="U3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3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3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3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v>
      </c>
      <c r="Y3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3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109</v>
      </c>
      <c r="AA3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-733.13493130778306</v>
      </c>
      <c r="AB387" s="10">
        <f>_xlfn.RANK.EQ(Proj[[#This Row],[VOR]],Proj[VOR])</f>
        <v>551</v>
      </c>
      <c r="AC387" s="10">
        <f>INDEX(Std[],MATCH(Proj[[#This Row],[Player]],Std[Player],0),20)</f>
        <v>-286.59020691753426</v>
      </c>
      <c r="AD3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272.7</v>
      </c>
    </row>
    <row r="388" spans="1:30" x14ac:dyDescent="0.25">
      <c r="A388" t="s">
        <v>670</v>
      </c>
      <c r="B388">
        <v>28</v>
      </c>
      <c r="C388" t="s">
        <v>105</v>
      </c>
      <c r="D388" t="s">
        <v>11</v>
      </c>
      <c r="E388" s="9">
        <f>INDEX(Table1[],MATCH(Proj[[#This Row],[Player]],Table1[Player],0),5)</f>
        <v>12.4225446166355</v>
      </c>
      <c r="F388" s="9">
        <f>_xlfn.IFNA(INDEX(Table2[],MATCH(Proj[[#This Row],[Player]],Table2[Player],0),5),0)</f>
        <v>0</v>
      </c>
      <c r="G388" s="9">
        <f>_xlfn.IFNA(INDEX(Table3[],MATCH(Proj[[#This Row],[Player]],Table3[Player],0),5),0)</f>
        <v>2.16</v>
      </c>
      <c r="H388" s="10">
        <v>80</v>
      </c>
      <c r="I388">
        <v>80</v>
      </c>
      <c r="J388" s="9">
        <v>12.4225446166355</v>
      </c>
      <c r="K388" s="9">
        <v>0</v>
      </c>
      <c r="L388" s="9">
        <v>2.16</v>
      </c>
      <c r="M388" s="9">
        <f>Proj[[#This Row],[TOI ES]]+Proj[[#This Row],[TOI PP]]+Proj[[#This Row],[TOI PK]]</f>
        <v>14.5825446166355</v>
      </c>
      <c r="N3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88" s="10">
        <f>Proj[[#This Row],[Goals]]+Proj[[#This Row],[Assists]]</f>
        <v>28</v>
      </c>
      <c r="Q388" s="10">
        <f>ROUND(_xlfn.IFNA(INDEX(Table2[],MATCH(Proj[[#This Row],[Player]],Table2[Player],0),11)/60,IF(Proj[[#This Row],[Pos]] = "D", 'Per 60 PP'!$K$527,'Per 60 PP'!$K$526)/60)*Proj[[#This Row],[TOI PP]]*Proj[[#This Row],[GP]],0)</f>
        <v>0</v>
      </c>
      <c r="R388" s="10">
        <f>ROUND(_xlfn.IFNA(INDEX(Table2[],MATCH(Proj[[#This Row],[Player]],Table2[Player],0),7)/60,IF(Proj[[#This Row],[Pos]] = "D", 'Per 60 PP'!$G$527,'Per 60 PP'!$G$526)/60)*Proj[[#This Row],[TOI PP]]*Proj[[#This Row],[GP]],0)</f>
        <v>0</v>
      </c>
      <c r="S388" s="10">
        <f>Proj[[#This Row],[PPG]]+Proj[[#This Row],[PPA]]</f>
        <v>0</v>
      </c>
      <c r="T388">
        <f>ROUND((_xlfn.IFNA(INDEX(Table3[],MATCH(Proj[[#This Row],[Player]],Table3[Player],0),6)/60,IF(Proj[[#This Row],[Pos]] ="D", 'Per 60 PK'!$F$623, 'Per 60 PK'!$F$622)/60)+_xlfn.IFNA(INDEX(Table3[],MATCH(Proj[[#This Row],[Player]],Table3[Player],0),8)/60,IF(Proj[[#This Row],[Pos]] ="D", 'Per 60 PK'!$H$623, 'Per 60 PK'!$H$622)/60))*Proj[[#This Row],[TOI PK]]*Proj[[#This Row],[GP]],0)</f>
        <v>3</v>
      </c>
      <c r="U3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3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3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3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v>
      </c>
      <c r="Y3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39</v>
      </c>
      <c r="Z3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114</v>
      </c>
      <c r="AA3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-643.12301004322478</v>
      </c>
      <c r="AB388" s="10">
        <f>_xlfn.RANK.EQ(Proj[[#This Row],[VOR]],Proj[VOR])</f>
        <v>498</v>
      </c>
      <c r="AC388" s="10">
        <f>INDEX(Std[],MATCH(Proj[[#This Row],[Player]],Std[Player],0),20)</f>
        <v>-196.57828565297595</v>
      </c>
      <c r="AD3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292.50000000000006</v>
      </c>
    </row>
    <row r="389" spans="1:30" x14ac:dyDescent="0.25">
      <c r="A389" t="s">
        <v>697</v>
      </c>
      <c r="B389">
        <v>30</v>
      </c>
      <c r="C389" t="s">
        <v>74</v>
      </c>
      <c r="D389" t="s">
        <v>8</v>
      </c>
      <c r="E389" s="9">
        <f>INDEX(Table1[],MATCH(Proj[[#This Row],[Player]],Table1[Player],0),5)</f>
        <v>12.3692389599462</v>
      </c>
      <c r="F389" s="9">
        <f>_xlfn.IFNA(INDEX(Table2[],MATCH(Proj[[#This Row],[Player]],Table2[Player],0),5),0)</f>
        <v>0</v>
      </c>
      <c r="G389" s="9">
        <f>_xlfn.IFNA(INDEX(Table3[],MATCH(Proj[[#This Row],[Player]],Table3[Player],0),5),0)</f>
        <v>2.09</v>
      </c>
      <c r="H389" s="10">
        <v>73</v>
      </c>
      <c r="I389">
        <v>73</v>
      </c>
      <c r="J389" s="9">
        <v>12.3692389599462</v>
      </c>
      <c r="K389" s="9">
        <v>0</v>
      </c>
      <c r="L389" s="9">
        <v>2.09</v>
      </c>
      <c r="M389" s="9">
        <f>Proj[[#This Row],[TOI ES]]+Proj[[#This Row],[TOI PP]]+Proj[[#This Row],[TOI PK]]</f>
        <v>14.4592389599462</v>
      </c>
      <c r="N3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3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389" s="10">
        <f>Proj[[#This Row],[Goals]]+Proj[[#This Row],[Assists]]</f>
        <v>28</v>
      </c>
      <c r="Q389" s="10">
        <f>ROUND(_xlfn.IFNA(INDEX(Table2[],MATCH(Proj[[#This Row],[Player]],Table2[Player],0),11)/60,IF(Proj[[#This Row],[Pos]] = "D", 'Per 60 PP'!$K$527,'Per 60 PP'!$K$526)/60)*Proj[[#This Row],[TOI PP]]*Proj[[#This Row],[GP]],0)</f>
        <v>0</v>
      </c>
      <c r="R389" s="10">
        <f>ROUND(_xlfn.IFNA(INDEX(Table2[],MATCH(Proj[[#This Row],[Player]],Table2[Player],0),7)/60,IF(Proj[[#This Row],[Pos]] = "D", 'Per 60 PP'!$G$527,'Per 60 PP'!$G$526)/60)*Proj[[#This Row],[TOI PP]]*Proj[[#This Row],[GP]],0)</f>
        <v>0</v>
      </c>
      <c r="S389" s="10">
        <f>Proj[[#This Row],[PPG]]+Proj[[#This Row],[PPA]]</f>
        <v>0</v>
      </c>
      <c r="T389">
        <f>ROUND((_xlfn.IFNA(INDEX(Table3[],MATCH(Proj[[#This Row],[Player]],Table3[Player],0),6)/60,IF(Proj[[#This Row],[Pos]] ="D", 'Per 60 PK'!$F$623, 'Per 60 PK'!$F$622)/60)+_xlfn.IFNA(INDEX(Table3[],MATCH(Proj[[#This Row],[Player]],Table3[Player],0),8)/60,IF(Proj[[#This Row],[Pos]] ="D", 'Per 60 PK'!$H$623, 'Per 60 PK'!$H$622)/60))*Proj[[#This Row],[TOI PK]]*Proj[[#This Row],[GP]],0)</f>
        <v>3</v>
      </c>
      <c r="U3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93</v>
      </c>
      <c r="V3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3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3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401</v>
      </c>
      <c r="Y3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365</v>
      </c>
      <c r="Z3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97</v>
      </c>
      <c r="AA3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-810.04317349399321</v>
      </c>
      <c r="AB389" s="10">
        <f>_xlfn.RANK.EQ(Proj[[#This Row],[VOR]],Proj[VOR])</f>
        <v>598</v>
      </c>
      <c r="AC389" s="10">
        <f>INDEX(Std[],MATCH(Proj[[#This Row],[Player]],Std[Player],0),20)</f>
        <v>-75.409319183694606</v>
      </c>
      <c r="AD3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316.20000000000005</v>
      </c>
    </row>
    <row r="390" spans="1:30" x14ac:dyDescent="0.25">
      <c r="A390" t="s">
        <v>408</v>
      </c>
      <c r="B390">
        <v>30</v>
      </c>
      <c r="C390" t="s">
        <v>3</v>
      </c>
      <c r="D390" t="s">
        <v>34</v>
      </c>
      <c r="E390" s="9">
        <f>INDEX(Table1[],MATCH(Proj[[#This Row],[Player]],Table1[Player],0),5)</f>
        <v>16.2937349837472</v>
      </c>
      <c r="F390" s="9">
        <f>_xlfn.IFNA(INDEX(Table2[],MATCH(Proj[[#This Row],[Player]],Table2[Player],0),5),0)</f>
        <v>1.03</v>
      </c>
      <c r="G390" s="9">
        <f>_xlfn.IFNA(INDEX(Table3[],MATCH(Proj[[#This Row],[Player]],Table3[Player],0),5),0)</f>
        <v>1.78</v>
      </c>
      <c r="H390" s="10">
        <v>80</v>
      </c>
      <c r="I390">
        <v>80</v>
      </c>
      <c r="J390" s="9">
        <v>16.2937349837472</v>
      </c>
      <c r="K390" s="9">
        <v>1.03</v>
      </c>
      <c r="L390" s="9">
        <v>1.78</v>
      </c>
      <c r="M390" s="9">
        <f>Proj[[#This Row],[TOI ES]]+Proj[[#This Row],[TOI PP]]+Proj[[#This Row],[TOI PK]]</f>
        <v>19.103734983747202</v>
      </c>
      <c r="N3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3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390" s="10">
        <f>Proj[[#This Row],[Goals]]+Proj[[#This Row],[Assists]]</f>
        <v>28</v>
      </c>
      <c r="Q390" s="10">
        <f>ROUND(_xlfn.IFNA(INDEX(Table2[],MATCH(Proj[[#This Row],[Player]],Table2[Player],0),11)/60,IF(Proj[[#This Row],[Pos]] = "D", 'Per 60 PP'!$K$527,'Per 60 PP'!$K$526)/60)*Proj[[#This Row],[TOI PP]]*Proj[[#This Row],[GP]],0)</f>
        <v>1</v>
      </c>
      <c r="R390" s="10">
        <f>ROUND(_xlfn.IFNA(INDEX(Table2[],MATCH(Proj[[#This Row],[Player]],Table2[Player],0),7)/60,IF(Proj[[#This Row],[Pos]] = "D", 'Per 60 PP'!$G$527,'Per 60 PP'!$G$526)/60)*Proj[[#This Row],[TOI PP]]*Proj[[#This Row],[GP]],0)</f>
        <v>3</v>
      </c>
      <c r="S390" s="10">
        <f>Proj[[#This Row],[PPG]]+Proj[[#This Row],[PPA]]</f>
        <v>4</v>
      </c>
      <c r="T390">
        <f>ROUND((_xlfn.IFNA(INDEX(Table3[],MATCH(Proj[[#This Row],[Player]],Table3[Player],0),6)/60,IF(Proj[[#This Row],[Pos]] ="D", 'Per 60 PK'!$F$623, 'Per 60 PK'!$F$622)/60)+_xlfn.IFNA(INDEX(Table3[],MATCH(Proj[[#This Row],[Player]],Table3[Player],0),8)/60,IF(Proj[[#This Row],[Pos]] ="D", 'Per 60 PK'!$H$623, 'Per 60 PK'!$H$622)/60))*Proj[[#This Row],[TOI PK]]*Proj[[#This Row],[GP]],0)</f>
        <v>2</v>
      </c>
      <c r="U3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102</v>
      </c>
      <c r="V3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137</v>
      </c>
      <c r="W3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3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138</v>
      </c>
      <c r="AA3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4.2423109592184716</v>
      </c>
      <c r="AB390" s="10">
        <f>_xlfn.RANK.EQ(Proj[[#This Row],[VOR]],Proj[VOR])</f>
        <v>159</v>
      </c>
      <c r="AC390" s="10">
        <f>INDEX(Std[],MATCH(Proj[[#This Row],[Player]],Std[Player],0),20)</f>
        <v>111.60707867868295</v>
      </c>
      <c r="AD3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363.34999999999997</v>
      </c>
    </row>
    <row r="391" spans="1:30" x14ac:dyDescent="0.25">
      <c r="A391" t="s">
        <v>426</v>
      </c>
      <c r="B391">
        <v>33</v>
      </c>
      <c r="C391" t="s">
        <v>102</v>
      </c>
      <c r="D391" t="s">
        <v>87</v>
      </c>
      <c r="E391" s="9">
        <f>INDEX(Table1[],MATCH(Proj[[#This Row],[Player]],Table1[Player],0),5)</f>
        <v>11.959667809555199</v>
      </c>
      <c r="F391" s="9">
        <f>_xlfn.IFNA(INDEX(Table2[],MATCH(Proj[[#This Row],[Player]],Table2[Player],0),5),0)</f>
        <v>0</v>
      </c>
      <c r="G391" s="9">
        <f>_xlfn.IFNA(INDEX(Table3[],MATCH(Proj[[#This Row],[Player]],Table3[Player],0),5),0)</f>
        <v>2.5499999999999998</v>
      </c>
      <c r="H391" s="10">
        <v>81</v>
      </c>
      <c r="I391">
        <v>81</v>
      </c>
      <c r="J391" s="9">
        <v>11.959667809555199</v>
      </c>
      <c r="K391" s="9">
        <v>0</v>
      </c>
      <c r="L391" s="9">
        <v>2.5499999999999998</v>
      </c>
      <c r="M391" s="9">
        <f>Proj[[#This Row],[TOI ES]]+Proj[[#This Row],[TOI PP]]+Proj[[#This Row],[TOI PK]]</f>
        <v>14.5096678095552</v>
      </c>
      <c r="N3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15</v>
      </c>
      <c r="O3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391" s="10">
        <f>Proj[[#This Row],[Goals]]+Proj[[#This Row],[Assists]]</f>
        <v>28</v>
      </c>
      <c r="Q391" s="10">
        <f>ROUND(_xlfn.IFNA(INDEX(Table2[],MATCH(Proj[[#This Row],[Player]],Table2[Player],0),11)/60,IF(Proj[[#This Row],[Pos]] = "D", 'Per 60 PP'!$K$527,'Per 60 PP'!$K$526)/60)*Proj[[#This Row],[TOI PP]]*Proj[[#This Row],[GP]],0)</f>
        <v>0</v>
      </c>
      <c r="R391" s="10">
        <f>ROUND(_xlfn.IFNA(INDEX(Table2[],MATCH(Proj[[#This Row],[Player]],Table2[Player],0),7)/60,IF(Proj[[#This Row],[Pos]] = "D", 'Per 60 PP'!$G$527,'Per 60 PP'!$G$526)/60)*Proj[[#This Row],[TOI PP]]*Proj[[#This Row],[GP]],0)</f>
        <v>0</v>
      </c>
      <c r="S391" s="10">
        <f>Proj[[#This Row],[PPG]]+Proj[[#This Row],[PPA]]</f>
        <v>0</v>
      </c>
      <c r="T391">
        <f>ROUND((_xlfn.IFNA(INDEX(Table3[],MATCH(Proj[[#This Row],[Player]],Table3[Player],0),6)/60,IF(Proj[[#This Row],[Pos]] ="D", 'Per 60 PK'!$F$623, 'Per 60 PK'!$F$622)/60)+_xlfn.IFNA(INDEX(Table3[],MATCH(Proj[[#This Row],[Player]],Table3[Player],0),8)/60,IF(Proj[[#This Row],[Pos]] ="D", 'Per 60 PK'!$H$623, 'Per 60 PK'!$H$622)/60))*Proj[[#This Row],[TOI PK]]*Proj[[#This Row],[GP]],0)</f>
        <v>3</v>
      </c>
      <c r="U3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175</v>
      </c>
      <c r="V3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3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47</v>
      </c>
      <c r="X3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3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3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3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-439.61660238569533</v>
      </c>
      <c r="AB391" s="10">
        <f>_xlfn.RANK.EQ(Proj[[#This Row],[VOR]],Proj[VOR])</f>
        <v>389</v>
      </c>
      <c r="AC391" s="10">
        <f>INDEX(Std[],MATCH(Proj[[#This Row],[Player]],Std[Player],0),20)</f>
        <v>31.928122004553554</v>
      </c>
      <c r="AD3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358.25</v>
      </c>
    </row>
    <row r="392" spans="1:30" x14ac:dyDescent="0.25">
      <c r="A392" t="s">
        <v>270</v>
      </c>
      <c r="B392">
        <v>30</v>
      </c>
      <c r="C392" t="s">
        <v>3</v>
      </c>
      <c r="D392" t="s">
        <v>10</v>
      </c>
      <c r="E392" s="9">
        <f>INDEX(Table1[],MATCH(Proj[[#This Row],[Player]],Table1[Player],0),5)</f>
        <v>17.993840613993701</v>
      </c>
      <c r="F392" s="9">
        <f>_xlfn.IFNA(INDEX(Table2[],MATCH(Proj[[#This Row],[Player]],Table2[Player],0),5),0)</f>
        <v>0.7</v>
      </c>
      <c r="G392" s="9">
        <f>_xlfn.IFNA(INDEX(Table3[],MATCH(Proj[[#This Row],[Player]],Table3[Player],0),5),0)</f>
        <v>2.65</v>
      </c>
      <c r="H392" s="10">
        <v>80</v>
      </c>
      <c r="I392">
        <v>80</v>
      </c>
      <c r="J392" s="9">
        <v>17.993840613993701</v>
      </c>
      <c r="K392" s="9">
        <v>0.7</v>
      </c>
      <c r="L392" s="9">
        <v>2.65</v>
      </c>
      <c r="M392" s="9">
        <f>Proj[[#This Row],[TOI ES]]+Proj[[#This Row],[TOI PP]]+Proj[[#This Row],[TOI PK]]</f>
        <v>21.343840613993699</v>
      </c>
      <c r="N3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3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392" s="10">
        <f>Proj[[#This Row],[Goals]]+Proj[[#This Row],[Assists]]</f>
        <v>28</v>
      </c>
      <c r="Q392" s="10">
        <f>ROUND(_xlfn.IFNA(INDEX(Table2[],MATCH(Proj[[#This Row],[Player]],Table2[Player],0),11)/60,IF(Proj[[#This Row],[Pos]] = "D", 'Per 60 PP'!$K$527,'Per 60 PP'!$K$526)/60)*Proj[[#This Row],[TOI PP]]*Proj[[#This Row],[GP]],0)</f>
        <v>1</v>
      </c>
      <c r="R392" s="10">
        <f>ROUND(_xlfn.IFNA(INDEX(Table2[],MATCH(Proj[[#This Row],[Player]],Table2[Player],0),7)/60,IF(Proj[[#This Row],[Pos]] = "D", 'Per 60 PP'!$G$527,'Per 60 PP'!$G$526)/60)*Proj[[#This Row],[TOI PP]]*Proj[[#This Row],[GP]],0)</f>
        <v>2</v>
      </c>
      <c r="S392" s="10">
        <f>Proj[[#This Row],[PPG]]+Proj[[#This Row],[PPA]]</f>
        <v>3</v>
      </c>
      <c r="T392">
        <f>ROUND((_xlfn.IFNA(INDEX(Table3[],MATCH(Proj[[#This Row],[Player]],Table3[Player],0),6)/60,IF(Proj[[#This Row],[Pos]] ="D", 'Per 60 PK'!$F$623, 'Per 60 PK'!$F$622)/60)+_xlfn.IFNA(INDEX(Table3[],MATCH(Proj[[#This Row],[Player]],Table3[Player],0),8)/60,IF(Proj[[#This Row],[Pos]] ="D", 'Per 60 PK'!$H$623, 'Per 60 PK'!$H$622)/60))*Proj[[#This Row],[TOI PK]]*Proj[[#This Row],[GP]],0)</f>
        <v>2</v>
      </c>
      <c r="U3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193</v>
      </c>
      <c r="V3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203</v>
      </c>
      <c r="W3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70</v>
      </c>
      <c r="X3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160</v>
      </c>
      <c r="AA3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457.9078134165876</v>
      </c>
      <c r="AB392" s="10">
        <f>_xlfn.RANK.EQ(Proj[[#This Row],[VOR]],Proj[VOR])</f>
        <v>50</v>
      </c>
      <c r="AC392" s="10">
        <f>INDEX(Std[],MATCH(Proj[[#This Row],[Player]],Std[Player],0),20)</f>
        <v>565.27258113605205</v>
      </c>
      <c r="AD3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475.1</v>
      </c>
    </row>
    <row r="393" spans="1:30" x14ac:dyDescent="0.25">
      <c r="A393" t="s">
        <v>1003</v>
      </c>
      <c r="B393">
        <v>24</v>
      </c>
      <c r="C393" t="s">
        <v>74</v>
      </c>
      <c r="D393" t="s">
        <v>34</v>
      </c>
      <c r="E393" s="9">
        <f>INDEX(Table1[],MATCH(Proj[[#This Row],[Player]],Table1[Player],0),5)</f>
        <v>10.8009470639792</v>
      </c>
      <c r="F393" s="9">
        <f>_xlfn.IFNA(INDEX(Table2[],MATCH(Proj[[#This Row],[Player]],Table2[Player],0),5),0)</f>
        <v>1.32</v>
      </c>
      <c r="G393" s="9">
        <f>_xlfn.IFNA(INDEX(Table3[],MATCH(Proj[[#This Row],[Player]],Table3[Player],0),5),0)</f>
        <v>0.6</v>
      </c>
      <c r="H393" s="10">
        <v>76</v>
      </c>
      <c r="I393">
        <v>76</v>
      </c>
      <c r="J393" s="9">
        <v>10.8009470639792</v>
      </c>
      <c r="K393" s="9">
        <v>1.32</v>
      </c>
      <c r="L393" s="9">
        <v>0.6</v>
      </c>
      <c r="M393" s="9">
        <f>Proj[[#This Row],[TOI ES]]+Proj[[#This Row],[TOI PP]]+Proj[[#This Row],[TOI PK]]</f>
        <v>12.720947063979199</v>
      </c>
      <c r="N3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93" s="10">
        <f>Proj[[#This Row],[Goals]]+Proj[[#This Row],[Assists]]</f>
        <v>27</v>
      </c>
      <c r="Q393" s="10">
        <f>ROUND(_xlfn.IFNA(INDEX(Table2[],MATCH(Proj[[#This Row],[Player]],Table2[Player],0),11)/60,IF(Proj[[#This Row],[Pos]] = "D", 'Per 60 PP'!$K$527,'Per 60 PP'!$K$526)/60)*Proj[[#This Row],[TOI PP]]*Proj[[#This Row],[GP]],0)</f>
        <v>3</v>
      </c>
      <c r="R393" s="10">
        <f>ROUND(_xlfn.IFNA(INDEX(Table2[],MATCH(Proj[[#This Row],[Player]],Table2[Player],0),7)/60,IF(Proj[[#This Row],[Pos]] = "D", 'Per 60 PP'!$G$527,'Per 60 PP'!$G$526)/60)*Proj[[#This Row],[TOI PP]]*Proj[[#This Row],[GP]],0)</f>
        <v>4</v>
      </c>
      <c r="S393" s="10">
        <f>Proj[[#This Row],[PPG]]+Proj[[#This Row],[PPA]]</f>
        <v>7</v>
      </c>
      <c r="T393">
        <f>ROUND((_xlfn.IFNA(INDEX(Table3[],MATCH(Proj[[#This Row],[Player]],Table3[Player],0),6)/60,IF(Proj[[#This Row],[Pos]] ="D", 'Per 60 PK'!$F$623, 'Per 60 PK'!$F$622)/60)+_xlfn.IFNA(INDEX(Table3[],MATCH(Proj[[#This Row],[Player]],Table3[Player],0),8)/60,IF(Proj[[#This Row],[Pos]] ="D", 'Per 60 PK'!$H$623, 'Per 60 PK'!$H$622)/60))*Proj[[#This Row],[TOI PK]]*Proj[[#This Row],[GP]],0)</f>
        <v>0</v>
      </c>
      <c r="U3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3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3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3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319</v>
      </c>
      <c r="Y3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259</v>
      </c>
      <c r="Z3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3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-884.67565428239698</v>
      </c>
      <c r="AB393" s="10">
        <f>_xlfn.RANK.EQ(Proj[[#This Row],[VOR]],Proj[VOR])</f>
        <v>618</v>
      </c>
      <c r="AC393" s="10">
        <f>INDEX(Std[],MATCH(Proj[[#This Row],[Player]],Std[Player],0),20)</f>
        <v>-150.04179997209835</v>
      </c>
      <c r="AD3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284.35000000000002</v>
      </c>
    </row>
    <row r="394" spans="1:30" x14ac:dyDescent="0.25">
      <c r="A394" t="s">
        <v>656</v>
      </c>
      <c r="B394">
        <v>31</v>
      </c>
      <c r="C394" t="s">
        <v>74</v>
      </c>
      <c r="D394" t="s">
        <v>18</v>
      </c>
      <c r="E394" s="9">
        <f>INDEX(Table1[],MATCH(Proj[[#This Row],[Player]],Table1[Player],0),5)</f>
        <v>11.288779822935499</v>
      </c>
      <c r="F394" s="9">
        <f>_xlfn.IFNA(INDEX(Table2[],MATCH(Proj[[#This Row],[Player]],Table2[Player],0),5),0)</f>
        <v>1.24</v>
      </c>
      <c r="G394" s="9">
        <f>_xlfn.IFNA(INDEX(Table3[],MATCH(Proj[[#This Row],[Player]],Table3[Player],0),5),0)</f>
        <v>1.79</v>
      </c>
      <c r="H394" s="10">
        <v>79</v>
      </c>
      <c r="I394">
        <v>79</v>
      </c>
      <c r="J394" s="9">
        <v>11.288779822935499</v>
      </c>
      <c r="K394" s="9">
        <v>1.24</v>
      </c>
      <c r="L394" s="9">
        <v>1.79</v>
      </c>
      <c r="M394" s="9">
        <f>Proj[[#This Row],[TOI ES]]+Proj[[#This Row],[TOI PP]]+Proj[[#This Row],[TOI PK]]</f>
        <v>14.3187798229355</v>
      </c>
      <c r="N3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94" s="10">
        <f>Proj[[#This Row],[Goals]]+Proj[[#This Row],[Assists]]</f>
        <v>27</v>
      </c>
      <c r="Q394" s="10">
        <f>ROUND(_xlfn.IFNA(INDEX(Table2[],MATCH(Proj[[#This Row],[Player]],Table2[Player],0),11)/60,IF(Proj[[#This Row],[Pos]] = "D", 'Per 60 PP'!$K$527,'Per 60 PP'!$K$526)/60)*Proj[[#This Row],[TOI PP]]*Proj[[#This Row],[GP]],0)</f>
        <v>2</v>
      </c>
      <c r="R394" s="10">
        <f>ROUND(_xlfn.IFNA(INDEX(Table2[],MATCH(Proj[[#This Row],[Player]],Table2[Player],0),7)/60,IF(Proj[[#This Row],[Pos]] = "D", 'Per 60 PP'!$G$527,'Per 60 PP'!$G$526)/60)*Proj[[#This Row],[TOI PP]]*Proj[[#This Row],[GP]],0)</f>
        <v>4</v>
      </c>
      <c r="S394" s="10">
        <f>Proj[[#This Row],[PPG]]+Proj[[#This Row],[PPA]]</f>
        <v>6</v>
      </c>
      <c r="T394">
        <f>ROUND((_xlfn.IFNA(INDEX(Table3[],MATCH(Proj[[#This Row],[Player]],Table3[Player],0),6)/60,IF(Proj[[#This Row],[Pos]] ="D", 'Per 60 PK'!$F$623, 'Per 60 PK'!$F$622)/60)+_xlfn.IFNA(INDEX(Table3[],MATCH(Proj[[#This Row],[Player]],Table3[Player],0),8)/60,IF(Proj[[#This Row],[Pos]] ="D", 'Per 60 PK'!$H$623, 'Per 60 PK'!$H$622)/60))*Proj[[#This Row],[TOI PK]]*Proj[[#This Row],[GP]],0)</f>
        <v>1</v>
      </c>
      <c r="U3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3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52</v>
      </c>
      <c r="W3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3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344</v>
      </c>
      <c r="Y3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353</v>
      </c>
      <c r="Z3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3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-951.33321828858323</v>
      </c>
      <c r="AB394" s="10">
        <f>_xlfn.RANK.EQ(Proj[[#This Row],[VOR]],Proj[VOR])</f>
        <v>645</v>
      </c>
      <c r="AC394" s="10">
        <f>INDEX(Std[],MATCH(Proj[[#This Row],[Player]],Std[Player],0),20)</f>
        <v>-216.69936397828465</v>
      </c>
      <c r="AD3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281.54999999999995</v>
      </c>
    </row>
    <row r="395" spans="1:30" x14ac:dyDescent="0.25">
      <c r="A395" t="s">
        <v>1006</v>
      </c>
      <c r="B395">
        <v>25</v>
      </c>
      <c r="C395" t="s">
        <v>103</v>
      </c>
      <c r="D395" t="s">
        <v>153</v>
      </c>
      <c r="E395" s="9">
        <f>INDEX(Table1[],MATCH(Proj[[#This Row],[Player]],Table1[Player],0),5)</f>
        <v>12.2211144216222</v>
      </c>
      <c r="F395" s="9">
        <f>_xlfn.IFNA(INDEX(Table2[],MATCH(Proj[[#This Row],[Player]],Table2[Player],0),5),0)</f>
        <v>1.61</v>
      </c>
      <c r="G395" s="9">
        <f>_xlfn.IFNA(INDEX(Table3[],MATCH(Proj[[#This Row],[Player]],Table3[Player],0),5),0)</f>
        <v>0</v>
      </c>
      <c r="H395" s="10">
        <v>64</v>
      </c>
      <c r="I395">
        <v>64</v>
      </c>
      <c r="J395" s="9">
        <v>12.2211144216222</v>
      </c>
      <c r="K395" s="9">
        <v>1.61</v>
      </c>
      <c r="L395" s="9">
        <v>0</v>
      </c>
      <c r="M395" s="9">
        <f>Proj[[#This Row],[TOI ES]]+Proj[[#This Row],[TOI PP]]+Proj[[#This Row],[TOI PK]]</f>
        <v>13.8311144216222</v>
      </c>
      <c r="N3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3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395" s="10">
        <f>Proj[[#This Row],[Goals]]+Proj[[#This Row],[Assists]]</f>
        <v>27</v>
      </c>
      <c r="Q395" s="10">
        <f>ROUND(_xlfn.IFNA(INDEX(Table2[],MATCH(Proj[[#This Row],[Player]],Table2[Player],0),11)/60,IF(Proj[[#This Row],[Pos]] = "D", 'Per 60 PP'!$K$527,'Per 60 PP'!$K$526)/60)*Proj[[#This Row],[TOI PP]]*Proj[[#This Row],[GP]],0)</f>
        <v>2</v>
      </c>
      <c r="R395" s="10">
        <f>ROUND(_xlfn.IFNA(INDEX(Table2[],MATCH(Proj[[#This Row],[Player]],Table2[Player],0),7)/60,IF(Proj[[#This Row],[Pos]] = "D", 'Per 60 PP'!$G$527,'Per 60 PP'!$G$526)/60)*Proj[[#This Row],[TOI PP]]*Proj[[#This Row],[GP]],0)</f>
        <v>4</v>
      </c>
      <c r="S395" s="10">
        <f>Proj[[#This Row],[PPG]]+Proj[[#This Row],[PPA]]</f>
        <v>6</v>
      </c>
      <c r="T395">
        <f>ROUND((_xlfn.IFNA(INDEX(Table3[],MATCH(Proj[[#This Row],[Player]],Table3[Player],0),6)/60,IF(Proj[[#This Row],[Pos]] ="D", 'Per 60 PK'!$F$623, 'Per 60 PK'!$F$622)/60)+_xlfn.IFNA(INDEX(Table3[],MATCH(Proj[[#This Row],[Player]],Table3[Player],0),8)/60,IF(Proj[[#This Row],[Pos]] ="D", 'Per 60 PK'!$H$623, 'Per 60 PK'!$H$622)/60))*Proj[[#This Row],[TOI PK]]*Proj[[#This Row],[GP]],0)</f>
        <v>0</v>
      </c>
      <c r="U3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3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3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3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v>
      </c>
      <c r="Y3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3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3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-911.13619286189828</v>
      </c>
      <c r="AB395" s="10">
        <f>_xlfn.RANK.EQ(Proj[[#This Row],[VOR]],Proj[VOR])</f>
        <v>631</v>
      </c>
      <c r="AC395" s="10">
        <f>INDEX(Std[],MATCH(Proj[[#This Row],[Player]],Std[Player],0),20)</f>
        <v>-464.59146847164948</v>
      </c>
      <c r="AD3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228.05</v>
      </c>
    </row>
    <row r="396" spans="1:30" x14ac:dyDescent="0.25">
      <c r="A396" t="s">
        <v>1005</v>
      </c>
      <c r="B396">
        <v>23</v>
      </c>
      <c r="C396" t="s">
        <v>101</v>
      </c>
      <c r="D396" t="s">
        <v>22</v>
      </c>
      <c r="E396" s="9">
        <f>INDEX(Table1[],MATCH(Proj[[#This Row],[Player]],Table1[Player],0),5)</f>
        <v>12.161217537429099</v>
      </c>
      <c r="F396" s="9">
        <f>_xlfn.IFNA(INDEX(Table2[],MATCH(Proj[[#This Row],[Player]],Table2[Player],0),5),0)</f>
        <v>2.34</v>
      </c>
      <c r="G396" s="9">
        <f>_xlfn.IFNA(INDEX(Table3[],MATCH(Proj[[#This Row],[Player]],Table3[Player],0),5),0)</f>
        <v>0</v>
      </c>
      <c r="H396" s="10">
        <v>59</v>
      </c>
      <c r="I396">
        <v>59</v>
      </c>
      <c r="J396" s="9">
        <v>12.161217537429099</v>
      </c>
      <c r="K396" s="9">
        <v>2.34</v>
      </c>
      <c r="L396" s="9">
        <v>0</v>
      </c>
      <c r="M396" s="9">
        <f>Proj[[#This Row],[TOI ES]]+Proj[[#This Row],[TOI PP]]+Proj[[#This Row],[TOI PK]]</f>
        <v>14.501217537429099</v>
      </c>
      <c r="N3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3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396" s="10">
        <f>Proj[[#This Row],[Goals]]+Proj[[#This Row],[Assists]]</f>
        <v>27</v>
      </c>
      <c r="Q396" s="10">
        <f>ROUND(_xlfn.IFNA(INDEX(Table2[],MATCH(Proj[[#This Row],[Player]],Table2[Player],0),11)/60,IF(Proj[[#This Row],[Pos]] = "D", 'Per 60 PP'!$K$527,'Per 60 PP'!$K$526)/60)*Proj[[#This Row],[TOI PP]]*Proj[[#This Row],[GP]],0)</f>
        <v>5</v>
      </c>
      <c r="R396" s="10">
        <f>ROUND(_xlfn.IFNA(INDEX(Table2[],MATCH(Proj[[#This Row],[Player]],Table2[Player],0),7)/60,IF(Proj[[#This Row],[Pos]] = "D", 'Per 60 PP'!$G$527,'Per 60 PP'!$G$526)/60)*Proj[[#This Row],[TOI PP]]*Proj[[#This Row],[GP]],0)</f>
        <v>5</v>
      </c>
      <c r="S396" s="10">
        <f>Proj[[#This Row],[PPG]]+Proj[[#This Row],[PPA]]</f>
        <v>10</v>
      </c>
      <c r="T396">
        <f>ROUND((_xlfn.IFNA(INDEX(Table3[],MATCH(Proj[[#This Row],[Player]],Table3[Player],0),6)/60,IF(Proj[[#This Row],[Pos]] ="D", 'Per 60 PK'!$F$623, 'Per 60 PK'!$F$622)/60)+_xlfn.IFNA(INDEX(Table3[],MATCH(Proj[[#This Row],[Player]],Table3[Player],0),8)/60,IF(Proj[[#This Row],[Pos]] ="D", 'Per 60 PK'!$H$623, 'Per 60 PK'!$H$622)/60))*Proj[[#This Row],[TOI PK]]*Proj[[#This Row],[GP]],0)</f>
        <v>0</v>
      </c>
      <c r="U3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3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3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3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47</v>
      </c>
      <c r="Y3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52</v>
      </c>
      <c r="Z3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116</v>
      </c>
      <c r="AA3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-803.56377394264837</v>
      </c>
      <c r="AB396" s="10">
        <f>_xlfn.RANK.EQ(Proj[[#This Row],[VOR]],Proj[VOR])</f>
        <v>591</v>
      </c>
      <c r="AC396" s="10">
        <f>INDEX(Std[],MATCH(Proj[[#This Row],[Player]],Std[Player],0),20)</f>
        <v>-332.01904955239945</v>
      </c>
      <c r="AD3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254.2</v>
      </c>
    </row>
    <row r="397" spans="1:30" x14ac:dyDescent="0.25">
      <c r="A397" t="s">
        <v>1140</v>
      </c>
      <c r="B397">
        <v>21</v>
      </c>
      <c r="C397" t="s">
        <v>103</v>
      </c>
      <c r="D397" t="s">
        <v>6</v>
      </c>
      <c r="E397" s="9">
        <f>INDEX(Table1[],MATCH(Proj[[#This Row],[Player]],Table1[Player],0),5)</f>
        <v>11.637981657548201</v>
      </c>
      <c r="F397" s="9">
        <f>_xlfn.IFNA(INDEX(Table2[],MATCH(Proj[[#This Row],[Player]],Table2[Player],0),5),0)</f>
        <v>0</v>
      </c>
      <c r="G397" s="9">
        <f>_xlfn.IFNA(INDEX(Table3[],MATCH(Proj[[#This Row],[Player]],Table3[Player],0),5),0)</f>
        <v>0</v>
      </c>
      <c r="H397" s="10">
        <v>74</v>
      </c>
      <c r="I397">
        <v>74</v>
      </c>
      <c r="J397" s="9">
        <v>11.637981657548201</v>
      </c>
      <c r="K397" s="9">
        <v>0</v>
      </c>
      <c r="L397" s="9">
        <v>0</v>
      </c>
      <c r="M397" s="9">
        <f>Proj[[#This Row],[TOI ES]]+Proj[[#This Row],[TOI PP]]+Proj[[#This Row],[TOI PK]]</f>
        <v>11.637981657548201</v>
      </c>
      <c r="N3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3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397" s="10">
        <f>Proj[[#This Row],[Goals]]+Proj[[#This Row],[Assists]]</f>
        <v>27</v>
      </c>
      <c r="Q397" s="10">
        <f>ROUND(_xlfn.IFNA(INDEX(Table2[],MATCH(Proj[[#This Row],[Player]],Table2[Player],0),11)/60,IF(Proj[[#This Row],[Pos]] = "D", 'Per 60 PP'!$K$527,'Per 60 PP'!$K$526)/60)*Proj[[#This Row],[TOI PP]]*Proj[[#This Row],[GP]],0)</f>
        <v>0</v>
      </c>
      <c r="R397" s="10">
        <f>ROUND(_xlfn.IFNA(INDEX(Table2[],MATCH(Proj[[#This Row],[Player]],Table2[Player],0),7)/60,IF(Proj[[#This Row],[Pos]] = "D", 'Per 60 PP'!$G$527,'Per 60 PP'!$G$526)/60)*Proj[[#This Row],[TOI PP]]*Proj[[#This Row],[GP]],0)</f>
        <v>0</v>
      </c>
      <c r="S397" s="10">
        <f>Proj[[#This Row],[PPG]]+Proj[[#This Row],[PPA]]</f>
        <v>0</v>
      </c>
      <c r="T397">
        <f>ROUND((_xlfn.IFNA(INDEX(Table3[],MATCH(Proj[[#This Row],[Player]],Table3[Player],0),6)/60,IF(Proj[[#This Row],[Pos]] ="D", 'Per 60 PK'!$F$623, 'Per 60 PK'!$F$622)/60)+_xlfn.IFNA(INDEX(Table3[],MATCH(Proj[[#This Row],[Player]],Table3[Player],0),8)/60,IF(Proj[[#This Row],[Pos]] ="D", 'Per 60 PK'!$H$623, 'Per 60 PK'!$H$622)/60))*Proj[[#This Row],[TOI PK]]*Proj[[#This Row],[GP]],0)</f>
        <v>0</v>
      </c>
      <c r="U3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3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3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3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46</v>
      </c>
      <c r="Y3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50</v>
      </c>
      <c r="Z3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107</v>
      </c>
      <c r="AA3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-865.67018914320352</v>
      </c>
      <c r="AB397" s="10">
        <f>_xlfn.RANK.EQ(Proj[[#This Row],[VOR]],Proj[VOR])</f>
        <v>612</v>
      </c>
      <c r="AC397" s="10">
        <f>INDEX(Std[],MATCH(Proj[[#This Row],[Player]],Std[Player],0),20)</f>
        <v>-419.12546475295471</v>
      </c>
      <c r="AD3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253.7</v>
      </c>
    </row>
    <row r="398" spans="1:30" x14ac:dyDescent="0.25">
      <c r="A398" t="s">
        <v>650</v>
      </c>
      <c r="B398">
        <v>36</v>
      </c>
      <c r="C398" t="s">
        <v>103</v>
      </c>
      <c r="D398" t="s">
        <v>4</v>
      </c>
      <c r="E398" s="9">
        <f>INDEX(Table1[],MATCH(Proj[[#This Row],[Player]],Table1[Player],0),5)</f>
        <v>11.658162650414599</v>
      </c>
      <c r="F398" s="9">
        <f>_xlfn.IFNA(INDEX(Table2[],MATCH(Proj[[#This Row],[Player]],Table2[Player],0),5),0)</f>
        <v>1.1100000000000001</v>
      </c>
      <c r="G398" s="9">
        <f>_xlfn.IFNA(INDEX(Table3[],MATCH(Proj[[#This Row],[Player]],Table3[Player],0),5),0)</f>
        <v>0.89</v>
      </c>
      <c r="H398" s="10">
        <v>72</v>
      </c>
      <c r="I398">
        <v>72</v>
      </c>
      <c r="J398" s="9">
        <v>11.658162650414599</v>
      </c>
      <c r="K398" s="9">
        <v>1.1100000000000001</v>
      </c>
      <c r="L398" s="9">
        <v>0.89</v>
      </c>
      <c r="M398" s="9">
        <f>Proj[[#This Row],[TOI ES]]+Proj[[#This Row],[TOI PP]]+Proj[[#This Row],[TOI PK]]</f>
        <v>13.658162650414599</v>
      </c>
      <c r="N3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3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398" s="10">
        <f>Proj[[#This Row],[Goals]]+Proj[[#This Row],[Assists]]</f>
        <v>27</v>
      </c>
      <c r="Q398" s="10">
        <f>ROUND(_xlfn.IFNA(INDEX(Table2[],MATCH(Proj[[#This Row],[Player]],Table2[Player],0),11)/60,IF(Proj[[#This Row],[Pos]] = "D", 'Per 60 PP'!$K$527,'Per 60 PP'!$K$526)/60)*Proj[[#This Row],[TOI PP]]*Proj[[#This Row],[GP]],0)</f>
        <v>2</v>
      </c>
      <c r="R398" s="10">
        <f>ROUND(_xlfn.IFNA(INDEX(Table2[],MATCH(Proj[[#This Row],[Player]],Table2[Player],0),7)/60,IF(Proj[[#This Row],[Pos]] = "D", 'Per 60 PP'!$G$527,'Per 60 PP'!$G$526)/60)*Proj[[#This Row],[TOI PP]]*Proj[[#This Row],[GP]],0)</f>
        <v>2</v>
      </c>
      <c r="S398" s="10">
        <f>Proj[[#This Row],[PPG]]+Proj[[#This Row],[PPA]]</f>
        <v>4</v>
      </c>
      <c r="T398">
        <f>ROUND((_xlfn.IFNA(INDEX(Table3[],MATCH(Proj[[#This Row],[Player]],Table3[Player],0),6)/60,IF(Proj[[#This Row],[Pos]] ="D", 'Per 60 PK'!$F$623, 'Per 60 PK'!$F$622)/60)+_xlfn.IFNA(INDEX(Table3[],MATCH(Proj[[#This Row],[Player]],Table3[Player],0),8)/60,IF(Proj[[#This Row],[Pos]] ="D", 'Per 60 PK'!$H$623, 'Per 60 PK'!$H$622)/60))*Proj[[#This Row],[TOI PK]]*Proj[[#This Row],[GP]],0)</f>
        <v>1</v>
      </c>
      <c r="U3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3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3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3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135</v>
      </c>
      <c r="Y3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147</v>
      </c>
      <c r="Z3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126</v>
      </c>
      <c r="AA3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-661.6309873010357</v>
      </c>
      <c r="AB398" s="10">
        <f>_xlfn.RANK.EQ(Proj[[#This Row],[VOR]],Proj[VOR])</f>
        <v>507</v>
      </c>
      <c r="AC398" s="10">
        <f>INDEX(Std[],MATCH(Proj[[#This Row],[Player]],Std[Player],0),20)</f>
        <v>-215.0862629107869</v>
      </c>
      <c r="AD3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281.45</v>
      </c>
    </row>
    <row r="399" spans="1:30" x14ac:dyDescent="0.25">
      <c r="A399" t="s">
        <v>445</v>
      </c>
      <c r="B399">
        <v>40</v>
      </c>
      <c r="C399" t="s">
        <v>3</v>
      </c>
      <c r="D399" t="s">
        <v>14</v>
      </c>
      <c r="E399" s="9">
        <f>INDEX(Table1[],MATCH(Proj[[#This Row],[Player]],Table1[Player],0),5)</f>
        <v>17.4940553159886</v>
      </c>
      <c r="F399" s="9">
        <f>_xlfn.IFNA(INDEX(Table2[],MATCH(Proj[[#This Row],[Player]],Table2[Player],0),5),0)</f>
        <v>1.59</v>
      </c>
      <c r="G399" s="9">
        <f>_xlfn.IFNA(INDEX(Table3[],MATCH(Proj[[#This Row],[Player]],Table3[Player],0),5),0)</f>
        <v>1.37</v>
      </c>
      <c r="H399" s="10">
        <v>82</v>
      </c>
      <c r="I399">
        <v>82</v>
      </c>
      <c r="J399" s="9">
        <v>17.4940553159886</v>
      </c>
      <c r="K399" s="9">
        <v>1.59</v>
      </c>
      <c r="L399" s="9">
        <v>1.37</v>
      </c>
      <c r="M399" s="9">
        <f>Proj[[#This Row],[TOI ES]]+Proj[[#This Row],[TOI PP]]+Proj[[#This Row],[TOI PK]]</f>
        <v>20.454055315988601</v>
      </c>
      <c r="N3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3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23</v>
      </c>
      <c r="P399">
        <f>Proj[[#This Row],[Goals]]+Proj[[#This Row],[Assists]]</f>
        <v>27</v>
      </c>
      <c r="Q399" s="10">
        <f>ROUND(_xlfn.IFNA(INDEX(Table2[],MATCH(Proj[[#This Row],[Player]],Table2[Player],0),11)/60,IF(Proj[[#This Row],[Pos]] = "D", 'Per 60 PP'!$K$527,'Per 60 PP'!$K$526)/60)*Proj[[#This Row],[TOI PP]]*Proj[[#This Row],[GP]],0)</f>
        <v>1</v>
      </c>
      <c r="R399" s="10">
        <f>ROUND(_xlfn.IFNA(INDEX(Table2[],MATCH(Proj[[#This Row],[Player]],Table2[Player],0),7)/60,IF(Proj[[#This Row],[Pos]] = "D", 'Per 60 PP'!$G$527,'Per 60 PP'!$G$526)/60)*Proj[[#This Row],[TOI PP]]*Proj[[#This Row],[GP]],0)</f>
        <v>7</v>
      </c>
      <c r="S399" s="10">
        <f>Proj[[#This Row],[PPG]]+Proj[[#This Row],[PPA]]</f>
        <v>8</v>
      </c>
      <c r="T399">
        <f>ROUND((_xlfn.IFNA(INDEX(Table3[],MATCH(Proj[[#This Row],[Player]],Table3[Player],0),6)/60,IF(Proj[[#This Row],[Pos]] ="D", 'Per 60 PK'!$F$623, 'Per 60 PK'!$F$622)/60)+_xlfn.IFNA(INDEX(Table3[],MATCH(Proj[[#This Row],[Player]],Table3[Player],0),8)/60,IF(Proj[[#This Row],[Pos]] ="D", 'Per 60 PK'!$H$623, 'Per 60 PK'!$H$622)/60))*Proj[[#This Row],[TOI PK]]*Proj[[#This Row],[GP]],0)</f>
        <v>1</v>
      </c>
      <c r="U3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70</v>
      </c>
      <c r="V3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113</v>
      </c>
      <c r="W3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3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3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3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107</v>
      </c>
      <c r="AA3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-220.89992202657274</v>
      </c>
      <c r="AB399" s="10">
        <f>_xlfn.RANK.EQ(Proj[[#This Row],[VOR]],Proj[VOR])</f>
        <v>263</v>
      </c>
      <c r="AC399" s="10">
        <f>INDEX(Std[],MATCH(Proj[[#This Row],[Player]],Std[Player],0),20)</f>
        <v>-113.53515430710826</v>
      </c>
      <c r="AD3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303.45</v>
      </c>
    </row>
    <row r="400" spans="1:30" x14ac:dyDescent="0.25">
      <c r="A400" t="s">
        <v>959</v>
      </c>
      <c r="B400">
        <v>26</v>
      </c>
      <c r="C400" t="s">
        <v>102</v>
      </c>
      <c r="D400" t="s">
        <v>6</v>
      </c>
      <c r="E400" s="9">
        <f>INDEX(Table1[],MATCH(Proj[[#This Row],[Player]],Table1[Player],0),5)</f>
        <v>11.065033010853901</v>
      </c>
      <c r="F400" s="9">
        <f>_xlfn.IFNA(INDEX(Table2[],MATCH(Proj[[#This Row],[Player]],Table2[Player],0),5),0)</f>
        <v>1</v>
      </c>
      <c r="G400" s="9">
        <f>_xlfn.IFNA(INDEX(Table3[],MATCH(Proj[[#This Row],[Player]],Table3[Player],0),5),0)</f>
        <v>1.8</v>
      </c>
      <c r="H400" s="10">
        <v>65</v>
      </c>
      <c r="I400">
        <v>65</v>
      </c>
      <c r="J400" s="9">
        <v>11.065033010853901</v>
      </c>
      <c r="K400" s="9">
        <v>1.99</v>
      </c>
      <c r="L400" s="9">
        <v>1.8</v>
      </c>
      <c r="M400" s="9">
        <f>Proj[[#This Row],[TOI ES]]+Proj[[#This Row],[TOI PP]]+Proj[[#This Row],[TOI PK]]</f>
        <v>14.855033010853901</v>
      </c>
      <c r="N4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00" s="10">
        <f>Proj[[#This Row],[Goals]]+Proj[[#This Row],[Assists]]</f>
        <v>27</v>
      </c>
      <c r="Q400" s="10">
        <f>ROUND(_xlfn.IFNA(INDEX(Table2[],MATCH(Proj[[#This Row],[Player]],Table2[Player],0),11)/60,IF(Proj[[#This Row],[Pos]] = "D", 'Per 60 PP'!$K$527,'Per 60 PP'!$K$526)/60)*Proj[[#This Row],[TOI PP]]*Proj[[#This Row],[GP]],0)</f>
        <v>5</v>
      </c>
      <c r="R400" s="10">
        <f>ROUND(_xlfn.IFNA(INDEX(Table2[],MATCH(Proj[[#This Row],[Player]],Table2[Player],0),7)/60,IF(Proj[[#This Row],[Pos]] = "D", 'Per 60 PP'!$G$527,'Per 60 PP'!$G$526)/60)*Proj[[#This Row],[TOI PP]]*Proj[[#This Row],[GP]],0)</f>
        <v>4</v>
      </c>
      <c r="S400" s="10">
        <f>Proj[[#This Row],[PPG]]+Proj[[#This Row],[PPA]]</f>
        <v>9</v>
      </c>
      <c r="T400">
        <f>ROUND((_xlfn.IFNA(INDEX(Table3[],MATCH(Proj[[#This Row],[Player]],Table3[Player],0),6)/60,IF(Proj[[#This Row],[Pos]] ="D", 'Per 60 PK'!$F$623, 'Per 60 PK'!$F$622)/60)+_xlfn.IFNA(INDEX(Table3[],MATCH(Proj[[#This Row],[Player]],Table3[Player],0),8)/60,IF(Proj[[#This Row],[Pos]] ="D", 'Per 60 PK'!$H$623, 'Per 60 PK'!$H$622)/60))*Proj[[#This Row],[TOI PK]]*Proj[[#This Row],[GP]],0)</f>
        <v>1</v>
      </c>
      <c r="U4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73</v>
      </c>
      <c r="V4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4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4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35</v>
      </c>
      <c r="Y4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49</v>
      </c>
      <c r="Z4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73</v>
      </c>
      <c r="AA4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-739.55871612054443</v>
      </c>
      <c r="AB400" s="10">
        <f>_xlfn.RANK.EQ(Proj[[#This Row],[VOR]],Proj[VOR])</f>
        <v>554</v>
      </c>
      <c r="AC400" s="10">
        <f>INDEX(Std[],MATCH(Proj[[#This Row],[Player]],Std[Player],0),20)</f>
        <v>-268.01399173029552</v>
      </c>
      <c r="AD4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274</v>
      </c>
    </row>
    <row r="401" spans="1:30" x14ac:dyDescent="0.25">
      <c r="A401" t="s">
        <v>1118</v>
      </c>
      <c r="B401">
        <v>23</v>
      </c>
      <c r="C401" t="s">
        <v>74</v>
      </c>
      <c r="D401" t="s">
        <v>28</v>
      </c>
      <c r="E401" s="9">
        <f>INDEX(Table1[],MATCH(Proj[[#This Row],[Player]],Table1[Player],0),5)</f>
        <v>11.895235739299601</v>
      </c>
      <c r="F401" s="9">
        <f>_xlfn.IFNA(INDEX(Table2[],MATCH(Proj[[#This Row],[Player]],Table2[Player],0),5),0)</f>
        <v>0</v>
      </c>
      <c r="G401" s="9">
        <f>_xlfn.IFNA(INDEX(Table3[],MATCH(Proj[[#This Row],[Player]],Table3[Player],0),5),0)</f>
        <v>0</v>
      </c>
      <c r="H401" s="10">
        <v>76</v>
      </c>
      <c r="I401">
        <v>76</v>
      </c>
      <c r="J401" s="9">
        <v>11.895235739299601</v>
      </c>
      <c r="K401" s="9">
        <v>0</v>
      </c>
      <c r="L401" s="9">
        <v>0</v>
      </c>
      <c r="M401" s="9">
        <f>Proj[[#This Row],[TOI ES]]+Proj[[#This Row],[TOI PP]]+Proj[[#This Row],[TOI PK]]</f>
        <v>11.895235739299601</v>
      </c>
      <c r="N4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01">
        <f>Proj[[#This Row],[Goals]]+Proj[[#This Row],[Assists]]</f>
        <v>27</v>
      </c>
      <c r="Q401" s="10">
        <f>ROUND(_xlfn.IFNA(INDEX(Table2[],MATCH(Proj[[#This Row],[Player]],Table2[Player],0),11)/60,IF(Proj[[#This Row],[Pos]] = "D", 'Per 60 PP'!$K$527,'Per 60 PP'!$K$526)/60)*Proj[[#This Row],[TOI PP]]*Proj[[#This Row],[GP]],0)</f>
        <v>0</v>
      </c>
      <c r="R401" s="10">
        <f>ROUND(_xlfn.IFNA(INDEX(Table2[],MATCH(Proj[[#This Row],[Player]],Table2[Player],0),7)/60,IF(Proj[[#This Row],[Pos]] = "D", 'Per 60 PP'!$G$527,'Per 60 PP'!$G$526)/60)*Proj[[#This Row],[TOI PP]]*Proj[[#This Row],[GP]],0)</f>
        <v>0</v>
      </c>
      <c r="S401" s="10">
        <f>Proj[[#This Row],[PPG]]+Proj[[#This Row],[PPA]]</f>
        <v>0</v>
      </c>
      <c r="T401">
        <f>ROUND((_xlfn.IFNA(INDEX(Table3[],MATCH(Proj[[#This Row],[Player]],Table3[Player],0),6)/60,IF(Proj[[#This Row],[Pos]] ="D", 'Per 60 PK'!$F$623, 'Per 60 PK'!$F$622)/60)+_xlfn.IFNA(INDEX(Table3[],MATCH(Proj[[#This Row],[Player]],Table3[Player],0),8)/60,IF(Proj[[#This Row],[Pos]] ="D", 'Per 60 PK'!$H$623, 'Per 60 PK'!$H$622)/60))*Proj[[#This Row],[TOI PK]]*Proj[[#This Row],[GP]],0)</f>
        <v>0</v>
      </c>
      <c r="U4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4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4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4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68</v>
      </c>
      <c r="Y4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68</v>
      </c>
      <c r="Z4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89</v>
      </c>
      <c r="AA4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-1134.7271555745028</v>
      </c>
      <c r="AB401" s="10">
        <f>_xlfn.RANK.EQ(Proj[[#This Row],[VOR]],Proj[VOR])</f>
        <v>686</v>
      </c>
      <c r="AC401" s="10">
        <f>INDEX(Std[],MATCH(Proj[[#This Row],[Player]],Std[Player],0),20)</f>
        <v>-400.09330126420429</v>
      </c>
      <c r="AD4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248.9</v>
      </c>
    </row>
    <row r="402" spans="1:30" x14ac:dyDescent="0.25">
      <c r="A402" t="s">
        <v>1057</v>
      </c>
      <c r="B402">
        <v>28</v>
      </c>
      <c r="C402" t="s">
        <v>3</v>
      </c>
      <c r="D402" t="s">
        <v>153</v>
      </c>
      <c r="E402" s="9">
        <f>INDEX(Table1[],MATCH(Proj[[#This Row],[Player]],Table1[Player],0),5)</f>
        <v>17.262647707462701</v>
      </c>
      <c r="F402" s="9">
        <f>_xlfn.IFNA(INDEX(Table2[],MATCH(Proj[[#This Row],[Player]],Table2[Player],0),5),0)</f>
        <v>1.08</v>
      </c>
      <c r="G402" s="9">
        <f>_xlfn.IFNA(INDEX(Table3[],MATCH(Proj[[#This Row],[Player]],Table3[Player],0),5),0)</f>
        <v>0.89</v>
      </c>
      <c r="H402" s="10">
        <v>77</v>
      </c>
      <c r="I402">
        <v>77</v>
      </c>
      <c r="J402" s="9">
        <v>17.262647707462701</v>
      </c>
      <c r="K402" s="9">
        <v>1.08</v>
      </c>
      <c r="L402" s="9">
        <v>0.89</v>
      </c>
      <c r="M402" s="9">
        <f>Proj[[#This Row],[TOI ES]]+Proj[[#This Row],[TOI PP]]+Proj[[#This Row],[TOI PK]]</f>
        <v>19.232647707462704</v>
      </c>
      <c r="N4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402" s="10">
        <f>Proj[[#This Row],[Goals]]+Proj[[#This Row],[Assists]]</f>
        <v>27</v>
      </c>
      <c r="Q402" s="10">
        <f>ROUND(_xlfn.IFNA(INDEX(Table2[],MATCH(Proj[[#This Row],[Player]],Table2[Player],0),11)/60,IF(Proj[[#This Row],[Pos]] = "D", 'Per 60 PP'!$K$527,'Per 60 PP'!$K$526)/60)*Proj[[#This Row],[TOI PP]]*Proj[[#This Row],[GP]],0)</f>
        <v>1</v>
      </c>
      <c r="R402" s="10">
        <f>ROUND(_xlfn.IFNA(INDEX(Table2[],MATCH(Proj[[#This Row],[Player]],Table2[Player],0),7)/60,IF(Proj[[#This Row],[Pos]] = "D", 'Per 60 PP'!$G$527,'Per 60 PP'!$G$526)/60)*Proj[[#This Row],[TOI PP]]*Proj[[#This Row],[GP]],0)</f>
        <v>5</v>
      </c>
      <c r="S402" s="10">
        <f>Proj[[#This Row],[PPG]]+Proj[[#This Row],[PPA]]</f>
        <v>6</v>
      </c>
      <c r="T402">
        <f>ROUND((_xlfn.IFNA(INDEX(Table3[],MATCH(Proj[[#This Row],[Player]],Table3[Player],0),6)/60,IF(Proj[[#This Row],[Pos]] ="D", 'Per 60 PK'!$F$623, 'Per 60 PK'!$F$622)/60)+_xlfn.IFNA(INDEX(Table3[],MATCH(Proj[[#This Row],[Player]],Table3[Player],0),8)/60,IF(Proj[[#This Row],[Pos]] ="D", 'Per 60 PK'!$H$623, 'Per 60 PK'!$H$622)/60))*Proj[[#This Row],[TOI PK]]*Proj[[#This Row],[GP]],0)</f>
        <v>0</v>
      </c>
      <c r="U4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4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100</v>
      </c>
      <c r="W4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4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4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-295.84970662966782</v>
      </c>
      <c r="AB402" s="10">
        <f>_xlfn.RANK.EQ(Proj[[#This Row],[VOR]],Proj[VOR])</f>
        <v>304</v>
      </c>
      <c r="AC402" s="10">
        <f>INDEX(Std[],MATCH(Proj[[#This Row],[Player]],Std[Player],0),20)</f>
        <v>-188.48493891020337</v>
      </c>
      <c r="AD4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294.10000000000002</v>
      </c>
    </row>
    <row r="403" spans="1:30" x14ac:dyDescent="0.25">
      <c r="A403" t="s">
        <v>361</v>
      </c>
      <c r="B403">
        <v>30</v>
      </c>
      <c r="C403" t="s">
        <v>3</v>
      </c>
      <c r="D403" t="s">
        <v>20</v>
      </c>
      <c r="E403" s="9">
        <f>INDEX(Table1[],MATCH(Proj[[#This Row],[Player]],Table1[Player],0),5)</f>
        <v>19.042919745863099</v>
      </c>
      <c r="F403" s="9">
        <f>_xlfn.IFNA(INDEX(Table2[],MATCH(Proj[[#This Row],[Player]],Table2[Player],0),5),0)</f>
        <v>1.24</v>
      </c>
      <c r="G403" s="9">
        <f>_xlfn.IFNA(INDEX(Table3[],MATCH(Proj[[#This Row],[Player]],Table3[Player],0),5),0)</f>
        <v>1.98</v>
      </c>
      <c r="H403" s="10">
        <v>82</v>
      </c>
      <c r="I403">
        <v>82</v>
      </c>
      <c r="J403" s="9">
        <v>19.042919745863099</v>
      </c>
      <c r="K403" s="9">
        <v>1.24</v>
      </c>
      <c r="L403" s="9">
        <v>1.98</v>
      </c>
      <c r="M403" s="9">
        <f>Proj[[#This Row],[TOI ES]]+Proj[[#This Row],[TOI PP]]+Proj[[#This Row],[TOI PK]]</f>
        <v>22.262919745863098</v>
      </c>
      <c r="N4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03" s="10">
        <f>Proj[[#This Row],[Goals]]+Proj[[#This Row],[Assists]]</f>
        <v>27</v>
      </c>
      <c r="Q403" s="10">
        <f>ROUND(_xlfn.IFNA(INDEX(Table2[],MATCH(Proj[[#This Row],[Player]],Table2[Player],0),11)/60,IF(Proj[[#This Row],[Pos]] = "D", 'Per 60 PP'!$K$527,'Per 60 PP'!$K$526)/60)*Proj[[#This Row],[TOI PP]]*Proj[[#This Row],[GP]],0)</f>
        <v>1</v>
      </c>
      <c r="R403" s="10">
        <f>ROUND(_xlfn.IFNA(INDEX(Table2[],MATCH(Proj[[#This Row],[Player]],Table2[Player],0),7)/60,IF(Proj[[#This Row],[Pos]] = "D", 'Per 60 PP'!$G$527,'Per 60 PP'!$G$526)/60)*Proj[[#This Row],[TOI PP]]*Proj[[#This Row],[GP]],0)</f>
        <v>5</v>
      </c>
      <c r="S403" s="10">
        <f>Proj[[#This Row],[PPG]]+Proj[[#This Row],[PPA]]</f>
        <v>6</v>
      </c>
      <c r="T403">
        <f>ROUND((_xlfn.IFNA(INDEX(Table3[],MATCH(Proj[[#This Row],[Player]],Table3[Player],0),6)/60,IF(Proj[[#This Row],[Pos]] ="D", 'Per 60 PK'!$F$623, 'Per 60 PK'!$F$622)/60)+_xlfn.IFNA(INDEX(Table3[],MATCH(Proj[[#This Row],[Player]],Table3[Player],0),8)/60,IF(Proj[[#This Row],[Pos]] ="D", 'Per 60 PK'!$H$623, 'Per 60 PK'!$H$622)/60))*Proj[[#This Row],[TOI PK]]*Proj[[#This Row],[GP]],0)</f>
        <v>0</v>
      </c>
      <c r="U4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4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194</v>
      </c>
      <c r="W4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4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130</v>
      </c>
      <c r="AA4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21.82882059243417</v>
      </c>
      <c r="AB403" s="10">
        <f>_xlfn.RANK.EQ(Proj[[#This Row],[VOR]],Proj[VOR])</f>
        <v>150</v>
      </c>
      <c r="AC403" s="10">
        <f>INDEX(Std[],MATCH(Proj[[#This Row],[Player]],Std[Player],0),20)</f>
        <v>129.19358831189865</v>
      </c>
      <c r="AD4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389.84999999999997</v>
      </c>
    </row>
    <row r="404" spans="1:30" x14ac:dyDescent="0.25">
      <c r="A404" t="s">
        <v>946</v>
      </c>
      <c r="B404">
        <v>23</v>
      </c>
      <c r="C404" t="s">
        <v>3</v>
      </c>
      <c r="D404" t="s">
        <v>6</v>
      </c>
      <c r="E404" s="9">
        <f>INDEX(Table1[],MATCH(Proj[[#This Row],[Player]],Table1[Player],0),5)</f>
        <v>19</v>
      </c>
      <c r="F404" s="9">
        <f>_xlfn.IFNA(INDEX(Table2[],MATCH(Proj[[#This Row],[Player]],Table2[Player],0),5),0)</f>
        <v>0.35</v>
      </c>
      <c r="G404" s="9">
        <f>_xlfn.IFNA(INDEX(Table3[],MATCH(Proj[[#This Row],[Player]],Table3[Player],0),5),0)</f>
        <v>2.06</v>
      </c>
      <c r="H404" s="10">
        <v>77</v>
      </c>
      <c r="I404">
        <v>77</v>
      </c>
      <c r="J404" s="9">
        <v>19</v>
      </c>
      <c r="K404" s="9">
        <v>0.35</v>
      </c>
      <c r="L404" s="9">
        <v>2.06</v>
      </c>
      <c r="M404" s="9">
        <f>Proj[[#This Row],[TOI ES]]+Proj[[#This Row],[TOI PP]]+Proj[[#This Row],[TOI PK]]</f>
        <v>21.41</v>
      </c>
      <c r="N4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04" s="10">
        <f>Proj[[#This Row],[Goals]]+Proj[[#This Row],[Assists]]</f>
        <v>27</v>
      </c>
      <c r="Q404" s="10">
        <f>ROUND(_xlfn.IFNA(INDEX(Table2[],MATCH(Proj[[#This Row],[Player]],Table2[Player],0),11)/60,IF(Proj[[#This Row],[Pos]] = "D", 'Per 60 PP'!$K$527,'Per 60 PP'!$K$526)/60)*Proj[[#This Row],[TOI PP]]*Proj[[#This Row],[GP]],0)</f>
        <v>0</v>
      </c>
      <c r="R404" s="10">
        <f>ROUND(_xlfn.IFNA(INDEX(Table2[],MATCH(Proj[[#This Row],[Player]],Table2[Player],0),7)/60,IF(Proj[[#This Row],[Pos]] = "D", 'Per 60 PP'!$G$527,'Per 60 PP'!$G$526)/60)*Proj[[#This Row],[TOI PP]]*Proj[[#This Row],[GP]],0)</f>
        <v>1</v>
      </c>
      <c r="S404" s="10">
        <f>Proj[[#This Row],[PPG]]+Proj[[#This Row],[PPA]]</f>
        <v>1</v>
      </c>
      <c r="T404">
        <f>ROUND((_xlfn.IFNA(INDEX(Table3[],MATCH(Proj[[#This Row],[Player]],Table3[Player],0),6)/60,IF(Proj[[#This Row],[Pos]] ="D", 'Per 60 PK'!$F$623, 'Per 60 PK'!$F$622)/60)+_xlfn.IFNA(INDEX(Table3[],MATCH(Proj[[#This Row],[Player]],Table3[Player],0),8)/60,IF(Proj[[#This Row],[Pos]] ="D", 'Per 60 PK'!$H$623, 'Per 60 PK'!$H$622)/60))*Proj[[#This Row],[TOI PK]]*Proj[[#This Row],[GP]],0)</f>
        <v>0</v>
      </c>
      <c r="U4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4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177</v>
      </c>
      <c r="W4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4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43.847296576522183</v>
      </c>
      <c r="AB404" s="10">
        <f>_xlfn.RANK.EQ(Proj[[#This Row],[VOR]],Proj[VOR])</f>
        <v>139</v>
      </c>
      <c r="AC404" s="10">
        <f>INDEX(Std[],MATCH(Proj[[#This Row],[Player]],Std[Player],0),20)</f>
        <v>151.21206429598666</v>
      </c>
      <c r="AD4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374.15</v>
      </c>
    </row>
    <row r="405" spans="1:30" x14ac:dyDescent="0.25">
      <c r="A405" t="s">
        <v>1013</v>
      </c>
      <c r="B405">
        <v>28</v>
      </c>
      <c r="C405" t="s">
        <v>74</v>
      </c>
      <c r="D405" t="s">
        <v>153</v>
      </c>
      <c r="E405" s="9">
        <f>INDEX(Table1[],MATCH(Proj[[#This Row],[Player]],Table1[Player],0),5)</f>
        <v>11.461985854039201</v>
      </c>
      <c r="F405" s="9">
        <f>_xlfn.IFNA(INDEX(Table2[],MATCH(Proj[[#This Row],[Player]],Table2[Player],0),5),0)</f>
        <v>0.88</v>
      </c>
      <c r="G405" s="9">
        <f>_xlfn.IFNA(INDEX(Table3[],MATCH(Proj[[#This Row],[Player]],Table3[Player],0),5),0)</f>
        <v>0</v>
      </c>
      <c r="H405" s="10">
        <v>80</v>
      </c>
      <c r="I405">
        <v>80</v>
      </c>
      <c r="J405" s="9">
        <v>11.461985854039201</v>
      </c>
      <c r="K405" s="9">
        <v>0.88</v>
      </c>
      <c r="L405" s="9">
        <v>0</v>
      </c>
      <c r="M405" s="9">
        <f>Proj[[#This Row],[TOI ES]]+Proj[[#This Row],[TOI PP]]+Proj[[#This Row],[TOI PK]]</f>
        <v>12.341985854039201</v>
      </c>
      <c r="N4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05" s="10">
        <f>Proj[[#This Row],[Goals]]+Proj[[#This Row],[Assists]]</f>
        <v>27</v>
      </c>
      <c r="Q405" s="10">
        <f>ROUND(_xlfn.IFNA(INDEX(Table2[],MATCH(Proj[[#This Row],[Player]],Table2[Player],0),11)/60,IF(Proj[[#This Row],[Pos]] = "D", 'Per 60 PP'!$K$527,'Per 60 PP'!$K$526)/60)*Proj[[#This Row],[TOI PP]]*Proj[[#This Row],[GP]],0)</f>
        <v>2</v>
      </c>
      <c r="R405" s="10">
        <f>ROUND(_xlfn.IFNA(INDEX(Table2[],MATCH(Proj[[#This Row],[Player]],Table2[Player],0),7)/60,IF(Proj[[#This Row],[Pos]] = "D", 'Per 60 PP'!$G$527,'Per 60 PP'!$G$526)/60)*Proj[[#This Row],[TOI PP]]*Proj[[#This Row],[GP]],0)</f>
        <v>3</v>
      </c>
      <c r="S405" s="10">
        <f>Proj[[#This Row],[PPG]]+Proj[[#This Row],[PPA]]</f>
        <v>5</v>
      </c>
      <c r="T405">
        <f>ROUND((_xlfn.IFNA(INDEX(Table3[],MATCH(Proj[[#This Row],[Player]],Table3[Player],0),6)/60,IF(Proj[[#This Row],[Pos]] ="D", 'Per 60 PK'!$F$623, 'Per 60 PK'!$F$622)/60)+_xlfn.IFNA(INDEX(Table3[],MATCH(Proj[[#This Row],[Player]],Table3[Player],0),8)/60,IF(Proj[[#This Row],[Pos]] ="D", 'Per 60 PK'!$H$623, 'Per 60 PK'!$H$622)/60))*Proj[[#This Row],[TOI PK]]*Proj[[#This Row],[GP]],0)</f>
        <v>0</v>
      </c>
      <c r="U4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127</v>
      </c>
      <c r="V4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4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98</v>
      </c>
      <c r="X4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4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4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161</v>
      </c>
      <c r="AA4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-525.75538720771954</v>
      </c>
      <c r="AB405" s="10">
        <f>_xlfn.RANK.EQ(Proj[[#This Row],[VOR]],Proj[VOR])</f>
        <v>440</v>
      </c>
      <c r="AC405" s="10">
        <f>INDEX(Std[],MATCH(Proj[[#This Row],[Player]],Std[Player],0),20)</f>
        <v>208.87846710257904</v>
      </c>
      <c r="AD4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351.25</v>
      </c>
    </row>
    <row r="406" spans="1:30" x14ac:dyDescent="0.25">
      <c r="A406" t="s">
        <v>880</v>
      </c>
      <c r="B406">
        <v>31</v>
      </c>
      <c r="C406" t="s">
        <v>3</v>
      </c>
      <c r="D406" t="s">
        <v>30</v>
      </c>
      <c r="E406" s="9">
        <f>INDEX(Table1[],MATCH(Proj[[#This Row],[Player]],Table1[Player],0),5)</f>
        <v>17.945297800671199</v>
      </c>
      <c r="F406" s="9">
        <f>_xlfn.IFNA(INDEX(Table2[],MATCH(Proj[[#This Row],[Player]],Table2[Player],0),5),0)</f>
        <v>0.35</v>
      </c>
      <c r="G406" s="9">
        <f>_xlfn.IFNA(INDEX(Table3[],MATCH(Proj[[#This Row],[Player]],Table3[Player],0),5),0)</f>
        <v>2.14</v>
      </c>
      <c r="H406" s="10">
        <v>76</v>
      </c>
      <c r="I406">
        <v>76</v>
      </c>
      <c r="J406" s="9">
        <v>17.945297800671199</v>
      </c>
      <c r="K406" s="9">
        <v>0.35</v>
      </c>
      <c r="L406" s="9">
        <v>2.14</v>
      </c>
      <c r="M406" s="9">
        <f>Proj[[#This Row],[TOI ES]]+Proj[[#This Row],[TOI PP]]+Proj[[#This Row],[TOI PK]]</f>
        <v>20.435297800671201</v>
      </c>
      <c r="N4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406">
        <f>Proj[[#This Row],[Goals]]+Proj[[#This Row],[Assists]]</f>
        <v>27</v>
      </c>
      <c r="Q406" s="10">
        <f>ROUND(_xlfn.IFNA(INDEX(Table2[],MATCH(Proj[[#This Row],[Player]],Table2[Player],0),11)/60,IF(Proj[[#This Row],[Pos]] = "D", 'Per 60 PP'!$K$527,'Per 60 PP'!$K$526)/60)*Proj[[#This Row],[TOI PP]]*Proj[[#This Row],[GP]],0)</f>
        <v>0</v>
      </c>
      <c r="R406" s="10">
        <f>ROUND(_xlfn.IFNA(INDEX(Table2[],MATCH(Proj[[#This Row],[Player]],Table2[Player],0),7)/60,IF(Proj[[#This Row],[Pos]] = "D", 'Per 60 PP'!$G$527,'Per 60 PP'!$G$526)/60)*Proj[[#This Row],[TOI PP]]*Proj[[#This Row],[GP]],0)</f>
        <v>2</v>
      </c>
      <c r="S406" s="10">
        <f>Proj[[#This Row],[PPG]]+Proj[[#This Row],[PPA]]</f>
        <v>2</v>
      </c>
      <c r="T406">
        <f>ROUND((_xlfn.IFNA(INDEX(Table3[],MATCH(Proj[[#This Row],[Player]],Table3[Player],0),6)/60,IF(Proj[[#This Row],[Pos]] ="D", 'Per 60 PK'!$F$623, 'Per 60 PK'!$F$622)/60)+_xlfn.IFNA(INDEX(Table3[],MATCH(Proj[[#This Row],[Player]],Table3[Player],0),8)/60,IF(Proj[[#This Row],[Pos]] ="D", 'Per 60 PK'!$H$623, 'Per 60 PK'!$H$622)/60))*Proj[[#This Row],[TOI PK]]*Proj[[#This Row],[GP]],0)</f>
        <v>1</v>
      </c>
      <c r="U4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190</v>
      </c>
      <c r="V4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153</v>
      </c>
      <c r="W4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4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4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94.920986352939366</v>
      </c>
      <c r="AB406" s="10">
        <f>_xlfn.RANK.EQ(Proj[[#This Row],[VOR]],Proj[VOR])</f>
        <v>126</v>
      </c>
      <c r="AC406" s="10">
        <f>INDEX(Std[],MATCH(Proj[[#This Row],[Player]],Std[Player],0),20)</f>
        <v>202.28575407240385</v>
      </c>
      <c r="AD4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390.2</v>
      </c>
    </row>
    <row r="407" spans="1:30" x14ac:dyDescent="0.25">
      <c r="A407" t="s">
        <v>362</v>
      </c>
      <c r="B407">
        <v>33</v>
      </c>
      <c r="C407" t="s">
        <v>104</v>
      </c>
      <c r="D407" t="s">
        <v>18</v>
      </c>
      <c r="E407" s="9">
        <f>INDEX(Table1[],MATCH(Proj[[#This Row],[Player]],Table1[Player],0),5)</f>
        <v>12.0005439425607</v>
      </c>
      <c r="F407" s="9">
        <f>_xlfn.IFNA(INDEX(Table2[],MATCH(Proj[[#This Row],[Player]],Table2[Player],0),5),0)</f>
        <v>0.65</v>
      </c>
      <c r="G407" s="9">
        <f>_xlfn.IFNA(INDEX(Table3[],MATCH(Proj[[#This Row],[Player]],Table3[Player],0),5),0)</f>
        <v>1.84</v>
      </c>
      <c r="H407" s="10">
        <v>74</v>
      </c>
      <c r="I407">
        <v>74</v>
      </c>
      <c r="J407" s="9">
        <v>12.0005439425607</v>
      </c>
      <c r="K407" s="9">
        <v>0.65</v>
      </c>
      <c r="L407" s="9">
        <v>1.84</v>
      </c>
      <c r="M407" s="9">
        <f>Proj[[#This Row],[TOI ES]]+Proj[[#This Row],[TOI PP]]+Proj[[#This Row],[TOI PK]]</f>
        <v>14.4905439425607</v>
      </c>
      <c r="N4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07" s="10">
        <f>Proj[[#This Row],[Goals]]+Proj[[#This Row],[Assists]]</f>
        <v>27</v>
      </c>
      <c r="Q407" s="10">
        <f>ROUND(_xlfn.IFNA(INDEX(Table2[],MATCH(Proj[[#This Row],[Player]],Table2[Player],0),11)/60,IF(Proj[[#This Row],[Pos]] = "D", 'Per 60 PP'!$K$527,'Per 60 PP'!$K$526)/60)*Proj[[#This Row],[TOI PP]]*Proj[[#This Row],[GP]],0)</f>
        <v>1</v>
      </c>
      <c r="R407" s="10">
        <f>ROUND(_xlfn.IFNA(INDEX(Table2[],MATCH(Proj[[#This Row],[Player]],Table2[Player],0),7)/60,IF(Proj[[#This Row],[Pos]] = "D", 'Per 60 PP'!$G$527,'Per 60 PP'!$G$526)/60)*Proj[[#This Row],[TOI PP]]*Proj[[#This Row],[GP]],0)</f>
        <v>0</v>
      </c>
      <c r="S407" s="10">
        <f>Proj[[#This Row],[PPG]]+Proj[[#This Row],[PPA]]</f>
        <v>1</v>
      </c>
      <c r="T407">
        <f>ROUND((_xlfn.IFNA(INDEX(Table3[],MATCH(Proj[[#This Row],[Player]],Table3[Player],0),6)/60,IF(Proj[[#This Row],[Pos]] ="D", 'Per 60 PK'!$F$623, 'Per 60 PK'!$F$622)/60)+_xlfn.IFNA(INDEX(Table3[],MATCH(Proj[[#This Row],[Player]],Table3[Player],0),8)/60,IF(Proj[[#This Row],[Pos]] ="D", 'Per 60 PK'!$H$623, 'Per 60 PK'!$H$622)/60))*Proj[[#This Row],[TOI PK]]*Proj[[#This Row],[GP]],0)</f>
        <v>1</v>
      </c>
      <c r="U4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214</v>
      </c>
      <c r="V4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4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89</v>
      </c>
      <c r="X4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4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4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78</v>
      </c>
      <c r="AA4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-250.46843328610635</v>
      </c>
      <c r="AB407" s="10">
        <f>_xlfn.RANK.EQ(Proj[[#This Row],[VOR]],Proj[VOR])</f>
        <v>279</v>
      </c>
      <c r="AC407" s="10">
        <f>INDEX(Std[],MATCH(Proj[[#This Row],[Player]],Std[Player],0),20)</f>
        <v>196.07629110414254</v>
      </c>
      <c r="AD4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364.54999999999995</v>
      </c>
    </row>
    <row r="408" spans="1:30" x14ac:dyDescent="0.25">
      <c r="A408" t="s">
        <v>295</v>
      </c>
      <c r="B408">
        <v>27</v>
      </c>
      <c r="C408" t="s">
        <v>104</v>
      </c>
      <c r="D408" t="s">
        <v>155</v>
      </c>
      <c r="E408" s="9">
        <f>INDEX(Table1[],MATCH(Proj[[#This Row],[Player]],Table1[Player],0),5)</f>
        <v>12</v>
      </c>
      <c r="F408" s="9">
        <f>_xlfn.IFNA(INDEX(Table2[],MATCH(Proj[[#This Row],[Player]],Table2[Player],0),5),0)</f>
        <v>1.05</v>
      </c>
      <c r="G408" s="9">
        <f>_xlfn.IFNA(INDEX(Table3[],MATCH(Proj[[#This Row],[Player]],Table3[Player],0),5),0)</f>
        <v>2.1</v>
      </c>
      <c r="H408" s="10">
        <v>76</v>
      </c>
      <c r="I408">
        <v>76</v>
      </c>
      <c r="J408" s="9">
        <v>12</v>
      </c>
      <c r="K408" s="9">
        <v>1.05</v>
      </c>
      <c r="L408" s="9">
        <v>2.1</v>
      </c>
      <c r="M408" s="9">
        <f>Proj[[#This Row],[TOI ES]]+Proj[[#This Row],[TOI PP]]+Proj[[#This Row],[TOI PK]]</f>
        <v>15.15</v>
      </c>
      <c r="N4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08">
        <f>Proj[[#This Row],[Goals]]+Proj[[#This Row],[Assists]]</f>
        <v>27</v>
      </c>
      <c r="Q408" s="10">
        <f>ROUND(_xlfn.IFNA(INDEX(Table2[],MATCH(Proj[[#This Row],[Player]],Table2[Player],0),11)/60,IF(Proj[[#This Row],[Pos]] = "D", 'Per 60 PP'!$K$527,'Per 60 PP'!$K$526)/60)*Proj[[#This Row],[TOI PP]]*Proj[[#This Row],[GP]],0)</f>
        <v>2</v>
      </c>
      <c r="R408" s="10">
        <f>ROUND(_xlfn.IFNA(INDEX(Table2[],MATCH(Proj[[#This Row],[Player]],Table2[Player],0),7)/60,IF(Proj[[#This Row],[Pos]] = "D", 'Per 60 PP'!$G$527,'Per 60 PP'!$G$526)/60)*Proj[[#This Row],[TOI PP]]*Proj[[#This Row],[GP]],0)</f>
        <v>2</v>
      </c>
      <c r="S408" s="10">
        <f>Proj[[#This Row],[PPG]]+Proj[[#This Row],[PPA]]</f>
        <v>4</v>
      </c>
      <c r="T408">
        <f>ROUND((_xlfn.IFNA(INDEX(Table3[],MATCH(Proj[[#This Row],[Player]],Table3[Player],0),6)/60,IF(Proj[[#This Row],[Pos]] ="D", 'Per 60 PK'!$F$623, 'Per 60 PK'!$F$622)/60)+_xlfn.IFNA(INDEX(Table3[],MATCH(Proj[[#This Row],[Player]],Table3[Player],0),8)/60,IF(Proj[[#This Row],[Pos]] ="D", 'Per 60 PK'!$H$623, 'Per 60 PK'!$H$622)/60))*Proj[[#This Row],[TOI PK]]*Proj[[#This Row],[GP]],0)</f>
        <v>1</v>
      </c>
      <c r="U4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271</v>
      </c>
      <c r="V4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4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115</v>
      </c>
      <c r="X4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v>
      </c>
      <c r="Y4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58</v>
      </c>
      <c r="Z4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88.977434590195742</v>
      </c>
      <c r="AB408" s="10">
        <f>_xlfn.RANK.EQ(Proj[[#This Row],[VOR]],Proj[VOR])</f>
        <v>129</v>
      </c>
      <c r="AC408" s="10">
        <f>INDEX(Std[],MATCH(Proj[[#This Row],[Player]],Std[Player],0),20)</f>
        <v>535.5221589804446</v>
      </c>
      <c r="AD4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433.1</v>
      </c>
    </row>
    <row r="409" spans="1:30" x14ac:dyDescent="0.25">
      <c r="A409" t="s">
        <v>1056</v>
      </c>
      <c r="B409">
        <v>27</v>
      </c>
      <c r="C409" t="s">
        <v>3</v>
      </c>
      <c r="D409" t="s">
        <v>22</v>
      </c>
      <c r="E409" s="9">
        <f>INDEX(Table1[],MATCH(Proj[[#This Row],[Player]],Table1[Player],0),5)</f>
        <v>17.788658141856398</v>
      </c>
      <c r="F409" s="9">
        <f>_xlfn.IFNA(INDEX(Table2[],MATCH(Proj[[#This Row],[Player]],Table2[Player],0),5),0)</f>
        <v>2.15</v>
      </c>
      <c r="G409" s="9">
        <f>_xlfn.IFNA(INDEX(Table3[],MATCH(Proj[[#This Row],[Player]],Table3[Player],0),5),0)</f>
        <v>0</v>
      </c>
      <c r="H409" s="10">
        <v>72</v>
      </c>
      <c r="I409">
        <v>72</v>
      </c>
      <c r="J409" s="9">
        <v>17.788658141856398</v>
      </c>
      <c r="K409" s="9">
        <v>2.15</v>
      </c>
      <c r="L409" s="9">
        <v>0</v>
      </c>
      <c r="M409" s="9">
        <f>Proj[[#This Row],[TOI ES]]+Proj[[#This Row],[TOI PP]]+Proj[[#This Row],[TOI PK]]</f>
        <v>19.938658141856397</v>
      </c>
      <c r="N4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4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09" s="10">
        <f>Proj[[#This Row],[Goals]]+Proj[[#This Row],[Assists]]</f>
        <v>26</v>
      </c>
      <c r="Q409" s="10">
        <f>ROUND(_xlfn.IFNA(INDEX(Table2[],MATCH(Proj[[#This Row],[Player]],Table2[Player],0),11)/60,IF(Proj[[#This Row],[Pos]] = "D", 'Per 60 PP'!$K$527,'Per 60 PP'!$K$526)/60)*Proj[[#This Row],[TOI PP]]*Proj[[#This Row],[GP]],0)</f>
        <v>1</v>
      </c>
      <c r="R409" s="10">
        <f>ROUND(_xlfn.IFNA(INDEX(Table2[],MATCH(Proj[[#This Row],[Player]],Table2[Player],0),7)/60,IF(Proj[[#This Row],[Pos]] = "D", 'Per 60 PP'!$G$527,'Per 60 PP'!$G$526)/60)*Proj[[#This Row],[TOI PP]]*Proj[[#This Row],[GP]],0)</f>
        <v>8</v>
      </c>
      <c r="S409" s="10">
        <f>Proj[[#This Row],[PPG]]+Proj[[#This Row],[PPA]]</f>
        <v>9</v>
      </c>
      <c r="T409">
        <f>ROUND((_xlfn.IFNA(INDEX(Table3[],MATCH(Proj[[#This Row],[Player]],Table3[Player],0),6)/60,IF(Proj[[#This Row],[Pos]] ="D", 'Per 60 PK'!$F$623, 'Per 60 PK'!$F$622)/60)+_xlfn.IFNA(INDEX(Table3[],MATCH(Proj[[#This Row],[Player]],Table3[Player],0),8)/60,IF(Proj[[#This Row],[Pos]] ="D", 'Per 60 PK'!$H$623, 'Per 60 PK'!$H$622)/60))*Proj[[#This Row],[TOI PK]]*Proj[[#This Row],[GP]],0)</f>
        <v>0</v>
      </c>
      <c r="U4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33</v>
      </c>
      <c r="V4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98</v>
      </c>
      <c r="W4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4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122</v>
      </c>
      <c r="AA4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-313.6887480424424</v>
      </c>
      <c r="AB409" s="10">
        <f>_xlfn.RANK.EQ(Proj[[#This Row],[VOR]],Proj[VOR])</f>
        <v>319</v>
      </c>
      <c r="AC409" s="10">
        <f>INDEX(Std[],MATCH(Proj[[#This Row],[Player]],Std[Player],0),20)</f>
        <v>-206.32398032297789</v>
      </c>
      <c r="AD4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278.65000000000003</v>
      </c>
    </row>
    <row r="410" spans="1:30" x14ac:dyDescent="0.25">
      <c r="A410" t="s">
        <v>734</v>
      </c>
      <c r="B410">
        <v>25</v>
      </c>
      <c r="C410" t="s">
        <v>74</v>
      </c>
      <c r="D410" t="s">
        <v>25</v>
      </c>
      <c r="E410" s="9">
        <f>INDEX(Table1[],MATCH(Proj[[#This Row],[Player]],Table1[Player],0),5)</f>
        <v>11.2751632934404</v>
      </c>
      <c r="F410" s="9">
        <f>_xlfn.IFNA(INDEX(Table2[],MATCH(Proj[[#This Row],[Player]],Table2[Player],0),5),0)</f>
        <v>2.39</v>
      </c>
      <c r="G410" s="9">
        <f>_xlfn.IFNA(INDEX(Table3[],MATCH(Proj[[#This Row],[Player]],Table3[Player],0),5),0)</f>
        <v>0.56999999999999995</v>
      </c>
      <c r="H410" s="10">
        <v>61</v>
      </c>
      <c r="I410">
        <v>61</v>
      </c>
      <c r="J410" s="9">
        <v>11.2751632934404</v>
      </c>
      <c r="K410" s="9">
        <v>2.39</v>
      </c>
      <c r="L410" s="9">
        <v>0.56999999999999995</v>
      </c>
      <c r="M410" s="9">
        <f>Proj[[#This Row],[TOI ES]]+Proj[[#This Row],[TOI PP]]+Proj[[#This Row],[TOI PK]]</f>
        <v>14.235163293440401</v>
      </c>
      <c r="N4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10">
        <f>Proj[[#This Row],[Goals]]+Proj[[#This Row],[Assists]]</f>
        <v>26</v>
      </c>
      <c r="Q410" s="10">
        <f>ROUND(_xlfn.IFNA(INDEX(Table2[],MATCH(Proj[[#This Row],[Player]],Table2[Player],0),11)/60,IF(Proj[[#This Row],[Pos]] = "D", 'Per 60 PP'!$K$527,'Per 60 PP'!$K$526)/60)*Proj[[#This Row],[TOI PP]]*Proj[[#This Row],[GP]],0)</f>
        <v>4</v>
      </c>
      <c r="R410" s="10">
        <f>ROUND(_xlfn.IFNA(INDEX(Table2[],MATCH(Proj[[#This Row],[Player]],Table2[Player],0),7)/60,IF(Proj[[#This Row],[Pos]] = "D", 'Per 60 PP'!$G$527,'Per 60 PP'!$G$526)/60)*Proj[[#This Row],[TOI PP]]*Proj[[#This Row],[GP]],0)</f>
        <v>3</v>
      </c>
      <c r="S410" s="10">
        <f>Proj[[#This Row],[PPG]]+Proj[[#This Row],[PPA]]</f>
        <v>7</v>
      </c>
      <c r="T410">
        <f>ROUND((_xlfn.IFNA(INDEX(Table3[],MATCH(Proj[[#This Row],[Player]],Table3[Player],0),6)/60,IF(Proj[[#This Row],[Pos]] ="D", 'Per 60 PK'!$F$623, 'Per 60 PK'!$F$622)/60)+_xlfn.IFNA(INDEX(Table3[],MATCH(Proj[[#This Row],[Player]],Table3[Player],0),8)/60,IF(Proj[[#This Row],[Pos]] ="D", 'Per 60 PK'!$H$623, 'Per 60 PK'!$H$622)/60))*Proj[[#This Row],[TOI PK]]*Proj[[#This Row],[GP]],0)</f>
        <v>0</v>
      </c>
      <c r="U4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4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4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4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184</v>
      </c>
      <c r="Y4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201</v>
      </c>
      <c r="Z4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4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-1003.2905189020348</v>
      </c>
      <c r="AB410" s="10">
        <f>_xlfn.RANK.EQ(Proj[[#This Row],[VOR]],Proj[VOR])</f>
        <v>659</v>
      </c>
      <c r="AC410" s="10">
        <f>INDEX(Std[],MATCH(Proj[[#This Row],[Player]],Std[Player],0),20)</f>
        <v>-268.65666459173622</v>
      </c>
      <c r="AD4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263.59999999999997</v>
      </c>
    </row>
    <row r="411" spans="1:30" x14ac:dyDescent="0.25">
      <c r="A411" t="s">
        <v>1021</v>
      </c>
      <c r="B411">
        <v>24</v>
      </c>
      <c r="C411" t="s">
        <v>3</v>
      </c>
      <c r="D411" t="s">
        <v>1101</v>
      </c>
      <c r="E411" s="9">
        <f>INDEX(Table1[],MATCH(Proj[[#This Row],[Player]],Table1[Player],0),5)</f>
        <v>14.622669500612799</v>
      </c>
      <c r="F411" s="9">
        <f>_xlfn.IFNA(INDEX(Table2[],MATCH(Proj[[#This Row],[Player]],Table2[Player],0),5),0)</f>
        <v>2.58</v>
      </c>
      <c r="G411" s="9">
        <f>_xlfn.IFNA(INDEX(Table3[],MATCH(Proj[[#This Row],[Player]],Table3[Player],0),5),0)</f>
        <v>0</v>
      </c>
      <c r="H411" s="10">
        <v>74</v>
      </c>
      <c r="I411">
        <v>74</v>
      </c>
      <c r="J411" s="9">
        <v>14.622669500612799</v>
      </c>
      <c r="K411" s="9">
        <v>2.58</v>
      </c>
      <c r="L411" s="9">
        <v>0</v>
      </c>
      <c r="M411" s="9">
        <f>Proj[[#This Row],[TOI ES]]+Proj[[#This Row],[TOI PP]]+Proj[[#This Row],[TOI PK]]</f>
        <v>17.202669500612799</v>
      </c>
      <c r="N4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11" s="10">
        <f>Proj[[#This Row],[Goals]]+Proj[[#This Row],[Assists]]</f>
        <v>26</v>
      </c>
      <c r="Q411" s="10">
        <f>ROUND(_xlfn.IFNA(INDEX(Table2[],MATCH(Proj[[#This Row],[Player]],Table2[Player],0),11)/60,IF(Proj[[#This Row],[Pos]] = "D", 'Per 60 PP'!$K$527,'Per 60 PP'!$K$526)/60)*Proj[[#This Row],[TOI PP]]*Proj[[#This Row],[GP]],0)</f>
        <v>1</v>
      </c>
      <c r="R411" s="10">
        <f>ROUND(_xlfn.IFNA(INDEX(Table2[],MATCH(Proj[[#This Row],[Player]],Table2[Player],0),7)/60,IF(Proj[[#This Row],[Pos]] = "D", 'Per 60 PP'!$G$527,'Per 60 PP'!$G$526)/60)*Proj[[#This Row],[TOI PP]]*Proj[[#This Row],[GP]],0)</f>
        <v>11</v>
      </c>
      <c r="S411" s="10">
        <f>Proj[[#This Row],[PPG]]+Proj[[#This Row],[PPA]]</f>
        <v>12</v>
      </c>
      <c r="T411">
        <f>ROUND((_xlfn.IFNA(INDEX(Table3[],MATCH(Proj[[#This Row],[Player]],Table3[Player],0),6)/60,IF(Proj[[#This Row],[Pos]] ="D", 'Per 60 PK'!$F$623, 'Per 60 PK'!$F$622)/60)+_xlfn.IFNA(INDEX(Table3[],MATCH(Proj[[#This Row],[Player]],Table3[Player],0),8)/60,IF(Proj[[#This Row],[Pos]] ="D", 'Per 60 PK'!$H$623, 'Per 60 PK'!$H$622)/60))*Proj[[#This Row],[TOI PK]]*Proj[[#This Row],[GP]],0)</f>
        <v>0</v>
      </c>
      <c r="U4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4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4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4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96</v>
      </c>
      <c r="AA4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-302.96127434878281</v>
      </c>
      <c r="AB411" s="10">
        <f>_xlfn.RANK.EQ(Proj[[#This Row],[VOR]],Proj[VOR])</f>
        <v>310</v>
      </c>
      <c r="AC411" s="10">
        <f>INDEX(Std[],MATCH(Proj[[#This Row],[Player]],Std[Player],0),20)</f>
        <v>-195.59650662931833</v>
      </c>
      <c r="AD4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262.75</v>
      </c>
    </row>
    <row r="412" spans="1:30" x14ac:dyDescent="0.25">
      <c r="A412" t="s">
        <v>474</v>
      </c>
      <c r="B412">
        <v>39</v>
      </c>
      <c r="C412" t="s">
        <v>103</v>
      </c>
      <c r="D412" t="s">
        <v>16</v>
      </c>
      <c r="E412" s="9">
        <f>INDEX(Table1[],MATCH(Proj[[#This Row],[Player]],Table1[Player],0),5)</f>
        <v>11.328154334023999</v>
      </c>
      <c r="F412" s="9">
        <f>_xlfn.IFNA(INDEX(Table2[],MATCH(Proj[[#This Row],[Player]],Table2[Player],0),5),0)</f>
        <v>1.76</v>
      </c>
      <c r="G412" s="9">
        <f>_xlfn.IFNA(INDEX(Table3[],MATCH(Proj[[#This Row],[Player]],Table3[Player],0),5),0)</f>
        <v>0</v>
      </c>
      <c r="H412" s="10">
        <v>66</v>
      </c>
      <c r="I412">
        <v>66</v>
      </c>
      <c r="J412" s="9">
        <v>11.328154334023999</v>
      </c>
      <c r="K412" s="9">
        <v>1.76</v>
      </c>
      <c r="L412" s="9">
        <v>0</v>
      </c>
      <c r="M412" s="9">
        <f>Proj[[#This Row],[TOI ES]]+Proj[[#This Row],[TOI PP]]+Proj[[#This Row],[TOI PK]]</f>
        <v>13.088154334023999</v>
      </c>
      <c r="N4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12" s="10">
        <f>Proj[[#This Row],[Goals]]+Proj[[#This Row],[Assists]]</f>
        <v>26</v>
      </c>
      <c r="Q412" s="10">
        <f>ROUND(_xlfn.IFNA(INDEX(Table2[],MATCH(Proj[[#This Row],[Player]],Table2[Player],0),11)/60,IF(Proj[[#This Row],[Pos]] = "D", 'Per 60 PP'!$K$527,'Per 60 PP'!$K$526)/60)*Proj[[#This Row],[TOI PP]]*Proj[[#This Row],[GP]],0)</f>
        <v>4</v>
      </c>
      <c r="R412" s="10">
        <f>ROUND(_xlfn.IFNA(INDEX(Table2[],MATCH(Proj[[#This Row],[Player]],Table2[Player],0),7)/60,IF(Proj[[#This Row],[Pos]] = "D", 'Per 60 PP'!$G$527,'Per 60 PP'!$G$526)/60)*Proj[[#This Row],[TOI PP]]*Proj[[#This Row],[GP]],0)</f>
        <v>2</v>
      </c>
      <c r="S412" s="10">
        <f>Proj[[#This Row],[PPG]]+Proj[[#This Row],[PPA]]</f>
        <v>6</v>
      </c>
      <c r="T412">
        <f>ROUND((_xlfn.IFNA(INDEX(Table3[],MATCH(Proj[[#This Row],[Player]],Table3[Player],0),6)/60,IF(Proj[[#This Row],[Pos]] ="D", 'Per 60 PK'!$F$623, 'Per 60 PK'!$F$622)/60)+_xlfn.IFNA(INDEX(Table3[],MATCH(Proj[[#This Row],[Player]],Table3[Player],0),8)/60,IF(Proj[[#This Row],[Pos]] ="D", 'Per 60 PK'!$H$623, 'Per 60 PK'!$H$622)/60))*Proj[[#This Row],[TOI PK]]*Proj[[#This Row],[GP]],0)</f>
        <v>0</v>
      </c>
      <c r="U4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4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4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71</v>
      </c>
      <c r="X4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4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v>
      </c>
      <c r="Z4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102</v>
      </c>
      <c r="AA4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-636.49150191008562</v>
      </c>
      <c r="AB412" s="10">
        <f>_xlfn.RANK.EQ(Proj[[#This Row],[VOR]],Proj[VOR])</f>
        <v>494</v>
      </c>
      <c r="AC412" s="10">
        <f>INDEX(Std[],MATCH(Proj[[#This Row],[Player]],Std[Player],0),20)</f>
        <v>-189.94677751983679</v>
      </c>
      <c r="AD4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255.25</v>
      </c>
    </row>
    <row r="413" spans="1:30" x14ac:dyDescent="0.25">
      <c r="A413" t="s">
        <v>487</v>
      </c>
      <c r="B413">
        <v>29</v>
      </c>
      <c r="C413" t="s">
        <v>102</v>
      </c>
      <c r="D413" t="s">
        <v>15</v>
      </c>
      <c r="E413" s="9">
        <f>INDEX(Table1[],MATCH(Proj[[#This Row],[Player]],Table1[Player],0),5)</f>
        <v>10.6616367901995</v>
      </c>
      <c r="F413" s="9">
        <f>_xlfn.IFNA(INDEX(Table2[],MATCH(Proj[[#This Row],[Player]],Table2[Player],0),5),0)</f>
        <v>1.95</v>
      </c>
      <c r="G413" s="9">
        <f>_xlfn.IFNA(INDEX(Table3[],MATCH(Proj[[#This Row],[Player]],Table3[Player],0),5),0)</f>
        <v>0</v>
      </c>
      <c r="H413" s="10">
        <v>77</v>
      </c>
      <c r="I413">
        <v>77</v>
      </c>
      <c r="J413" s="9">
        <v>10.6616367901995</v>
      </c>
      <c r="K413" s="9">
        <v>1.95</v>
      </c>
      <c r="L413" s="9">
        <v>0</v>
      </c>
      <c r="M413" s="9">
        <f>Proj[[#This Row],[TOI ES]]+Proj[[#This Row],[TOI PP]]+Proj[[#This Row],[TOI PK]]</f>
        <v>12.611636790199499</v>
      </c>
      <c r="N4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13">
        <f>Proj[[#This Row],[Goals]]+Proj[[#This Row],[Assists]]</f>
        <v>26</v>
      </c>
      <c r="Q413" s="10">
        <f>ROUND(_xlfn.IFNA(INDEX(Table2[],MATCH(Proj[[#This Row],[Player]],Table2[Player],0),11)/60,IF(Proj[[#This Row],[Pos]] = "D", 'Per 60 PP'!$K$527,'Per 60 PP'!$K$526)/60)*Proj[[#This Row],[TOI PP]]*Proj[[#This Row],[GP]],0)</f>
        <v>4</v>
      </c>
      <c r="R413" s="10">
        <f>ROUND(_xlfn.IFNA(INDEX(Table2[],MATCH(Proj[[#This Row],[Player]],Table2[Player],0),7)/60,IF(Proj[[#This Row],[Pos]] = "D", 'Per 60 PP'!$G$527,'Per 60 PP'!$G$526)/60)*Proj[[#This Row],[TOI PP]]*Proj[[#This Row],[GP]],0)</f>
        <v>5</v>
      </c>
      <c r="S413" s="10">
        <f>Proj[[#This Row],[PPG]]+Proj[[#This Row],[PPA]]</f>
        <v>9</v>
      </c>
      <c r="T413">
        <f>ROUND((_xlfn.IFNA(INDEX(Table3[],MATCH(Proj[[#This Row],[Player]],Table3[Player],0),6)/60,IF(Proj[[#This Row],[Pos]] ="D", 'Per 60 PK'!$F$623, 'Per 60 PK'!$F$622)/60)+_xlfn.IFNA(INDEX(Table3[],MATCH(Proj[[#This Row],[Player]],Table3[Player],0),8)/60,IF(Proj[[#This Row],[Pos]] ="D", 'Per 60 PK'!$H$623, 'Per 60 PK'!$H$622)/60))*Proj[[#This Row],[TOI PK]]*Proj[[#This Row],[GP]],0)</f>
        <v>0</v>
      </c>
      <c r="U4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4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4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4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v>
      </c>
      <c r="Y4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4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113</v>
      </c>
      <c r="AA4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-828.13182647805593</v>
      </c>
      <c r="AB413" s="10">
        <f>_xlfn.RANK.EQ(Proj[[#This Row],[VOR]],Proj[VOR])</f>
        <v>604</v>
      </c>
      <c r="AC413" s="10">
        <f>INDEX(Std[],MATCH(Proj[[#This Row],[Player]],Std[Player],0),20)</f>
        <v>-356.58710208780701</v>
      </c>
      <c r="AD4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249.75</v>
      </c>
    </row>
    <row r="414" spans="1:30" x14ac:dyDescent="0.25">
      <c r="A414" t="s">
        <v>369</v>
      </c>
      <c r="B414">
        <v>36</v>
      </c>
      <c r="C414" t="s">
        <v>3</v>
      </c>
      <c r="D414" t="s">
        <v>1101</v>
      </c>
      <c r="E414" s="9">
        <f>INDEX(Table1[],MATCH(Proj[[#This Row],[Player]],Table1[Player],0),5)</f>
        <v>14.5205120043574</v>
      </c>
      <c r="F414" s="9">
        <f>_xlfn.IFNA(INDEX(Table2[],MATCH(Proj[[#This Row],[Player]],Table2[Player],0),5),0)</f>
        <v>1.53</v>
      </c>
      <c r="G414" s="9">
        <f>_xlfn.IFNA(INDEX(Table3[],MATCH(Proj[[#This Row],[Player]],Table3[Player],0),5),0)</f>
        <v>1.5</v>
      </c>
      <c r="H414" s="10">
        <v>70</v>
      </c>
      <c r="I414">
        <v>70</v>
      </c>
      <c r="J414" s="9">
        <v>14.5205120043574</v>
      </c>
      <c r="K414" s="9">
        <v>1.53</v>
      </c>
      <c r="L414" s="9">
        <v>1.5</v>
      </c>
      <c r="M414" s="9">
        <f>Proj[[#This Row],[TOI ES]]+Proj[[#This Row],[TOI PP]]+Proj[[#This Row],[TOI PK]]</f>
        <v>17.550512004357401</v>
      </c>
      <c r="N4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14" s="10">
        <f>Proj[[#This Row],[Goals]]+Proj[[#This Row],[Assists]]</f>
        <v>26</v>
      </c>
      <c r="Q414" s="10">
        <f>ROUND(_xlfn.IFNA(INDEX(Table2[],MATCH(Proj[[#This Row],[Player]],Table2[Player],0),11)/60,IF(Proj[[#This Row],[Pos]] = "D", 'Per 60 PP'!$K$527,'Per 60 PP'!$K$526)/60)*Proj[[#This Row],[TOI PP]]*Proj[[#This Row],[GP]],0)</f>
        <v>1</v>
      </c>
      <c r="R414" s="10">
        <f>ROUND(_xlfn.IFNA(INDEX(Table2[],MATCH(Proj[[#This Row],[Player]],Table2[Player],0),7)/60,IF(Proj[[#This Row],[Pos]] = "D", 'Per 60 PP'!$G$527,'Per 60 PP'!$G$526)/60)*Proj[[#This Row],[TOI PP]]*Proj[[#This Row],[GP]],0)</f>
        <v>9</v>
      </c>
      <c r="S414" s="10">
        <f>Proj[[#This Row],[PPG]]+Proj[[#This Row],[PPA]]</f>
        <v>10</v>
      </c>
      <c r="T414">
        <f>ROUND((_xlfn.IFNA(INDEX(Table3[],MATCH(Proj[[#This Row],[Player]],Table3[Player],0),6)/60,IF(Proj[[#This Row],[Pos]] ="D", 'Per 60 PK'!$F$623, 'Per 60 PK'!$F$622)/60)+_xlfn.IFNA(INDEX(Table3[],MATCH(Proj[[#This Row],[Player]],Table3[Player],0),8)/60,IF(Proj[[#This Row],[Pos]] ="D", 'Per 60 PK'!$H$623, 'Per 60 PK'!$H$622)/60))*Proj[[#This Row],[TOI PK]]*Proj[[#This Row],[GP]],0)</f>
        <v>0</v>
      </c>
      <c r="U4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4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4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4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102</v>
      </c>
      <c r="AA4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-229.8725249666366</v>
      </c>
      <c r="AB414" s="10">
        <f>_xlfn.RANK.EQ(Proj[[#This Row],[VOR]],Proj[VOR])</f>
        <v>268</v>
      </c>
      <c r="AC414" s="10">
        <f>INDEX(Std[],MATCH(Proj[[#This Row],[Player]],Std[Player],0),20)</f>
        <v>-122.50775724717211</v>
      </c>
      <c r="AD4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294.14999999999998</v>
      </c>
    </row>
    <row r="415" spans="1:30" x14ac:dyDescent="0.25">
      <c r="A415" t="s">
        <v>715</v>
      </c>
      <c r="B415">
        <v>31</v>
      </c>
      <c r="C415" t="s">
        <v>103</v>
      </c>
      <c r="D415" t="s">
        <v>6</v>
      </c>
      <c r="E415" s="9">
        <f>INDEX(Table1[],MATCH(Proj[[#This Row],[Player]],Table1[Player],0),5)</f>
        <v>12.1960345105075</v>
      </c>
      <c r="F415" s="9">
        <f>_xlfn.IFNA(INDEX(Table2[],MATCH(Proj[[#This Row],[Player]],Table2[Player],0),5),0)</f>
        <v>1.1499999999999999</v>
      </c>
      <c r="G415" s="9">
        <f>_xlfn.IFNA(INDEX(Table3[],MATCH(Proj[[#This Row],[Player]],Table3[Player],0),5),0)</f>
        <v>2.65</v>
      </c>
      <c r="H415" s="10">
        <v>72</v>
      </c>
      <c r="I415">
        <v>72</v>
      </c>
      <c r="J415" s="9">
        <v>12.1960345105075</v>
      </c>
      <c r="K415" s="9">
        <v>1.1499999999999999</v>
      </c>
      <c r="L415" s="9">
        <v>2.65</v>
      </c>
      <c r="M415" s="9">
        <f>Proj[[#This Row],[TOI ES]]+Proj[[#This Row],[TOI PP]]+Proj[[#This Row],[TOI PK]]</f>
        <v>15.996034510507501</v>
      </c>
      <c r="N4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14</v>
      </c>
      <c r="O4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15">
        <f>Proj[[#This Row],[Goals]]+Proj[[#This Row],[Assists]]</f>
        <v>26</v>
      </c>
      <c r="Q415" s="10">
        <f>ROUND(_xlfn.IFNA(INDEX(Table2[],MATCH(Proj[[#This Row],[Player]],Table2[Player],0),11)/60,IF(Proj[[#This Row],[Pos]] = "D", 'Per 60 PP'!$K$527,'Per 60 PP'!$K$526)/60)*Proj[[#This Row],[TOI PP]]*Proj[[#This Row],[GP]],0)</f>
        <v>2</v>
      </c>
      <c r="R415" s="10">
        <f>ROUND(_xlfn.IFNA(INDEX(Table2[],MATCH(Proj[[#This Row],[Player]],Table2[Player],0),7)/60,IF(Proj[[#This Row],[Pos]] = "D", 'Per 60 PP'!$G$527,'Per 60 PP'!$G$526)/60)*Proj[[#This Row],[TOI PP]]*Proj[[#This Row],[GP]],0)</f>
        <v>2</v>
      </c>
      <c r="S415" s="10">
        <f>Proj[[#This Row],[PPG]]+Proj[[#This Row],[PPA]]</f>
        <v>4</v>
      </c>
      <c r="T415">
        <f>ROUND((_xlfn.IFNA(INDEX(Table3[],MATCH(Proj[[#This Row],[Player]],Table3[Player],0),6)/60,IF(Proj[[#This Row],[Pos]] ="D", 'Per 60 PK'!$F$623, 'Per 60 PK'!$F$622)/60)+_xlfn.IFNA(INDEX(Table3[],MATCH(Proj[[#This Row],[Player]],Table3[Player],0),8)/60,IF(Proj[[#This Row],[Pos]] ="D", 'Per 60 PK'!$H$623, 'Per 60 PK'!$H$622)/60))*Proj[[#This Row],[TOI PK]]*Proj[[#This Row],[GP]],0)</f>
        <v>1</v>
      </c>
      <c r="U4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4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4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4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v>
      </c>
      <c r="Y4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v>
      </c>
      <c r="Z4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4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-679.71998354603863</v>
      </c>
      <c r="AB415" s="10">
        <f>_xlfn.RANK.EQ(Proj[[#This Row],[VOR]],Proj[VOR])</f>
        <v>517</v>
      </c>
      <c r="AC415" s="10">
        <f>INDEX(Std[],MATCH(Proj[[#This Row],[Player]],Std[Player],0),20)</f>
        <v>-233.17525915578977</v>
      </c>
      <c r="AD4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284</v>
      </c>
    </row>
    <row r="416" spans="1:30" x14ac:dyDescent="0.25">
      <c r="A416" t="s">
        <v>590</v>
      </c>
      <c r="B416">
        <v>28</v>
      </c>
      <c r="C416" t="s">
        <v>74</v>
      </c>
      <c r="D416" t="s">
        <v>6</v>
      </c>
      <c r="E416" s="9">
        <f>INDEX(Table1[],MATCH(Proj[[#This Row],[Player]],Table1[Player],0),5)</f>
        <v>12.5586856352607</v>
      </c>
      <c r="F416" s="9">
        <f>_xlfn.IFNA(INDEX(Table2[],MATCH(Proj[[#This Row],[Player]],Table2[Player],0),5),0)</f>
        <v>0</v>
      </c>
      <c r="G416" s="9">
        <f>_xlfn.IFNA(INDEX(Table3[],MATCH(Proj[[#This Row],[Player]],Table3[Player],0),5),0)</f>
        <v>3.08</v>
      </c>
      <c r="H416" s="10">
        <v>77</v>
      </c>
      <c r="I416">
        <v>77</v>
      </c>
      <c r="J416" s="9">
        <v>12.5586856352607</v>
      </c>
      <c r="K416" s="9">
        <v>0</v>
      </c>
      <c r="L416" s="9">
        <v>3.08</v>
      </c>
      <c r="M416" s="9">
        <f>Proj[[#This Row],[TOI ES]]+Proj[[#This Row],[TOI PP]]+Proj[[#This Row],[TOI PK]]</f>
        <v>15.6386856352607</v>
      </c>
      <c r="N4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4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16" s="10">
        <f>Proj[[#This Row],[Goals]]+Proj[[#This Row],[Assists]]</f>
        <v>26</v>
      </c>
      <c r="Q416" s="10">
        <f>ROUND(_xlfn.IFNA(INDEX(Table2[],MATCH(Proj[[#This Row],[Player]],Table2[Player],0),11)/60,IF(Proj[[#This Row],[Pos]] = "D", 'Per 60 PP'!$K$527,'Per 60 PP'!$K$526)/60)*Proj[[#This Row],[TOI PP]]*Proj[[#This Row],[GP]],0)</f>
        <v>0</v>
      </c>
      <c r="R416" s="10">
        <f>ROUND(_xlfn.IFNA(INDEX(Table2[],MATCH(Proj[[#This Row],[Player]],Table2[Player],0),7)/60,IF(Proj[[#This Row],[Pos]] = "D", 'Per 60 PP'!$G$527,'Per 60 PP'!$G$526)/60)*Proj[[#This Row],[TOI PP]]*Proj[[#This Row],[GP]],0)</f>
        <v>0</v>
      </c>
      <c r="S416" s="10">
        <f>Proj[[#This Row],[PPG]]+Proj[[#This Row],[PPA]]</f>
        <v>0</v>
      </c>
      <c r="T416">
        <f>ROUND((_xlfn.IFNA(INDEX(Table3[],MATCH(Proj[[#This Row],[Player]],Table3[Player],0),6)/60,IF(Proj[[#This Row],[Pos]] ="D", 'Per 60 PK'!$F$623, 'Per 60 PK'!$F$622)/60)+_xlfn.IFNA(INDEX(Table3[],MATCH(Proj[[#This Row],[Player]],Table3[Player],0),8)/60,IF(Proj[[#This Row],[Pos]] ="D", 'Per 60 PK'!$H$623, 'Per 60 PK'!$H$622)/60))*Proj[[#This Row],[TOI PK]]*Proj[[#This Row],[GP]],0)</f>
        <v>2</v>
      </c>
      <c r="U4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4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62</v>
      </c>
      <c r="W4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4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512</v>
      </c>
      <c r="Y4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481</v>
      </c>
      <c r="Z4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4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-826.39508124668259</v>
      </c>
      <c r="AB416" s="10">
        <f>_xlfn.RANK.EQ(Proj[[#This Row],[VOR]],Proj[VOR])</f>
        <v>603</v>
      </c>
      <c r="AC416" s="10">
        <f>INDEX(Std[],MATCH(Proj[[#This Row],[Player]],Std[Player],0),20)</f>
        <v>-91.761226936383977</v>
      </c>
      <c r="AD4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303.34999999999997</v>
      </c>
    </row>
    <row r="417" spans="1:30" x14ac:dyDescent="0.25">
      <c r="A417" t="s">
        <v>757</v>
      </c>
      <c r="B417">
        <v>26</v>
      </c>
      <c r="C417" t="s">
        <v>3</v>
      </c>
      <c r="D417" t="s">
        <v>30</v>
      </c>
      <c r="E417" s="9">
        <f>INDEX(Table1[],MATCH(Proj[[#This Row],[Player]],Table1[Player],0),5)</f>
        <v>14.543486429891701</v>
      </c>
      <c r="F417" s="9">
        <f>_xlfn.IFNA(INDEX(Table2[],MATCH(Proj[[#This Row],[Player]],Table2[Player],0),5),0)</f>
        <v>1.6</v>
      </c>
      <c r="G417" s="9">
        <f>_xlfn.IFNA(INDEX(Table3[],MATCH(Proj[[#This Row],[Player]],Table3[Player],0),5),0)</f>
        <v>0</v>
      </c>
      <c r="H417" s="10">
        <v>62</v>
      </c>
      <c r="I417">
        <v>62</v>
      </c>
      <c r="J417" s="9">
        <v>14.543486429891701</v>
      </c>
      <c r="K417" s="9">
        <v>1.6</v>
      </c>
      <c r="L417" s="9">
        <v>0</v>
      </c>
      <c r="M417" s="9">
        <f>Proj[[#This Row],[TOI ES]]+Proj[[#This Row],[TOI PP]]+Proj[[#This Row],[TOI PK]]</f>
        <v>16.143486429891702</v>
      </c>
      <c r="N4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417" s="10">
        <f>Proj[[#This Row],[Goals]]+Proj[[#This Row],[Assists]]</f>
        <v>26</v>
      </c>
      <c r="Q417" s="10">
        <f>ROUND(_xlfn.IFNA(INDEX(Table2[],MATCH(Proj[[#This Row],[Player]],Table2[Player],0),11)/60,IF(Proj[[#This Row],[Pos]] = "D", 'Per 60 PP'!$K$527,'Per 60 PP'!$K$526)/60)*Proj[[#This Row],[TOI PP]]*Proj[[#This Row],[GP]],0)</f>
        <v>1</v>
      </c>
      <c r="R417" s="10">
        <f>ROUND(_xlfn.IFNA(INDEX(Table2[],MATCH(Proj[[#This Row],[Player]],Table2[Player],0),7)/60,IF(Proj[[#This Row],[Pos]] = "D", 'Per 60 PP'!$G$527,'Per 60 PP'!$G$526)/60)*Proj[[#This Row],[TOI PP]]*Proj[[#This Row],[GP]],0)</f>
        <v>7</v>
      </c>
      <c r="S417" s="10">
        <f>Proj[[#This Row],[PPG]]+Proj[[#This Row],[PPA]]</f>
        <v>8</v>
      </c>
      <c r="T417">
        <f>ROUND((_xlfn.IFNA(INDEX(Table3[],MATCH(Proj[[#This Row],[Player]],Table3[Player],0),6)/60,IF(Proj[[#This Row],[Pos]] ="D", 'Per 60 PK'!$F$623, 'Per 60 PK'!$F$622)/60)+_xlfn.IFNA(INDEX(Table3[],MATCH(Proj[[#This Row],[Player]],Table3[Player],0),8)/60,IF(Proj[[#This Row],[Pos]] ="D", 'Per 60 PK'!$H$623, 'Per 60 PK'!$H$622)/60))*Proj[[#This Row],[TOI PK]]*Proj[[#This Row],[GP]],0)</f>
        <v>0</v>
      </c>
      <c r="U4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4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64</v>
      </c>
      <c r="W4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4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63</v>
      </c>
      <c r="AA4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-405.01387309549727</v>
      </c>
      <c r="AB417" s="10">
        <f>_xlfn.RANK.EQ(Proj[[#This Row],[VOR]],Proj[VOR])</f>
        <v>375</v>
      </c>
      <c r="AC417" s="10">
        <f>INDEX(Std[],MATCH(Proj[[#This Row],[Player]],Std[Player],0),20)</f>
        <v>-297.64910537603276</v>
      </c>
      <c r="AD4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249.79999999999998</v>
      </c>
    </row>
    <row r="418" spans="1:30" x14ac:dyDescent="0.25">
      <c r="A418" t="s">
        <v>738</v>
      </c>
      <c r="B418">
        <v>31</v>
      </c>
      <c r="C418" t="s">
        <v>103</v>
      </c>
      <c r="D418" t="s">
        <v>23</v>
      </c>
      <c r="E418" s="9">
        <f>INDEX(Table1[],MATCH(Proj[[#This Row],[Player]],Table1[Player],0),5)</f>
        <v>12.461861751989</v>
      </c>
      <c r="F418" s="9">
        <f>_xlfn.IFNA(INDEX(Table2[],MATCH(Proj[[#This Row],[Player]],Table2[Player],0),5),0)</f>
        <v>0.15</v>
      </c>
      <c r="G418" s="9">
        <f>_xlfn.IFNA(INDEX(Table3[],MATCH(Proj[[#This Row],[Player]],Table3[Player],0),5),0)</f>
        <v>1.1599999999999999</v>
      </c>
      <c r="H418" s="10">
        <v>73</v>
      </c>
      <c r="I418">
        <v>73</v>
      </c>
      <c r="J418" s="9">
        <v>12.461861751989</v>
      </c>
      <c r="K418" s="9">
        <v>0.15</v>
      </c>
      <c r="L418" s="9">
        <v>1.1599999999999999</v>
      </c>
      <c r="M418" s="9">
        <f>Proj[[#This Row],[TOI ES]]+Proj[[#This Row],[TOI PP]]+Proj[[#This Row],[TOI PK]]</f>
        <v>13.771861751989</v>
      </c>
      <c r="N4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18" s="10">
        <f>Proj[[#This Row],[Goals]]+Proj[[#This Row],[Assists]]</f>
        <v>26</v>
      </c>
      <c r="Q418" s="10">
        <f>ROUND(_xlfn.IFNA(INDEX(Table2[],MATCH(Proj[[#This Row],[Player]],Table2[Player],0),11)/60,IF(Proj[[#This Row],[Pos]] = "D", 'Per 60 PP'!$K$527,'Per 60 PP'!$K$526)/60)*Proj[[#This Row],[TOI PP]]*Proj[[#This Row],[GP]],0)</f>
        <v>0</v>
      </c>
      <c r="R418" s="10">
        <f>ROUND(_xlfn.IFNA(INDEX(Table2[],MATCH(Proj[[#This Row],[Player]],Table2[Player],0),7)/60,IF(Proj[[#This Row],[Pos]] = "D", 'Per 60 PP'!$G$527,'Per 60 PP'!$G$526)/60)*Proj[[#This Row],[TOI PP]]*Proj[[#This Row],[GP]],0)</f>
        <v>0</v>
      </c>
      <c r="S418" s="10">
        <f>Proj[[#This Row],[PPG]]+Proj[[#This Row],[PPA]]</f>
        <v>0</v>
      </c>
      <c r="T418">
        <f>ROUND((_xlfn.IFNA(INDEX(Table3[],MATCH(Proj[[#This Row],[Player]],Table3[Player],0),6)/60,IF(Proj[[#This Row],[Pos]] ="D", 'Per 60 PK'!$F$623, 'Per 60 PK'!$F$622)/60)+_xlfn.IFNA(INDEX(Table3[],MATCH(Proj[[#This Row],[Player]],Table3[Player],0),8)/60,IF(Proj[[#This Row],[Pos]] ="D", 'Per 60 PK'!$H$623, 'Per 60 PK'!$H$622)/60))*Proj[[#This Row],[TOI PK]]*Proj[[#This Row],[GP]],0)</f>
        <v>0</v>
      </c>
      <c r="U4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102</v>
      </c>
      <c r="V4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4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4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178</v>
      </c>
      <c r="Y4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178</v>
      </c>
      <c r="Z4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4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-681.2449569378241</v>
      </c>
      <c r="AB418" s="10">
        <f>_xlfn.RANK.EQ(Proj[[#This Row],[VOR]],Proj[VOR])</f>
        <v>519</v>
      </c>
      <c r="AC418" s="10">
        <f>INDEX(Std[],MATCH(Proj[[#This Row],[Player]],Std[Player],0),20)</f>
        <v>-234.70023254757524</v>
      </c>
      <c r="AD4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290.55</v>
      </c>
    </row>
    <row r="419" spans="1:30" x14ac:dyDescent="0.25">
      <c r="A419" t="s">
        <v>751</v>
      </c>
      <c r="B419">
        <v>25</v>
      </c>
      <c r="C419" t="s">
        <v>74</v>
      </c>
      <c r="D419" t="s">
        <v>2</v>
      </c>
      <c r="E419" s="9">
        <f>INDEX(Table1[],MATCH(Proj[[#This Row],[Player]],Table1[Player],0),5)</f>
        <v>12.177624740192799</v>
      </c>
      <c r="F419" s="9">
        <f>_xlfn.IFNA(INDEX(Table2[],MATCH(Proj[[#This Row],[Player]],Table2[Player],0),5),0)</f>
        <v>1.1100000000000001</v>
      </c>
      <c r="G419" s="9">
        <f>_xlfn.IFNA(INDEX(Table3[],MATCH(Proj[[#This Row],[Player]],Table3[Player],0),5),0)</f>
        <v>0.76</v>
      </c>
      <c r="H419" s="10">
        <v>81</v>
      </c>
      <c r="I419">
        <v>81</v>
      </c>
      <c r="J419" s="9">
        <v>12.177624740192799</v>
      </c>
      <c r="K419" s="9">
        <v>1.1100000000000001</v>
      </c>
      <c r="L419" s="9">
        <v>0.76</v>
      </c>
      <c r="M419" s="9">
        <f>Proj[[#This Row],[TOI ES]]+Proj[[#This Row],[TOI PP]]+Proj[[#This Row],[TOI PK]]</f>
        <v>14.047624740192798</v>
      </c>
      <c r="N4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19" s="10">
        <f>Proj[[#This Row],[Goals]]+Proj[[#This Row],[Assists]]</f>
        <v>26</v>
      </c>
      <c r="Q419" s="10">
        <f>ROUND(_xlfn.IFNA(INDEX(Table2[],MATCH(Proj[[#This Row],[Player]],Table2[Player],0),11)/60,IF(Proj[[#This Row],[Pos]] = "D", 'Per 60 PP'!$K$527,'Per 60 PP'!$K$526)/60)*Proj[[#This Row],[TOI PP]]*Proj[[#This Row],[GP]],0)</f>
        <v>3</v>
      </c>
      <c r="R419" s="10">
        <f>ROUND(_xlfn.IFNA(INDEX(Table2[],MATCH(Proj[[#This Row],[Player]],Table2[Player],0),7)/60,IF(Proj[[#This Row],[Pos]] = "D", 'Per 60 PP'!$G$527,'Per 60 PP'!$G$526)/60)*Proj[[#This Row],[TOI PP]]*Proj[[#This Row],[GP]],0)</f>
        <v>3</v>
      </c>
      <c r="S419" s="10">
        <f>Proj[[#This Row],[PPG]]+Proj[[#This Row],[PPA]]</f>
        <v>6</v>
      </c>
      <c r="T419">
        <f>ROUND((_xlfn.IFNA(INDEX(Table3[],MATCH(Proj[[#This Row],[Player]],Table3[Player],0),6)/60,IF(Proj[[#This Row],[Pos]] ="D", 'Per 60 PK'!$F$623, 'Per 60 PK'!$F$622)/60)+_xlfn.IFNA(INDEX(Table3[],MATCH(Proj[[#This Row],[Player]],Table3[Player],0),8)/60,IF(Proj[[#This Row],[Pos]] ="D", 'Per 60 PK'!$H$623, 'Per 60 PK'!$H$622)/60))*Proj[[#This Row],[TOI PK]]*Proj[[#This Row],[GP]],0)</f>
        <v>1</v>
      </c>
      <c r="U4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107</v>
      </c>
      <c r="V4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4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4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298</v>
      </c>
      <c r="Y4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325</v>
      </c>
      <c r="Z4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92</v>
      </c>
      <c r="AA4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-837.53594528551298</v>
      </c>
      <c r="AB419" s="10">
        <f>_xlfn.RANK.EQ(Proj[[#This Row],[VOR]],Proj[VOR])</f>
        <v>608</v>
      </c>
      <c r="AC419" s="10">
        <f>INDEX(Std[],MATCH(Proj[[#This Row],[Player]],Std[Player],0),20)</f>
        <v>-102.90209097521436</v>
      </c>
      <c r="AD4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305.45</v>
      </c>
    </row>
    <row r="420" spans="1:30" x14ac:dyDescent="0.25">
      <c r="A420" t="s">
        <v>663</v>
      </c>
      <c r="B420">
        <v>34</v>
      </c>
      <c r="C420" t="s">
        <v>74</v>
      </c>
      <c r="D420" t="s">
        <v>29</v>
      </c>
      <c r="E420" s="9">
        <f>INDEX(Table1[],MATCH(Proj[[#This Row],[Player]],Table1[Player],0),5)</f>
        <v>12.559147010900499</v>
      </c>
      <c r="F420" s="9">
        <f>_xlfn.IFNA(INDEX(Table2[],MATCH(Proj[[#This Row],[Player]],Table2[Player],0),5),0)</f>
        <v>0</v>
      </c>
      <c r="G420" s="9">
        <f>_xlfn.IFNA(INDEX(Table3[],MATCH(Proj[[#This Row],[Player]],Table3[Player],0),5),0)</f>
        <v>2.2999999999999998</v>
      </c>
      <c r="H420" s="10">
        <v>73</v>
      </c>
      <c r="I420">
        <v>73</v>
      </c>
      <c r="J420" s="9">
        <v>12.559147010900499</v>
      </c>
      <c r="K420" s="9">
        <v>0</v>
      </c>
      <c r="L420" s="9">
        <v>2.2999999999999998</v>
      </c>
      <c r="M420" s="9">
        <f>Proj[[#This Row],[TOI ES]]+Proj[[#This Row],[TOI PP]]+Proj[[#This Row],[TOI PK]]</f>
        <v>14.8591470109005</v>
      </c>
      <c r="N4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20">
        <f>Proj[[#This Row],[Goals]]+Proj[[#This Row],[Assists]]</f>
        <v>26</v>
      </c>
      <c r="Q420" s="10">
        <f>ROUND(_xlfn.IFNA(INDEX(Table2[],MATCH(Proj[[#This Row],[Player]],Table2[Player],0),11)/60,IF(Proj[[#This Row],[Pos]] = "D", 'Per 60 PP'!$K$527,'Per 60 PP'!$K$526)/60)*Proj[[#This Row],[TOI PP]]*Proj[[#This Row],[GP]],0)</f>
        <v>0</v>
      </c>
      <c r="R420" s="10">
        <f>ROUND(_xlfn.IFNA(INDEX(Table2[],MATCH(Proj[[#This Row],[Player]],Table2[Player],0),7)/60,IF(Proj[[#This Row],[Pos]] = "D", 'Per 60 PP'!$G$527,'Per 60 PP'!$G$526)/60)*Proj[[#This Row],[TOI PP]]*Proj[[#This Row],[GP]],0)</f>
        <v>0</v>
      </c>
      <c r="S420" s="10">
        <f>Proj[[#This Row],[PPG]]+Proj[[#This Row],[PPA]]</f>
        <v>0</v>
      </c>
      <c r="T420">
        <f>ROUND((_xlfn.IFNA(INDEX(Table3[],MATCH(Proj[[#This Row],[Player]],Table3[Player],0),6)/60,IF(Proj[[#This Row],[Pos]] ="D", 'Per 60 PK'!$F$623, 'Per 60 PK'!$F$622)/60)+_xlfn.IFNA(INDEX(Table3[],MATCH(Proj[[#This Row],[Player]],Table3[Player],0),8)/60,IF(Proj[[#This Row],[Pos]] ="D", 'Per 60 PK'!$H$623, 'Per 60 PK'!$H$622)/60))*Proj[[#This Row],[TOI PK]]*Proj[[#This Row],[GP]],0)</f>
        <v>1</v>
      </c>
      <c r="U4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134</v>
      </c>
      <c r="V4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76</v>
      </c>
      <c r="W4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4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528</v>
      </c>
      <c r="Y4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558</v>
      </c>
      <c r="Z4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75</v>
      </c>
      <c r="AA4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-595.81775526431102</v>
      </c>
      <c r="AB420" s="10">
        <f>_xlfn.RANK.EQ(Proj[[#This Row],[VOR]],Proj[VOR])</f>
        <v>479</v>
      </c>
      <c r="AC420" s="10">
        <f>INDEX(Std[],MATCH(Proj[[#This Row],[Player]],Std[Player],0),20)</f>
        <v>138.81609904598756</v>
      </c>
      <c r="AD4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360.25</v>
      </c>
    </row>
    <row r="421" spans="1:30" x14ac:dyDescent="0.25">
      <c r="A421" t="s">
        <v>856</v>
      </c>
      <c r="B421">
        <v>25</v>
      </c>
      <c r="C421" t="s">
        <v>74</v>
      </c>
      <c r="D421" t="s">
        <v>1240</v>
      </c>
      <c r="E421" s="9">
        <f>INDEX(Table1[],MATCH(Proj[[#This Row],[Player]],Table1[Player],0),5)</f>
        <v>11.008873249721001</v>
      </c>
      <c r="F421" s="9">
        <f>_xlfn.IFNA(INDEX(Table2[],MATCH(Proj[[#This Row],[Player]],Table2[Player],0),5),0)</f>
        <v>0</v>
      </c>
      <c r="G421" s="9">
        <f>_xlfn.IFNA(INDEX(Table3[],MATCH(Proj[[#This Row],[Player]],Table3[Player],0),5),0)</f>
        <v>1.82</v>
      </c>
      <c r="H421" s="10">
        <v>79</v>
      </c>
      <c r="I421">
        <v>79</v>
      </c>
      <c r="J421" s="9">
        <v>11.008873249721001</v>
      </c>
      <c r="K421" s="9">
        <v>0</v>
      </c>
      <c r="L421" s="9">
        <v>1.82</v>
      </c>
      <c r="M421" s="9">
        <f>Proj[[#This Row],[TOI ES]]+Proj[[#This Row],[TOI PP]]+Proj[[#This Row],[TOI PK]]</f>
        <v>12.828873249721001</v>
      </c>
      <c r="N4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4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21" s="10">
        <f>Proj[[#This Row],[Goals]]+Proj[[#This Row],[Assists]]</f>
        <v>26</v>
      </c>
      <c r="Q421" s="10">
        <f>ROUND(_xlfn.IFNA(INDEX(Table2[],MATCH(Proj[[#This Row],[Player]],Table2[Player],0),11)/60,IF(Proj[[#This Row],[Pos]] = "D", 'Per 60 PP'!$K$527,'Per 60 PP'!$K$526)/60)*Proj[[#This Row],[TOI PP]]*Proj[[#This Row],[GP]],0)</f>
        <v>0</v>
      </c>
      <c r="R421" s="10">
        <f>ROUND(_xlfn.IFNA(INDEX(Table2[],MATCH(Proj[[#This Row],[Player]],Table2[Player],0),7)/60,IF(Proj[[#This Row],[Pos]] = "D", 'Per 60 PP'!$G$527,'Per 60 PP'!$G$526)/60)*Proj[[#This Row],[TOI PP]]*Proj[[#This Row],[GP]],0)</f>
        <v>0</v>
      </c>
      <c r="S421" s="10">
        <f>Proj[[#This Row],[PPG]]+Proj[[#This Row],[PPA]]</f>
        <v>0</v>
      </c>
      <c r="T421">
        <f>ROUND((_xlfn.IFNA(INDEX(Table3[],MATCH(Proj[[#This Row],[Player]],Table3[Player],0),6)/60,IF(Proj[[#This Row],[Pos]] ="D", 'Per 60 PK'!$F$623, 'Per 60 PK'!$F$622)/60)+_xlfn.IFNA(INDEX(Table3[],MATCH(Proj[[#This Row],[Player]],Table3[Player],0),8)/60,IF(Proj[[#This Row],[Pos]] ="D", 'Per 60 PK'!$H$623, 'Per 60 PK'!$H$622)/60))*Proj[[#This Row],[TOI PK]]*Proj[[#This Row],[GP]],0)</f>
        <v>0</v>
      </c>
      <c r="U4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224</v>
      </c>
      <c r="V4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4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55</v>
      </c>
      <c r="X4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332</v>
      </c>
      <c r="Y4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410</v>
      </c>
      <c r="Z4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68</v>
      </c>
      <c r="AA4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-548.75314533834694</v>
      </c>
      <c r="AB421" s="10">
        <f>_xlfn.RANK.EQ(Proj[[#This Row],[VOR]],Proj[VOR])</f>
        <v>453</v>
      </c>
      <c r="AC421" s="10">
        <f>INDEX(Std[],MATCH(Proj[[#This Row],[Player]],Std[Player],0),20)</f>
        <v>185.88070897195172</v>
      </c>
      <c r="AD4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377.2</v>
      </c>
    </row>
    <row r="422" spans="1:30" x14ac:dyDescent="0.25">
      <c r="A422" t="s">
        <v>857</v>
      </c>
      <c r="B422">
        <v>22</v>
      </c>
      <c r="C422" t="s">
        <v>102</v>
      </c>
      <c r="D422" t="s">
        <v>21</v>
      </c>
      <c r="E422" s="9">
        <f>INDEX(Table1[],MATCH(Proj[[#This Row],[Player]],Table1[Player],0),5)</f>
        <v>12.6144929983935</v>
      </c>
      <c r="F422" s="9">
        <f>_xlfn.IFNA(INDEX(Table2[],MATCH(Proj[[#This Row],[Player]],Table2[Player],0),5),0)</f>
        <v>2.0099999999999998</v>
      </c>
      <c r="G422" s="9">
        <f>_xlfn.IFNA(INDEX(Table3[],MATCH(Proj[[#This Row],[Player]],Table3[Player],0),5),0)</f>
        <v>0</v>
      </c>
      <c r="H422" s="10">
        <v>67</v>
      </c>
      <c r="I422">
        <v>67</v>
      </c>
      <c r="J422" s="9">
        <v>12.6144929983935</v>
      </c>
      <c r="K422" s="9">
        <v>2.0099999999999998</v>
      </c>
      <c r="L422" s="9">
        <v>0</v>
      </c>
      <c r="M422" s="9">
        <f>Proj[[#This Row],[TOI ES]]+Proj[[#This Row],[TOI PP]]+Proj[[#This Row],[TOI PK]]</f>
        <v>14.624492998393499</v>
      </c>
      <c r="N4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22" s="10">
        <f>Proj[[#This Row],[Goals]]+Proj[[#This Row],[Assists]]</f>
        <v>25</v>
      </c>
      <c r="Q422" s="10">
        <f>ROUND(_xlfn.IFNA(INDEX(Table2[],MATCH(Proj[[#This Row],[Player]],Table2[Player],0),11)/60,IF(Proj[[#This Row],[Pos]] = "D", 'Per 60 PP'!$K$527,'Per 60 PP'!$K$526)/60)*Proj[[#This Row],[TOI PP]]*Proj[[#This Row],[GP]],0)</f>
        <v>3</v>
      </c>
      <c r="R422" s="10">
        <f>ROUND(_xlfn.IFNA(INDEX(Table2[],MATCH(Proj[[#This Row],[Player]],Table2[Player],0),7)/60,IF(Proj[[#This Row],[Pos]] = "D", 'Per 60 PP'!$G$527,'Per 60 PP'!$G$526)/60)*Proj[[#This Row],[TOI PP]]*Proj[[#This Row],[GP]],0)</f>
        <v>3</v>
      </c>
      <c r="S422" s="10">
        <f>Proj[[#This Row],[PPG]]+Proj[[#This Row],[PPA]]</f>
        <v>6</v>
      </c>
      <c r="T422">
        <f>ROUND((_xlfn.IFNA(INDEX(Table3[],MATCH(Proj[[#This Row],[Player]],Table3[Player],0),6)/60,IF(Proj[[#This Row],[Pos]] ="D", 'Per 60 PK'!$F$623, 'Per 60 PK'!$F$622)/60)+_xlfn.IFNA(INDEX(Table3[],MATCH(Proj[[#This Row],[Player]],Table3[Player],0),8)/60,IF(Proj[[#This Row],[Pos]] ="D", 'Per 60 PK'!$H$623, 'Per 60 PK'!$H$622)/60))*Proj[[#This Row],[TOI PK]]*Proj[[#This Row],[GP]],0)</f>
        <v>0</v>
      </c>
      <c r="U4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4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4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4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82</v>
      </c>
      <c r="Y4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100</v>
      </c>
      <c r="Z4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98</v>
      </c>
      <c r="AA4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-914.11828462210519</v>
      </c>
      <c r="AB422" s="10">
        <f>_xlfn.RANK.EQ(Proj[[#This Row],[VOR]],Proj[VOR])</f>
        <v>634</v>
      </c>
      <c r="AC422" s="10">
        <f>INDEX(Std[],MATCH(Proj[[#This Row],[Player]],Std[Player],0),20)</f>
        <v>-442.57356023185628</v>
      </c>
      <c r="AD4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225.19999999999996</v>
      </c>
    </row>
    <row r="423" spans="1:30" x14ac:dyDescent="0.25">
      <c r="A423" t="s">
        <v>480</v>
      </c>
      <c r="B423">
        <v>31</v>
      </c>
      <c r="C423" t="s">
        <v>3</v>
      </c>
      <c r="D423" t="s">
        <v>18</v>
      </c>
      <c r="E423" s="9">
        <f>INDEX(Table1[],MATCH(Proj[[#This Row],[Player]],Table1[Player],0),5)</f>
        <v>19.6393147793525</v>
      </c>
      <c r="F423" s="9">
        <f>_xlfn.IFNA(INDEX(Table2[],MATCH(Proj[[#This Row],[Player]],Table2[Player],0),5),0)</f>
        <v>0.74</v>
      </c>
      <c r="G423" s="9">
        <f>_xlfn.IFNA(INDEX(Table3[],MATCH(Proj[[#This Row],[Player]],Table3[Player],0),5),0)</f>
        <v>2.97</v>
      </c>
      <c r="H423" s="10">
        <v>74</v>
      </c>
      <c r="I423">
        <v>74</v>
      </c>
      <c r="J423" s="9">
        <v>19.6393147793525</v>
      </c>
      <c r="K423" s="9">
        <v>0.74</v>
      </c>
      <c r="L423" s="9">
        <v>2.97</v>
      </c>
      <c r="M423" s="9">
        <f>Proj[[#This Row],[TOI ES]]+Proj[[#This Row],[TOI PP]]+Proj[[#This Row],[TOI PK]]</f>
        <v>23.349314779352497</v>
      </c>
      <c r="N4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23" s="10">
        <f>Proj[[#This Row],[Goals]]+Proj[[#This Row],[Assists]]</f>
        <v>25</v>
      </c>
      <c r="Q423" s="10">
        <f>ROUND(_xlfn.IFNA(INDEX(Table2[],MATCH(Proj[[#This Row],[Player]],Table2[Player],0),11)/60,IF(Proj[[#This Row],[Pos]] = "D", 'Per 60 PP'!$K$527,'Per 60 PP'!$K$526)/60)*Proj[[#This Row],[TOI PP]]*Proj[[#This Row],[GP]],0)</f>
        <v>0</v>
      </c>
      <c r="R423" s="10">
        <f>ROUND(_xlfn.IFNA(INDEX(Table2[],MATCH(Proj[[#This Row],[Player]],Table2[Player],0),7)/60,IF(Proj[[#This Row],[Pos]] = "D", 'Per 60 PP'!$G$527,'Per 60 PP'!$G$526)/60)*Proj[[#This Row],[TOI PP]]*Proj[[#This Row],[GP]],0)</f>
        <v>1</v>
      </c>
      <c r="S423" s="10">
        <f>Proj[[#This Row],[PPG]]+Proj[[#This Row],[PPA]]</f>
        <v>1</v>
      </c>
      <c r="T423">
        <f>ROUND((_xlfn.IFNA(INDEX(Table3[],MATCH(Proj[[#This Row],[Player]],Table3[Player],0),6)/60,IF(Proj[[#This Row],[Pos]] ="D", 'Per 60 PK'!$F$623, 'Per 60 PK'!$F$622)/60)+_xlfn.IFNA(INDEX(Table3[],MATCH(Proj[[#This Row],[Player]],Table3[Player],0),8)/60,IF(Proj[[#This Row],[Pos]] ="D", 'Per 60 PK'!$H$623, 'Per 60 PK'!$H$622)/60))*Proj[[#This Row],[TOI PK]]*Proj[[#This Row],[GP]],0)</f>
        <v>1</v>
      </c>
      <c r="U4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v>
      </c>
      <c r="V4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166</v>
      </c>
      <c r="W4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4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123</v>
      </c>
      <c r="AA4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-255.69857315707753</v>
      </c>
      <c r="AB423" s="10">
        <f>_xlfn.RANK.EQ(Proj[[#This Row],[VOR]],Proj[VOR])</f>
        <v>282</v>
      </c>
      <c r="AC423" s="10">
        <f>INDEX(Std[],MATCH(Proj[[#This Row],[Player]],Std[Player],0),20)</f>
        <v>-148.33380543761305</v>
      </c>
      <c r="AD4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305.64999999999998</v>
      </c>
    </row>
    <row r="424" spans="1:30" x14ac:dyDescent="0.25">
      <c r="A424" t="s">
        <v>1198</v>
      </c>
      <c r="B424">
        <v>21</v>
      </c>
      <c r="C424" t="s">
        <v>3</v>
      </c>
      <c r="D424" t="s">
        <v>5</v>
      </c>
      <c r="E424" s="9">
        <f>INDEX(Table1[],MATCH(Proj[[#This Row],[Player]],Table1[Player],0),5)</f>
        <v>17.035389780886099</v>
      </c>
      <c r="F424" s="9">
        <f>_xlfn.IFNA(INDEX(Table2[],MATCH(Proj[[#This Row],[Player]],Table2[Player],0),5),0)</f>
        <v>1.81</v>
      </c>
      <c r="G424" s="9">
        <f>_xlfn.IFNA(INDEX(Table3[],MATCH(Proj[[#This Row],[Player]],Table3[Player],0),5),0)</f>
        <v>0</v>
      </c>
      <c r="H424" s="10">
        <v>72</v>
      </c>
      <c r="I424">
        <v>72</v>
      </c>
      <c r="J424" s="9">
        <v>17.035389780886099</v>
      </c>
      <c r="K424" s="9">
        <v>1.81</v>
      </c>
      <c r="L424" s="9">
        <v>0</v>
      </c>
      <c r="M424" s="9">
        <f>Proj[[#This Row],[TOI ES]]+Proj[[#This Row],[TOI PP]]+Proj[[#This Row],[TOI PK]]</f>
        <v>18.845389780886098</v>
      </c>
      <c r="N4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24" s="10">
        <f>Proj[[#This Row],[Goals]]+Proj[[#This Row],[Assists]]</f>
        <v>25</v>
      </c>
      <c r="Q424" s="10">
        <f>ROUND(_xlfn.IFNA(INDEX(Table2[],MATCH(Proj[[#This Row],[Player]],Table2[Player],0),11)/60,IF(Proj[[#This Row],[Pos]] = "D", 'Per 60 PP'!$K$527,'Per 60 PP'!$K$526)/60)*Proj[[#This Row],[TOI PP]]*Proj[[#This Row],[GP]],0)</f>
        <v>1</v>
      </c>
      <c r="R424" s="10">
        <f>ROUND(_xlfn.IFNA(INDEX(Table2[],MATCH(Proj[[#This Row],[Player]],Table2[Player],0),7)/60,IF(Proj[[#This Row],[Pos]] = "D", 'Per 60 PP'!$G$527,'Per 60 PP'!$G$526)/60)*Proj[[#This Row],[TOI PP]]*Proj[[#This Row],[GP]],0)</f>
        <v>6</v>
      </c>
      <c r="S424" s="10">
        <f>Proj[[#This Row],[PPG]]+Proj[[#This Row],[PPA]]</f>
        <v>7</v>
      </c>
      <c r="T424">
        <f>ROUND((_xlfn.IFNA(INDEX(Table3[],MATCH(Proj[[#This Row],[Player]],Table3[Player],0),6)/60,IF(Proj[[#This Row],[Pos]] ="D", 'Per 60 PK'!$F$623, 'Per 60 PK'!$F$622)/60)+_xlfn.IFNA(INDEX(Table3[],MATCH(Proj[[#This Row],[Player]],Table3[Player],0),8)/60,IF(Proj[[#This Row],[Pos]] ="D", 'Per 60 PK'!$H$623, 'Per 60 PK'!$H$622)/60))*Proj[[#This Row],[TOI PK]]*Proj[[#This Row],[GP]],0)</f>
        <v>0</v>
      </c>
      <c r="U4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4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101</v>
      </c>
      <c r="W4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4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98</v>
      </c>
      <c r="AA4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-360.20653247985808</v>
      </c>
      <c r="AB424" s="10">
        <f>_xlfn.RANK.EQ(Proj[[#This Row],[VOR]],Proj[VOR])</f>
        <v>353</v>
      </c>
      <c r="AC424" s="10">
        <f>INDEX(Std[],MATCH(Proj[[#This Row],[Player]],Std[Player],0),20)</f>
        <v>-252.8417647603936</v>
      </c>
      <c r="AD4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268.94999999999993</v>
      </c>
    </row>
    <row r="425" spans="1:30" x14ac:dyDescent="0.25">
      <c r="A425" t="s">
        <v>648</v>
      </c>
      <c r="B425">
        <v>25</v>
      </c>
      <c r="C425" t="s">
        <v>103</v>
      </c>
      <c r="D425" t="s">
        <v>154</v>
      </c>
      <c r="E425" s="9">
        <f>INDEX(Table1[],MATCH(Proj[[#This Row],[Player]],Table1[Player],0),5)</f>
        <v>12.033036006199801</v>
      </c>
      <c r="F425" s="9">
        <f>_xlfn.IFNA(INDEX(Table2[],MATCH(Proj[[#This Row],[Player]],Table2[Player],0),5),0)</f>
        <v>1.34</v>
      </c>
      <c r="G425" s="9">
        <f>_xlfn.IFNA(INDEX(Table3[],MATCH(Proj[[#This Row],[Player]],Table3[Player],0),5),0)</f>
        <v>0.53</v>
      </c>
      <c r="H425" s="10">
        <v>75</v>
      </c>
      <c r="I425">
        <v>75</v>
      </c>
      <c r="J425" s="9">
        <v>12.033036006199801</v>
      </c>
      <c r="K425" s="9">
        <v>1.34</v>
      </c>
      <c r="L425" s="9">
        <v>0.53</v>
      </c>
      <c r="M425" s="9">
        <f>Proj[[#This Row],[TOI ES]]+Proj[[#This Row],[TOI PP]]+Proj[[#This Row],[TOI PK]]</f>
        <v>13.9030360061998</v>
      </c>
      <c r="N4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25" s="10">
        <f>Proj[[#This Row],[Goals]]+Proj[[#This Row],[Assists]]</f>
        <v>25</v>
      </c>
      <c r="Q425" s="10">
        <f>ROUND(_xlfn.IFNA(INDEX(Table2[],MATCH(Proj[[#This Row],[Player]],Table2[Player],0),11)/60,IF(Proj[[#This Row],[Pos]] = "D", 'Per 60 PP'!$K$527,'Per 60 PP'!$K$526)/60)*Proj[[#This Row],[TOI PP]]*Proj[[#This Row],[GP]],0)</f>
        <v>3</v>
      </c>
      <c r="R425" s="10">
        <f>ROUND(_xlfn.IFNA(INDEX(Table2[],MATCH(Proj[[#This Row],[Player]],Table2[Player],0),7)/60,IF(Proj[[#This Row],[Pos]] = "D", 'Per 60 PP'!$G$527,'Per 60 PP'!$G$526)/60)*Proj[[#This Row],[TOI PP]]*Proj[[#This Row],[GP]],0)</f>
        <v>2</v>
      </c>
      <c r="S425" s="10">
        <f>Proj[[#This Row],[PPG]]+Proj[[#This Row],[PPA]]</f>
        <v>5</v>
      </c>
      <c r="T425">
        <f>ROUND((_xlfn.IFNA(INDEX(Table3[],MATCH(Proj[[#This Row],[Player]],Table3[Player],0),6)/60,IF(Proj[[#This Row],[Pos]] ="D", 'Per 60 PK'!$F$623, 'Per 60 PK'!$F$622)/60)+_xlfn.IFNA(INDEX(Table3[],MATCH(Proj[[#This Row],[Player]],Table3[Player],0),8)/60,IF(Proj[[#This Row],[Pos]] ="D", 'Per 60 PK'!$H$623, 'Per 60 PK'!$H$622)/60))*Proj[[#This Row],[TOI PK]]*Proj[[#This Row],[GP]],0)</f>
        <v>0</v>
      </c>
      <c r="U4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4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37</v>
      </c>
      <c r="W4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4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4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53</v>
      </c>
      <c r="Z4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143</v>
      </c>
      <c r="AA4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-791.93426245888872</v>
      </c>
      <c r="AB425" s="10">
        <f>_xlfn.RANK.EQ(Proj[[#This Row],[VOR]],Proj[VOR])</f>
        <v>583</v>
      </c>
      <c r="AC425" s="10">
        <f>INDEX(Std[],MATCH(Proj[[#This Row],[Player]],Std[Player],0),20)</f>
        <v>-345.38953806863981</v>
      </c>
      <c r="AD4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260.39999999999998</v>
      </c>
    </row>
    <row r="426" spans="1:30" x14ac:dyDescent="0.25">
      <c r="A426" t="s">
        <v>1219</v>
      </c>
      <c r="B426">
        <v>23</v>
      </c>
      <c r="C426" t="s">
        <v>74</v>
      </c>
      <c r="D426" t="s">
        <v>17</v>
      </c>
      <c r="E426" s="9">
        <f>INDEX(Table1[],MATCH(Proj[[#This Row],[Player]],Table1[Player],0),5)</f>
        <v>12.320437232275163</v>
      </c>
      <c r="F426" s="9">
        <f>_xlfn.IFNA(INDEX(Table2[],MATCH(Proj[[#This Row],[Player]],Table2[Player],0),5),0)</f>
        <v>0</v>
      </c>
      <c r="G426" s="9">
        <f>_xlfn.IFNA(INDEX(Table3[],MATCH(Proj[[#This Row],[Player]],Table3[Player],0),5),0)</f>
        <v>0</v>
      </c>
      <c r="H426" s="10">
        <v>72</v>
      </c>
      <c r="I426">
        <v>72</v>
      </c>
      <c r="J426" s="9">
        <v>12.320437232275163</v>
      </c>
      <c r="K426" s="9">
        <v>0</v>
      </c>
      <c r="L426" s="9">
        <v>0</v>
      </c>
      <c r="M426" s="9">
        <f>Proj[[#This Row],[TOI ES]]+Proj[[#This Row],[TOI PP]]+Proj[[#This Row],[TOI PK]]</f>
        <v>12.320437232275163</v>
      </c>
      <c r="N4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26" s="10">
        <f>Proj[[#This Row],[Goals]]+Proj[[#This Row],[Assists]]</f>
        <v>25</v>
      </c>
      <c r="Q426" s="10">
        <f>ROUND(_xlfn.IFNA(INDEX(Table2[],MATCH(Proj[[#This Row],[Player]],Table2[Player],0),11)/60,IF(Proj[[#This Row],[Pos]] = "D", 'Per 60 PP'!$K$527,'Per 60 PP'!$K$526)/60)*Proj[[#This Row],[TOI PP]]*Proj[[#This Row],[GP]],0)</f>
        <v>0</v>
      </c>
      <c r="R426" s="10">
        <f>ROUND(_xlfn.IFNA(INDEX(Table2[],MATCH(Proj[[#This Row],[Player]],Table2[Player],0),7)/60,IF(Proj[[#This Row],[Pos]] = "D", 'Per 60 PP'!$G$527,'Per 60 PP'!$G$526)/60)*Proj[[#This Row],[TOI PP]]*Proj[[#This Row],[GP]],0)</f>
        <v>0</v>
      </c>
      <c r="S426" s="10">
        <f>Proj[[#This Row],[PPG]]+Proj[[#This Row],[PPA]]</f>
        <v>0</v>
      </c>
      <c r="T426">
        <f>ROUND((_xlfn.IFNA(INDEX(Table3[],MATCH(Proj[[#This Row],[Player]],Table3[Player],0),6)/60,IF(Proj[[#This Row],[Pos]] ="D", 'Per 60 PK'!$F$623, 'Per 60 PK'!$F$622)/60)+_xlfn.IFNA(INDEX(Table3[],MATCH(Proj[[#This Row],[Player]],Table3[Player],0),8)/60,IF(Proj[[#This Row],[Pos]] ="D", 'Per 60 PK'!$H$623, 'Per 60 PK'!$H$622)/60))*Proj[[#This Row],[TOI PK]]*Proj[[#This Row],[GP]],0)</f>
        <v>0</v>
      </c>
      <c r="U4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4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4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4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207</v>
      </c>
      <c r="Y4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237</v>
      </c>
      <c r="Z4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99</v>
      </c>
      <c r="AA4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-1035.7924837960511</v>
      </c>
      <c r="AB426" s="10">
        <f>_xlfn.RANK.EQ(Proj[[#This Row],[VOR]],Proj[VOR])</f>
        <v>667</v>
      </c>
      <c r="AC426" s="10">
        <f>INDEX(Std[],MATCH(Proj[[#This Row],[Player]],Std[Player],0),20)</f>
        <v>-301.1586294857525</v>
      </c>
      <c r="AD4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259.2</v>
      </c>
    </row>
    <row r="427" spans="1:30" x14ac:dyDescent="0.25">
      <c r="A427" t="s">
        <v>702</v>
      </c>
      <c r="B427">
        <v>23</v>
      </c>
      <c r="C427" t="s">
        <v>3</v>
      </c>
      <c r="D427" t="s">
        <v>155</v>
      </c>
      <c r="E427" s="9">
        <f>INDEX(Table1[],MATCH(Proj[[#This Row],[Player]],Table1[Player],0),5)</f>
        <v>13.599511951483001</v>
      </c>
      <c r="F427" s="9">
        <f>_xlfn.IFNA(INDEX(Table2[],MATCH(Proj[[#This Row],[Player]],Table2[Player],0),5),0)</f>
        <v>1.65</v>
      </c>
      <c r="G427" s="9">
        <f>_xlfn.IFNA(INDEX(Table3[],MATCH(Proj[[#This Row],[Player]],Table3[Player],0),5),0)</f>
        <v>0</v>
      </c>
      <c r="H427" s="10">
        <v>76</v>
      </c>
      <c r="I427">
        <v>76</v>
      </c>
      <c r="J427" s="9">
        <v>13.599511951483001</v>
      </c>
      <c r="K427" s="9">
        <v>1.65</v>
      </c>
      <c r="L427" s="9">
        <v>0</v>
      </c>
      <c r="M427" s="9">
        <f>Proj[[#This Row],[TOI ES]]+Proj[[#This Row],[TOI PP]]+Proj[[#This Row],[TOI PK]]</f>
        <v>15.249511951483001</v>
      </c>
      <c r="N4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27" s="10">
        <f>Proj[[#This Row],[Goals]]+Proj[[#This Row],[Assists]]</f>
        <v>25</v>
      </c>
      <c r="Q427" s="10">
        <f>ROUND(_xlfn.IFNA(INDEX(Table2[],MATCH(Proj[[#This Row],[Player]],Table2[Player],0),11)/60,IF(Proj[[#This Row],[Pos]] = "D", 'Per 60 PP'!$K$527,'Per 60 PP'!$K$526)/60)*Proj[[#This Row],[TOI PP]]*Proj[[#This Row],[GP]],0)</f>
        <v>1</v>
      </c>
      <c r="R427" s="10">
        <f>ROUND(_xlfn.IFNA(INDEX(Table2[],MATCH(Proj[[#This Row],[Player]],Table2[Player],0),7)/60,IF(Proj[[#This Row],[Pos]] = "D", 'Per 60 PP'!$G$527,'Per 60 PP'!$G$526)/60)*Proj[[#This Row],[TOI PP]]*Proj[[#This Row],[GP]],0)</f>
        <v>6</v>
      </c>
      <c r="S427" s="10">
        <f>Proj[[#This Row],[PPG]]+Proj[[#This Row],[PPA]]</f>
        <v>7</v>
      </c>
      <c r="T427">
        <f>ROUND((_xlfn.IFNA(INDEX(Table3[],MATCH(Proj[[#This Row],[Player]],Table3[Player],0),6)/60,IF(Proj[[#This Row],[Pos]] ="D", 'Per 60 PK'!$F$623, 'Per 60 PK'!$F$622)/60)+_xlfn.IFNA(INDEX(Table3[],MATCH(Proj[[#This Row],[Player]],Table3[Player],0),8)/60,IF(Proj[[#This Row],[Pos]] ="D", 'Per 60 PK'!$H$623, 'Per 60 PK'!$H$622)/60))*Proj[[#This Row],[TOI PK]]*Proj[[#This Row],[GP]],0)</f>
        <v>0</v>
      </c>
      <c r="U4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4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72</v>
      </c>
      <c r="W4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4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91</v>
      </c>
      <c r="AA4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-457.54123335545148</v>
      </c>
      <c r="AB427" s="10">
        <f>_xlfn.RANK.EQ(Proj[[#This Row],[VOR]],Proj[VOR])</f>
        <v>399</v>
      </c>
      <c r="AC427" s="10">
        <f>INDEX(Std[],MATCH(Proj[[#This Row],[Player]],Std[Player],0),20)</f>
        <v>-350.17646563598703</v>
      </c>
      <c r="AD4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253.14999999999998</v>
      </c>
    </row>
    <row r="428" spans="1:30" x14ac:dyDescent="0.25">
      <c r="A428" t="s">
        <v>439</v>
      </c>
      <c r="B428">
        <v>26</v>
      </c>
      <c r="C428" t="s">
        <v>3</v>
      </c>
      <c r="D428" t="s">
        <v>11</v>
      </c>
      <c r="E428" s="9">
        <f>INDEX(Table1[],MATCH(Proj[[#This Row],[Player]],Table1[Player],0),5)</f>
        <v>16.8961395029289</v>
      </c>
      <c r="F428" s="9">
        <f>_xlfn.IFNA(INDEX(Table2[],MATCH(Proj[[#This Row],[Player]],Table2[Player],0),5),0)</f>
        <v>0.99</v>
      </c>
      <c r="G428" s="9">
        <f>_xlfn.IFNA(INDEX(Table3[],MATCH(Proj[[#This Row],[Player]],Table3[Player],0),5),0)</f>
        <v>1.79</v>
      </c>
      <c r="H428" s="10">
        <v>69</v>
      </c>
      <c r="I428">
        <v>69</v>
      </c>
      <c r="J428" s="9">
        <v>16.8961395029289</v>
      </c>
      <c r="K428" s="9">
        <v>0.99</v>
      </c>
      <c r="L428" s="9">
        <v>1.79</v>
      </c>
      <c r="M428" s="9">
        <f>Proj[[#This Row],[TOI ES]]+Proj[[#This Row],[TOI PP]]+Proj[[#This Row],[TOI PK]]</f>
        <v>19.676139502928898</v>
      </c>
      <c r="N4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28">
        <f>Proj[[#This Row],[Goals]]+Proj[[#This Row],[Assists]]</f>
        <v>25</v>
      </c>
      <c r="Q428" s="10">
        <f>ROUND(_xlfn.IFNA(INDEX(Table2[],MATCH(Proj[[#This Row],[Player]],Table2[Player],0),11)/60,IF(Proj[[#This Row],[Pos]] = "D", 'Per 60 PP'!$K$527,'Per 60 PP'!$K$526)/60)*Proj[[#This Row],[TOI PP]]*Proj[[#This Row],[GP]],0)</f>
        <v>0</v>
      </c>
      <c r="R428" s="10">
        <f>ROUND(_xlfn.IFNA(INDEX(Table2[],MATCH(Proj[[#This Row],[Player]],Table2[Player],0),7)/60,IF(Proj[[#This Row],[Pos]] = "D", 'Per 60 PP'!$G$527,'Per 60 PP'!$G$526)/60)*Proj[[#This Row],[TOI PP]]*Proj[[#This Row],[GP]],0)</f>
        <v>3</v>
      </c>
      <c r="S428" s="10">
        <f>Proj[[#This Row],[PPG]]+Proj[[#This Row],[PPA]]</f>
        <v>3</v>
      </c>
      <c r="T428">
        <f>ROUND((_xlfn.IFNA(INDEX(Table3[],MATCH(Proj[[#This Row],[Player]],Table3[Player],0),6)/60,IF(Proj[[#This Row],[Pos]] ="D", 'Per 60 PK'!$F$623, 'Per 60 PK'!$F$622)/60)+_xlfn.IFNA(INDEX(Table3[],MATCH(Proj[[#This Row],[Player]],Table3[Player],0),8)/60,IF(Proj[[#This Row],[Pos]] ="D", 'Per 60 PK'!$H$623, 'Per 60 PK'!$H$622)/60))*Proj[[#This Row],[TOI PK]]*Proj[[#This Row],[GP]],0)</f>
        <v>1</v>
      </c>
      <c r="U4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4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110</v>
      </c>
      <c r="W4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4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85</v>
      </c>
      <c r="AA4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-399.67332147375794</v>
      </c>
      <c r="AB428" s="10">
        <f>_xlfn.RANK.EQ(Proj[[#This Row],[VOR]],Proj[VOR])</f>
        <v>374</v>
      </c>
      <c r="AC428" s="10">
        <f>INDEX(Std[],MATCH(Proj[[#This Row],[Player]],Std[Player],0),20)</f>
        <v>-292.30855375429343</v>
      </c>
      <c r="AD4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273.95</v>
      </c>
    </row>
    <row r="429" spans="1:30" x14ac:dyDescent="0.25">
      <c r="A429" t="s">
        <v>1009</v>
      </c>
      <c r="B429">
        <v>23</v>
      </c>
      <c r="C429" t="s">
        <v>74</v>
      </c>
      <c r="D429" t="s">
        <v>7</v>
      </c>
      <c r="E429" s="9">
        <f>INDEX(Table1[],MATCH(Proj[[#This Row],[Player]],Table1[Player],0),5)</f>
        <v>13.013495501213299</v>
      </c>
      <c r="F429" s="9">
        <f>_xlfn.IFNA(INDEX(Table2[],MATCH(Proj[[#This Row],[Player]],Table2[Player],0),5),0)</f>
        <v>1.76</v>
      </c>
      <c r="G429" s="9">
        <f>_xlfn.IFNA(INDEX(Table3[],MATCH(Proj[[#This Row],[Player]],Table3[Player],0),5),0)</f>
        <v>0</v>
      </c>
      <c r="H429" s="10">
        <v>58</v>
      </c>
      <c r="I429">
        <v>58</v>
      </c>
      <c r="J429" s="9">
        <v>13.013495501213299</v>
      </c>
      <c r="K429" s="9">
        <v>1.76</v>
      </c>
      <c r="L429" s="9">
        <v>0</v>
      </c>
      <c r="M429" s="9">
        <f>Proj[[#This Row],[TOI ES]]+Proj[[#This Row],[TOI PP]]+Proj[[#This Row],[TOI PK]]</f>
        <v>14.773495501213299</v>
      </c>
      <c r="N4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4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29" s="10">
        <f>Proj[[#This Row],[Goals]]+Proj[[#This Row],[Assists]]</f>
        <v>25</v>
      </c>
      <c r="Q429" s="10">
        <f>ROUND(_xlfn.IFNA(INDEX(Table2[],MATCH(Proj[[#This Row],[Player]],Table2[Player],0),11)/60,IF(Proj[[#This Row],[Pos]] = "D", 'Per 60 PP'!$K$527,'Per 60 PP'!$K$526)/60)*Proj[[#This Row],[TOI PP]]*Proj[[#This Row],[GP]],0)</f>
        <v>2</v>
      </c>
      <c r="R429" s="10">
        <f>ROUND(_xlfn.IFNA(INDEX(Table2[],MATCH(Proj[[#This Row],[Player]],Table2[Player],0),7)/60,IF(Proj[[#This Row],[Pos]] = "D", 'Per 60 PP'!$G$527,'Per 60 PP'!$G$526)/60)*Proj[[#This Row],[TOI PP]]*Proj[[#This Row],[GP]],0)</f>
        <v>4</v>
      </c>
      <c r="S429" s="10">
        <f>Proj[[#This Row],[PPG]]+Proj[[#This Row],[PPA]]</f>
        <v>6</v>
      </c>
      <c r="T429">
        <f>ROUND((_xlfn.IFNA(INDEX(Table3[],MATCH(Proj[[#This Row],[Player]],Table3[Player],0),6)/60,IF(Proj[[#This Row],[Pos]] ="D", 'Per 60 PK'!$F$623, 'Per 60 PK'!$F$622)/60)+_xlfn.IFNA(INDEX(Table3[],MATCH(Proj[[#This Row],[Player]],Table3[Player],0),8)/60,IF(Proj[[#This Row],[Pos]] ="D", 'Per 60 PK'!$H$623, 'Per 60 PK'!$H$622)/60))*Proj[[#This Row],[TOI PK]]*Proj[[#This Row],[GP]],0)</f>
        <v>0</v>
      </c>
      <c r="U4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4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4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4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129</v>
      </c>
      <c r="Y4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177</v>
      </c>
      <c r="Z4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4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-1104.8296018086105</v>
      </c>
      <c r="AB429" s="10">
        <f>_xlfn.RANK.EQ(Proj[[#This Row],[VOR]],Proj[VOR])</f>
        <v>681</v>
      </c>
      <c r="AC429" s="10">
        <f>INDEX(Std[],MATCH(Proj[[#This Row],[Player]],Std[Player],0),20)</f>
        <v>-370.1957474983119</v>
      </c>
      <c r="AD4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242.15</v>
      </c>
    </row>
    <row r="430" spans="1:30" x14ac:dyDescent="0.25">
      <c r="A430" t="s">
        <v>676</v>
      </c>
      <c r="B430">
        <v>30</v>
      </c>
      <c r="C430" t="s">
        <v>74</v>
      </c>
      <c r="D430" t="s">
        <v>14</v>
      </c>
      <c r="E430" s="9">
        <f>INDEX(Table1[],MATCH(Proj[[#This Row],[Player]],Table1[Player],0),5)</f>
        <v>10.792169859845099</v>
      </c>
      <c r="F430" s="9">
        <f>_xlfn.IFNA(INDEX(Table2[],MATCH(Proj[[#This Row],[Player]],Table2[Player],0),5),0)</f>
        <v>1.29</v>
      </c>
      <c r="G430" s="9">
        <f>_xlfn.IFNA(INDEX(Table3[],MATCH(Proj[[#This Row],[Player]],Table3[Player],0),5),0)</f>
        <v>1.29</v>
      </c>
      <c r="H430" s="10">
        <v>78</v>
      </c>
      <c r="I430">
        <v>78</v>
      </c>
      <c r="J430" s="9">
        <v>10.792169859845099</v>
      </c>
      <c r="K430" s="9">
        <v>1.29</v>
      </c>
      <c r="L430" s="9">
        <v>1.29</v>
      </c>
      <c r="M430" s="9">
        <f>Proj[[#This Row],[TOI ES]]+Proj[[#This Row],[TOI PP]]+Proj[[#This Row],[TOI PK]]</f>
        <v>13.372169859845098</v>
      </c>
      <c r="N4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4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30">
        <f>Proj[[#This Row],[Goals]]+Proj[[#This Row],[Assists]]</f>
        <v>25</v>
      </c>
      <c r="Q430" s="10">
        <f>ROUND(_xlfn.IFNA(INDEX(Table2[],MATCH(Proj[[#This Row],[Player]],Table2[Player],0),11)/60,IF(Proj[[#This Row],[Pos]] = "D", 'Per 60 PP'!$K$527,'Per 60 PP'!$K$526)/60)*Proj[[#This Row],[TOI PP]]*Proj[[#This Row],[GP]],0)</f>
        <v>2</v>
      </c>
      <c r="R430" s="10">
        <f>ROUND(_xlfn.IFNA(INDEX(Table2[],MATCH(Proj[[#This Row],[Player]],Table2[Player],0),7)/60,IF(Proj[[#This Row],[Pos]] = "D", 'Per 60 PP'!$G$527,'Per 60 PP'!$G$526)/60)*Proj[[#This Row],[TOI PP]]*Proj[[#This Row],[GP]],0)</f>
        <v>3</v>
      </c>
      <c r="S430" s="10">
        <f>Proj[[#This Row],[PPG]]+Proj[[#This Row],[PPA]]</f>
        <v>5</v>
      </c>
      <c r="T430">
        <f>ROUND((_xlfn.IFNA(INDEX(Table3[],MATCH(Proj[[#This Row],[Player]],Table3[Player],0),6)/60,IF(Proj[[#This Row],[Pos]] ="D", 'Per 60 PK'!$F$623, 'Per 60 PK'!$F$622)/60)+_xlfn.IFNA(INDEX(Table3[],MATCH(Proj[[#This Row],[Player]],Table3[Player],0),8)/60,IF(Proj[[#This Row],[Pos]] ="D", 'Per 60 PK'!$H$623, 'Per 60 PK'!$H$622)/60))*Proj[[#This Row],[TOI PK]]*Proj[[#This Row],[GP]],0)</f>
        <v>1</v>
      </c>
      <c r="U4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4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4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4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211</v>
      </c>
      <c r="Y4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300</v>
      </c>
      <c r="Z4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75</v>
      </c>
      <c r="AA4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-955.49656704046561</v>
      </c>
      <c r="AB430" s="10">
        <f>_xlfn.RANK.EQ(Proj[[#This Row],[VOR]],Proj[VOR])</f>
        <v>647</v>
      </c>
      <c r="AC430" s="10">
        <f>INDEX(Std[],MATCH(Proj[[#This Row],[Player]],Std[Player],0),20)</f>
        <v>-220.86271273016703</v>
      </c>
      <c r="AD4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267.64999999999998</v>
      </c>
    </row>
    <row r="431" spans="1:30" x14ac:dyDescent="0.25">
      <c r="A431" t="s">
        <v>770</v>
      </c>
      <c r="B431">
        <v>29</v>
      </c>
      <c r="C431" t="s">
        <v>74</v>
      </c>
      <c r="D431" t="s">
        <v>154</v>
      </c>
      <c r="E431" s="9">
        <f>INDEX(Table1[],MATCH(Proj[[#This Row],[Player]],Table1[Player],0),5)</f>
        <v>12.192605035209899</v>
      </c>
      <c r="F431" s="9">
        <f>_xlfn.IFNA(INDEX(Table2[],MATCH(Proj[[#This Row],[Player]],Table2[Player],0),5),0)</f>
        <v>1.1499999999999999</v>
      </c>
      <c r="G431" s="9">
        <f>_xlfn.IFNA(INDEX(Table3[],MATCH(Proj[[#This Row],[Player]],Table3[Player],0),5),0)</f>
        <v>1.99</v>
      </c>
      <c r="H431" s="10">
        <v>76</v>
      </c>
      <c r="I431">
        <v>76</v>
      </c>
      <c r="J431" s="9">
        <v>12.192605035209899</v>
      </c>
      <c r="K431" s="9">
        <v>1.1499999999999999</v>
      </c>
      <c r="L431" s="9">
        <v>1.99</v>
      </c>
      <c r="M431" s="9">
        <f>Proj[[#This Row],[TOI ES]]+Proj[[#This Row],[TOI PP]]+Proj[[#This Row],[TOI PK]]</f>
        <v>15.3326050352099</v>
      </c>
      <c r="N4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4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31" s="10">
        <f>Proj[[#This Row],[Goals]]+Proj[[#This Row],[Assists]]</f>
        <v>25</v>
      </c>
      <c r="Q431" s="10">
        <f>ROUND(_xlfn.IFNA(INDEX(Table2[],MATCH(Proj[[#This Row],[Player]],Table2[Player],0),11)/60,IF(Proj[[#This Row],[Pos]] = "D", 'Per 60 PP'!$K$527,'Per 60 PP'!$K$526)/60)*Proj[[#This Row],[TOI PP]]*Proj[[#This Row],[GP]],0)</f>
        <v>1</v>
      </c>
      <c r="R431" s="10">
        <f>ROUND(_xlfn.IFNA(INDEX(Table2[],MATCH(Proj[[#This Row],[Player]],Table2[Player],0),7)/60,IF(Proj[[#This Row],[Pos]] = "D", 'Per 60 PP'!$G$527,'Per 60 PP'!$G$526)/60)*Proj[[#This Row],[TOI PP]]*Proj[[#This Row],[GP]],0)</f>
        <v>3</v>
      </c>
      <c r="S431" s="10">
        <f>Proj[[#This Row],[PPG]]+Proj[[#This Row],[PPA]]</f>
        <v>4</v>
      </c>
      <c r="T431">
        <f>ROUND((_xlfn.IFNA(INDEX(Table3[],MATCH(Proj[[#This Row],[Player]],Table3[Player],0),6)/60,IF(Proj[[#This Row],[Pos]] ="D", 'Per 60 PK'!$F$623, 'Per 60 PK'!$F$622)/60)+_xlfn.IFNA(INDEX(Table3[],MATCH(Proj[[#This Row],[Player]],Table3[Player],0),8)/60,IF(Proj[[#This Row],[Pos]] ="D", 'Per 60 PK'!$H$623, 'Per 60 PK'!$H$622)/60))*Proj[[#This Row],[TOI PK]]*Proj[[#This Row],[GP]],0)</f>
        <v>1</v>
      </c>
      <c r="U4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4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4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4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548</v>
      </c>
      <c r="Y4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386</v>
      </c>
      <c r="Z4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107</v>
      </c>
      <c r="AA4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-775.5611832089005</v>
      </c>
      <c r="AB431" s="10">
        <f>_xlfn.RANK.EQ(Proj[[#This Row],[VOR]],Proj[VOR])</f>
        <v>571</v>
      </c>
      <c r="AC431" s="10">
        <f>INDEX(Std[],MATCH(Proj[[#This Row],[Player]],Std[Player],0),20)</f>
        <v>-40.927328898601864</v>
      </c>
      <c r="AD4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318.64999999999998</v>
      </c>
    </row>
    <row r="432" spans="1:30" x14ac:dyDescent="0.25">
      <c r="A432" t="s">
        <v>716</v>
      </c>
      <c r="B432">
        <v>26</v>
      </c>
      <c r="C432" t="s">
        <v>103</v>
      </c>
      <c r="D432" t="s">
        <v>29</v>
      </c>
      <c r="E432" s="9">
        <f>INDEX(Table1[],MATCH(Proj[[#This Row],[Player]],Table1[Player],0),5)</f>
        <v>12.437613337119201</v>
      </c>
      <c r="F432" s="9">
        <f>_xlfn.IFNA(INDEX(Table2[],MATCH(Proj[[#This Row],[Player]],Table2[Player],0),5),0)</f>
        <v>2.0699999999999998</v>
      </c>
      <c r="G432" s="9">
        <f>_xlfn.IFNA(INDEX(Table3[],MATCH(Proj[[#This Row],[Player]],Table3[Player],0),5),0)</f>
        <v>1.43</v>
      </c>
      <c r="H432" s="10">
        <v>77</v>
      </c>
      <c r="I432">
        <v>77</v>
      </c>
      <c r="J432" s="9">
        <v>12.437613337119201</v>
      </c>
      <c r="K432" s="9">
        <v>2.0699999999999998</v>
      </c>
      <c r="L432" s="9">
        <v>1.43</v>
      </c>
      <c r="M432" s="9">
        <f>Proj[[#This Row],[TOI ES]]+Proj[[#This Row],[TOI PP]]+Proj[[#This Row],[TOI PK]]</f>
        <v>15.937613337119201</v>
      </c>
      <c r="N4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32" s="10">
        <f>Proj[[#This Row],[Goals]]+Proj[[#This Row],[Assists]]</f>
        <v>25</v>
      </c>
      <c r="Q432" s="10">
        <f>ROUND(_xlfn.IFNA(INDEX(Table2[],MATCH(Proj[[#This Row],[Player]],Table2[Player],0),11)/60,IF(Proj[[#This Row],[Pos]] = "D", 'Per 60 PP'!$K$527,'Per 60 PP'!$K$526)/60)*Proj[[#This Row],[TOI PP]]*Proj[[#This Row],[GP]],0)</f>
        <v>3</v>
      </c>
      <c r="R432" s="10">
        <f>ROUND(_xlfn.IFNA(INDEX(Table2[],MATCH(Proj[[#This Row],[Player]],Table2[Player],0),7)/60,IF(Proj[[#This Row],[Pos]] = "D", 'Per 60 PP'!$G$527,'Per 60 PP'!$G$526)/60)*Proj[[#This Row],[TOI PP]]*Proj[[#This Row],[GP]],0)</f>
        <v>3</v>
      </c>
      <c r="S432" s="10">
        <f>Proj[[#This Row],[PPG]]+Proj[[#This Row],[PPA]]</f>
        <v>6</v>
      </c>
      <c r="T432">
        <f>ROUND((_xlfn.IFNA(INDEX(Table3[],MATCH(Proj[[#This Row],[Player]],Table3[Player],0),6)/60,IF(Proj[[#This Row],[Pos]] ="D", 'Per 60 PK'!$F$623, 'Per 60 PK'!$F$622)/60)+_xlfn.IFNA(INDEX(Table3[],MATCH(Proj[[#This Row],[Player]],Table3[Player],0),8)/60,IF(Proj[[#This Row],[Pos]] ="D", 'Per 60 PK'!$H$623, 'Per 60 PK'!$H$622)/60))*Proj[[#This Row],[TOI PK]]*Proj[[#This Row],[GP]],0)</f>
        <v>2</v>
      </c>
      <c r="U4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4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4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4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4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4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123</v>
      </c>
      <c r="AA4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-745.28686111349202</v>
      </c>
      <c r="AB432" s="10">
        <f>_xlfn.RANK.EQ(Proj[[#This Row],[VOR]],Proj[VOR])</f>
        <v>558</v>
      </c>
      <c r="AC432" s="10">
        <f>INDEX(Std[],MATCH(Proj[[#This Row],[Player]],Std[Player],0),20)</f>
        <v>-298.74213672324311</v>
      </c>
      <c r="AD4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272.35000000000002</v>
      </c>
    </row>
    <row r="433" spans="1:30" x14ac:dyDescent="0.25">
      <c r="A433" t="s">
        <v>428</v>
      </c>
      <c r="B433">
        <v>29</v>
      </c>
      <c r="C433" t="s">
        <v>3</v>
      </c>
      <c r="D433" t="s">
        <v>29</v>
      </c>
      <c r="E433" s="9">
        <f>INDEX(Table1[],MATCH(Proj[[#This Row],[Player]],Table1[Player],0),5)</f>
        <v>17.694654163799498</v>
      </c>
      <c r="F433" s="9">
        <f>_xlfn.IFNA(INDEX(Table2[],MATCH(Proj[[#This Row],[Player]],Table2[Player],0),5),0)</f>
        <v>0</v>
      </c>
      <c r="G433" s="9">
        <f>_xlfn.IFNA(INDEX(Table3[],MATCH(Proj[[#This Row],[Player]],Table3[Player],0),5),0)</f>
        <v>2.64</v>
      </c>
      <c r="H433" s="10">
        <v>82</v>
      </c>
      <c r="I433">
        <v>82</v>
      </c>
      <c r="J433" s="9">
        <v>17.694654163799498</v>
      </c>
      <c r="K433" s="9">
        <v>0</v>
      </c>
      <c r="L433" s="9">
        <v>2.64</v>
      </c>
      <c r="M433" s="9">
        <f>Proj[[#This Row],[TOI ES]]+Proj[[#This Row],[TOI PP]]+Proj[[#This Row],[TOI PK]]</f>
        <v>20.334654163799499</v>
      </c>
      <c r="N4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33" s="10">
        <f>Proj[[#This Row],[Goals]]+Proj[[#This Row],[Assists]]</f>
        <v>25</v>
      </c>
      <c r="Q433" s="10">
        <f>ROUND(_xlfn.IFNA(INDEX(Table2[],MATCH(Proj[[#This Row],[Player]],Table2[Player],0),11)/60,IF(Proj[[#This Row],[Pos]] = "D", 'Per 60 PP'!$K$527,'Per 60 PP'!$K$526)/60)*Proj[[#This Row],[TOI PP]]*Proj[[#This Row],[GP]],0)</f>
        <v>0</v>
      </c>
      <c r="R433" s="10">
        <f>ROUND(_xlfn.IFNA(INDEX(Table2[],MATCH(Proj[[#This Row],[Player]],Table2[Player],0),7)/60,IF(Proj[[#This Row],[Pos]] = "D", 'Per 60 PP'!$G$527,'Per 60 PP'!$G$526)/60)*Proj[[#This Row],[TOI PP]]*Proj[[#This Row],[GP]],0)</f>
        <v>0</v>
      </c>
      <c r="S433" s="10">
        <f>Proj[[#This Row],[PPG]]+Proj[[#This Row],[PPA]]</f>
        <v>0</v>
      </c>
      <c r="T433">
        <f>ROUND((_xlfn.IFNA(INDEX(Table3[],MATCH(Proj[[#This Row],[Player]],Table3[Player],0),6)/60,IF(Proj[[#This Row],[Pos]] ="D", 'Per 60 PK'!$F$623, 'Per 60 PK'!$F$622)/60)+_xlfn.IFNA(INDEX(Table3[],MATCH(Proj[[#This Row],[Player]],Table3[Player],0),8)/60,IF(Proj[[#This Row],[Pos]] ="D", 'Per 60 PK'!$H$623, 'Per 60 PK'!$H$622)/60))*Proj[[#This Row],[TOI PK]]*Proj[[#This Row],[GP]],0)</f>
        <v>2</v>
      </c>
      <c r="U4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131</v>
      </c>
      <c r="V4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178</v>
      </c>
      <c r="W4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4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4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2.4703985724108719</v>
      </c>
      <c r="AB433" s="10">
        <f>_xlfn.RANK.EQ(Proj[[#This Row],[VOR]],Proj[VOR])</f>
        <v>160</v>
      </c>
      <c r="AC433" s="10">
        <f>INDEX(Std[],MATCH(Proj[[#This Row],[Player]],Std[Player],0),20)</f>
        <v>109.83516629187535</v>
      </c>
      <c r="AD4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380.25000000000006</v>
      </c>
    </row>
    <row r="434" spans="1:30" x14ac:dyDescent="0.25">
      <c r="A434" t="s">
        <v>877</v>
      </c>
      <c r="B434">
        <v>31</v>
      </c>
      <c r="C434" t="s">
        <v>3</v>
      </c>
      <c r="D434" t="s">
        <v>9</v>
      </c>
      <c r="E434" s="9">
        <f>INDEX(Table1[],MATCH(Proj[[#This Row],[Player]],Table1[Player],0),5)</f>
        <v>18.763098876157098</v>
      </c>
      <c r="F434" s="9">
        <f>_xlfn.IFNA(INDEX(Table2[],MATCH(Proj[[#This Row],[Player]],Table2[Player],0),5),0)</f>
        <v>0</v>
      </c>
      <c r="G434" s="9">
        <f>_xlfn.IFNA(INDEX(Table3[],MATCH(Proj[[#This Row],[Player]],Table3[Player],0),5),0)</f>
        <v>2.58</v>
      </c>
      <c r="H434" s="10">
        <v>79</v>
      </c>
      <c r="I434">
        <v>79</v>
      </c>
      <c r="J434" s="9">
        <v>18.763098876157098</v>
      </c>
      <c r="K434" s="9">
        <v>0</v>
      </c>
      <c r="L434" s="9">
        <v>2.58</v>
      </c>
      <c r="M434" s="9">
        <f>Proj[[#This Row],[TOI ES]]+Proj[[#This Row],[TOI PP]]+Proj[[#This Row],[TOI PK]]</f>
        <v>21.3430988761571</v>
      </c>
      <c r="N4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4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434">
        <f>Proj[[#This Row],[Goals]]+Proj[[#This Row],[Assists]]</f>
        <v>25</v>
      </c>
      <c r="Q434" s="10">
        <f>ROUND(_xlfn.IFNA(INDEX(Table2[],MATCH(Proj[[#This Row],[Player]],Table2[Player],0),11)/60,IF(Proj[[#This Row],[Pos]] = "D", 'Per 60 PP'!$K$527,'Per 60 PP'!$K$526)/60)*Proj[[#This Row],[TOI PP]]*Proj[[#This Row],[GP]],0)</f>
        <v>0</v>
      </c>
      <c r="R434" s="10">
        <f>ROUND(_xlfn.IFNA(INDEX(Table2[],MATCH(Proj[[#This Row],[Player]],Table2[Player],0),7)/60,IF(Proj[[#This Row],[Pos]] = "D", 'Per 60 PP'!$G$527,'Per 60 PP'!$G$526)/60)*Proj[[#This Row],[TOI PP]]*Proj[[#This Row],[GP]],0)</f>
        <v>0</v>
      </c>
      <c r="S434" s="10">
        <f>Proj[[#This Row],[PPG]]+Proj[[#This Row],[PPA]]</f>
        <v>0</v>
      </c>
      <c r="T434">
        <f>ROUND((_xlfn.IFNA(INDEX(Table3[],MATCH(Proj[[#This Row],[Player]],Table3[Player],0),6)/60,IF(Proj[[#This Row],[Pos]] ="D", 'Per 60 PK'!$F$623, 'Per 60 PK'!$F$622)/60)+_xlfn.IFNA(INDEX(Table3[],MATCH(Proj[[#This Row],[Player]],Table3[Player],0),8)/60,IF(Proj[[#This Row],[Pos]] ="D", 'Per 60 PK'!$H$623, 'Per 60 PK'!$H$622)/60))*Proj[[#This Row],[TOI PK]]*Proj[[#This Row],[GP]],0)</f>
        <v>1</v>
      </c>
      <c r="U4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139</v>
      </c>
      <c r="V4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136</v>
      </c>
      <c r="W4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44</v>
      </c>
      <c r="X4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4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-121.79623565188503</v>
      </c>
      <c r="AB434" s="10">
        <f>_xlfn.RANK.EQ(Proj[[#This Row],[VOR]],Proj[VOR])</f>
        <v>211</v>
      </c>
      <c r="AC434" s="10">
        <f>INDEX(Std[],MATCH(Proj[[#This Row],[Player]],Std[Player],0),20)</f>
        <v>-14.431467932420544</v>
      </c>
      <c r="AD4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335.6</v>
      </c>
    </row>
    <row r="435" spans="1:30" x14ac:dyDescent="0.25">
      <c r="A435" t="s">
        <v>349</v>
      </c>
      <c r="B435">
        <v>37</v>
      </c>
      <c r="C435" t="s">
        <v>3</v>
      </c>
      <c r="D435" t="s">
        <v>2</v>
      </c>
      <c r="E435" s="9">
        <f>INDEX(Table1[],MATCH(Proj[[#This Row],[Player]],Table1[Player],0),5)</f>
        <v>17.004686740081802</v>
      </c>
      <c r="F435" s="9">
        <f>_xlfn.IFNA(INDEX(Table2[],MATCH(Proj[[#This Row],[Player]],Table2[Player],0),5),0)</f>
        <v>0.5</v>
      </c>
      <c r="G435" s="9">
        <f>_xlfn.IFNA(INDEX(Table3[],MATCH(Proj[[#This Row],[Player]],Table3[Player],0),5),0)</f>
        <v>1.83</v>
      </c>
      <c r="H435" s="10">
        <v>74</v>
      </c>
      <c r="I435">
        <v>74</v>
      </c>
      <c r="J435" s="9">
        <v>17.004686740081802</v>
      </c>
      <c r="K435" s="9">
        <v>0.5</v>
      </c>
      <c r="L435" s="9">
        <v>1.83</v>
      </c>
      <c r="M435" s="9">
        <f>Proj[[#This Row],[TOI ES]]+Proj[[#This Row],[TOI PP]]+Proj[[#This Row],[TOI PK]]</f>
        <v>19.3346867400818</v>
      </c>
      <c r="N4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35">
        <f>Proj[[#This Row],[Goals]]+Proj[[#This Row],[Assists]]</f>
        <v>25</v>
      </c>
      <c r="Q435" s="10">
        <f>ROUND(_xlfn.IFNA(INDEX(Table2[],MATCH(Proj[[#This Row],[Player]],Table2[Player],0),11)/60,IF(Proj[[#This Row],[Pos]] = "D", 'Per 60 PP'!$K$527,'Per 60 PP'!$K$526)/60)*Proj[[#This Row],[TOI PP]]*Proj[[#This Row],[GP]],0)</f>
        <v>0</v>
      </c>
      <c r="R435" s="10">
        <f>ROUND(_xlfn.IFNA(INDEX(Table2[],MATCH(Proj[[#This Row],[Player]],Table2[Player],0),7)/60,IF(Proj[[#This Row],[Pos]] = "D", 'Per 60 PP'!$G$527,'Per 60 PP'!$G$526)/60)*Proj[[#This Row],[TOI PP]]*Proj[[#This Row],[GP]],0)</f>
        <v>2</v>
      </c>
      <c r="S435" s="10">
        <f>Proj[[#This Row],[PPG]]+Proj[[#This Row],[PPA]]</f>
        <v>2</v>
      </c>
      <c r="T435">
        <f>ROUND((_xlfn.IFNA(INDEX(Table3[],MATCH(Proj[[#This Row],[Player]],Table3[Player],0),6)/60,IF(Proj[[#This Row],[Pos]] ="D", 'Per 60 PK'!$F$623, 'Per 60 PK'!$F$622)/60)+_xlfn.IFNA(INDEX(Table3[],MATCH(Proj[[#This Row],[Player]],Table3[Player],0),8)/60,IF(Proj[[#This Row],[Pos]] ="D", 'Per 60 PK'!$H$623, 'Per 60 PK'!$H$622)/60))*Proj[[#This Row],[TOI PK]]*Proj[[#This Row],[GP]],0)</f>
        <v>1</v>
      </c>
      <c r="U4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141</v>
      </c>
      <c r="V4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135</v>
      </c>
      <c r="W4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4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98</v>
      </c>
      <c r="AA4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-122.46104432374722</v>
      </c>
      <c r="AB435" s="10">
        <f>_xlfn.RANK.EQ(Proj[[#This Row],[VOR]],Proj[VOR])</f>
        <v>212</v>
      </c>
      <c r="AC435" s="10">
        <f>INDEX(Std[],MATCH(Proj[[#This Row],[Player]],Std[Player],0),20)</f>
        <v>-15.096276604282743</v>
      </c>
      <c r="AD4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341.45000000000005</v>
      </c>
    </row>
    <row r="436" spans="1:30" x14ac:dyDescent="0.25">
      <c r="A436" t="s">
        <v>714</v>
      </c>
      <c r="B436">
        <v>29</v>
      </c>
      <c r="C436" t="s">
        <v>105</v>
      </c>
      <c r="D436" t="s">
        <v>4</v>
      </c>
      <c r="E436" s="9">
        <f>INDEX(Table1[],MATCH(Proj[[#This Row],[Player]],Table1[Player],0),5)</f>
        <v>11.2993204575299</v>
      </c>
      <c r="F436" s="9">
        <f>_xlfn.IFNA(INDEX(Table2[],MATCH(Proj[[#This Row],[Player]],Table2[Player],0),5),0)</f>
        <v>0.79</v>
      </c>
      <c r="G436" s="9">
        <f>_xlfn.IFNA(INDEX(Table3[],MATCH(Proj[[#This Row],[Player]],Table3[Player],0),5),0)</f>
        <v>0.7</v>
      </c>
      <c r="H436" s="10">
        <v>80</v>
      </c>
      <c r="I436">
        <v>80</v>
      </c>
      <c r="J436" s="9">
        <v>11.2993204575299</v>
      </c>
      <c r="K436" s="9">
        <v>0.79</v>
      </c>
      <c r="L436" s="9">
        <v>0.7</v>
      </c>
      <c r="M436" s="9">
        <f>Proj[[#This Row],[TOI ES]]+Proj[[#This Row],[TOI PP]]+Proj[[#This Row],[TOI PK]]</f>
        <v>12.7893204575299</v>
      </c>
      <c r="N4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36" s="10">
        <f>Proj[[#This Row],[Goals]]+Proj[[#This Row],[Assists]]</f>
        <v>25</v>
      </c>
      <c r="Q436" s="10">
        <f>ROUND(_xlfn.IFNA(INDEX(Table2[],MATCH(Proj[[#This Row],[Player]],Table2[Player],0),11)/60,IF(Proj[[#This Row],[Pos]] = "D", 'Per 60 PP'!$K$527,'Per 60 PP'!$K$526)/60)*Proj[[#This Row],[TOI PP]]*Proj[[#This Row],[GP]],0)</f>
        <v>1</v>
      </c>
      <c r="R436" s="10">
        <f>ROUND(_xlfn.IFNA(INDEX(Table2[],MATCH(Proj[[#This Row],[Player]],Table2[Player],0),7)/60,IF(Proj[[#This Row],[Pos]] = "D", 'Per 60 PP'!$G$527,'Per 60 PP'!$G$526)/60)*Proj[[#This Row],[TOI PP]]*Proj[[#This Row],[GP]],0)</f>
        <v>2</v>
      </c>
      <c r="S436" s="10">
        <f>Proj[[#This Row],[PPG]]+Proj[[#This Row],[PPA]]</f>
        <v>3</v>
      </c>
      <c r="T436">
        <f>ROUND((_xlfn.IFNA(INDEX(Table3[],MATCH(Proj[[#This Row],[Player]],Table3[Player],0),6)/60,IF(Proj[[#This Row],[Pos]] ="D", 'Per 60 PK'!$F$623, 'Per 60 PK'!$F$622)/60)+_xlfn.IFNA(INDEX(Table3[],MATCH(Proj[[#This Row],[Player]],Table3[Player],0),8)/60,IF(Proj[[#This Row],[Pos]] ="D", 'Per 60 PK'!$H$623, 'Per 60 PK'!$H$622)/60))*Proj[[#This Row],[TOI PK]]*Proj[[#This Row],[GP]],0)</f>
        <v>1</v>
      </c>
      <c r="U4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168</v>
      </c>
      <c r="V4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4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4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170</v>
      </c>
      <c r="Y4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221</v>
      </c>
      <c r="Z4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4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-507.91658701468828</v>
      </c>
      <c r="AB436" s="10">
        <f>_xlfn.RANK.EQ(Proj[[#This Row],[VOR]],Proj[VOR])</f>
        <v>427</v>
      </c>
      <c r="AC436" s="10">
        <f>INDEX(Std[],MATCH(Proj[[#This Row],[Player]],Std[Player],0),20)</f>
        <v>-61.371862624439459</v>
      </c>
      <c r="AD4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322.40000000000003</v>
      </c>
    </row>
    <row r="437" spans="1:30" x14ac:dyDescent="0.25">
      <c r="A437" t="s">
        <v>672</v>
      </c>
      <c r="B437">
        <v>23</v>
      </c>
      <c r="C437" t="s">
        <v>74</v>
      </c>
      <c r="D437" t="s">
        <v>7</v>
      </c>
      <c r="E437" s="9">
        <f>INDEX(Table1[],MATCH(Proj[[#This Row],[Player]],Table1[Player],0),5)</f>
        <v>11.184719731247</v>
      </c>
      <c r="F437" s="9">
        <f>_xlfn.IFNA(INDEX(Table2[],MATCH(Proj[[#This Row],[Player]],Table2[Player],0),5),0)</f>
        <v>1.94</v>
      </c>
      <c r="G437" s="9">
        <f>_xlfn.IFNA(INDEX(Table3[],MATCH(Proj[[#This Row],[Player]],Table3[Player],0),5),0)</f>
        <v>0</v>
      </c>
      <c r="H437" s="10">
        <v>52</v>
      </c>
      <c r="I437">
        <v>52</v>
      </c>
      <c r="J437" s="9">
        <v>11.184719731247</v>
      </c>
      <c r="K437" s="9">
        <v>1.94</v>
      </c>
      <c r="L437" s="9">
        <v>0</v>
      </c>
      <c r="M437" s="9">
        <f>Proj[[#This Row],[TOI ES]]+Proj[[#This Row],[TOI PP]]+Proj[[#This Row],[TOI PK]]</f>
        <v>13.124719731247</v>
      </c>
      <c r="N4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4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37" s="10">
        <f>Proj[[#This Row],[Goals]]+Proj[[#This Row],[Assists]]</f>
        <v>24</v>
      </c>
      <c r="Q437" s="10">
        <f>ROUND(_xlfn.IFNA(INDEX(Table2[],MATCH(Proj[[#This Row],[Player]],Table2[Player],0),11)/60,IF(Proj[[#This Row],[Pos]] = "D", 'Per 60 PP'!$K$527,'Per 60 PP'!$K$526)/60)*Proj[[#This Row],[TOI PP]]*Proj[[#This Row],[GP]],0)</f>
        <v>2</v>
      </c>
      <c r="R437" s="10">
        <f>ROUND(_xlfn.IFNA(INDEX(Table2[],MATCH(Proj[[#This Row],[Player]],Table2[Player],0),7)/60,IF(Proj[[#This Row],[Pos]] = "D", 'Per 60 PP'!$G$527,'Per 60 PP'!$G$526)/60)*Proj[[#This Row],[TOI PP]]*Proj[[#This Row],[GP]],0)</f>
        <v>5</v>
      </c>
      <c r="S437" s="10">
        <f>Proj[[#This Row],[PPG]]+Proj[[#This Row],[PPA]]</f>
        <v>7</v>
      </c>
      <c r="T437">
        <f>ROUND((_xlfn.IFNA(INDEX(Table3[],MATCH(Proj[[#This Row],[Player]],Table3[Player],0),6)/60,IF(Proj[[#This Row],[Pos]] ="D", 'Per 60 PK'!$F$623, 'Per 60 PK'!$F$622)/60)+_xlfn.IFNA(INDEX(Table3[],MATCH(Proj[[#This Row],[Player]],Table3[Player],0),8)/60,IF(Proj[[#This Row],[Pos]] ="D", 'Per 60 PK'!$H$623, 'Per 60 PK'!$H$622)/60))*Proj[[#This Row],[TOI PK]]*Proj[[#This Row],[GP]],0)</f>
        <v>0</v>
      </c>
      <c r="U4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4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4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4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4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4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80</v>
      </c>
      <c r="AA4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-1305.6362760620921</v>
      </c>
      <c r="AB437" s="10">
        <f>_xlfn.RANK.EQ(Proj[[#This Row],[VOR]],Proj[VOR])</f>
        <v>713</v>
      </c>
      <c r="AC437" s="10">
        <f>INDEX(Std[],MATCH(Proj[[#This Row],[Player]],Std[Player],0),20)</f>
        <v>-571.00242175179346</v>
      </c>
      <c r="AD4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191.5</v>
      </c>
    </row>
    <row r="438" spans="1:30" x14ac:dyDescent="0.25">
      <c r="A438" t="s">
        <v>643</v>
      </c>
      <c r="B438">
        <v>26</v>
      </c>
      <c r="C438" t="s">
        <v>3</v>
      </c>
      <c r="D438" t="s">
        <v>14</v>
      </c>
      <c r="E438" s="9">
        <f>INDEX(Table1[],MATCH(Proj[[#This Row],[Player]],Table1[Player],0),5)</f>
        <v>13.5491321374432</v>
      </c>
      <c r="F438" s="9">
        <f>_xlfn.IFNA(INDEX(Table2[],MATCH(Proj[[#This Row],[Player]],Table2[Player],0),5),0)</f>
        <v>2.14</v>
      </c>
      <c r="G438" s="9">
        <f>_xlfn.IFNA(INDEX(Table3[],MATCH(Proj[[#This Row],[Player]],Table3[Player],0),5),0)</f>
        <v>0</v>
      </c>
      <c r="H438" s="10">
        <v>72</v>
      </c>
      <c r="I438">
        <v>72</v>
      </c>
      <c r="J438" s="9">
        <v>13.5491321374432</v>
      </c>
      <c r="K438" s="9">
        <v>2.14</v>
      </c>
      <c r="L438" s="9">
        <v>0</v>
      </c>
      <c r="M438" s="9">
        <f>Proj[[#This Row],[TOI ES]]+Proj[[#This Row],[TOI PP]]+Proj[[#This Row],[TOI PK]]</f>
        <v>15.689132137443201</v>
      </c>
      <c r="N4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4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22</v>
      </c>
      <c r="P438" s="10">
        <f>Proj[[#This Row],[Goals]]+Proj[[#This Row],[Assists]]</f>
        <v>24</v>
      </c>
      <c r="Q438" s="10">
        <f>ROUND(_xlfn.IFNA(INDEX(Table2[],MATCH(Proj[[#This Row],[Player]],Table2[Player],0),11)/60,IF(Proj[[#This Row],[Pos]] = "D", 'Per 60 PP'!$K$527,'Per 60 PP'!$K$526)/60)*Proj[[#This Row],[TOI PP]]*Proj[[#This Row],[GP]],0)</f>
        <v>1</v>
      </c>
      <c r="R438" s="10">
        <f>ROUND(_xlfn.IFNA(INDEX(Table2[],MATCH(Proj[[#This Row],[Player]],Table2[Player],0),7)/60,IF(Proj[[#This Row],[Pos]] = "D", 'Per 60 PP'!$G$527,'Per 60 PP'!$G$526)/60)*Proj[[#This Row],[TOI PP]]*Proj[[#This Row],[GP]],0)</f>
        <v>10</v>
      </c>
      <c r="S438" s="10">
        <f>Proj[[#This Row],[PPG]]+Proj[[#This Row],[PPA]]</f>
        <v>11</v>
      </c>
      <c r="T438">
        <f>ROUND((_xlfn.IFNA(INDEX(Table3[],MATCH(Proj[[#This Row],[Player]],Table3[Player],0),6)/60,IF(Proj[[#This Row],[Pos]] ="D", 'Per 60 PK'!$F$623, 'Per 60 PK'!$F$622)/60)+_xlfn.IFNA(INDEX(Table3[],MATCH(Proj[[#This Row],[Player]],Table3[Player],0),8)/60,IF(Proj[[#This Row],[Pos]] ="D", 'Per 60 PK'!$H$623, 'Per 60 PK'!$H$622)/60))*Proj[[#This Row],[TOI PK]]*Proj[[#This Row],[GP]],0)</f>
        <v>0</v>
      </c>
      <c r="U4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4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4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4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60</v>
      </c>
      <c r="AA4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-497.0247730234305</v>
      </c>
      <c r="AB438" s="10">
        <f>_xlfn.RANK.EQ(Proj[[#This Row],[VOR]],Proj[VOR])</f>
        <v>419</v>
      </c>
      <c r="AC438" s="10">
        <f>INDEX(Std[],MATCH(Proj[[#This Row],[Player]],Std[Player],0),20)</f>
        <v>-389.66000530396605</v>
      </c>
      <c r="AD4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218.1</v>
      </c>
    </row>
    <row r="439" spans="1:30" x14ac:dyDescent="0.25">
      <c r="A439" t="s">
        <v>455</v>
      </c>
      <c r="B439">
        <v>26</v>
      </c>
      <c r="C439" t="s">
        <v>103</v>
      </c>
      <c r="D439" t="s">
        <v>87</v>
      </c>
      <c r="E439" s="9">
        <f>INDEX(Table1[],MATCH(Proj[[#This Row],[Player]],Table1[Player],0),5)</f>
        <v>10.7022812236404</v>
      </c>
      <c r="F439" s="9">
        <f>_xlfn.IFNA(INDEX(Table2[],MATCH(Proj[[#This Row],[Player]],Table2[Player],0),5),0)</f>
        <v>1.95</v>
      </c>
      <c r="G439" s="9">
        <f>_xlfn.IFNA(INDEX(Table3[],MATCH(Proj[[#This Row],[Player]],Table3[Player],0),5),0)</f>
        <v>1.43</v>
      </c>
      <c r="H439" s="10">
        <v>68</v>
      </c>
      <c r="I439">
        <v>68</v>
      </c>
      <c r="J439" s="9">
        <v>10.7022812236404</v>
      </c>
      <c r="K439" s="9">
        <v>1.95</v>
      </c>
      <c r="L439" s="9">
        <v>1.43</v>
      </c>
      <c r="M439" s="9">
        <f>Proj[[#This Row],[TOI ES]]+Proj[[#This Row],[TOI PP]]+Proj[[#This Row],[TOI PK]]</f>
        <v>14.082281223640399</v>
      </c>
      <c r="N4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39">
        <f>Proj[[#This Row],[Goals]]+Proj[[#This Row],[Assists]]</f>
        <v>24</v>
      </c>
      <c r="Q439" s="10">
        <f>ROUND(_xlfn.IFNA(INDEX(Table2[],MATCH(Proj[[#This Row],[Player]],Table2[Player],0),11)/60,IF(Proj[[#This Row],[Pos]] = "D", 'Per 60 PP'!$K$527,'Per 60 PP'!$K$526)/60)*Proj[[#This Row],[TOI PP]]*Proj[[#This Row],[GP]],0)</f>
        <v>3</v>
      </c>
      <c r="R439" s="10">
        <f>ROUND(_xlfn.IFNA(INDEX(Table2[],MATCH(Proj[[#This Row],[Player]],Table2[Player],0),7)/60,IF(Proj[[#This Row],[Pos]] = "D", 'Per 60 PP'!$G$527,'Per 60 PP'!$G$526)/60)*Proj[[#This Row],[TOI PP]]*Proj[[#This Row],[GP]],0)</f>
        <v>4</v>
      </c>
      <c r="S439" s="10">
        <f>Proj[[#This Row],[PPG]]+Proj[[#This Row],[PPA]]</f>
        <v>7</v>
      </c>
      <c r="T439">
        <f>ROUND((_xlfn.IFNA(INDEX(Table3[],MATCH(Proj[[#This Row],[Player]],Table3[Player],0),6)/60,IF(Proj[[#This Row],[Pos]] ="D", 'Per 60 PK'!$F$623, 'Per 60 PK'!$F$622)/60)+_xlfn.IFNA(INDEX(Table3[],MATCH(Proj[[#This Row],[Player]],Table3[Player],0),8)/60,IF(Proj[[#This Row],[Pos]] ="D", 'Per 60 PK'!$H$623, 'Per 60 PK'!$H$622)/60))*Proj[[#This Row],[TOI PK]]*Proj[[#This Row],[GP]],0)</f>
        <v>2</v>
      </c>
      <c r="U4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49</v>
      </c>
      <c r="V4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4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4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42</v>
      </c>
      <c r="Y4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71</v>
      </c>
      <c r="Z4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85</v>
      </c>
      <c r="AA4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-881.24629411522017</v>
      </c>
      <c r="AB439" s="10">
        <f>_xlfn.RANK.EQ(Proj[[#This Row],[VOR]],Proj[VOR])</f>
        <v>616</v>
      </c>
      <c r="AC439" s="10">
        <f>INDEX(Std[],MATCH(Proj[[#This Row],[Player]],Std[Player],0),20)</f>
        <v>-434.70156972497131</v>
      </c>
      <c r="AD4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223.85</v>
      </c>
    </row>
    <row r="440" spans="1:30" x14ac:dyDescent="0.25">
      <c r="A440" t="s">
        <v>1222</v>
      </c>
      <c r="B440">
        <v>25</v>
      </c>
      <c r="C440" t="s">
        <v>74</v>
      </c>
      <c r="D440" t="s">
        <v>155</v>
      </c>
      <c r="E440" s="9">
        <f>INDEX(Table1[],MATCH(Proj[[#This Row],[Player]],Table1[Player],0),5)</f>
        <v>12</v>
      </c>
      <c r="F440" s="9">
        <f>_xlfn.IFNA(INDEX(Table2[],MATCH(Proj[[#This Row],[Player]],Table2[Player],0),5),0)</f>
        <v>0</v>
      </c>
      <c r="G440" s="9">
        <f>_xlfn.IFNA(INDEX(Table3[],MATCH(Proj[[#This Row],[Player]],Table3[Player],0),5),0)</f>
        <v>0</v>
      </c>
      <c r="H440" s="10">
        <v>72</v>
      </c>
      <c r="I440">
        <v>72</v>
      </c>
      <c r="J440" s="9">
        <v>12</v>
      </c>
      <c r="K440" s="9">
        <v>0</v>
      </c>
      <c r="L440" s="9">
        <v>0</v>
      </c>
      <c r="M440" s="9">
        <f>Proj[[#This Row],[TOI ES]]+Proj[[#This Row],[TOI PP]]+Proj[[#This Row],[TOI PK]]</f>
        <v>12</v>
      </c>
      <c r="N4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4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40" s="10">
        <f>Proj[[#This Row],[Goals]]+Proj[[#This Row],[Assists]]</f>
        <v>24</v>
      </c>
      <c r="Q440" s="10">
        <f>ROUND(_xlfn.IFNA(INDEX(Table2[],MATCH(Proj[[#This Row],[Player]],Table2[Player],0),11)/60,IF(Proj[[#This Row],[Pos]] = "D", 'Per 60 PP'!$K$527,'Per 60 PP'!$K$526)/60)*Proj[[#This Row],[TOI PP]]*Proj[[#This Row],[GP]],0)</f>
        <v>0</v>
      </c>
      <c r="R440" s="10">
        <f>ROUND(_xlfn.IFNA(INDEX(Table2[],MATCH(Proj[[#This Row],[Player]],Table2[Player],0),7)/60,IF(Proj[[#This Row],[Pos]] = "D", 'Per 60 PP'!$G$527,'Per 60 PP'!$G$526)/60)*Proj[[#This Row],[TOI PP]]*Proj[[#This Row],[GP]],0)</f>
        <v>0</v>
      </c>
      <c r="S440" s="10">
        <f>Proj[[#This Row],[PPG]]+Proj[[#This Row],[PPA]]</f>
        <v>0</v>
      </c>
      <c r="T440">
        <f>ROUND((_xlfn.IFNA(INDEX(Table3[],MATCH(Proj[[#This Row],[Player]],Table3[Player],0),6)/60,IF(Proj[[#This Row],[Pos]] ="D", 'Per 60 PK'!$F$623, 'Per 60 PK'!$F$622)/60)+_xlfn.IFNA(INDEX(Table3[],MATCH(Proj[[#This Row],[Player]],Table3[Player],0),8)/60,IF(Proj[[#This Row],[Pos]] ="D", 'Per 60 PK'!$H$623, 'Per 60 PK'!$H$622)/60))*Proj[[#This Row],[TOI PK]]*Proj[[#This Row],[GP]],0)</f>
        <v>0</v>
      </c>
      <c r="U4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4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4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4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245</v>
      </c>
      <c r="Y4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230</v>
      </c>
      <c r="Z4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97</v>
      </c>
      <c r="AA4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-1042.9818180097784</v>
      </c>
      <c r="AB440" s="10">
        <f>_xlfn.RANK.EQ(Proj[[#This Row],[VOR]],Proj[VOR])</f>
        <v>669</v>
      </c>
      <c r="AC440" s="10">
        <f>INDEX(Std[],MATCH(Proj[[#This Row],[Player]],Std[Player],0),20)</f>
        <v>-308.34796369947981</v>
      </c>
      <c r="AD4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254.90000000000003</v>
      </c>
    </row>
    <row r="441" spans="1:30" x14ac:dyDescent="0.25">
      <c r="A441" t="s">
        <v>972</v>
      </c>
      <c r="B441">
        <v>26</v>
      </c>
      <c r="C441" t="s">
        <v>3</v>
      </c>
      <c r="D441" t="s">
        <v>1240</v>
      </c>
      <c r="E441" s="9">
        <f>INDEX(Table1[],MATCH(Proj[[#This Row],[Player]],Table1[Player],0),5)</f>
        <v>17.078915879804299</v>
      </c>
      <c r="F441" s="9">
        <f>_xlfn.IFNA(INDEX(Table2[],MATCH(Proj[[#This Row],[Player]],Table2[Player],0),5),0)</f>
        <v>1.31</v>
      </c>
      <c r="G441" s="9">
        <f>_xlfn.IFNA(INDEX(Table3[],MATCH(Proj[[#This Row],[Player]],Table3[Player],0),5),0)</f>
        <v>0.73</v>
      </c>
      <c r="H441" s="10">
        <v>74</v>
      </c>
      <c r="I441">
        <v>74</v>
      </c>
      <c r="J441" s="9">
        <v>17.078915879804299</v>
      </c>
      <c r="K441" s="9">
        <v>1.31</v>
      </c>
      <c r="L441" s="9">
        <v>0.73</v>
      </c>
      <c r="M441" s="9">
        <f>Proj[[#This Row],[TOI ES]]+Proj[[#This Row],[TOI PP]]+Proj[[#This Row],[TOI PK]]</f>
        <v>19.118915879804298</v>
      </c>
      <c r="N4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441" s="10">
        <f>Proj[[#This Row],[Goals]]+Proj[[#This Row],[Assists]]</f>
        <v>24</v>
      </c>
      <c r="Q441" s="10">
        <f>ROUND(_xlfn.IFNA(INDEX(Table2[],MATCH(Proj[[#This Row],[Player]],Table2[Player],0),11)/60,IF(Proj[[#This Row],[Pos]] = "D", 'Per 60 PP'!$K$527,'Per 60 PP'!$K$526)/60)*Proj[[#This Row],[TOI PP]]*Proj[[#This Row],[GP]],0)</f>
        <v>1</v>
      </c>
      <c r="R441" s="10">
        <f>ROUND(_xlfn.IFNA(INDEX(Table2[],MATCH(Proj[[#This Row],[Player]],Table2[Player],0),7)/60,IF(Proj[[#This Row],[Pos]] = "D", 'Per 60 PP'!$G$527,'Per 60 PP'!$G$526)/60)*Proj[[#This Row],[TOI PP]]*Proj[[#This Row],[GP]],0)</f>
        <v>6</v>
      </c>
      <c r="S441" s="10">
        <f>Proj[[#This Row],[PPG]]+Proj[[#This Row],[PPA]]</f>
        <v>7</v>
      </c>
      <c r="T441">
        <f>ROUND((_xlfn.IFNA(INDEX(Table3[],MATCH(Proj[[#This Row],[Player]],Table3[Player],0),6)/60,IF(Proj[[#This Row],[Pos]] ="D", 'Per 60 PK'!$F$623, 'Per 60 PK'!$F$622)/60)+_xlfn.IFNA(INDEX(Table3[],MATCH(Proj[[#This Row],[Player]],Table3[Player],0),8)/60,IF(Proj[[#This Row],[Pos]] ="D", 'Per 60 PK'!$H$623, 'Per 60 PK'!$H$622)/60))*Proj[[#This Row],[TOI PK]]*Proj[[#This Row],[GP]],0)</f>
        <v>0</v>
      </c>
      <c r="U4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4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104</v>
      </c>
      <c r="W4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4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83</v>
      </c>
      <c r="AA4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-302.52062216103263</v>
      </c>
      <c r="AB441" s="10">
        <f>_xlfn.RANK.EQ(Proj[[#This Row],[VOR]],Proj[VOR])</f>
        <v>309</v>
      </c>
      <c r="AC441" s="10">
        <f>INDEX(Std[],MATCH(Proj[[#This Row],[Player]],Std[Player],0),20)</f>
        <v>-195.15585444156818</v>
      </c>
      <c r="AD4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271.90000000000003</v>
      </c>
    </row>
    <row r="442" spans="1:30" x14ac:dyDescent="0.25">
      <c r="A442" t="s">
        <v>1263</v>
      </c>
      <c r="B442">
        <v>23</v>
      </c>
      <c r="C442" t="s">
        <v>3</v>
      </c>
      <c r="D442" t="s">
        <v>9</v>
      </c>
      <c r="E442" s="9">
        <f>INDEX(Table1[],MATCH(Proj[[#This Row],[Player]],Table1[Player],0),5)</f>
        <v>16.75</v>
      </c>
      <c r="F442" s="9">
        <f>_xlfn.IFNA(INDEX(Table2[],MATCH(Proj[[#This Row],[Player]],Table2[Player],0),5),0)</f>
        <v>1.1499999999999999</v>
      </c>
      <c r="G442" s="9">
        <f>_xlfn.IFNA(INDEX(Table3[],MATCH(Proj[[#This Row],[Player]],Table3[Player],0),5),0)</f>
        <v>0</v>
      </c>
      <c r="H442" s="10">
        <v>70</v>
      </c>
      <c r="I442">
        <v>70</v>
      </c>
      <c r="J442" s="9">
        <v>16.75</v>
      </c>
      <c r="K442" s="9">
        <v>1.1499999999999999</v>
      </c>
      <c r="L442" s="9">
        <v>0</v>
      </c>
      <c r="M442" s="9">
        <f>Proj[[#This Row],[TOI ES]]+Proj[[#This Row],[TOI PP]]+Proj[[#This Row],[TOI PK]]</f>
        <v>17.899999999999999</v>
      </c>
      <c r="N4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42">
        <f>Proj[[#This Row],[Goals]]+Proj[[#This Row],[Assists]]</f>
        <v>24</v>
      </c>
      <c r="Q442">
        <f>ROUND(_xlfn.IFNA(INDEX(Table2[],MATCH(Proj[[#This Row],[Player]],Table2[Player],0),11)/60,IF(Proj[[#This Row],[Pos]] = "D", 'Per 60 PP'!$K$527,'Per 60 PP'!$K$526)/60)*Proj[[#This Row],[TOI PP]]*Proj[[#This Row],[GP]],0)</f>
        <v>1</v>
      </c>
      <c r="R442">
        <f>ROUND(_xlfn.IFNA(INDEX(Table2[],MATCH(Proj[[#This Row],[Player]],Table2[Player],0),7)/60,IF(Proj[[#This Row],[Pos]] = "D", 'Per 60 PP'!$G$527,'Per 60 PP'!$G$526)/60)*Proj[[#This Row],[TOI PP]]*Proj[[#This Row],[GP]],0)</f>
        <v>4</v>
      </c>
      <c r="S442">
        <f>Proj[[#This Row],[PPG]]+Proj[[#This Row],[PPA]]</f>
        <v>5</v>
      </c>
      <c r="T442">
        <f>ROUND((_xlfn.IFNA(INDEX(Table3[],MATCH(Proj[[#This Row],[Player]],Table3[Player],0),6)/60,IF(Proj[[#This Row],[Pos]] ="D", 'Per 60 PK'!$F$623, 'Per 60 PK'!$F$622)/60)+_xlfn.IFNA(INDEX(Table3[],MATCH(Proj[[#This Row],[Player]],Table3[Player],0),8)/60,IF(Proj[[#This Row],[Pos]] ="D", 'Per 60 PK'!$H$623, 'Per 60 PK'!$H$622)/60))*Proj[[#This Row],[TOI PK]]*Proj[[#This Row],[GP]],0)</f>
        <v>0</v>
      </c>
      <c r="U4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69</v>
      </c>
      <c r="V4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4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4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115</v>
      </c>
      <c r="AA4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-305.92477012686481</v>
      </c>
      <c r="AB442" s="10">
        <f>_xlfn.RANK.EQ(Proj[[#This Row],[VOR]],Proj[VOR])</f>
        <v>314</v>
      </c>
      <c r="AC442" s="10">
        <f>INDEX(Std[],MATCH(Proj[[#This Row],[Player]],Std[Player],0),20)</f>
        <v>-198.56000240740033</v>
      </c>
      <c r="AD4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272.55</v>
      </c>
    </row>
    <row r="443" spans="1:30" x14ac:dyDescent="0.25">
      <c r="A443" t="s">
        <v>438</v>
      </c>
      <c r="B443">
        <v>30</v>
      </c>
      <c r="C443" t="s">
        <v>3</v>
      </c>
      <c r="D443" t="s">
        <v>17</v>
      </c>
      <c r="E443" s="9">
        <f>INDEX(Table1[],MATCH(Proj[[#This Row],[Player]],Table1[Player],0),5)</f>
        <v>16.735057554324101</v>
      </c>
      <c r="F443" s="9">
        <f>_xlfn.IFNA(INDEX(Table2[],MATCH(Proj[[#This Row],[Player]],Table2[Player],0),5),0)</f>
        <v>0</v>
      </c>
      <c r="G443" s="9">
        <f>_xlfn.IFNA(INDEX(Table3[],MATCH(Proj[[#This Row],[Player]],Table3[Player],0),5),0)</f>
        <v>3.54</v>
      </c>
      <c r="H443" s="10">
        <v>82</v>
      </c>
      <c r="I443">
        <v>82</v>
      </c>
      <c r="J443" s="9">
        <v>16.735057554324101</v>
      </c>
      <c r="K443" s="9">
        <v>0</v>
      </c>
      <c r="L443" s="9">
        <v>3.54</v>
      </c>
      <c r="M443" s="9">
        <f>Proj[[#This Row],[TOI ES]]+Proj[[#This Row],[TOI PP]]+Proj[[#This Row],[TOI PK]]</f>
        <v>20.2750575543241</v>
      </c>
      <c r="N4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43" s="10">
        <f>Proj[[#This Row],[Goals]]+Proj[[#This Row],[Assists]]</f>
        <v>24</v>
      </c>
      <c r="Q443" s="10">
        <f>ROUND(_xlfn.IFNA(INDEX(Table2[],MATCH(Proj[[#This Row],[Player]],Table2[Player],0),11)/60,IF(Proj[[#This Row],[Pos]] = "D", 'Per 60 PP'!$K$527,'Per 60 PP'!$K$526)/60)*Proj[[#This Row],[TOI PP]]*Proj[[#This Row],[GP]],0)</f>
        <v>0</v>
      </c>
      <c r="R443" s="10">
        <f>ROUND(_xlfn.IFNA(INDEX(Table2[],MATCH(Proj[[#This Row],[Player]],Table2[Player],0),7)/60,IF(Proj[[#This Row],[Pos]] = "D", 'Per 60 PP'!$G$527,'Per 60 PP'!$G$526)/60)*Proj[[#This Row],[TOI PP]]*Proj[[#This Row],[GP]],0)</f>
        <v>0</v>
      </c>
      <c r="S443" s="10">
        <f>Proj[[#This Row],[PPG]]+Proj[[#This Row],[PPA]]</f>
        <v>0</v>
      </c>
      <c r="T443">
        <f>ROUND((_xlfn.IFNA(INDEX(Table3[],MATCH(Proj[[#This Row],[Player]],Table3[Player],0),6)/60,IF(Proj[[#This Row],[Pos]] ="D", 'Per 60 PK'!$F$623, 'Per 60 PK'!$F$622)/60)+_xlfn.IFNA(INDEX(Table3[],MATCH(Proj[[#This Row],[Player]],Table3[Player],0),8)/60,IF(Proj[[#This Row],[Pos]] ="D", 'Per 60 PK'!$H$623, 'Per 60 PK'!$H$622)/60))*Proj[[#This Row],[TOI PK]]*Proj[[#This Row],[GP]],0)</f>
        <v>1</v>
      </c>
      <c r="U4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4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165</v>
      </c>
      <c r="W4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4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111</v>
      </c>
      <c r="AA4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-286.23242933802396</v>
      </c>
      <c r="AB443" s="10">
        <f>_xlfn.RANK.EQ(Proj[[#This Row],[VOR]],Proj[VOR])</f>
        <v>298</v>
      </c>
      <c r="AC443" s="10">
        <f>INDEX(Std[],MATCH(Proj[[#This Row],[Player]],Std[Player],0),20)</f>
        <v>-178.86766161855948</v>
      </c>
      <c r="AD4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312.8</v>
      </c>
    </row>
    <row r="444" spans="1:30" x14ac:dyDescent="0.25">
      <c r="A444" t="s">
        <v>631</v>
      </c>
      <c r="B444">
        <v>33</v>
      </c>
      <c r="C444" t="s">
        <v>105</v>
      </c>
      <c r="D444" t="s">
        <v>34</v>
      </c>
      <c r="E444" s="9">
        <f>INDEX(Table1[],MATCH(Proj[[#This Row],[Player]],Table1[Player],0),5)</f>
        <v>11.6890777884991</v>
      </c>
      <c r="F444" s="9">
        <f>_xlfn.IFNA(INDEX(Table2[],MATCH(Proj[[#This Row],[Player]],Table2[Player],0),5),0)</f>
        <v>0</v>
      </c>
      <c r="G444" s="9">
        <f>_xlfn.IFNA(INDEX(Table3[],MATCH(Proj[[#This Row],[Player]],Table3[Player],0),5),0)</f>
        <v>1.1599999999999999</v>
      </c>
      <c r="H444" s="10">
        <v>79</v>
      </c>
      <c r="I444">
        <v>79</v>
      </c>
      <c r="J444" s="9">
        <v>11.6890777884991</v>
      </c>
      <c r="K444" s="9">
        <v>0</v>
      </c>
      <c r="L444" s="9">
        <v>1.1599999999999999</v>
      </c>
      <c r="M444" s="9">
        <f>Proj[[#This Row],[TOI ES]]+Proj[[#This Row],[TOI PP]]+Proj[[#This Row],[TOI PK]]</f>
        <v>12.8490777884991</v>
      </c>
      <c r="N4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44" s="10">
        <f>Proj[[#This Row],[Goals]]+Proj[[#This Row],[Assists]]</f>
        <v>24</v>
      </c>
      <c r="Q444" s="10">
        <f>ROUND(_xlfn.IFNA(INDEX(Table2[],MATCH(Proj[[#This Row],[Player]],Table2[Player],0),11)/60,IF(Proj[[#This Row],[Pos]] = "D", 'Per 60 PP'!$K$527,'Per 60 PP'!$K$526)/60)*Proj[[#This Row],[TOI PP]]*Proj[[#This Row],[GP]],0)</f>
        <v>0</v>
      </c>
      <c r="R444" s="10">
        <f>ROUND(_xlfn.IFNA(INDEX(Table2[],MATCH(Proj[[#This Row],[Player]],Table2[Player],0),7)/60,IF(Proj[[#This Row],[Pos]] = "D", 'Per 60 PP'!$G$527,'Per 60 PP'!$G$526)/60)*Proj[[#This Row],[TOI PP]]*Proj[[#This Row],[GP]],0)</f>
        <v>0</v>
      </c>
      <c r="S444" s="10">
        <f>Proj[[#This Row],[PPG]]+Proj[[#This Row],[PPA]]</f>
        <v>0</v>
      </c>
      <c r="T444">
        <f>ROUND((_xlfn.IFNA(INDEX(Table3[],MATCH(Proj[[#This Row],[Player]],Table3[Player],0),6)/60,IF(Proj[[#This Row],[Pos]] ="D", 'Per 60 PK'!$F$623, 'Per 60 PK'!$F$622)/60)+_xlfn.IFNA(INDEX(Table3[],MATCH(Proj[[#This Row],[Player]],Table3[Player],0),8)/60,IF(Proj[[#This Row],[Pos]] ="D", 'Per 60 PK'!$H$623, 'Per 60 PK'!$H$622)/60))*Proj[[#This Row],[TOI PK]]*Proj[[#This Row],[GP]],0)</f>
        <v>1</v>
      </c>
      <c r="U4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81</v>
      </c>
      <c r="V4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4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4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4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4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4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-962.43499156179951</v>
      </c>
      <c r="AB444" s="10">
        <f>_xlfn.RANK.EQ(Proj[[#This Row],[VOR]],Proj[VOR])</f>
        <v>649</v>
      </c>
      <c r="AC444" s="10">
        <f>INDEX(Std[],MATCH(Proj[[#This Row],[Player]],Std[Player],0),20)</f>
        <v>-515.8902671715507</v>
      </c>
      <c r="AD4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225.44999999999996</v>
      </c>
    </row>
    <row r="445" spans="1:30" x14ac:dyDescent="0.25">
      <c r="A445" t="s">
        <v>508</v>
      </c>
      <c r="B445">
        <v>31</v>
      </c>
      <c r="C445" t="s">
        <v>3</v>
      </c>
      <c r="D445" t="s">
        <v>154</v>
      </c>
      <c r="E445" s="9">
        <f>INDEX(Table1[],MATCH(Proj[[#This Row],[Player]],Table1[Player],0),5)</f>
        <v>19</v>
      </c>
      <c r="F445" s="9">
        <f>_xlfn.IFNA(INDEX(Table2[],MATCH(Proj[[#This Row],[Player]],Table2[Player],0),5),0)</f>
        <v>0</v>
      </c>
      <c r="G445" s="9">
        <f>_xlfn.IFNA(INDEX(Table3[],MATCH(Proj[[#This Row],[Player]],Table3[Player],0),5),0)</f>
        <v>2.67</v>
      </c>
      <c r="H445" s="10">
        <v>80</v>
      </c>
      <c r="I445">
        <v>80</v>
      </c>
      <c r="J445" s="9">
        <v>19</v>
      </c>
      <c r="K445" s="9">
        <v>0</v>
      </c>
      <c r="L445" s="9">
        <v>2.67</v>
      </c>
      <c r="M445" s="9">
        <f>Proj[[#This Row],[TOI ES]]+Proj[[#This Row],[TOI PP]]+Proj[[#This Row],[TOI PK]]</f>
        <v>21.67</v>
      </c>
      <c r="N4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20</v>
      </c>
      <c r="P445" s="10">
        <f>Proj[[#This Row],[Goals]]+Proj[[#This Row],[Assists]]</f>
        <v>24</v>
      </c>
      <c r="Q445" s="10">
        <f>ROUND(_xlfn.IFNA(INDEX(Table2[],MATCH(Proj[[#This Row],[Player]],Table2[Player],0),11)/60,IF(Proj[[#This Row],[Pos]] = "D", 'Per 60 PP'!$K$527,'Per 60 PP'!$K$526)/60)*Proj[[#This Row],[TOI PP]]*Proj[[#This Row],[GP]],0)</f>
        <v>0</v>
      </c>
      <c r="R445" s="10">
        <f>ROUND(_xlfn.IFNA(INDEX(Table2[],MATCH(Proj[[#This Row],[Player]],Table2[Player],0),7)/60,IF(Proj[[#This Row],[Pos]] = "D", 'Per 60 PP'!$G$527,'Per 60 PP'!$G$526)/60)*Proj[[#This Row],[TOI PP]]*Proj[[#This Row],[GP]],0)</f>
        <v>0</v>
      </c>
      <c r="S445" s="10">
        <f>Proj[[#This Row],[PPG]]+Proj[[#This Row],[PPA]]</f>
        <v>0</v>
      </c>
      <c r="T445">
        <f>ROUND((_xlfn.IFNA(INDEX(Table3[],MATCH(Proj[[#This Row],[Player]],Table3[Player],0),6)/60,IF(Proj[[#This Row],[Pos]] ="D", 'Per 60 PK'!$F$623, 'Per 60 PK'!$F$622)/60)+_xlfn.IFNA(INDEX(Table3[],MATCH(Proj[[#This Row],[Player]],Table3[Player],0),8)/60,IF(Proj[[#This Row],[Pos]] ="D", 'Per 60 PK'!$H$623, 'Per 60 PK'!$H$622)/60))*Proj[[#This Row],[TOI PK]]*Proj[[#This Row],[GP]],0)</f>
        <v>1</v>
      </c>
      <c r="U4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102</v>
      </c>
      <c r="V4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128</v>
      </c>
      <c r="W4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4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-299.20023657254671</v>
      </c>
      <c r="AB445" s="10">
        <f>_xlfn.RANK.EQ(Proj[[#This Row],[VOR]],Proj[VOR])</f>
        <v>306</v>
      </c>
      <c r="AC445" s="10">
        <f>INDEX(Std[],MATCH(Proj[[#This Row],[Player]],Std[Player],0),20)</f>
        <v>-191.83546885308226</v>
      </c>
      <c r="AD4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304.3</v>
      </c>
    </row>
    <row r="446" spans="1:30" x14ac:dyDescent="0.25">
      <c r="A446" t="s">
        <v>769</v>
      </c>
      <c r="B446">
        <v>26</v>
      </c>
      <c r="C446" t="s">
        <v>102</v>
      </c>
      <c r="D446" t="s">
        <v>12</v>
      </c>
      <c r="E446" s="9">
        <f>INDEX(Table1[],MATCH(Proj[[#This Row],[Player]],Table1[Player],0),5)</f>
        <v>11.4637104086696</v>
      </c>
      <c r="F446" s="9">
        <f>_xlfn.IFNA(INDEX(Table2[],MATCH(Proj[[#This Row],[Player]],Table2[Player],0),5),0)</f>
        <v>1.35</v>
      </c>
      <c r="G446" s="9">
        <f>_xlfn.IFNA(INDEX(Table3[],MATCH(Proj[[#This Row],[Player]],Table3[Player],0),5),0)</f>
        <v>0</v>
      </c>
      <c r="H446" s="10">
        <v>76</v>
      </c>
      <c r="I446">
        <v>76</v>
      </c>
      <c r="J446" s="9">
        <v>11.4637104086696</v>
      </c>
      <c r="K446" s="9">
        <v>1.35</v>
      </c>
      <c r="L446" s="9">
        <v>0</v>
      </c>
      <c r="M446" s="9">
        <f>Proj[[#This Row],[TOI ES]]+Proj[[#This Row],[TOI PP]]+Proj[[#This Row],[TOI PK]]</f>
        <v>12.8137104086696</v>
      </c>
      <c r="N4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46" s="10">
        <f>Proj[[#This Row],[Goals]]+Proj[[#This Row],[Assists]]</f>
        <v>24</v>
      </c>
      <c r="Q446" s="10">
        <f>ROUND(_xlfn.IFNA(INDEX(Table2[],MATCH(Proj[[#This Row],[Player]],Table2[Player],0),11)/60,IF(Proj[[#This Row],[Pos]] = "D", 'Per 60 PP'!$K$527,'Per 60 PP'!$K$526)/60)*Proj[[#This Row],[TOI PP]]*Proj[[#This Row],[GP]],0)</f>
        <v>2</v>
      </c>
      <c r="R446" s="10">
        <f>ROUND(_xlfn.IFNA(INDEX(Table2[],MATCH(Proj[[#This Row],[Player]],Table2[Player],0),7)/60,IF(Proj[[#This Row],[Pos]] = "D", 'Per 60 PP'!$G$527,'Per 60 PP'!$G$526)/60)*Proj[[#This Row],[TOI PP]]*Proj[[#This Row],[GP]],0)</f>
        <v>3</v>
      </c>
      <c r="S446" s="10">
        <f>Proj[[#This Row],[PPG]]+Proj[[#This Row],[PPA]]</f>
        <v>5</v>
      </c>
      <c r="T446">
        <f>ROUND((_xlfn.IFNA(INDEX(Table3[],MATCH(Proj[[#This Row],[Player]],Table3[Player],0),6)/60,IF(Proj[[#This Row],[Pos]] ="D", 'Per 60 PK'!$F$623, 'Per 60 PK'!$F$622)/60)+_xlfn.IFNA(INDEX(Table3[],MATCH(Proj[[#This Row],[Player]],Table3[Player],0),8)/60,IF(Proj[[#This Row],[Pos]] ="D", 'Per 60 PK'!$H$623, 'Per 60 PK'!$H$622)/60))*Proj[[#This Row],[TOI PK]]*Proj[[#This Row],[GP]],0)</f>
        <v>0</v>
      </c>
      <c r="U4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141</v>
      </c>
      <c r="V4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4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64</v>
      </c>
      <c r="X4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v>
      </c>
      <c r="Y4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v>
      </c>
      <c r="Z4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118</v>
      </c>
      <c r="AA4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-519.05984776457603</v>
      </c>
      <c r="AB446" s="10">
        <f>_xlfn.RANK.EQ(Proj[[#This Row],[VOR]],Proj[VOR])</f>
        <v>434</v>
      </c>
      <c r="AC446" s="10">
        <f>INDEX(Std[],MATCH(Proj[[#This Row],[Player]],Std[Player],0),20)</f>
        <v>-47.515123374327132</v>
      </c>
      <c r="AD4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306.25000000000006</v>
      </c>
    </row>
    <row r="447" spans="1:30" x14ac:dyDescent="0.25">
      <c r="A447" t="s">
        <v>436</v>
      </c>
      <c r="B447">
        <v>27</v>
      </c>
      <c r="C447" t="s">
        <v>74</v>
      </c>
      <c r="D447" t="s">
        <v>154</v>
      </c>
      <c r="E447" s="9">
        <f>INDEX(Table1[],MATCH(Proj[[#This Row],[Player]],Table1[Player],0),5)</f>
        <v>12.7115379502472</v>
      </c>
      <c r="F447" s="9">
        <f>_xlfn.IFNA(INDEX(Table2[],MATCH(Proj[[#This Row],[Player]],Table2[Player],0),5),0)</f>
        <v>1.1399999999999999</v>
      </c>
      <c r="G447" s="9">
        <f>_xlfn.IFNA(INDEX(Table3[],MATCH(Proj[[#This Row],[Player]],Table3[Player],0),5),0)</f>
        <v>1.9</v>
      </c>
      <c r="H447" s="10">
        <v>80</v>
      </c>
      <c r="I447">
        <v>80</v>
      </c>
      <c r="J447" s="9">
        <v>12.7115379502472</v>
      </c>
      <c r="K447" s="9">
        <v>1.1399999999999999</v>
      </c>
      <c r="L447" s="9">
        <v>1.9</v>
      </c>
      <c r="M447" s="9">
        <f>Proj[[#This Row],[TOI ES]]+Proj[[#This Row],[TOI PP]]+Proj[[#This Row],[TOI PK]]</f>
        <v>15.751537950247201</v>
      </c>
      <c r="N4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47" s="10">
        <f>Proj[[#This Row],[Goals]]+Proj[[#This Row],[Assists]]</f>
        <v>24</v>
      </c>
      <c r="Q447" s="10">
        <f>ROUND(_xlfn.IFNA(INDEX(Table2[],MATCH(Proj[[#This Row],[Player]],Table2[Player],0),11)/60,IF(Proj[[#This Row],[Pos]] = "D", 'Per 60 PP'!$K$527,'Per 60 PP'!$K$526)/60)*Proj[[#This Row],[TOI PP]]*Proj[[#This Row],[GP]],0)</f>
        <v>2</v>
      </c>
      <c r="R447" s="10">
        <f>ROUND(_xlfn.IFNA(INDEX(Table2[],MATCH(Proj[[#This Row],[Player]],Table2[Player],0),7)/60,IF(Proj[[#This Row],[Pos]] = "D", 'Per 60 PP'!$G$527,'Per 60 PP'!$G$526)/60)*Proj[[#This Row],[TOI PP]]*Proj[[#This Row],[GP]],0)</f>
        <v>2</v>
      </c>
      <c r="S447" s="10">
        <f>Proj[[#This Row],[PPG]]+Proj[[#This Row],[PPA]]</f>
        <v>4</v>
      </c>
      <c r="T447">
        <f>ROUND((_xlfn.IFNA(INDEX(Table3[],MATCH(Proj[[#This Row],[Player]],Table3[Player],0),6)/60,IF(Proj[[#This Row],[Pos]] ="D", 'Per 60 PK'!$F$623, 'Per 60 PK'!$F$622)/60)+_xlfn.IFNA(INDEX(Table3[],MATCH(Proj[[#This Row],[Player]],Table3[Player],0),8)/60,IF(Proj[[#This Row],[Pos]] ="D", 'Per 60 PK'!$H$623, 'Per 60 PK'!$H$622)/60))*Proj[[#This Row],[TOI PK]]*Proj[[#This Row],[GP]],0)</f>
        <v>0</v>
      </c>
      <c r="U4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157</v>
      </c>
      <c r="V4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66</v>
      </c>
      <c r="W4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87</v>
      </c>
      <c r="X4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175</v>
      </c>
      <c r="Y4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209</v>
      </c>
      <c r="Z4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116</v>
      </c>
      <c r="AA4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-475.32194115326234</v>
      </c>
      <c r="AB447" s="10">
        <f>_xlfn.RANK.EQ(Proj[[#This Row],[VOR]],Proj[VOR])</f>
        <v>410</v>
      </c>
      <c r="AC447" s="10">
        <f>INDEX(Std[],MATCH(Proj[[#This Row],[Player]],Std[Player],0),20)</f>
        <v>259.31191315703626</v>
      </c>
      <c r="AD4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365.1</v>
      </c>
    </row>
    <row r="448" spans="1:30" x14ac:dyDescent="0.25">
      <c r="A448" t="s">
        <v>376</v>
      </c>
      <c r="B448">
        <v>32</v>
      </c>
      <c r="C448" t="s">
        <v>3</v>
      </c>
      <c r="D448" t="s">
        <v>87</v>
      </c>
      <c r="E448" s="9">
        <f>INDEX(Table1[],MATCH(Proj[[#This Row],[Player]],Table1[Player],0),5)</f>
        <v>19.901753104951201</v>
      </c>
      <c r="F448" s="9">
        <f>_xlfn.IFNA(INDEX(Table2[],MATCH(Proj[[#This Row],[Player]],Table2[Player],0),5),0)</f>
        <v>0</v>
      </c>
      <c r="G448" s="9">
        <f>_xlfn.IFNA(INDEX(Table3[],MATCH(Proj[[#This Row],[Player]],Table3[Player],0),5),0)</f>
        <v>2.87</v>
      </c>
      <c r="H448" s="10">
        <v>82</v>
      </c>
      <c r="I448">
        <v>82</v>
      </c>
      <c r="J448" s="9">
        <v>19.901753104951201</v>
      </c>
      <c r="K448" s="9">
        <v>0</v>
      </c>
      <c r="L448" s="9">
        <v>2.87</v>
      </c>
      <c r="M448" s="9">
        <f>Proj[[#This Row],[TOI ES]]+Proj[[#This Row],[TOI PP]]+Proj[[#This Row],[TOI PK]]</f>
        <v>22.771753104951202</v>
      </c>
      <c r="N4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48">
        <f>Proj[[#This Row],[Goals]]+Proj[[#This Row],[Assists]]</f>
        <v>24</v>
      </c>
      <c r="Q448" s="10">
        <f>ROUND(_xlfn.IFNA(INDEX(Table2[],MATCH(Proj[[#This Row],[Player]],Table2[Player],0),11)/60,IF(Proj[[#This Row],[Pos]] = "D", 'Per 60 PP'!$K$527,'Per 60 PP'!$K$526)/60)*Proj[[#This Row],[TOI PP]]*Proj[[#This Row],[GP]],0)</f>
        <v>0</v>
      </c>
      <c r="R448" s="10">
        <f>ROUND(_xlfn.IFNA(INDEX(Table2[],MATCH(Proj[[#This Row],[Player]],Table2[Player],0),7)/60,IF(Proj[[#This Row],[Pos]] = "D", 'Per 60 PP'!$G$527,'Per 60 PP'!$G$526)/60)*Proj[[#This Row],[TOI PP]]*Proj[[#This Row],[GP]],0)</f>
        <v>0</v>
      </c>
      <c r="S448" s="10">
        <f>Proj[[#This Row],[PPG]]+Proj[[#This Row],[PPA]]</f>
        <v>0</v>
      </c>
      <c r="T448">
        <f>ROUND((_xlfn.IFNA(INDEX(Table3[],MATCH(Proj[[#This Row],[Player]],Table3[Player],0),6)/60,IF(Proj[[#This Row],[Pos]] ="D", 'Per 60 PK'!$F$623, 'Per 60 PK'!$F$622)/60)+_xlfn.IFNA(INDEX(Table3[],MATCH(Proj[[#This Row],[Player]],Table3[Player],0),8)/60,IF(Proj[[#This Row],[Pos]] ="D", 'Per 60 PK'!$H$623, 'Per 60 PK'!$H$622)/60))*Proj[[#This Row],[TOI PK]]*Proj[[#This Row],[GP]],0)</f>
        <v>1</v>
      </c>
      <c r="U4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158</v>
      </c>
      <c r="V4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163</v>
      </c>
      <c r="W4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4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126</v>
      </c>
      <c r="AA4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72.315282707914832</v>
      </c>
      <c r="AB448" s="10">
        <f>_xlfn.RANK.EQ(Proj[[#This Row],[VOR]],Proj[VOR])</f>
        <v>132</v>
      </c>
      <c r="AC448" s="10">
        <f>INDEX(Std[],MATCH(Proj[[#This Row],[Player]],Std[Player],0),20)</f>
        <v>179.68005042737931</v>
      </c>
      <c r="AD4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385.5</v>
      </c>
    </row>
    <row r="449" spans="1:30" x14ac:dyDescent="0.25">
      <c r="A449" t="s">
        <v>1186</v>
      </c>
      <c r="B449">
        <v>20</v>
      </c>
      <c r="C449" t="s">
        <v>3</v>
      </c>
      <c r="D449" t="s">
        <v>21</v>
      </c>
      <c r="E449" s="9">
        <f>INDEX(Table1[],MATCH(Proj[[#This Row],[Player]],Table1[Player],0),5)</f>
        <v>17.4623882445443</v>
      </c>
      <c r="F449" s="9">
        <f>_xlfn.IFNA(INDEX(Table2[],MATCH(Proj[[#This Row],[Player]],Table2[Player],0),5),0)</f>
        <v>1.81</v>
      </c>
      <c r="G449" s="9">
        <f>_xlfn.IFNA(INDEX(Table3[],MATCH(Proj[[#This Row],[Player]],Table3[Player],0),5),0)</f>
        <v>0.52</v>
      </c>
      <c r="H449" s="10">
        <v>79</v>
      </c>
      <c r="I449">
        <v>79</v>
      </c>
      <c r="J449" s="9">
        <v>17.4623882445443</v>
      </c>
      <c r="K449" s="9">
        <v>1.81</v>
      </c>
      <c r="L449" s="9">
        <v>0.52</v>
      </c>
      <c r="M449" s="9">
        <f>Proj[[#This Row],[TOI ES]]+Proj[[#This Row],[TOI PP]]+Proj[[#This Row],[TOI PK]]</f>
        <v>19.792388244544298</v>
      </c>
      <c r="N4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49" s="10">
        <f>Proj[[#This Row],[Goals]]+Proj[[#This Row],[Assists]]</f>
        <v>23</v>
      </c>
      <c r="Q449" s="10">
        <f>ROUND(_xlfn.IFNA(INDEX(Table2[],MATCH(Proj[[#This Row],[Player]],Table2[Player],0),11)/60,IF(Proj[[#This Row],[Pos]] = "D", 'Per 60 PP'!$K$527,'Per 60 PP'!$K$526)/60)*Proj[[#This Row],[TOI PP]]*Proj[[#This Row],[GP]],0)</f>
        <v>0</v>
      </c>
      <c r="R449" s="10">
        <f>ROUND(_xlfn.IFNA(INDEX(Table2[],MATCH(Proj[[#This Row],[Player]],Table2[Player],0),7)/60,IF(Proj[[#This Row],[Pos]] = "D", 'Per 60 PP'!$G$527,'Per 60 PP'!$G$526)/60)*Proj[[#This Row],[TOI PP]]*Proj[[#This Row],[GP]],0)</f>
        <v>8</v>
      </c>
      <c r="S449" s="10">
        <f>Proj[[#This Row],[PPG]]+Proj[[#This Row],[PPA]]</f>
        <v>8</v>
      </c>
      <c r="T449">
        <f>ROUND((_xlfn.IFNA(INDEX(Table3[],MATCH(Proj[[#This Row],[Player]],Table3[Player],0),6)/60,IF(Proj[[#This Row],[Pos]] ="D", 'Per 60 PK'!$F$623, 'Per 60 PK'!$F$622)/60)+_xlfn.IFNA(INDEX(Table3[],MATCH(Proj[[#This Row],[Player]],Table3[Player],0),8)/60,IF(Proj[[#This Row],[Pos]] ="D", 'Per 60 PK'!$H$623, 'Per 60 PK'!$H$622)/60))*Proj[[#This Row],[TOI PK]]*Proj[[#This Row],[GP]],0)</f>
        <v>0</v>
      </c>
      <c r="U4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4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93</v>
      </c>
      <c r="W4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4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4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-415.55251962462637</v>
      </c>
      <c r="AB449" s="10">
        <f>_xlfn.RANK.EQ(Proj[[#This Row],[VOR]],Proj[VOR])</f>
        <v>382</v>
      </c>
      <c r="AC449" s="10">
        <f>INDEX(Std[],MATCH(Proj[[#This Row],[Player]],Std[Player],0),20)</f>
        <v>-308.18775190516186</v>
      </c>
      <c r="AD4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248.10000000000002</v>
      </c>
    </row>
    <row r="450" spans="1:30" x14ac:dyDescent="0.25">
      <c r="A450" t="s">
        <v>820</v>
      </c>
      <c r="B450">
        <v>24</v>
      </c>
      <c r="C450" t="s">
        <v>74</v>
      </c>
      <c r="D450" t="s">
        <v>29</v>
      </c>
      <c r="E450" s="9">
        <f>INDEX(Table1[],MATCH(Proj[[#This Row],[Player]],Table1[Player],0),5)</f>
        <v>12.309581850831901</v>
      </c>
      <c r="F450" s="9">
        <f>_xlfn.IFNA(INDEX(Table2[],MATCH(Proj[[#This Row],[Player]],Table2[Player],0),5),0)</f>
        <v>0</v>
      </c>
      <c r="G450" s="9">
        <f>_xlfn.IFNA(INDEX(Table3[],MATCH(Proj[[#This Row],[Player]],Table3[Player],0),5),0)</f>
        <v>0.75</v>
      </c>
      <c r="H450" s="10">
        <v>75</v>
      </c>
      <c r="I450">
        <v>75</v>
      </c>
      <c r="J450" s="9">
        <v>12.309581850831901</v>
      </c>
      <c r="K450" s="9">
        <v>0</v>
      </c>
      <c r="L450" s="9">
        <v>0.75</v>
      </c>
      <c r="M450" s="9">
        <f>Proj[[#This Row],[TOI ES]]+Proj[[#This Row],[TOI PP]]+Proj[[#This Row],[TOI PK]]</f>
        <v>13.059581850831901</v>
      </c>
      <c r="N4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4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50" s="10">
        <f>Proj[[#This Row],[Goals]]+Proj[[#This Row],[Assists]]</f>
        <v>23</v>
      </c>
      <c r="Q450" s="10">
        <f>ROUND(_xlfn.IFNA(INDEX(Table2[],MATCH(Proj[[#This Row],[Player]],Table2[Player],0),11)/60,IF(Proj[[#This Row],[Pos]] = "D", 'Per 60 PP'!$K$527,'Per 60 PP'!$K$526)/60)*Proj[[#This Row],[TOI PP]]*Proj[[#This Row],[GP]],0)</f>
        <v>0</v>
      </c>
      <c r="R450" s="10">
        <f>ROUND(_xlfn.IFNA(INDEX(Table2[],MATCH(Proj[[#This Row],[Player]],Table2[Player],0),7)/60,IF(Proj[[#This Row],[Pos]] = "D", 'Per 60 PP'!$G$527,'Per 60 PP'!$G$526)/60)*Proj[[#This Row],[TOI PP]]*Proj[[#This Row],[GP]],0)</f>
        <v>0</v>
      </c>
      <c r="S450" s="10">
        <f>Proj[[#This Row],[PPG]]+Proj[[#This Row],[PPA]]</f>
        <v>0</v>
      </c>
      <c r="T450">
        <f>ROUND((_xlfn.IFNA(INDEX(Table3[],MATCH(Proj[[#This Row],[Player]],Table3[Player],0),6)/60,IF(Proj[[#This Row],[Pos]] ="D", 'Per 60 PK'!$F$623, 'Per 60 PK'!$F$622)/60)+_xlfn.IFNA(INDEX(Table3[],MATCH(Proj[[#This Row],[Player]],Table3[Player],0),8)/60,IF(Proj[[#This Row],[Pos]] ="D", 'Per 60 PK'!$H$623, 'Per 60 PK'!$H$622)/60))*Proj[[#This Row],[TOI PK]]*Proj[[#This Row],[GP]],0)</f>
        <v>0</v>
      </c>
      <c r="U4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4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4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4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52</v>
      </c>
      <c r="Y4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71</v>
      </c>
      <c r="Z4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-1291.2060828407161</v>
      </c>
      <c r="AB450" s="10">
        <f>_xlfn.RANK.EQ(Proj[[#This Row],[VOR]],Proj[VOR])</f>
        <v>711</v>
      </c>
      <c r="AC450" s="10">
        <f>INDEX(Std[],MATCH(Proj[[#This Row],[Player]],Std[Player],0),20)</f>
        <v>-556.57222853041753</v>
      </c>
      <c r="AD4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211.2</v>
      </c>
    </row>
    <row r="451" spans="1:30" x14ac:dyDescent="0.25">
      <c r="A451" t="s">
        <v>514</v>
      </c>
      <c r="B451">
        <v>27</v>
      </c>
      <c r="C451" t="s">
        <v>3</v>
      </c>
      <c r="D451" t="s">
        <v>1240</v>
      </c>
      <c r="E451" s="9">
        <f>INDEX(Table1[],MATCH(Proj[[#This Row],[Player]],Table1[Player],0),5)</f>
        <v>17.807603488089899</v>
      </c>
      <c r="F451" s="9">
        <f>_xlfn.IFNA(INDEX(Table2[],MATCH(Proj[[#This Row],[Player]],Table2[Player],0),5),0)</f>
        <v>0</v>
      </c>
      <c r="G451" s="9">
        <f>_xlfn.IFNA(INDEX(Table3[],MATCH(Proj[[#This Row],[Player]],Table3[Player],0),5),0)</f>
        <v>2.96</v>
      </c>
      <c r="H451" s="10">
        <v>76</v>
      </c>
      <c r="I451">
        <v>76</v>
      </c>
      <c r="J451" s="9">
        <v>17.807603488089899</v>
      </c>
      <c r="K451" s="9">
        <v>0</v>
      </c>
      <c r="L451" s="9">
        <v>2.96</v>
      </c>
      <c r="M451" s="9">
        <f>Proj[[#This Row],[TOI ES]]+Proj[[#This Row],[TOI PP]]+Proj[[#This Row],[TOI PK]]</f>
        <v>20.7676034880899</v>
      </c>
      <c r="N4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51" s="10">
        <f>Proj[[#This Row],[Goals]]+Proj[[#This Row],[Assists]]</f>
        <v>23</v>
      </c>
      <c r="Q451" s="10">
        <f>ROUND(_xlfn.IFNA(INDEX(Table2[],MATCH(Proj[[#This Row],[Player]],Table2[Player],0),11)/60,IF(Proj[[#This Row],[Pos]] = "D", 'Per 60 PP'!$K$527,'Per 60 PP'!$K$526)/60)*Proj[[#This Row],[TOI PP]]*Proj[[#This Row],[GP]],0)</f>
        <v>0</v>
      </c>
      <c r="R451" s="10">
        <f>ROUND(_xlfn.IFNA(INDEX(Table2[],MATCH(Proj[[#This Row],[Player]],Table2[Player],0),7)/60,IF(Proj[[#This Row],[Pos]] = "D", 'Per 60 PP'!$G$527,'Per 60 PP'!$G$526)/60)*Proj[[#This Row],[TOI PP]]*Proj[[#This Row],[GP]],0)</f>
        <v>0</v>
      </c>
      <c r="S451" s="10">
        <f>Proj[[#This Row],[PPG]]+Proj[[#This Row],[PPA]]</f>
        <v>0</v>
      </c>
      <c r="T451">
        <f>ROUND((_xlfn.IFNA(INDEX(Table3[],MATCH(Proj[[#This Row],[Player]],Table3[Player],0),6)/60,IF(Proj[[#This Row],[Pos]] ="D", 'Per 60 PK'!$F$623, 'Per 60 PK'!$F$622)/60)+_xlfn.IFNA(INDEX(Table3[],MATCH(Proj[[#This Row],[Player]],Table3[Player],0),8)/60,IF(Proj[[#This Row],[Pos]] ="D", 'Per 60 PK'!$H$623, 'Per 60 PK'!$H$622)/60))*Proj[[#This Row],[TOI PK]]*Proj[[#This Row],[GP]],0)</f>
        <v>0</v>
      </c>
      <c r="U4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4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101</v>
      </c>
      <c r="W4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4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66</v>
      </c>
      <c r="AA4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-505.21866043774173</v>
      </c>
      <c r="AB451" s="10">
        <f>_xlfn.RANK.EQ(Proj[[#This Row],[VOR]],Proj[VOR])</f>
        <v>425</v>
      </c>
      <c r="AC451" s="10">
        <f>INDEX(Std[],MATCH(Proj[[#This Row],[Player]],Std[Player],0),20)</f>
        <v>-397.85389271827722</v>
      </c>
      <c r="AD4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233.95</v>
      </c>
    </row>
    <row r="452" spans="1:30" x14ac:dyDescent="0.25">
      <c r="A452" t="s">
        <v>899</v>
      </c>
      <c r="B452">
        <v>34</v>
      </c>
      <c r="C452" t="s">
        <v>3</v>
      </c>
      <c r="D452" t="s">
        <v>21</v>
      </c>
      <c r="E452" s="9">
        <f>INDEX(Table1[],MATCH(Proj[[#This Row],[Player]],Table1[Player],0),5)</f>
        <v>18.793201428222801</v>
      </c>
      <c r="F452" s="9">
        <f>_xlfn.IFNA(INDEX(Table2[],MATCH(Proj[[#This Row],[Player]],Table2[Player],0),5),0)</f>
        <v>0</v>
      </c>
      <c r="G452" s="9">
        <f>_xlfn.IFNA(INDEX(Table3[],MATCH(Proj[[#This Row],[Player]],Table3[Player],0),5),0)</f>
        <v>2.78</v>
      </c>
      <c r="H452" s="10">
        <v>79</v>
      </c>
      <c r="I452">
        <v>79</v>
      </c>
      <c r="J452" s="9">
        <v>18.793201428222801</v>
      </c>
      <c r="K452" s="9">
        <v>0</v>
      </c>
      <c r="L452" s="9">
        <v>2.78</v>
      </c>
      <c r="M452" s="9">
        <f>Proj[[#This Row],[TOI ES]]+Proj[[#This Row],[TOI PP]]+Proj[[#This Row],[TOI PK]]</f>
        <v>21.573201428222802</v>
      </c>
      <c r="N4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4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21</v>
      </c>
      <c r="P452" s="10">
        <f>Proj[[#This Row],[Goals]]+Proj[[#This Row],[Assists]]</f>
        <v>23</v>
      </c>
      <c r="Q452" s="10">
        <f>ROUND(_xlfn.IFNA(INDEX(Table2[],MATCH(Proj[[#This Row],[Player]],Table2[Player],0),11)/60,IF(Proj[[#This Row],[Pos]] = "D", 'Per 60 PP'!$K$527,'Per 60 PP'!$K$526)/60)*Proj[[#This Row],[TOI PP]]*Proj[[#This Row],[GP]],0)</f>
        <v>0</v>
      </c>
      <c r="R452" s="10">
        <f>ROUND(_xlfn.IFNA(INDEX(Table2[],MATCH(Proj[[#This Row],[Player]],Table2[Player],0),7)/60,IF(Proj[[#This Row],[Pos]] = "D", 'Per 60 PP'!$G$527,'Per 60 PP'!$G$526)/60)*Proj[[#This Row],[TOI PP]]*Proj[[#This Row],[GP]],0)</f>
        <v>0</v>
      </c>
      <c r="S452" s="10">
        <f>Proj[[#This Row],[PPG]]+Proj[[#This Row],[PPA]]</f>
        <v>0</v>
      </c>
      <c r="T452">
        <f>ROUND((_xlfn.IFNA(INDEX(Table3[],MATCH(Proj[[#This Row],[Player]],Table3[Player],0),6)/60,IF(Proj[[#This Row],[Pos]] ="D", 'Per 60 PK'!$F$623, 'Per 60 PK'!$F$622)/60)+_xlfn.IFNA(INDEX(Table3[],MATCH(Proj[[#This Row],[Player]],Table3[Player],0),8)/60,IF(Proj[[#This Row],[Pos]] ="D", 'Per 60 PK'!$H$623, 'Per 60 PK'!$H$622)/60))*Proj[[#This Row],[TOI PK]]*Proj[[#This Row],[GP]],0)</f>
        <v>1</v>
      </c>
      <c r="U4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44</v>
      </c>
      <c r="V4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154</v>
      </c>
      <c r="W4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4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4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-377.04436173852753</v>
      </c>
      <c r="AB452" s="10">
        <f>_xlfn.RANK.EQ(Proj[[#This Row],[VOR]],Proj[VOR])</f>
        <v>363</v>
      </c>
      <c r="AC452" s="10">
        <f>INDEX(Std[],MATCH(Proj[[#This Row],[Player]],Std[Player],0),20)</f>
        <v>-269.67959401906302</v>
      </c>
      <c r="AD4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263.65000000000003</v>
      </c>
    </row>
    <row r="453" spans="1:30" x14ac:dyDescent="0.25">
      <c r="A453" t="s">
        <v>559</v>
      </c>
      <c r="B453">
        <v>27</v>
      </c>
      <c r="C453" t="s">
        <v>3</v>
      </c>
      <c r="D453" t="s">
        <v>11</v>
      </c>
      <c r="E453" s="9">
        <f>INDEX(Table1[],MATCH(Proj[[#This Row],[Player]],Table1[Player],0),5)</f>
        <v>16.514585258598199</v>
      </c>
      <c r="F453" s="9">
        <f>_xlfn.IFNA(INDEX(Table2[],MATCH(Proj[[#This Row],[Player]],Table2[Player],0),5),0)</f>
        <v>0</v>
      </c>
      <c r="G453" s="9">
        <f>_xlfn.IFNA(INDEX(Table3[],MATCH(Proj[[#This Row],[Player]],Table3[Player],0),5),0)</f>
        <v>0.77</v>
      </c>
      <c r="H453" s="10">
        <v>78</v>
      </c>
      <c r="I453">
        <v>78</v>
      </c>
      <c r="J453" s="9">
        <v>16.514585258598199</v>
      </c>
      <c r="K453" s="9">
        <v>0</v>
      </c>
      <c r="L453" s="9">
        <v>0.77</v>
      </c>
      <c r="M453" s="9">
        <f>Proj[[#This Row],[TOI ES]]+Proj[[#This Row],[TOI PP]]+Proj[[#This Row],[TOI PK]]</f>
        <v>17.284585258598199</v>
      </c>
      <c r="N4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4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53" s="10">
        <f>Proj[[#This Row],[Goals]]+Proj[[#This Row],[Assists]]</f>
        <v>23</v>
      </c>
      <c r="Q453" s="10">
        <f>ROUND(_xlfn.IFNA(INDEX(Table2[],MATCH(Proj[[#This Row],[Player]],Table2[Player],0),11)/60,IF(Proj[[#This Row],[Pos]] = "D", 'Per 60 PP'!$K$527,'Per 60 PP'!$K$526)/60)*Proj[[#This Row],[TOI PP]]*Proj[[#This Row],[GP]],0)</f>
        <v>0</v>
      </c>
      <c r="R453" s="10">
        <f>ROUND(_xlfn.IFNA(INDEX(Table2[],MATCH(Proj[[#This Row],[Player]],Table2[Player],0),7)/60,IF(Proj[[#This Row],[Pos]] = "D", 'Per 60 PP'!$G$527,'Per 60 PP'!$G$526)/60)*Proj[[#This Row],[TOI PP]]*Proj[[#This Row],[GP]],0)</f>
        <v>0</v>
      </c>
      <c r="S453" s="10">
        <f>Proj[[#This Row],[PPG]]+Proj[[#This Row],[PPA]]</f>
        <v>0</v>
      </c>
      <c r="T453">
        <f>ROUND((_xlfn.IFNA(INDEX(Table3[],MATCH(Proj[[#This Row],[Player]],Table3[Player],0),6)/60,IF(Proj[[#This Row],[Pos]] ="D", 'Per 60 PK'!$F$623, 'Per 60 PK'!$F$622)/60)+_xlfn.IFNA(INDEX(Table3[],MATCH(Proj[[#This Row],[Player]],Table3[Player],0),8)/60,IF(Proj[[#This Row],[Pos]] ="D", 'Per 60 PK'!$H$623, 'Per 60 PK'!$H$622)/60))*Proj[[#This Row],[TOI PK]]*Proj[[#This Row],[GP]],0)</f>
        <v>0</v>
      </c>
      <c r="U4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4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115</v>
      </c>
      <c r="W4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4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102</v>
      </c>
      <c r="AA4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-398.41983316479707</v>
      </c>
      <c r="AB453" s="10">
        <f>_xlfn.RANK.EQ(Proj[[#This Row],[VOR]],Proj[VOR])</f>
        <v>373</v>
      </c>
      <c r="AC453" s="10">
        <f>INDEX(Std[],MATCH(Proj[[#This Row],[Player]],Std[Player],0),20)</f>
        <v>-291.05506544533262</v>
      </c>
      <c r="AD4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270.3</v>
      </c>
    </row>
    <row r="454" spans="1:30" x14ac:dyDescent="0.25">
      <c r="A454" t="s">
        <v>1189</v>
      </c>
      <c r="B454">
        <v>24</v>
      </c>
      <c r="C454" t="s">
        <v>3</v>
      </c>
      <c r="D454" t="s">
        <v>12</v>
      </c>
      <c r="E454" s="9">
        <f>INDEX(Table1[],MATCH(Proj[[#This Row],[Player]],Table1[Player],0),5)</f>
        <v>16.5</v>
      </c>
      <c r="F454" s="9">
        <f>_xlfn.IFNA(INDEX(Table2[],MATCH(Proj[[#This Row],[Player]],Table2[Player],0),5),0)</f>
        <v>0.75</v>
      </c>
      <c r="G454" s="9">
        <f>_xlfn.IFNA(INDEX(Table3[],MATCH(Proj[[#This Row],[Player]],Table3[Player],0),5),0)</f>
        <v>0.73</v>
      </c>
      <c r="H454" s="10">
        <v>78</v>
      </c>
      <c r="I454">
        <v>78</v>
      </c>
      <c r="J454" s="9">
        <v>16.5</v>
      </c>
      <c r="K454" s="9">
        <v>0.75</v>
      </c>
      <c r="L454" s="9">
        <v>0.73</v>
      </c>
      <c r="M454" s="9">
        <f>Proj[[#This Row],[TOI ES]]+Proj[[#This Row],[TOI PP]]+Proj[[#This Row],[TOI PK]]</f>
        <v>17.98</v>
      </c>
      <c r="N4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54" s="10">
        <f>Proj[[#This Row],[Goals]]+Proj[[#This Row],[Assists]]</f>
        <v>23</v>
      </c>
      <c r="Q454" s="10">
        <f>ROUND(_xlfn.IFNA(INDEX(Table2[],MATCH(Proj[[#This Row],[Player]],Table2[Player],0),11)/60,IF(Proj[[#This Row],[Pos]] = "D", 'Per 60 PP'!$K$527,'Per 60 PP'!$K$526)/60)*Proj[[#This Row],[TOI PP]]*Proj[[#This Row],[GP]],0)</f>
        <v>1</v>
      </c>
      <c r="R454" s="10">
        <f>ROUND(_xlfn.IFNA(INDEX(Table2[],MATCH(Proj[[#This Row],[Player]],Table2[Player],0),7)/60,IF(Proj[[#This Row],[Pos]] = "D", 'Per 60 PP'!$G$527,'Per 60 PP'!$G$526)/60)*Proj[[#This Row],[TOI PP]]*Proj[[#This Row],[GP]],0)</f>
        <v>3</v>
      </c>
      <c r="S454" s="10">
        <f>Proj[[#This Row],[PPG]]+Proj[[#This Row],[PPA]]</f>
        <v>4</v>
      </c>
      <c r="T454">
        <f>ROUND((_xlfn.IFNA(INDEX(Table3[],MATCH(Proj[[#This Row],[Player]],Table3[Player],0),6)/60,IF(Proj[[#This Row],[Pos]] ="D", 'Per 60 PK'!$F$623, 'Per 60 PK'!$F$622)/60)+_xlfn.IFNA(INDEX(Table3[],MATCH(Proj[[#This Row],[Player]],Table3[Player],0),8)/60,IF(Proj[[#This Row],[Pos]] ="D", 'Per 60 PK'!$H$623, 'Per 60 PK'!$H$622)/60))*Proj[[#This Row],[TOI PK]]*Proj[[#This Row],[GP]],0)</f>
        <v>0</v>
      </c>
      <c r="U4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4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121</v>
      </c>
      <c r="W4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4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4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-283.01267400891311</v>
      </c>
      <c r="AB454" s="10">
        <f>_xlfn.RANK.EQ(Proj[[#This Row],[VOR]],Proj[VOR])</f>
        <v>297</v>
      </c>
      <c r="AC454" s="10">
        <f>INDEX(Std[],MATCH(Proj[[#This Row],[Player]],Std[Player],0),20)</f>
        <v>-175.6479062894486</v>
      </c>
      <c r="AD4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282.04999999999995</v>
      </c>
    </row>
    <row r="455" spans="1:30" x14ac:dyDescent="0.25">
      <c r="A455" t="s">
        <v>868</v>
      </c>
      <c r="B455">
        <v>28</v>
      </c>
      <c r="C455" t="s">
        <v>3</v>
      </c>
      <c r="D455" t="s">
        <v>7</v>
      </c>
      <c r="E455" s="9">
        <f>INDEX(Table1[],MATCH(Proj[[#This Row],[Player]],Table1[Player],0),5)</f>
        <v>16.187144657560001</v>
      </c>
      <c r="F455" s="9">
        <f>_xlfn.IFNA(INDEX(Table2[],MATCH(Proj[[#This Row],[Player]],Table2[Player],0),5),0)</f>
        <v>0.8</v>
      </c>
      <c r="G455" s="9">
        <f>_xlfn.IFNA(INDEX(Table3[],MATCH(Proj[[#This Row],[Player]],Table3[Player],0),5),0)</f>
        <v>2.09</v>
      </c>
      <c r="H455" s="10">
        <v>75</v>
      </c>
      <c r="I455">
        <v>75</v>
      </c>
      <c r="J455" s="9">
        <v>16.187144657560001</v>
      </c>
      <c r="K455" s="9">
        <v>0.8</v>
      </c>
      <c r="L455" s="9">
        <v>2.09</v>
      </c>
      <c r="M455" s="9">
        <f>Proj[[#This Row],[TOI ES]]+Proj[[#This Row],[TOI PP]]+Proj[[#This Row],[TOI PK]]</f>
        <v>19.077144657560002</v>
      </c>
      <c r="N4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55" s="10">
        <f>Proj[[#This Row],[Goals]]+Proj[[#This Row],[Assists]]</f>
        <v>23</v>
      </c>
      <c r="Q455" s="10">
        <f>ROUND(_xlfn.IFNA(INDEX(Table2[],MATCH(Proj[[#This Row],[Player]],Table2[Player],0),11)/60,IF(Proj[[#This Row],[Pos]] = "D", 'Per 60 PP'!$K$527,'Per 60 PP'!$K$526)/60)*Proj[[#This Row],[TOI PP]]*Proj[[#This Row],[GP]],0)</f>
        <v>0</v>
      </c>
      <c r="R455" s="10">
        <f>ROUND(_xlfn.IFNA(INDEX(Table2[],MATCH(Proj[[#This Row],[Player]],Table2[Player],0),7)/60,IF(Proj[[#This Row],[Pos]] = "D", 'Per 60 PP'!$G$527,'Per 60 PP'!$G$526)/60)*Proj[[#This Row],[TOI PP]]*Proj[[#This Row],[GP]],0)</f>
        <v>3</v>
      </c>
      <c r="S455" s="10">
        <f>Proj[[#This Row],[PPG]]+Proj[[#This Row],[PPA]]</f>
        <v>3</v>
      </c>
      <c r="T455">
        <f>ROUND((_xlfn.IFNA(INDEX(Table3[],MATCH(Proj[[#This Row],[Player]],Table3[Player],0),6)/60,IF(Proj[[#This Row],[Pos]] ="D", 'Per 60 PK'!$F$623, 'Per 60 PK'!$F$622)/60)+_xlfn.IFNA(INDEX(Table3[],MATCH(Proj[[#This Row],[Player]],Table3[Player],0),8)/60,IF(Proj[[#This Row],[Pos]] ="D", 'Per 60 PK'!$H$623, 'Per 60 PK'!$H$622)/60))*Proj[[#This Row],[TOI PK]]*Proj[[#This Row],[GP]],0)</f>
        <v>1</v>
      </c>
      <c r="U4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4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133</v>
      </c>
      <c r="W4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4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4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-250.85321626324568</v>
      </c>
      <c r="AB455" s="10">
        <f>_xlfn.RANK.EQ(Proj[[#This Row],[VOR]],Proj[VOR])</f>
        <v>280</v>
      </c>
      <c r="AC455" s="10">
        <f>INDEX(Std[],MATCH(Proj[[#This Row],[Player]],Std[Player],0),20)</f>
        <v>-143.4884485437812</v>
      </c>
      <c r="AD4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286.14999999999998</v>
      </c>
    </row>
    <row r="456" spans="1:30" x14ac:dyDescent="0.25">
      <c r="A456" t="s">
        <v>1064</v>
      </c>
      <c r="B456">
        <v>26</v>
      </c>
      <c r="C456" t="s">
        <v>3</v>
      </c>
      <c r="D456" t="s">
        <v>153</v>
      </c>
      <c r="E456" s="9">
        <f>INDEX(Table1[],MATCH(Proj[[#This Row],[Player]],Table1[Player],0),5)</f>
        <v>16.2794486737168</v>
      </c>
      <c r="F456" s="9">
        <f>_xlfn.IFNA(INDEX(Table2[],MATCH(Proj[[#This Row],[Player]],Table2[Player],0),5),0)</f>
        <v>0</v>
      </c>
      <c r="G456" s="9">
        <f>_xlfn.IFNA(INDEX(Table3[],MATCH(Proj[[#This Row],[Player]],Table3[Player],0),5),0)</f>
        <v>0.68</v>
      </c>
      <c r="H456" s="10">
        <v>79</v>
      </c>
      <c r="I456">
        <v>79</v>
      </c>
      <c r="J456" s="9">
        <v>16.2794486737168</v>
      </c>
      <c r="K456" s="9">
        <v>0</v>
      </c>
      <c r="L456" s="9">
        <v>0.68</v>
      </c>
      <c r="M456" s="9">
        <f>Proj[[#This Row],[TOI ES]]+Proj[[#This Row],[TOI PP]]+Proj[[#This Row],[TOI PK]]</f>
        <v>16.9594486737168</v>
      </c>
      <c r="N4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56" s="10">
        <f>Proj[[#This Row],[Goals]]+Proj[[#This Row],[Assists]]</f>
        <v>23</v>
      </c>
      <c r="Q456" s="10">
        <f>ROUND(_xlfn.IFNA(INDEX(Table2[],MATCH(Proj[[#This Row],[Player]],Table2[Player],0),11)/60,IF(Proj[[#This Row],[Pos]] = "D", 'Per 60 PP'!$K$527,'Per 60 PP'!$K$526)/60)*Proj[[#This Row],[TOI PP]]*Proj[[#This Row],[GP]],0)</f>
        <v>0</v>
      </c>
      <c r="R456" s="10">
        <f>ROUND(_xlfn.IFNA(INDEX(Table2[],MATCH(Proj[[#This Row],[Player]],Table2[Player],0),7)/60,IF(Proj[[#This Row],[Pos]] = "D", 'Per 60 PP'!$G$527,'Per 60 PP'!$G$526)/60)*Proj[[#This Row],[TOI PP]]*Proj[[#This Row],[GP]],0)</f>
        <v>0</v>
      </c>
      <c r="S456" s="10">
        <f>Proj[[#This Row],[PPG]]+Proj[[#This Row],[PPA]]</f>
        <v>0</v>
      </c>
      <c r="T456">
        <f>ROUND((_xlfn.IFNA(INDEX(Table3[],MATCH(Proj[[#This Row],[Player]],Table3[Player],0),6)/60,IF(Proj[[#This Row],[Pos]] ="D", 'Per 60 PK'!$F$623, 'Per 60 PK'!$F$622)/60)+_xlfn.IFNA(INDEX(Table3[],MATCH(Proj[[#This Row],[Player]],Table3[Player],0),8)/60,IF(Proj[[#This Row],[Pos]] ="D", 'Per 60 PK'!$H$623, 'Per 60 PK'!$H$622)/60))*Proj[[#This Row],[TOI PK]]*Proj[[#This Row],[GP]],0)</f>
        <v>0</v>
      </c>
      <c r="U4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4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108</v>
      </c>
      <c r="W4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4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4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-444.29843646709242</v>
      </c>
      <c r="AB456" s="10">
        <f>_xlfn.RANK.EQ(Proj[[#This Row],[VOR]],Proj[VOR])</f>
        <v>391</v>
      </c>
      <c r="AC456" s="10">
        <f>INDEX(Std[],MATCH(Proj[[#This Row],[Player]],Std[Player],0),20)</f>
        <v>-336.93366874762791</v>
      </c>
      <c r="AD4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262.34999999999997</v>
      </c>
    </row>
    <row r="457" spans="1:30" x14ac:dyDescent="0.25">
      <c r="A457" t="s">
        <v>773</v>
      </c>
      <c r="B457">
        <v>27</v>
      </c>
      <c r="C457" t="s">
        <v>74</v>
      </c>
      <c r="D457" t="s">
        <v>25</v>
      </c>
      <c r="E457" s="9">
        <f>INDEX(Table1[],MATCH(Proj[[#This Row],[Player]],Table1[Player],0),5)</f>
        <v>10.2883731762818</v>
      </c>
      <c r="F457" s="9">
        <f>_xlfn.IFNA(INDEX(Table2[],MATCH(Proj[[#This Row],[Player]],Table2[Player],0),5),0)</f>
        <v>0</v>
      </c>
      <c r="G457" s="9">
        <f>_xlfn.IFNA(INDEX(Table3[],MATCH(Proj[[#This Row],[Player]],Table3[Player],0),5),0)</f>
        <v>1.61</v>
      </c>
      <c r="H457" s="10">
        <v>80</v>
      </c>
      <c r="I457">
        <v>80</v>
      </c>
      <c r="J457" s="9">
        <v>10.2883731762818</v>
      </c>
      <c r="K457" s="9">
        <v>0</v>
      </c>
      <c r="L457" s="9">
        <v>1.61</v>
      </c>
      <c r="M457" s="9">
        <f>Proj[[#This Row],[TOI ES]]+Proj[[#This Row],[TOI PP]]+Proj[[#This Row],[TOI PK]]</f>
        <v>11.898373176281799</v>
      </c>
      <c r="N4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57" s="10">
        <f>Proj[[#This Row],[Goals]]+Proj[[#This Row],[Assists]]</f>
        <v>23</v>
      </c>
      <c r="Q457" s="10">
        <f>ROUND(_xlfn.IFNA(INDEX(Table2[],MATCH(Proj[[#This Row],[Player]],Table2[Player],0),11)/60,IF(Proj[[#This Row],[Pos]] = "D", 'Per 60 PP'!$K$527,'Per 60 PP'!$K$526)/60)*Proj[[#This Row],[TOI PP]]*Proj[[#This Row],[GP]],0)</f>
        <v>0</v>
      </c>
      <c r="R457" s="10">
        <f>ROUND(_xlfn.IFNA(INDEX(Table2[],MATCH(Proj[[#This Row],[Player]],Table2[Player],0),7)/60,IF(Proj[[#This Row],[Pos]] = "D", 'Per 60 PP'!$G$527,'Per 60 PP'!$G$526)/60)*Proj[[#This Row],[TOI PP]]*Proj[[#This Row],[GP]],0)</f>
        <v>0</v>
      </c>
      <c r="S457" s="10">
        <f>Proj[[#This Row],[PPG]]+Proj[[#This Row],[PPA]]</f>
        <v>0</v>
      </c>
      <c r="T457">
        <f>ROUND((_xlfn.IFNA(INDEX(Table3[],MATCH(Proj[[#This Row],[Player]],Table3[Player],0),6)/60,IF(Proj[[#This Row],[Pos]] ="D", 'Per 60 PK'!$F$623, 'Per 60 PK'!$F$622)/60)+_xlfn.IFNA(INDEX(Table3[],MATCH(Proj[[#This Row],[Player]],Table3[Player],0),8)/60,IF(Proj[[#This Row],[Pos]] ="D", 'Per 60 PK'!$H$623, 'Per 60 PK'!$H$622)/60))*Proj[[#This Row],[TOI PK]]*Proj[[#This Row],[GP]],0)</f>
        <v>2</v>
      </c>
      <c r="U4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4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4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37</v>
      </c>
      <c r="X4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250</v>
      </c>
      <c r="Y4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267</v>
      </c>
      <c r="Z4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96</v>
      </c>
      <c r="AA4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-997.13473934814442</v>
      </c>
      <c r="AB457" s="10">
        <f>_xlfn.RANK.EQ(Proj[[#This Row],[VOR]],Proj[VOR])</f>
        <v>658</v>
      </c>
      <c r="AC457" s="10">
        <f>INDEX(Std[],MATCH(Proj[[#This Row],[Player]],Std[Player],0),20)</f>
        <v>-262.50088503784588</v>
      </c>
      <c r="AD4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262.8</v>
      </c>
    </row>
    <row r="458" spans="1:30" x14ac:dyDescent="0.25">
      <c r="A458" t="s">
        <v>444</v>
      </c>
      <c r="B458">
        <v>30</v>
      </c>
      <c r="C458" t="s">
        <v>3</v>
      </c>
      <c r="D458" t="s">
        <v>20</v>
      </c>
      <c r="E458" s="9">
        <f>INDEX(Table1[],MATCH(Proj[[#This Row],[Player]],Table1[Player],0),5)</f>
        <v>17.826221339225899</v>
      </c>
      <c r="F458" s="9">
        <f>_xlfn.IFNA(INDEX(Table2[],MATCH(Proj[[#This Row],[Player]],Table2[Player],0),5),0)</f>
        <v>0</v>
      </c>
      <c r="G458" s="9">
        <f>_xlfn.IFNA(INDEX(Table3[],MATCH(Proj[[#This Row],[Player]],Table3[Player],0),5),0)</f>
        <v>2.52</v>
      </c>
      <c r="H458" s="10">
        <v>76</v>
      </c>
      <c r="I458">
        <v>76</v>
      </c>
      <c r="J458" s="9">
        <v>17.826221339225899</v>
      </c>
      <c r="K458" s="9">
        <v>0</v>
      </c>
      <c r="L458" s="9">
        <v>2.52</v>
      </c>
      <c r="M458" s="9">
        <f>Proj[[#This Row],[TOI ES]]+Proj[[#This Row],[TOI PP]]+Proj[[#This Row],[TOI PK]]</f>
        <v>20.346221339225899</v>
      </c>
      <c r="N4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58" s="10">
        <f>Proj[[#This Row],[Goals]]+Proj[[#This Row],[Assists]]</f>
        <v>23</v>
      </c>
      <c r="Q458" s="10">
        <f>ROUND(_xlfn.IFNA(INDEX(Table2[],MATCH(Proj[[#This Row],[Player]],Table2[Player],0),11)/60,IF(Proj[[#This Row],[Pos]] = "D", 'Per 60 PP'!$K$527,'Per 60 PP'!$K$526)/60)*Proj[[#This Row],[TOI PP]]*Proj[[#This Row],[GP]],0)</f>
        <v>0</v>
      </c>
      <c r="R458" s="10">
        <f>ROUND(_xlfn.IFNA(INDEX(Table2[],MATCH(Proj[[#This Row],[Player]],Table2[Player],0),7)/60,IF(Proj[[#This Row],[Pos]] = "D", 'Per 60 PP'!$G$527,'Per 60 PP'!$G$526)/60)*Proj[[#This Row],[TOI PP]]*Proj[[#This Row],[GP]],0)</f>
        <v>0</v>
      </c>
      <c r="S458" s="10">
        <f>Proj[[#This Row],[PPG]]+Proj[[#This Row],[PPA]]</f>
        <v>0</v>
      </c>
      <c r="T458">
        <f>ROUND((_xlfn.IFNA(INDEX(Table3[],MATCH(Proj[[#This Row],[Player]],Table3[Player],0),6)/60,IF(Proj[[#This Row],[Pos]] ="D", 'Per 60 PK'!$F$623, 'Per 60 PK'!$F$622)/60)+_xlfn.IFNA(INDEX(Table3[],MATCH(Proj[[#This Row],[Player]],Table3[Player],0),8)/60,IF(Proj[[#This Row],[Pos]] ="D", 'Per 60 PK'!$H$623, 'Per 60 PK'!$H$622)/60))*Proj[[#This Row],[TOI PK]]*Proj[[#This Row],[GP]],0)</f>
        <v>2</v>
      </c>
      <c r="U4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79</v>
      </c>
      <c r="V4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142</v>
      </c>
      <c r="W4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4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95</v>
      </c>
      <c r="AA4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-244.75404643266498</v>
      </c>
      <c r="AB458" s="10">
        <f>_xlfn.RANK.EQ(Proj[[#This Row],[VOR]],Proj[VOR])</f>
        <v>275</v>
      </c>
      <c r="AC458" s="10">
        <f>INDEX(Std[],MATCH(Proj[[#This Row],[Player]],Std[Player],0),20)</f>
        <v>-137.3892787132005</v>
      </c>
      <c r="AD4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299.25</v>
      </c>
    </row>
    <row r="459" spans="1:30" x14ac:dyDescent="0.25">
      <c r="A459" t="s">
        <v>749</v>
      </c>
      <c r="B459">
        <v>31</v>
      </c>
      <c r="C459" t="s">
        <v>102</v>
      </c>
      <c r="D459" t="s">
        <v>10</v>
      </c>
      <c r="E459" s="9">
        <f>INDEX(Table1[],MATCH(Proj[[#This Row],[Player]],Table1[Player],0),5)</f>
        <v>11.2405496082265</v>
      </c>
      <c r="F459" s="9">
        <f>_xlfn.IFNA(INDEX(Table2[],MATCH(Proj[[#This Row],[Player]],Table2[Player],0),5),0)</f>
        <v>0</v>
      </c>
      <c r="G459" s="9">
        <f>_xlfn.IFNA(INDEX(Table3[],MATCH(Proj[[#This Row],[Player]],Table3[Player],0),5),0)</f>
        <v>1.18</v>
      </c>
      <c r="H459" s="10">
        <v>82</v>
      </c>
      <c r="I459">
        <v>82</v>
      </c>
      <c r="J459" s="9">
        <v>11.2405496082265</v>
      </c>
      <c r="K459" s="9">
        <v>0</v>
      </c>
      <c r="L459" s="9">
        <v>1.18</v>
      </c>
      <c r="M459" s="9">
        <f>Proj[[#This Row],[TOI ES]]+Proj[[#This Row],[TOI PP]]+Proj[[#This Row],[TOI PK]]</f>
        <v>12.4205496082265</v>
      </c>
      <c r="N4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59" s="10">
        <f>Proj[[#This Row],[Goals]]+Proj[[#This Row],[Assists]]</f>
        <v>23</v>
      </c>
      <c r="Q459" s="10">
        <f>ROUND(_xlfn.IFNA(INDEX(Table2[],MATCH(Proj[[#This Row],[Player]],Table2[Player],0),11)/60,IF(Proj[[#This Row],[Pos]] = "D", 'Per 60 PP'!$K$527,'Per 60 PP'!$K$526)/60)*Proj[[#This Row],[TOI PP]]*Proj[[#This Row],[GP]],0)</f>
        <v>0</v>
      </c>
      <c r="R459" s="10">
        <f>ROUND(_xlfn.IFNA(INDEX(Table2[],MATCH(Proj[[#This Row],[Player]],Table2[Player],0),7)/60,IF(Proj[[#This Row],[Pos]] = "D", 'Per 60 PP'!$G$527,'Per 60 PP'!$G$526)/60)*Proj[[#This Row],[TOI PP]]*Proj[[#This Row],[GP]],0)</f>
        <v>0</v>
      </c>
      <c r="S459" s="10">
        <f>Proj[[#This Row],[PPG]]+Proj[[#This Row],[PPA]]</f>
        <v>0</v>
      </c>
      <c r="T459">
        <f>ROUND((_xlfn.IFNA(INDEX(Table3[],MATCH(Proj[[#This Row],[Player]],Table3[Player],0),6)/60,IF(Proj[[#This Row],[Pos]] ="D", 'Per 60 PK'!$F$623, 'Per 60 PK'!$F$622)/60)+_xlfn.IFNA(INDEX(Table3[],MATCH(Proj[[#This Row],[Player]],Table3[Player],0),8)/60,IF(Proj[[#This Row],[Pos]] ="D", 'Per 60 PK'!$H$623, 'Per 60 PK'!$H$622)/60))*Proj[[#This Row],[TOI PK]]*Proj[[#This Row],[GP]],0)</f>
        <v>1</v>
      </c>
      <c r="U4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79</v>
      </c>
      <c r="V4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4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4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4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4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112</v>
      </c>
      <c r="AA4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-899.81469215175412</v>
      </c>
      <c r="AB459" s="10">
        <f>_xlfn.RANK.EQ(Proj[[#This Row],[VOR]],Proj[VOR])</f>
        <v>624</v>
      </c>
      <c r="AC459" s="10">
        <f>INDEX(Std[],MATCH(Proj[[#This Row],[Player]],Std[Player],0),20)</f>
        <v>-428.2699677615052</v>
      </c>
      <c r="AD4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246.15</v>
      </c>
    </row>
    <row r="460" spans="1:30" x14ac:dyDescent="0.25">
      <c r="A460" t="s">
        <v>814</v>
      </c>
      <c r="B460">
        <v>31</v>
      </c>
      <c r="C460" t="s">
        <v>74</v>
      </c>
      <c r="D460" t="s">
        <v>31</v>
      </c>
      <c r="E460" s="9">
        <f>INDEX(Table1[],MATCH(Proj[[#This Row],[Player]],Table1[Player],0),5)</f>
        <v>11.628555141199</v>
      </c>
      <c r="F460" s="9">
        <f>_xlfn.IFNA(INDEX(Table2[],MATCH(Proj[[#This Row],[Player]],Table2[Player],0),5),0)</f>
        <v>0</v>
      </c>
      <c r="G460" s="9">
        <f>_xlfn.IFNA(INDEX(Table3[],MATCH(Proj[[#This Row],[Player]],Table3[Player],0),5),0)</f>
        <v>0</v>
      </c>
      <c r="H460" s="10">
        <v>82</v>
      </c>
      <c r="I460">
        <v>82</v>
      </c>
      <c r="J460" s="9">
        <v>11.628555141199</v>
      </c>
      <c r="K460" s="9">
        <v>0</v>
      </c>
      <c r="L460" s="9">
        <v>0</v>
      </c>
      <c r="M460" s="9">
        <f>Proj[[#This Row],[TOI ES]]+Proj[[#This Row],[TOI PP]]+Proj[[#This Row],[TOI PK]]</f>
        <v>11.628555141199</v>
      </c>
      <c r="N4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60" s="10">
        <f>Proj[[#This Row],[Goals]]+Proj[[#This Row],[Assists]]</f>
        <v>23</v>
      </c>
      <c r="Q460" s="10">
        <f>ROUND(_xlfn.IFNA(INDEX(Table2[],MATCH(Proj[[#This Row],[Player]],Table2[Player],0),11)/60,IF(Proj[[#This Row],[Pos]] = "D", 'Per 60 PP'!$K$527,'Per 60 PP'!$K$526)/60)*Proj[[#This Row],[TOI PP]]*Proj[[#This Row],[GP]],0)</f>
        <v>0</v>
      </c>
      <c r="R460" s="10">
        <f>ROUND(_xlfn.IFNA(INDEX(Table2[],MATCH(Proj[[#This Row],[Player]],Table2[Player],0),7)/60,IF(Proj[[#This Row],[Pos]] = "D", 'Per 60 PP'!$G$527,'Per 60 PP'!$G$526)/60)*Proj[[#This Row],[TOI PP]]*Proj[[#This Row],[GP]],0)</f>
        <v>0</v>
      </c>
      <c r="S460" s="10">
        <f>Proj[[#This Row],[PPG]]+Proj[[#This Row],[PPA]]</f>
        <v>0</v>
      </c>
      <c r="T460">
        <f>ROUND((_xlfn.IFNA(INDEX(Table3[],MATCH(Proj[[#This Row],[Player]],Table3[Player],0),6)/60,IF(Proj[[#This Row],[Pos]] ="D", 'Per 60 PK'!$F$623, 'Per 60 PK'!$F$622)/60)+_xlfn.IFNA(INDEX(Table3[],MATCH(Proj[[#This Row],[Player]],Table3[Player],0),8)/60,IF(Proj[[#This Row],[Pos]] ="D", 'Per 60 PK'!$H$623, 'Per 60 PK'!$H$622)/60))*Proj[[#This Row],[TOI PK]]*Proj[[#This Row],[GP]],0)</f>
        <v>0</v>
      </c>
      <c r="U4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116</v>
      </c>
      <c r="V4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4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4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v>
      </c>
      <c r="Y4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4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4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-914.92613145307621</v>
      </c>
      <c r="AB460" s="10">
        <f>_xlfn.RANK.EQ(Proj[[#This Row],[VOR]],Proj[VOR])</f>
        <v>635</v>
      </c>
      <c r="AC460" s="10">
        <f>INDEX(Std[],MATCH(Proj[[#This Row],[Player]],Std[Player],0),20)</f>
        <v>-180.29227714277761</v>
      </c>
      <c r="AD4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286.00000000000006</v>
      </c>
    </row>
    <row r="461" spans="1:30" x14ac:dyDescent="0.25">
      <c r="A461" t="s">
        <v>1141</v>
      </c>
      <c r="B461">
        <v>26</v>
      </c>
      <c r="C461" t="s">
        <v>103</v>
      </c>
      <c r="D461" t="s">
        <v>12</v>
      </c>
      <c r="E461" s="9">
        <f>INDEX(Table1[],MATCH(Proj[[#This Row],[Player]],Table1[Player],0),5)</f>
        <v>11.270987503865401</v>
      </c>
      <c r="F461" s="9">
        <f>_xlfn.IFNA(INDEX(Table2[],MATCH(Proj[[#This Row],[Player]],Table2[Player],0),5),0)</f>
        <v>0</v>
      </c>
      <c r="G461" s="9">
        <f>_xlfn.IFNA(INDEX(Table3[],MATCH(Proj[[#This Row],[Player]],Table3[Player],0),5),0)</f>
        <v>0</v>
      </c>
      <c r="H461" s="10">
        <v>76</v>
      </c>
      <c r="I461">
        <v>76</v>
      </c>
      <c r="J461" s="9">
        <v>11.270987503865401</v>
      </c>
      <c r="K461" s="9">
        <v>0</v>
      </c>
      <c r="L461" s="9">
        <v>0</v>
      </c>
      <c r="M461" s="9">
        <f>Proj[[#This Row],[TOI ES]]+Proj[[#This Row],[TOI PP]]+Proj[[#This Row],[TOI PK]]</f>
        <v>11.270987503865401</v>
      </c>
      <c r="N4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61" s="10">
        <f>Proj[[#This Row],[Goals]]+Proj[[#This Row],[Assists]]</f>
        <v>23</v>
      </c>
      <c r="Q461" s="10">
        <f>ROUND(_xlfn.IFNA(INDEX(Table2[],MATCH(Proj[[#This Row],[Player]],Table2[Player],0),11)/60,IF(Proj[[#This Row],[Pos]] = "D", 'Per 60 PP'!$K$527,'Per 60 PP'!$K$526)/60)*Proj[[#This Row],[TOI PP]]*Proj[[#This Row],[GP]],0)</f>
        <v>0</v>
      </c>
      <c r="R461" s="10">
        <f>ROUND(_xlfn.IFNA(INDEX(Table2[],MATCH(Proj[[#This Row],[Player]],Table2[Player],0),7)/60,IF(Proj[[#This Row],[Pos]] = "D", 'Per 60 PP'!$G$527,'Per 60 PP'!$G$526)/60)*Proj[[#This Row],[TOI PP]]*Proj[[#This Row],[GP]],0)</f>
        <v>0</v>
      </c>
      <c r="S461" s="10">
        <f>Proj[[#This Row],[PPG]]+Proj[[#This Row],[PPA]]</f>
        <v>0</v>
      </c>
      <c r="T461">
        <f>ROUND((_xlfn.IFNA(INDEX(Table3[],MATCH(Proj[[#This Row],[Player]],Table3[Player],0),6)/60,IF(Proj[[#This Row],[Pos]] ="D", 'Per 60 PK'!$F$623, 'Per 60 PK'!$F$622)/60)+_xlfn.IFNA(INDEX(Table3[],MATCH(Proj[[#This Row],[Player]],Table3[Player],0),8)/60,IF(Proj[[#This Row],[Pos]] ="D", 'Per 60 PK'!$H$623, 'Per 60 PK'!$H$622)/60))*Proj[[#This Row],[TOI PK]]*Proj[[#This Row],[GP]],0)</f>
        <v>0</v>
      </c>
      <c r="U4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149</v>
      </c>
      <c r="V4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4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4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56</v>
      </c>
      <c r="Y4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64</v>
      </c>
      <c r="Z4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98</v>
      </c>
      <c r="AA4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-723.21298450946551</v>
      </c>
      <c r="AB461" s="10">
        <f>_xlfn.RANK.EQ(Proj[[#This Row],[VOR]],Proj[VOR])</f>
        <v>539</v>
      </c>
      <c r="AC461" s="10">
        <f>INDEX(Std[],MATCH(Proj[[#This Row],[Player]],Std[Player],0),20)</f>
        <v>-276.6682601192166</v>
      </c>
      <c r="AD4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288.75</v>
      </c>
    </row>
    <row r="462" spans="1:30" x14ac:dyDescent="0.25">
      <c r="A462" t="s">
        <v>798</v>
      </c>
      <c r="B462">
        <v>27</v>
      </c>
      <c r="C462" t="s">
        <v>103</v>
      </c>
      <c r="D462" t="s">
        <v>154</v>
      </c>
      <c r="E462" s="9">
        <f>INDEX(Table1[],MATCH(Proj[[#This Row],[Player]],Table1[Player],0),5)</f>
        <v>10.4761539343754</v>
      </c>
      <c r="F462" s="9">
        <f>_xlfn.IFNA(INDEX(Table2[],MATCH(Proj[[#This Row],[Player]],Table2[Player],0),5),0)</f>
        <v>0</v>
      </c>
      <c r="G462" s="9">
        <f>_xlfn.IFNA(INDEX(Table3[],MATCH(Proj[[#This Row],[Player]],Table3[Player],0),5),0)</f>
        <v>0.5</v>
      </c>
      <c r="H462" s="10">
        <v>80</v>
      </c>
      <c r="I462">
        <v>80</v>
      </c>
      <c r="J462" s="9">
        <v>10.4761539343754</v>
      </c>
      <c r="K462" s="9">
        <v>0</v>
      </c>
      <c r="L462" s="9">
        <v>0.5</v>
      </c>
      <c r="M462" s="9">
        <f>Proj[[#This Row],[TOI ES]]+Proj[[#This Row],[TOI PP]]+Proj[[#This Row],[TOI PK]]</f>
        <v>10.9761539343754</v>
      </c>
      <c r="N4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13</v>
      </c>
      <c r="O4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462" s="10">
        <f>Proj[[#This Row],[Goals]]+Proj[[#This Row],[Assists]]</f>
        <v>23</v>
      </c>
      <c r="Q462" s="10">
        <f>ROUND(_xlfn.IFNA(INDEX(Table2[],MATCH(Proj[[#This Row],[Player]],Table2[Player],0),11)/60,IF(Proj[[#This Row],[Pos]] = "D", 'Per 60 PP'!$K$527,'Per 60 PP'!$K$526)/60)*Proj[[#This Row],[TOI PP]]*Proj[[#This Row],[GP]],0)</f>
        <v>0</v>
      </c>
      <c r="R462" s="10">
        <f>ROUND(_xlfn.IFNA(INDEX(Table2[],MATCH(Proj[[#This Row],[Player]],Table2[Player],0),7)/60,IF(Proj[[#This Row],[Pos]] = "D", 'Per 60 PP'!$G$527,'Per 60 PP'!$G$526)/60)*Proj[[#This Row],[TOI PP]]*Proj[[#This Row],[GP]],0)</f>
        <v>0</v>
      </c>
      <c r="S462" s="10">
        <f>Proj[[#This Row],[PPG]]+Proj[[#This Row],[PPA]]</f>
        <v>0</v>
      </c>
      <c r="T462">
        <f>ROUND((_xlfn.IFNA(INDEX(Table3[],MATCH(Proj[[#This Row],[Player]],Table3[Player],0),6)/60,IF(Proj[[#This Row],[Pos]] ="D", 'Per 60 PK'!$F$623, 'Per 60 PK'!$F$622)/60)+_xlfn.IFNA(INDEX(Table3[],MATCH(Proj[[#This Row],[Player]],Table3[Player],0),8)/60,IF(Proj[[#This Row],[Pos]] ="D", 'Per 60 PK'!$H$623, 'Per 60 PK'!$H$622)/60))*Proj[[#This Row],[TOI PK]]*Proj[[#This Row],[GP]],0)</f>
        <v>0</v>
      </c>
      <c r="U4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168</v>
      </c>
      <c r="V4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4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4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4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v>
      </c>
      <c r="Z4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135</v>
      </c>
      <c r="AA4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-647.20487223764292</v>
      </c>
      <c r="AB462" s="10">
        <f>_xlfn.RANK.EQ(Proj[[#This Row],[VOR]],Proj[VOR])</f>
        <v>500</v>
      </c>
      <c r="AC462" s="10">
        <f>INDEX(Std[],MATCH(Proj[[#This Row],[Player]],Std[Player],0),20)</f>
        <v>-200.66014784739403</v>
      </c>
      <c r="AD4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311.40000000000003</v>
      </c>
    </row>
    <row r="463" spans="1:30" x14ac:dyDescent="0.25">
      <c r="A463" t="s">
        <v>394</v>
      </c>
      <c r="B463">
        <v>33</v>
      </c>
      <c r="C463" t="s">
        <v>3</v>
      </c>
      <c r="D463" t="s">
        <v>11</v>
      </c>
      <c r="E463" s="9">
        <f>INDEX(Table1[],MATCH(Proj[[#This Row],[Player]],Table1[Player],0),5)</f>
        <v>15.7517094851189</v>
      </c>
      <c r="F463" s="9">
        <f>_xlfn.IFNA(INDEX(Table2[],MATCH(Proj[[#This Row],[Player]],Table2[Player],0),5),0)</f>
        <v>0</v>
      </c>
      <c r="G463" s="9">
        <f>_xlfn.IFNA(INDEX(Table3[],MATCH(Proj[[#This Row],[Player]],Table3[Player],0),5),0)</f>
        <v>2.02</v>
      </c>
      <c r="H463" s="10">
        <v>77</v>
      </c>
      <c r="I463">
        <v>77</v>
      </c>
      <c r="J463" s="9">
        <v>15.7517094851189</v>
      </c>
      <c r="K463" s="9">
        <v>0</v>
      </c>
      <c r="L463" s="9">
        <v>2.02</v>
      </c>
      <c r="M463" s="9">
        <f>Proj[[#This Row],[TOI ES]]+Proj[[#This Row],[TOI PP]]+Proj[[#This Row],[TOI PK]]</f>
        <v>17.771709485118901</v>
      </c>
      <c r="N4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4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63">
        <f>Proj[[#This Row],[Goals]]+Proj[[#This Row],[Assists]]</f>
        <v>23</v>
      </c>
      <c r="Q463" s="10">
        <f>ROUND(_xlfn.IFNA(INDEX(Table2[],MATCH(Proj[[#This Row],[Player]],Table2[Player],0),11)/60,IF(Proj[[#This Row],[Pos]] = "D", 'Per 60 PP'!$K$527,'Per 60 PP'!$K$526)/60)*Proj[[#This Row],[TOI PP]]*Proj[[#This Row],[GP]],0)</f>
        <v>0</v>
      </c>
      <c r="R463" s="10">
        <f>ROUND(_xlfn.IFNA(INDEX(Table2[],MATCH(Proj[[#This Row],[Player]],Table2[Player],0),7)/60,IF(Proj[[#This Row],[Pos]] = "D", 'Per 60 PP'!$G$527,'Per 60 PP'!$G$526)/60)*Proj[[#This Row],[TOI PP]]*Proj[[#This Row],[GP]],0)</f>
        <v>0</v>
      </c>
      <c r="S463" s="10">
        <f>Proj[[#This Row],[PPG]]+Proj[[#This Row],[PPA]]</f>
        <v>0</v>
      </c>
      <c r="T463">
        <f>ROUND((_xlfn.IFNA(INDEX(Table3[],MATCH(Proj[[#This Row],[Player]],Table3[Player],0),6)/60,IF(Proj[[#This Row],[Pos]] ="D", 'Per 60 PK'!$F$623, 'Per 60 PK'!$F$622)/60)+_xlfn.IFNA(INDEX(Table3[],MATCH(Proj[[#This Row],[Player]],Table3[Player],0),8)/60,IF(Proj[[#This Row],[Pos]] ="D", 'Per 60 PK'!$H$623, 'Per 60 PK'!$H$622)/60))*Proj[[#This Row],[TOI PK]]*Proj[[#This Row],[GP]],0)</f>
        <v>1</v>
      </c>
      <c r="U4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182</v>
      </c>
      <c r="V4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110</v>
      </c>
      <c r="W4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84</v>
      </c>
      <c r="X4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112</v>
      </c>
      <c r="AA4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114.47972602269806</v>
      </c>
      <c r="AB463" s="10">
        <f>_xlfn.RANK.EQ(Proj[[#This Row],[VOR]],Proj[VOR])</f>
        <v>121</v>
      </c>
      <c r="AC463" s="10">
        <f>INDEX(Std[],MATCH(Proj[[#This Row],[Player]],Std[Player],0),20)</f>
        <v>221.84449374216254</v>
      </c>
      <c r="AD4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370.05</v>
      </c>
    </row>
    <row r="464" spans="1:30" x14ac:dyDescent="0.25">
      <c r="A464" t="s">
        <v>1162</v>
      </c>
      <c r="B464">
        <v>23</v>
      </c>
      <c r="C464" t="s">
        <v>102</v>
      </c>
      <c r="D464" t="s">
        <v>87</v>
      </c>
      <c r="E464" s="9">
        <f>INDEX(Table1[],MATCH(Proj[[#This Row],[Player]],Table1[Player],0),5)</f>
        <v>11.618526864519399</v>
      </c>
      <c r="F464" s="9">
        <f>_xlfn.IFNA(INDEX(Table2[],MATCH(Proj[[#This Row],[Player]],Table2[Player],0),5),0)</f>
        <v>0</v>
      </c>
      <c r="G464" s="9">
        <f>_xlfn.IFNA(INDEX(Table3[],MATCH(Proj[[#This Row],[Player]],Table3[Player],0),5),0)</f>
        <v>0.51</v>
      </c>
      <c r="H464" s="10">
        <v>80</v>
      </c>
      <c r="I464">
        <v>80</v>
      </c>
      <c r="J464" s="9">
        <v>11.618526864519399</v>
      </c>
      <c r="K464" s="9">
        <v>0</v>
      </c>
      <c r="L464" s="9">
        <v>0.51</v>
      </c>
      <c r="M464" s="9">
        <f>Proj[[#This Row],[TOI ES]]+Proj[[#This Row],[TOI PP]]+Proj[[#This Row],[TOI PK]]</f>
        <v>12.128526864519399</v>
      </c>
      <c r="N4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64" s="10">
        <f>Proj[[#This Row],[Goals]]+Proj[[#This Row],[Assists]]</f>
        <v>23</v>
      </c>
      <c r="Q464" s="10">
        <f>ROUND(_xlfn.IFNA(INDEX(Table2[],MATCH(Proj[[#This Row],[Player]],Table2[Player],0),11)/60,IF(Proj[[#This Row],[Pos]] = "D", 'Per 60 PP'!$K$527,'Per 60 PP'!$K$526)/60)*Proj[[#This Row],[TOI PP]]*Proj[[#This Row],[GP]],0)</f>
        <v>0</v>
      </c>
      <c r="R464" s="10">
        <f>ROUND(_xlfn.IFNA(INDEX(Table2[],MATCH(Proj[[#This Row],[Player]],Table2[Player],0),7)/60,IF(Proj[[#This Row],[Pos]] = "D", 'Per 60 PP'!$G$527,'Per 60 PP'!$G$526)/60)*Proj[[#This Row],[TOI PP]]*Proj[[#This Row],[GP]],0)</f>
        <v>0</v>
      </c>
      <c r="S464" s="10">
        <f>Proj[[#This Row],[PPG]]+Proj[[#This Row],[PPA]]</f>
        <v>0</v>
      </c>
      <c r="T464">
        <f>ROUND((_xlfn.IFNA(INDEX(Table3[],MATCH(Proj[[#This Row],[Player]],Table3[Player],0),6)/60,IF(Proj[[#This Row],[Pos]] ="D", 'Per 60 PK'!$F$623, 'Per 60 PK'!$F$622)/60)+_xlfn.IFNA(INDEX(Table3[],MATCH(Proj[[#This Row],[Player]],Table3[Player],0),8)/60,IF(Proj[[#This Row],[Pos]] ="D", 'Per 60 PK'!$H$623, 'Per 60 PK'!$H$622)/60))*Proj[[#This Row],[TOI PK]]*Proj[[#This Row],[GP]],0)</f>
        <v>0</v>
      </c>
      <c r="U4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190</v>
      </c>
      <c r="V4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4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4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57</v>
      </c>
      <c r="Y4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62</v>
      </c>
      <c r="Z4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114</v>
      </c>
      <c r="AA4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-574.75273390192899</v>
      </c>
      <c r="AB464" s="10">
        <f>_xlfn.RANK.EQ(Proj[[#This Row],[VOR]],Proj[VOR])</f>
        <v>467</v>
      </c>
      <c r="AC464" s="10">
        <f>INDEX(Std[],MATCH(Proj[[#This Row],[Player]],Std[Player],0),20)</f>
        <v>-103.20800951168016</v>
      </c>
      <c r="AD4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324.45</v>
      </c>
    </row>
    <row r="465" spans="1:30" x14ac:dyDescent="0.25">
      <c r="A465" t="s">
        <v>930</v>
      </c>
      <c r="B465">
        <v>29</v>
      </c>
      <c r="C465" t="s">
        <v>102</v>
      </c>
      <c r="D465" t="s">
        <v>7</v>
      </c>
      <c r="E465" s="9">
        <f>INDEX(Table1[],MATCH(Proj[[#This Row],[Player]],Table1[Player],0),5)</f>
        <v>11.4218726646644</v>
      </c>
      <c r="F465" s="9">
        <f>_xlfn.IFNA(INDEX(Table2[],MATCH(Proj[[#This Row],[Player]],Table2[Player],0),5),0)</f>
        <v>0</v>
      </c>
      <c r="G465" s="9">
        <f>_xlfn.IFNA(INDEX(Table3[],MATCH(Proj[[#This Row],[Player]],Table3[Player],0),5),0)</f>
        <v>2.11</v>
      </c>
      <c r="H465" s="10">
        <v>80</v>
      </c>
      <c r="I465">
        <v>80</v>
      </c>
      <c r="J465" s="9">
        <v>11.4218726646644</v>
      </c>
      <c r="K465" s="9">
        <v>0</v>
      </c>
      <c r="L465" s="9">
        <v>2.11</v>
      </c>
      <c r="M465" s="9">
        <f>Proj[[#This Row],[TOI ES]]+Proj[[#This Row],[TOI PP]]+Proj[[#This Row],[TOI PK]]</f>
        <v>13.5318726646644</v>
      </c>
      <c r="N4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65" s="10">
        <f>Proj[[#This Row],[Goals]]+Proj[[#This Row],[Assists]]</f>
        <v>23</v>
      </c>
      <c r="Q465" s="10">
        <f>ROUND(_xlfn.IFNA(INDEX(Table2[],MATCH(Proj[[#This Row],[Player]],Table2[Player],0),11)/60,IF(Proj[[#This Row],[Pos]] = "D", 'Per 60 PP'!$K$527,'Per 60 PP'!$K$526)/60)*Proj[[#This Row],[TOI PP]]*Proj[[#This Row],[GP]],0)</f>
        <v>0</v>
      </c>
      <c r="R465" s="10">
        <f>ROUND(_xlfn.IFNA(INDEX(Table2[],MATCH(Proj[[#This Row],[Player]],Table2[Player],0),7)/60,IF(Proj[[#This Row],[Pos]] = "D", 'Per 60 PP'!$G$527,'Per 60 PP'!$G$526)/60)*Proj[[#This Row],[TOI PP]]*Proj[[#This Row],[GP]],0)</f>
        <v>0</v>
      </c>
      <c r="S465" s="10">
        <f>Proj[[#This Row],[PPG]]+Proj[[#This Row],[PPA]]</f>
        <v>0</v>
      </c>
      <c r="T465">
        <f>ROUND((_xlfn.IFNA(INDEX(Table3[],MATCH(Proj[[#This Row],[Player]],Table3[Player],0),6)/60,IF(Proj[[#This Row],[Pos]] ="D", 'Per 60 PK'!$F$623, 'Per 60 PK'!$F$622)/60)+_xlfn.IFNA(INDEX(Table3[],MATCH(Proj[[#This Row],[Player]],Table3[Player],0),8)/60,IF(Proj[[#This Row],[Pos]] ="D", 'Per 60 PK'!$H$623, 'Per 60 PK'!$H$622)/60))*Proj[[#This Row],[TOI PK]]*Proj[[#This Row],[GP]],0)</f>
        <v>3</v>
      </c>
      <c r="U4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207</v>
      </c>
      <c r="V4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4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68</v>
      </c>
      <c r="X4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4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v>
      </c>
      <c r="Z4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96</v>
      </c>
      <c r="AA4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-462.37818664009995</v>
      </c>
      <c r="AB465" s="10">
        <f>_xlfn.RANK.EQ(Proj[[#This Row],[VOR]],Proj[VOR])</f>
        <v>404</v>
      </c>
      <c r="AC465" s="10">
        <f>INDEX(Std[],MATCH(Proj[[#This Row],[Player]],Std[Player],0),20)</f>
        <v>9.1665377501489296</v>
      </c>
      <c r="AD4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329.99999999999994</v>
      </c>
    </row>
    <row r="466" spans="1:30" x14ac:dyDescent="0.25">
      <c r="A466" t="s">
        <v>929</v>
      </c>
      <c r="B466">
        <v>30</v>
      </c>
      <c r="C466" t="s">
        <v>3</v>
      </c>
      <c r="D466" t="s">
        <v>11</v>
      </c>
      <c r="E466" s="9">
        <f>INDEX(Table1[],MATCH(Proj[[#This Row],[Player]],Table1[Player],0),5)</f>
        <v>14.9234262160025</v>
      </c>
      <c r="F466" s="9">
        <f>_xlfn.IFNA(INDEX(Table2[],MATCH(Proj[[#This Row],[Player]],Table2[Player],0),5),0)</f>
        <v>0</v>
      </c>
      <c r="G466" s="9">
        <f>_xlfn.IFNA(INDEX(Table3[],MATCH(Proj[[#This Row],[Player]],Table3[Player],0),5),0)</f>
        <v>0.88</v>
      </c>
      <c r="H466" s="10">
        <v>70</v>
      </c>
      <c r="I466">
        <v>70</v>
      </c>
      <c r="J466" s="9">
        <v>14.9234262160025</v>
      </c>
      <c r="K466" s="9">
        <v>0</v>
      </c>
      <c r="L466" s="9">
        <v>0.88</v>
      </c>
      <c r="M466" s="9">
        <f>Proj[[#This Row],[TOI ES]]+Proj[[#This Row],[TOI PP]]+Proj[[#This Row],[TOI PK]]</f>
        <v>15.803426216002501</v>
      </c>
      <c r="N4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4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66" s="10">
        <f>Proj[[#This Row],[Goals]]+Proj[[#This Row],[Assists]]</f>
        <v>22</v>
      </c>
      <c r="Q466" s="10">
        <f>ROUND(_xlfn.IFNA(INDEX(Table2[],MATCH(Proj[[#This Row],[Player]],Table2[Player],0),11)/60,IF(Proj[[#This Row],[Pos]] = "D", 'Per 60 PP'!$K$527,'Per 60 PP'!$K$526)/60)*Proj[[#This Row],[TOI PP]]*Proj[[#This Row],[GP]],0)</f>
        <v>0</v>
      </c>
      <c r="R466" s="10">
        <f>ROUND(_xlfn.IFNA(INDEX(Table2[],MATCH(Proj[[#This Row],[Player]],Table2[Player],0),7)/60,IF(Proj[[#This Row],[Pos]] = "D", 'Per 60 PP'!$G$527,'Per 60 PP'!$G$526)/60)*Proj[[#This Row],[TOI PP]]*Proj[[#This Row],[GP]],0)</f>
        <v>0</v>
      </c>
      <c r="S466" s="10">
        <f>Proj[[#This Row],[PPG]]+Proj[[#This Row],[PPA]]</f>
        <v>0</v>
      </c>
      <c r="T466">
        <f>ROUND((_xlfn.IFNA(INDEX(Table3[],MATCH(Proj[[#This Row],[Player]],Table3[Player],0),6)/60,IF(Proj[[#This Row],[Pos]] ="D", 'Per 60 PK'!$F$623, 'Per 60 PK'!$F$622)/60)+_xlfn.IFNA(INDEX(Table3[],MATCH(Proj[[#This Row],[Player]],Table3[Player],0),8)/60,IF(Proj[[#This Row],[Pos]] ="D", 'Per 60 PK'!$H$623, 'Per 60 PK'!$H$622)/60))*Proj[[#This Row],[TOI PK]]*Proj[[#This Row],[GP]],0)</f>
        <v>0</v>
      </c>
      <c r="U4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4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83</v>
      </c>
      <c r="W4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4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4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-609.56005275787413</v>
      </c>
      <c r="AB466" s="10">
        <f>_xlfn.RANK.EQ(Proj[[#This Row],[VOR]],Proj[VOR])</f>
        <v>484</v>
      </c>
      <c r="AC466" s="10">
        <f>INDEX(Std[],MATCH(Proj[[#This Row],[Player]],Std[Player],0),20)</f>
        <v>-502.19528503840962</v>
      </c>
      <c r="AD4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214.54999999999998</v>
      </c>
    </row>
    <row r="467" spans="1:30" x14ac:dyDescent="0.25">
      <c r="A467" t="s">
        <v>551</v>
      </c>
      <c r="B467">
        <v>23</v>
      </c>
      <c r="C467" t="s">
        <v>103</v>
      </c>
      <c r="D467" t="s">
        <v>155</v>
      </c>
      <c r="E467" s="9">
        <f>INDEX(Table1[],MATCH(Proj[[#This Row],[Player]],Table1[Player],0),5)</f>
        <v>10.302291711863599</v>
      </c>
      <c r="F467" s="9">
        <f>_xlfn.IFNA(INDEX(Table2[],MATCH(Proj[[#This Row],[Player]],Table2[Player],0),5),0)</f>
        <v>1.8</v>
      </c>
      <c r="G467" s="9">
        <f>_xlfn.IFNA(INDEX(Table3[],MATCH(Proj[[#This Row],[Player]],Table3[Player],0),5),0)</f>
        <v>0</v>
      </c>
      <c r="H467" s="10">
        <v>62</v>
      </c>
      <c r="I467">
        <v>62</v>
      </c>
      <c r="J467" s="9">
        <v>10.302291711863599</v>
      </c>
      <c r="K467" s="9">
        <v>1.8</v>
      </c>
      <c r="L467" s="9">
        <v>0</v>
      </c>
      <c r="M467" s="9">
        <f>Proj[[#This Row],[TOI ES]]+Proj[[#This Row],[TOI PP]]+Proj[[#This Row],[TOI PK]]</f>
        <v>12.1022917118636</v>
      </c>
      <c r="N4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67" s="10">
        <f>Proj[[#This Row],[Goals]]+Proj[[#This Row],[Assists]]</f>
        <v>22</v>
      </c>
      <c r="Q467" s="10">
        <f>ROUND(_xlfn.IFNA(INDEX(Table2[],MATCH(Proj[[#This Row],[Player]],Table2[Player],0),11)/60,IF(Proj[[#This Row],[Pos]] = "D", 'Per 60 PP'!$K$527,'Per 60 PP'!$K$526)/60)*Proj[[#This Row],[TOI PP]]*Proj[[#This Row],[GP]],0)</f>
        <v>4</v>
      </c>
      <c r="R467" s="10">
        <f>ROUND(_xlfn.IFNA(INDEX(Table2[],MATCH(Proj[[#This Row],[Player]],Table2[Player],0),7)/60,IF(Proj[[#This Row],[Pos]] = "D", 'Per 60 PP'!$G$527,'Per 60 PP'!$G$526)/60)*Proj[[#This Row],[TOI PP]]*Proj[[#This Row],[GP]],0)</f>
        <v>2</v>
      </c>
      <c r="S467" s="10">
        <f>Proj[[#This Row],[PPG]]+Proj[[#This Row],[PPA]]</f>
        <v>6</v>
      </c>
      <c r="T467">
        <f>ROUND((_xlfn.IFNA(INDEX(Table3[],MATCH(Proj[[#This Row],[Player]],Table3[Player],0),6)/60,IF(Proj[[#This Row],[Pos]] ="D", 'Per 60 PK'!$F$623, 'Per 60 PK'!$F$622)/60)+_xlfn.IFNA(INDEX(Table3[],MATCH(Proj[[#This Row],[Player]],Table3[Player],0),8)/60,IF(Proj[[#This Row],[Pos]] ="D", 'Per 60 PK'!$H$623, 'Per 60 PK'!$H$622)/60))*Proj[[#This Row],[TOI PK]]*Proj[[#This Row],[GP]],0)</f>
        <v>0</v>
      </c>
      <c r="U4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4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v>
      </c>
      <c r="W4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4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4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v>
      </c>
      <c r="Z4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132</v>
      </c>
      <c r="AA4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-927.76032223152879</v>
      </c>
      <c r="AB467" s="10">
        <f>_xlfn.RANK.EQ(Proj[[#This Row],[VOR]],Proj[VOR])</f>
        <v>639</v>
      </c>
      <c r="AC467" s="10">
        <f>INDEX(Std[],MATCH(Proj[[#This Row],[Player]],Std[Player],0),20)</f>
        <v>-481.21559784127987</v>
      </c>
      <c r="AD4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216.54999999999998</v>
      </c>
    </row>
    <row r="468" spans="1:30" x14ac:dyDescent="0.25">
      <c r="A468" t="s">
        <v>516</v>
      </c>
      <c r="B468">
        <v>31</v>
      </c>
      <c r="C468" t="s">
        <v>3</v>
      </c>
      <c r="D468" t="s">
        <v>25</v>
      </c>
      <c r="E468" s="9">
        <f>INDEX(Table1[],MATCH(Proj[[#This Row],[Player]],Table1[Player],0),5)</f>
        <v>16.5785872213525</v>
      </c>
      <c r="F468" s="9">
        <f>_xlfn.IFNA(INDEX(Table2[],MATCH(Proj[[#This Row],[Player]],Table2[Player],0),5),0)</f>
        <v>1.06</v>
      </c>
      <c r="G468" s="9">
        <f>_xlfn.IFNA(INDEX(Table3[],MATCH(Proj[[#This Row],[Player]],Table3[Player],0),5),0)</f>
        <v>0.75</v>
      </c>
      <c r="H468" s="10">
        <v>71</v>
      </c>
      <c r="I468">
        <v>71</v>
      </c>
      <c r="J468" s="9">
        <v>16.5785872213525</v>
      </c>
      <c r="K468" s="9">
        <v>1.06</v>
      </c>
      <c r="L468" s="9">
        <v>0.75</v>
      </c>
      <c r="M468" s="9">
        <f>Proj[[#This Row],[TOI ES]]+Proj[[#This Row],[TOI PP]]+Proj[[#This Row],[TOI PK]]</f>
        <v>18.388587221352498</v>
      </c>
      <c r="N4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68" s="10">
        <f>Proj[[#This Row],[Goals]]+Proj[[#This Row],[Assists]]</f>
        <v>22</v>
      </c>
      <c r="Q468" s="10">
        <f>ROUND(_xlfn.IFNA(INDEX(Table2[],MATCH(Proj[[#This Row],[Player]],Table2[Player],0),11)/60,IF(Proj[[#This Row],[Pos]] = "D", 'Per 60 PP'!$K$527,'Per 60 PP'!$K$526)/60)*Proj[[#This Row],[TOI PP]]*Proj[[#This Row],[GP]],0)</f>
        <v>1</v>
      </c>
      <c r="R468" s="10">
        <f>ROUND(_xlfn.IFNA(INDEX(Table2[],MATCH(Proj[[#This Row],[Player]],Table2[Player],0),7)/60,IF(Proj[[#This Row],[Pos]] = "D", 'Per 60 PP'!$G$527,'Per 60 PP'!$G$526)/60)*Proj[[#This Row],[TOI PP]]*Proj[[#This Row],[GP]],0)</f>
        <v>4</v>
      </c>
      <c r="S468" s="10">
        <f>Proj[[#This Row],[PPG]]+Proj[[#This Row],[PPA]]</f>
        <v>5</v>
      </c>
      <c r="T468">
        <f>ROUND((_xlfn.IFNA(INDEX(Table3[],MATCH(Proj[[#This Row],[Player]],Table3[Player],0),6)/60,IF(Proj[[#This Row],[Pos]] ="D", 'Per 60 PK'!$F$623, 'Per 60 PK'!$F$622)/60)+_xlfn.IFNA(INDEX(Table3[],MATCH(Proj[[#This Row],[Player]],Table3[Player],0),8)/60,IF(Proj[[#This Row],[Pos]] ="D", 'Per 60 PK'!$H$623, 'Per 60 PK'!$H$622)/60))*Proj[[#This Row],[TOI PK]]*Proj[[#This Row],[GP]],0)</f>
        <v>0</v>
      </c>
      <c r="U4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4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88</v>
      </c>
      <c r="W4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4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4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-457.29011587459411</v>
      </c>
      <c r="AB468" s="10">
        <f>_xlfn.RANK.EQ(Proj[[#This Row],[VOR]],Proj[VOR])</f>
        <v>397</v>
      </c>
      <c r="AC468" s="10">
        <f>INDEX(Std[],MATCH(Proj[[#This Row],[Player]],Std[Player],0),20)</f>
        <v>-349.9253481551296</v>
      </c>
      <c r="AD4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241.09999999999997</v>
      </c>
    </row>
    <row r="469" spans="1:30" x14ac:dyDescent="0.25">
      <c r="A469" t="s">
        <v>515</v>
      </c>
      <c r="B469">
        <v>25</v>
      </c>
      <c r="C469" t="s">
        <v>3</v>
      </c>
      <c r="D469" t="s">
        <v>11</v>
      </c>
      <c r="E469" s="9">
        <f>INDEX(Table1[],MATCH(Proj[[#This Row],[Player]],Table1[Player],0),5)</f>
        <v>16.25</v>
      </c>
      <c r="F469" s="9">
        <f>_xlfn.IFNA(INDEX(Table2[],MATCH(Proj[[#This Row],[Player]],Table2[Player],0),5),0)</f>
        <v>0.74</v>
      </c>
      <c r="G469" s="9">
        <f>_xlfn.IFNA(INDEX(Table3[],MATCH(Proj[[#This Row],[Player]],Table3[Player],0),5),0)</f>
        <v>1.49</v>
      </c>
      <c r="H469" s="10">
        <v>78</v>
      </c>
      <c r="I469">
        <v>78</v>
      </c>
      <c r="J469" s="9">
        <v>16.25</v>
      </c>
      <c r="K469" s="9">
        <v>0.74</v>
      </c>
      <c r="L469" s="9">
        <v>1.49</v>
      </c>
      <c r="M469" s="9">
        <f>Proj[[#This Row],[TOI ES]]+Proj[[#This Row],[TOI PP]]+Proj[[#This Row],[TOI PK]]</f>
        <v>18.479999999999997</v>
      </c>
      <c r="N4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69" s="10">
        <f>Proj[[#This Row],[Goals]]+Proj[[#This Row],[Assists]]</f>
        <v>22</v>
      </c>
      <c r="Q469" s="10">
        <f>ROUND(_xlfn.IFNA(INDEX(Table2[],MATCH(Proj[[#This Row],[Player]],Table2[Player],0),11)/60,IF(Proj[[#This Row],[Pos]] = "D", 'Per 60 PP'!$K$527,'Per 60 PP'!$K$526)/60)*Proj[[#This Row],[TOI PP]]*Proj[[#This Row],[GP]],0)</f>
        <v>0</v>
      </c>
      <c r="R469" s="10">
        <f>ROUND(_xlfn.IFNA(INDEX(Table2[],MATCH(Proj[[#This Row],[Player]],Table2[Player],0),7)/60,IF(Proj[[#This Row],[Pos]] = "D", 'Per 60 PP'!$G$527,'Per 60 PP'!$G$526)/60)*Proj[[#This Row],[TOI PP]]*Proj[[#This Row],[GP]],0)</f>
        <v>2</v>
      </c>
      <c r="S469" s="10">
        <f>Proj[[#This Row],[PPG]]+Proj[[#This Row],[PPA]]</f>
        <v>2</v>
      </c>
      <c r="T469">
        <f>ROUND((_xlfn.IFNA(INDEX(Table3[],MATCH(Proj[[#This Row],[Player]],Table3[Player],0),6)/60,IF(Proj[[#This Row],[Pos]] ="D", 'Per 60 PK'!$F$623, 'Per 60 PK'!$F$622)/60)+_xlfn.IFNA(INDEX(Table3[],MATCH(Proj[[#This Row],[Player]],Table3[Player],0),8)/60,IF(Proj[[#This Row],[Pos]] ="D", 'Per 60 PK'!$H$623, 'Per 60 PK'!$H$622)/60))*Proj[[#This Row],[TOI PK]]*Proj[[#This Row],[GP]],0)</f>
        <v>1</v>
      </c>
      <c r="U4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4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122</v>
      </c>
      <c r="W4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4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4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-337.39615901890903</v>
      </c>
      <c r="AB469" s="10">
        <f>_xlfn.RANK.EQ(Proj[[#This Row],[VOR]],Proj[VOR])</f>
        <v>333</v>
      </c>
      <c r="AC469" s="10">
        <f>INDEX(Std[],MATCH(Proj[[#This Row],[Player]],Std[Player],0),20)</f>
        <v>-230.03139129944455</v>
      </c>
      <c r="AD4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266.7</v>
      </c>
    </row>
    <row r="470" spans="1:30" x14ac:dyDescent="0.25">
      <c r="A470" t="s">
        <v>1182</v>
      </c>
      <c r="B470">
        <v>24</v>
      </c>
      <c r="C470" t="s">
        <v>3</v>
      </c>
      <c r="D470" t="s">
        <v>5</v>
      </c>
      <c r="E470" s="9">
        <f>INDEX(Table1[],MATCH(Proj[[#This Row],[Player]],Table1[Player],0),5)</f>
        <v>16.326694757260601</v>
      </c>
      <c r="F470" s="9">
        <f>_xlfn.IFNA(INDEX(Table2[],MATCH(Proj[[#This Row],[Player]],Table2[Player],0),5),0)</f>
        <v>1.08</v>
      </c>
      <c r="G470" s="9">
        <f>_xlfn.IFNA(INDEX(Table3[],MATCH(Proj[[#This Row],[Player]],Table3[Player],0),5),0)</f>
        <v>2.4300000000000002</v>
      </c>
      <c r="H470" s="10">
        <v>76</v>
      </c>
      <c r="I470">
        <v>76</v>
      </c>
      <c r="J470" s="9">
        <v>16.326694757260601</v>
      </c>
      <c r="K470" s="9">
        <v>1.08</v>
      </c>
      <c r="L470" s="9">
        <v>2.4300000000000002</v>
      </c>
      <c r="M470" s="9">
        <f>Proj[[#This Row],[TOI ES]]+Proj[[#This Row],[TOI PP]]+Proj[[#This Row],[TOI PK]]</f>
        <v>19.836694757260602</v>
      </c>
      <c r="N4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70" s="10">
        <f>Proj[[#This Row],[Goals]]+Proj[[#This Row],[Assists]]</f>
        <v>22</v>
      </c>
      <c r="Q470" s="10">
        <f>ROUND(_xlfn.IFNA(INDEX(Table2[],MATCH(Proj[[#This Row],[Player]],Table2[Player],0),11)/60,IF(Proj[[#This Row],[Pos]] = "D", 'Per 60 PP'!$K$527,'Per 60 PP'!$K$526)/60)*Proj[[#This Row],[TOI PP]]*Proj[[#This Row],[GP]],0)</f>
        <v>0</v>
      </c>
      <c r="R470" s="10">
        <f>ROUND(_xlfn.IFNA(INDEX(Table2[],MATCH(Proj[[#This Row],[Player]],Table2[Player],0),7)/60,IF(Proj[[#This Row],[Pos]] = "D", 'Per 60 PP'!$G$527,'Per 60 PP'!$G$526)/60)*Proj[[#This Row],[TOI PP]]*Proj[[#This Row],[GP]],0)</f>
        <v>4</v>
      </c>
      <c r="S470" s="10">
        <f>Proj[[#This Row],[PPG]]+Proj[[#This Row],[PPA]]</f>
        <v>4</v>
      </c>
      <c r="T470">
        <f>ROUND((_xlfn.IFNA(INDEX(Table3[],MATCH(Proj[[#This Row],[Player]],Table3[Player],0),6)/60,IF(Proj[[#This Row],[Pos]] ="D", 'Per 60 PK'!$F$623, 'Per 60 PK'!$F$622)/60)+_xlfn.IFNA(INDEX(Table3[],MATCH(Proj[[#This Row],[Player]],Table3[Player],0),8)/60,IF(Proj[[#This Row],[Pos]] ="D", 'Per 60 PK'!$H$623, 'Per 60 PK'!$H$622)/60))*Proj[[#This Row],[TOI PK]]*Proj[[#This Row],[GP]],0)</f>
        <v>2</v>
      </c>
      <c r="U4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53</v>
      </c>
      <c r="V4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136</v>
      </c>
      <c r="W4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4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73</v>
      </c>
      <c r="AA4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-355.31960882094472</v>
      </c>
      <c r="AB470" s="10">
        <f>_xlfn.RANK.EQ(Proj[[#This Row],[VOR]],Proj[VOR])</f>
        <v>351</v>
      </c>
      <c r="AC470" s="10">
        <f>INDEX(Std[],MATCH(Proj[[#This Row],[Player]],Std[Player],0),20)</f>
        <v>-247.95484110148021</v>
      </c>
      <c r="AD4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265.2</v>
      </c>
    </row>
    <row r="471" spans="1:30" x14ac:dyDescent="0.25">
      <c r="A471" t="s">
        <v>756</v>
      </c>
      <c r="B471">
        <v>28</v>
      </c>
      <c r="C471" t="s">
        <v>74</v>
      </c>
      <c r="D471" t="s">
        <v>1240</v>
      </c>
      <c r="E471" s="9">
        <f>INDEX(Table1[],MATCH(Proj[[#This Row],[Player]],Table1[Player],0),5)</f>
        <v>9.8044874833748192</v>
      </c>
      <c r="F471" s="9">
        <f>_xlfn.IFNA(INDEX(Table2[],MATCH(Proj[[#This Row],[Player]],Table2[Player],0),5),0)</f>
        <v>1.28</v>
      </c>
      <c r="G471" s="9">
        <f>_xlfn.IFNA(INDEX(Table3[],MATCH(Proj[[#This Row],[Player]],Table3[Player],0),5),0)</f>
        <v>2.48</v>
      </c>
      <c r="H471" s="10">
        <v>79</v>
      </c>
      <c r="I471">
        <v>79</v>
      </c>
      <c r="J471" s="9">
        <v>9.8044874833748192</v>
      </c>
      <c r="K471" s="9">
        <v>1.28</v>
      </c>
      <c r="L471" s="9">
        <v>2.48</v>
      </c>
      <c r="M471" s="9">
        <f>Proj[[#This Row],[TOI ES]]+Proj[[#This Row],[TOI PP]]+Proj[[#This Row],[TOI PK]]</f>
        <v>13.564487483374819</v>
      </c>
      <c r="N4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71" s="10">
        <f>Proj[[#This Row],[Goals]]+Proj[[#This Row],[Assists]]</f>
        <v>22</v>
      </c>
      <c r="Q471" s="10">
        <f>ROUND(_xlfn.IFNA(INDEX(Table2[],MATCH(Proj[[#This Row],[Player]],Table2[Player],0),11)/60,IF(Proj[[#This Row],[Pos]] = "D", 'Per 60 PP'!$K$527,'Per 60 PP'!$K$526)/60)*Proj[[#This Row],[TOI PP]]*Proj[[#This Row],[GP]],0)</f>
        <v>2</v>
      </c>
      <c r="R471" s="10">
        <f>ROUND(_xlfn.IFNA(INDEX(Table2[],MATCH(Proj[[#This Row],[Player]],Table2[Player],0),7)/60,IF(Proj[[#This Row],[Pos]] = "D", 'Per 60 PP'!$G$527,'Per 60 PP'!$G$526)/60)*Proj[[#This Row],[TOI PP]]*Proj[[#This Row],[GP]],0)</f>
        <v>4</v>
      </c>
      <c r="S471" s="10">
        <f>Proj[[#This Row],[PPG]]+Proj[[#This Row],[PPA]]</f>
        <v>6</v>
      </c>
      <c r="T471">
        <f>ROUND((_xlfn.IFNA(INDEX(Table3[],MATCH(Proj[[#This Row],[Player]],Table3[Player],0),6)/60,IF(Proj[[#This Row],[Pos]] ="D", 'Per 60 PK'!$F$623, 'Per 60 PK'!$F$622)/60)+_xlfn.IFNA(INDEX(Table3[],MATCH(Proj[[#This Row],[Player]],Table3[Player],0),8)/60,IF(Proj[[#This Row],[Pos]] ="D", 'Per 60 PK'!$H$623, 'Per 60 PK'!$H$622)/60))*Proj[[#This Row],[TOI PK]]*Proj[[#This Row],[GP]],0)</f>
        <v>3</v>
      </c>
      <c r="U4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4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4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4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419</v>
      </c>
      <c r="Y4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389</v>
      </c>
      <c r="Z4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96</v>
      </c>
      <c r="AA4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-783.46884421606831</v>
      </c>
      <c r="AB471" s="10">
        <f>_xlfn.RANK.EQ(Proj[[#This Row],[VOR]],Proj[VOR])</f>
        <v>578</v>
      </c>
      <c r="AC471" s="10">
        <f>INDEX(Std[],MATCH(Proj[[#This Row],[Player]],Std[Player],0),20)</f>
        <v>-48.834989905769667</v>
      </c>
      <c r="AD4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292.35000000000002</v>
      </c>
    </row>
    <row r="472" spans="1:30" x14ac:dyDescent="0.25">
      <c r="A472" t="s">
        <v>568</v>
      </c>
      <c r="B472">
        <v>32</v>
      </c>
      <c r="C472" t="s">
        <v>102</v>
      </c>
      <c r="D472" t="s">
        <v>28</v>
      </c>
      <c r="E472" s="9">
        <f>INDEX(Table1[],MATCH(Proj[[#This Row],[Player]],Table1[Player],0),5)</f>
        <v>11.103186243262</v>
      </c>
      <c r="F472" s="9">
        <f>_xlfn.IFNA(INDEX(Table2[],MATCH(Proj[[#This Row],[Player]],Table2[Player],0),5),0)</f>
        <v>1.26</v>
      </c>
      <c r="G472" s="9">
        <f>_xlfn.IFNA(INDEX(Table3[],MATCH(Proj[[#This Row],[Player]],Table3[Player],0),5),0)</f>
        <v>0.94</v>
      </c>
      <c r="H472" s="10">
        <v>76</v>
      </c>
      <c r="I472">
        <v>76</v>
      </c>
      <c r="J472" s="9">
        <v>11.103186243262</v>
      </c>
      <c r="K472" s="9">
        <v>1.26</v>
      </c>
      <c r="L472" s="9">
        <v>0.94</v>
      </c>
      <c r="M472" s="9">
        <f>Proj[[#This Row],[TOI ES]]+Proj[[#This Row],[TOI PP]]+Proj[[#This Row],[TOI PK]]</f>
        <v>13.303186243261999</v>
      </c>
      <c r="N4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472" s="10">
        <f>Proj[[#This Row],[Goals]]+Proj[[#This Row],[Assists]]</f>
        <v>22</v>
      </c>
      <c r="Q472" s="10">
        <f>ROUND(_xlfn.IFNA(INDEX(Table2[],MATCH(Proj[[#This Row],[Player]],Table2[Player],0),11)/60,IF(Proj[[#This Row],[Pos]] = "D", 'Per 60 PP'!$K$527,'Per 60 PP'!$K$526)/60)*Proj[[#This Row],[TOI PP]]*Proj[[#This Row],[GP]],0)</f>
        <v>2</v>
      </c>
      <c r="R472" s="10">
        <f>ROUND(_xlfn.IFNA(INDEX(Table2[],MATCH(Proj[[#This Row],[Player]],Table2[Player],0),7)/60,IF(Proj[[#This Row],[Pos]] = "D", 'Per 60 PP'!$G$527,'Per 60 PP'!$G$526)/60)*Proj[[#This Row],[TOI PP]]*Proj[[#This Row],[GP]],0)</f>
        <v>2</v>
      </c>
      <c r="S472" s="10">
        <f>Proj[[#This Row],[PPG]]+Proj[[#This Row],[PPA]]</f>
        <v>4</v>
      </c>
      <c r="T472">
        <f>ROUND((_xlfn.IFNA(INDEX(Table3[],MATCH(Proj[[#This Row],[Player]],Table3[Player],0),6)/60,IF(Proj[[#This Row],[Pos]] ="D", 'Per 60 PK'!$F$623, 'Per 60 PK'!$F$622)/60)+_xlfn.IFNA(INDEX(Table3[],MATCH(Proj[[#This Row],[Player]],Table3[Player],0),8)/60,IF(Proj[[#This Row],[Pos]] ="D", 'Per 60 PK'!$H$623, 'Per 60 PK'!$H$622)/60))*Proj[[#This Row],[TOI PK]]*Proj[[#This Row],[GP]],0)</f>
        <v>0</v>
      </c>
      <c r="U4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4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4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54</v>
      </c>
      <c r="X4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4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v>
      </c>
      <c r="Z4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113</v>
      </c>
      <c r="AA4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-710.43713930977867</v>
      </c>
      <c r="AB472" s="10">
        <f>_xlfn.RANK.EQ(Proj[[#This Row],[VOR]],Proj[VOR])</f>
        <v>531</v>
      </c>
      <c r="AC472" s="10">
        <f>INDEX(Std[],MATCH(Proj[[#This Row],[Player]],Std[Player],0),20)</f>
        <v>-238.89241491952978</v>
      </c>
      <c r="AD4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256.45</v>
      </c>
    </row>
    <row r="473" spans="1:30" x14ac:dyDescent="0.25">
      <c r="A473" t="s">
        <v>385</v>
      </c>
      <c r="B473">
        <v>29</v>
      </c>
      <c r="C473" t="s">
        <v>3</v>
      </c>
      <c r="D473" t="s">
        <v>25</v>
      </c>
      <c r="E473" s="9">
        <f>INDEX(Table1[],MATCH(Proj[[#This Row],[Player]],Table1[Player],0),5)</f>
        <v>16.438089175384199</v>
      </c>
      <c r="F473" s="9">
        <f>_xlfn.IFNA(INDEX(Table2[],MATCH(Proj[[#This Row],[Player]],Table2[Player],0),5),0)</f>
        <v>0</v>
      </c>
      <c r="G473" s="9">
        <f>_xlfn.IFNA(INDEX(Table3[],MATCH(Proj[[#This Row],[Player]],Table3[Player],0),5),0)</f>
        <v>2.06</v>
      </c>
      <c r="H473" s="10">
        <v>80</v>
      </c>
      <c r="I473">
        <v>80</v>
      </c>
      <c r="J473" s="9">
        <v>16.438089175384199</v>
      </c>
      <c r="K473" s="9">
        <v>0</v>
      </c>
      <c r="L473" s="9">
        <v>2.06</v>
      </c>
      <c r="M473" s="9">
        <f>Proj[[#This Row],[TOI ES]]+Proj[[#This Row],[TOI PP]]+Proj[[#This Row],[TOI PK]]</f>
        <v>18.498089175384198</v>
      </c>
      <c r="N4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73">
        <f>Proj[[#This Row],[Goals]]+Proj[[#This Row],[Assists]]</f>
        <v>22</v>
      </c>
      <c r="Q473" s="10">
        <f>ROUND(_xlfn.IFNA(INDEX(Table2[],MATCH(Proj[[#This Row],[Player]],Table2[Player],0),11)/60,IF(Proj[[#This Row],[Pos]] = "D", 'Per 60 PP'!$K$527,'Per 60 PP'!$K$526)/60)*Proj[[#This Row],[TOI PP]]*Proj[[#This Row],[GP]],0)</f>
        <v>0</v>
      </c>
      <c r="R473" s="10">
        <f>ROUND(_xlfn.IFNA(INDEX(Table2[],MATCH(Proj[[#This Row],[Player]],Table2[Player],0),7)/60,IF(Proj[[#This Row],[Pos]] = "D", 'Per 60 PP'!$G$527,'Per 60 PP'!$G$526)/60)*Proj[[#This Row],[TOI PP]]*Proj[[#This Row],[GP]],0)</f>
        <v>0</v>
      </c>
      <c r="S473" s="10">
        <f>Proj[[#This Row],[PPG]]+Proj[[#This Row],[PPA]]</f>
        <v>0</v>
      </c>
      <c r="T473">
        <f>ROUND((_xlfn.IFNA(INDEX(Table3[],MATCH(Proj[[#This Row],[Player]],Table3[Player],0),6)/60,IF(Proj[[#This Row],[Pos]] ="D", 'Per 60 PK'!$F$623, 'Per 60 PK'!$F$622)/60)+_xlfn.IFNA(INDEX(Table3[],MATCH(Proj[[#This Row],[Player]],Table3[Player],0),8)/60,IF(Proj[[#This Row],[Pos]] ="D", 'Per 60 PK'!$H$623, 'Per 60 PK'!$H$622)/60))*Proj[[#This Row],[TOI PK]]*Proj[[#This Row],[GP]],0)</f>
        <v>1</v>
      </c>
      <c r="U4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4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156</v>
      </c>
      <c r="W4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4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-272.47076617263957</v>
      </c>
      <c r="AB473" s="10">
        <f>_xlfn.RANK.EQ(Proj[[#This Row],[VOR]],Proj[VOR])</f>
        <v>292</v>
      </c>
      <c r="AC473" s="10">
        <f>INDEX(Std[],MATCH(Proj[[#This Row],[Player]],Std[Player],0),20)</f>
        <v>-165.10599845317509</v>
      </c>
      <c r="AD4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300.25</v>
      </c>
    </row>
    <row r="474" spans="1:30" x14ac:dyDescent="0.25">
      <c r="A474" t="s">
        <v>403</v>
      </c>
      <c r="B474">
        <v>34</v>
      </c>
      <c r="C474" t="s">
        <v>3</v>
      </c>
      <c r="D474" t="s">
        <v>6</v>
      </c>
      <c r="E474" s="9">
        <f>INDEX(Table1[],MATCH(Proj[[#This Row],[Player]],Table1[Player],0),5)</f>
        <v>17.1230136161813</v>
      </c>
      <c r="F474" s="9">
        <f>_xlfn.IFNA(INDEX(Table2[],MATCH(Proj[[#This Row],[Player]],Table2[Player],0),5),0)</f>
        <v>0</v>
      </c>
      <c r="G474" s="9">
        <f>_xlfn.IFNA(INDEX(Table3[],MATCH(Proj[[#This Row],[Player]],Table3[Player],0),5),0)</f>
        <v>3.27</v>
      </c>
      <c r="H474" s="10">
        <v>71</v>
      </c>
      <c r="I474">
        <v>71</v>
      </c>
      <c r="J474" s="9">
        <v>17.1230136161813</v>
      </c>
      <c r="K474" s="9">
        <v>0</v>
      </c>
      <c r="L474" s="9">
        <v>3.27</v>
      </c>
      <c r="M474" s="9">
        <f>Proj[[#This Row],[TOI ES]]+Proj[[#This Row],[TOI PP]]+Proj[[#This Row],[TOI PK]]</f>
        <v>20.3930136161813</v>
      </c>
      <c r="N4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74" s="10">
        <f>Proj[[#This Row],[Goals]]+Proj[[#This Row],[Assists]]</f>
        <v>22</v>
      </c>
      <c r="Q474" s="10">
        <f>ROUND(_xlfn.IFNA(INDEX(Table2[],MATCH(Proj[[#This Row],[Player]],Table2[Player],0),11)/60,IF(Proj[[#This Row],[Pos]] = "D", 'Per 60 PP'!$K$527,'Per 60 PP'!$K$526)/60)*Proj[[#This Row],[TOI PP]]*Proj[[#This Row],[GP]],0)</f>
        <v>0</v>
      </c>
      <c r="R474" s="10">
        <f>ROUND(_xlfn.IFNA(INDEX(Table2[],MATCH(Proj[[#This Row],[Player]],Table2[Player],0),7)/60,IF(Proj[[#This Row],[Pos]] = "D", 'Per 60 PP'!$G$527,'Per 60 PP'!$G$526)/60)*Proj[[#This Row],[TOI PP]]*Proj[[#This Row],[GP]],0)</f>
        <v>0</v>
      </c>
      <c r="S474" s="10">
        <f>Proj[[#This Row],[PPG]]+Proj[[#This Row],[PPA]]</f>
        <v>0</v>
      </c>
      <c r="T474">
        <f>ROUND((_xlfn.IFNA(INDEX(Table3[],MATCH(Proj[[#This Row],[Player]],Table3[Player],0),6)/60,IF(Proj[[#This Row],[Pos]] ="D", 'Per 60 PK'!$F$623, 'Per 60 PK'!$F$622)/60)+_xlfn.IFNA(INDEX(Table3[],MATCH(Proj[[#This Row],[Player]],Table3[Player],0),8)/60,IF(Proj[[#This Row],[Pos]] ="D", 'Per 60 PK'!$H$623, 'Per 60 PK'!$H$622)/60))*Proj[[#This Row],[TOI PK]]*Proj[[#This Row],[GP]],0)</f>
        <v>1</v>
      </c>
      <c r="U4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4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186</v>
      </c>
      <c r="W4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4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65</v>
      </c>
      <c r="AA4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-207.31284303305836</v>
      </c>
      <c r="AB474" s="10">
        <f>_xlfn.RANK.EQ(Proj[[#This Row],[VOR]],Proj[VOR])</f>
        <v>253</v>
      </c>
      <c r="AC474" s="10">
        <f>INDEX(Std[],MATCH(Proj[[#This Row],[Player]],Std[Player],0),20)</f>
        <v>-99.948075313593861</v>
      </c>
      <c r="AD4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305.19999999999993</v>
      </c>
    </row>
    <row r="475" spans="1:30" x14ac:dyDescent="0.25">
      <c r="A475" t="s">
        <v>694</v>
      </c>
      <c r="B475">
        <v>24</v>
      </c>
      <c r="C475" t="s">
        <v>74</v>
      </c>
      <c r="D475" t="s">
        <v>4</v>
      </c>
      <c r="E475" s="9">
        <f>INDEX(Table1[],MATCH(Proj[[#This Row],[Player]],Table1[Player],0),5)</f>
        <v>11.663403696661801</v>
      </c>
      <c r="F475" s="9">
        <f>_xlfn.IFNA(INDEX(Table2[],MATCH(Proj[[#This Row],[Player]],Table2[Player],0),5),0)</f>
        <v>0.91</v>
      </c>
      <c r="G475" s="9">
        <f>_xlfn.IFNA(INDEX(Table3[],MATCH(Proj[[#This Row],[Player]],Table3[Player],0),5),0)</f>
        <v>0.54</v>
      </c>
      <c r="H475" s="10">
        <v>81</v>
      </c>
      <c r="I475">
        <v>81</v>
      </c>
      <c r="J475" s="9">
        <v>11.663403696661801</v>
      </c>
      <c r="K475" s="9">
        <v>0.91</v>
      </c>
      <c r="L475" s="9">
        <v>0.54</v>
      </c>
      <c r="M475" s="9">
        <f>Proj[[#This Row],[TOI ES]]+Proj[[#This Row],[TOI PP]]+Proj[[#This Row],[TOI PK]]</f>
        <v>13.113403696661802</v>
      </c>
      <c r="N4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4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75" s="10">
        <f>Proj[[#This Row],[Goals]]+Proj[[#This Row],[Assists]]</f>
        <v>22</v>
      </c>
      <c r="Q475" s="10">
        <f>ROUND(_xlfn.IFNA(INDEX(Table2[],MATCH(Proj[[#This Row],[Player]],Table2[Player],0),11)/60,IF(Proj[[#This Row],[Pos]] = "D", 'Per 60 PP'!$K$527,'Per 60 PP'!$K$526)/60)*Proj[[#This Row],[TOI PP]]*Proj[[#This Row],[GP]],0)</f>
        <v>1</v>
      </c>
      <c r="R475" s="10">
        <f>ROUND(_xlfn.IFNA(INDEX(Table2[],MATCH(Proj[[#This Row],[Player]],Table2[Player],0),7)/60,IF(Proj[[#This Row],[Pos]] = "D", 'Per 60 PP'!$G$527,'Per 60 PP'!$G$526)/60)*Proj[[#This Row],[TOI PP]]*Proj[[#This Row],[GP]],0)</f>
        <v>1</v>
      </c>
      <c r="S475" s="10">
        <f>Proj[[#This Row],[PPG]]+Proj[[#This Row],[PPA]]</f>
        <v>2</v>
      </c>
      <c r="T475">
        <f>ROUND((_xlfn.IFNA(INDEX(Table3[],MATCH(Proj[[#This Row],[Player]],Table3[Player],0),6)/60,IF(Proj[[#This Row],[Pos]] ="D", 'Per 60 PK'!$F$623, 'Per 60 PK'!$F$622)/60)+_xlfn.IFNA(INDEX(Table3[],MATCH(Proj[[#This Row],[Player]],Table3[Player],0),8)/60,IF(Proj[[#This Row],[Pos]] ="D", 'Per 60 PK'!$H$623, 'Per 60 PK'!$H$622)/60))*Proj[[#This Row],[TOI PK]]*Proj[[#This Row],[GP]],0)</f>
        <v>0</v>
      </c>
      <c r="U4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4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4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4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264</v>
      </c>
      <c r="Y4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313</v>
      </c>
      <c r="Z4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75</v>
      </c>
      <c r="AA4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-947.05090347339797</v>
      </c>
      <c r="AB475" s="10">
        <f>_xlfn.RANK.EQ(Proj[[#This Row],[VOR]],Proj[VOR])</f>
        <v>643</v>
      </c>
      <c r="AC475" s="10">
        <f>INDEX(Std[],MATCH(Proj[[#This Row],[Player]],Std[Player],0),20)</f>
        <v>-212.41704916309939</v>
      </c>
      <c r="AD4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258.14999999999998</v>
      </c>
    </row>
    <row r="476" spans="1:30" x14ac:dyDescent="0.25">
      <c r="A476" t="s">
        <v>806</v>
      </c>
      <c r="B476">
        <v>26</v>
      </c>
      <c r="C476" t="s">
        <v>74</v>
      </c>
      <c r="D476" t="s">
        <v>28</v>
      </c>
      <c r="E476" s="9">
        <f>INDEX(Table1[],MATCH(Proj[[#This Row],[Player]],Table1[Player],0),5)</f>
        <v>11.7503121217268</v>
      </c>
      <c r="F476" s="9">
        <f>_xlfn.IFNA(INDEX(Table2[],MATCH(Proj[[#This Row],[Player]],Table2[Player],0),5),0)</f>
        <v>0</v>
      </c>
      <c r="G476" s="9">
        <f>_xlfn.IFNA(INDEX(Table3[],MATCH(Proj[[#This Row],[Player]],Table3[Player],0),5),0)</f>
        <v>1.1599999999999999</v>
      </c>
      <c r="H476" s="10">
        <v>78</v>
      </c>
      <c r="I476">
        <v>78</v>
      </c>
      <c r="J476" s="9">
        <v>11.7503121217268</v>
      </c>
      <c r="K476" s="9">
        <v>0</v>
      </c>
      <c r="L476" s="9">
        <v>1.1599999999999999</v>
      </c>
      <c r="M476" s="9">
        <f>Proj[[#This Row],[TOI ES]]+Proj[[#This Row],[TOI PP]]+Proj[[#This Row],[TOI PK]]</f>
        <v>12.9103121217268</v>
      </c>
      <c r="N4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4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76" s="10">
        <f>Proj[[#This Row],[Goals]]+Proj[[#This Row],[Assists]]</f>
        <v>22</v>
      </c>
      <c r="Q476" s="10">
        <f>ROUND(_xlfn.IFNA(INDEX(Table2[],MATCH(Proj[[#This Row],[Player]],Table2[Player],0),11)/60,IF(Proj[[#This Row],[Pos]] = "D", 'Per 60 PP'!$K$527,'Per 60 PP'!$K$526)/60)*Proj[[#This Row],[TOI PP]]*Proj[[#This Row],[GP]],0)</f>
        <v>0</v>
      </c>
      <c r="R476" s="10">
        <f>ROUND(_xlfn.IFNA(INDEX(Table2[],MATCH(Proj[[#This Row],[Player]],Table2[Player],0),7)/60,IF(Proj[[#This Row],[Pos]] = "D", 'Per 60 PP'!$G$527,'Per 60 PP'!$G$526)/60)*Proj[[#This Row],[TOI PP]]*Proj[[#This Row],[GP]],0)</f>
        <v>0</v>
      </c>
      <c r="S476" s="10">
        <f>Proj[[#This Row],[PPG]]+Proj[[#This Row],[PPA]]</f>
        <v>0</v>
      </c>
      <c r="T476">
        <f>ROUND((_xlfn.IFNA(INDEX(Table3[],MATCH(Proj[[#This Row],[Player]],Table3[Player],0),6)/60,IF(Proj[[#This Row],[Pos]] ="D", 'Per 60 PK'!$F$623, 'Per 60 PK'!$F$622)/60)+_xlfn.IFNA(INDEX(Table3[],MATCH(Proj[[#This Row],[Player]],Table3[Player],0),8)/60,IF(Proj[[#This Row],[Pos]] ="D", 'Per 60 PK'!$H$623, 'Per 60 PK'!$H$622)/60))*Proj[[#This Row],[TOI PK]]*Proj[[#This Row],[GP]],0)</f>
        <v>1</v>
      </c>
      <c r="U4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94</v>
      </c>
      <c r="V4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4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4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181</v>
      </c>
      <c r="Y4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210</v>
      </c>
      <c r="Z4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4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-938.6039306059547</v>
      </c>
      <c r="AB476" s="10">
        <f>_xlfn.RANK.EQ(Proj[[#This Row],[VOR]],Proj[VOR])</f>
        <v>641</v>
      </c>
      <c r="AC476" s="10">
        <f>INDEX(Std[],MATCH(Proj[[#This Row],[Player]],Std[Player],0),20)</f>
        <v>-203.9700762956561</v>
      </c>
      <c r="AD4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272.8</v>
      </c>
    </row>
    <row r="477" spans="1:30" x14ac:dyDescent="0.25">
      <c r="A477" t="s">
        <v>332</v>
      </c>
      <c r="B477">
        <v>34</v>
      </c>
      <c r="C477" t="s">
        <v>3</v>
      </c>
      <c r="D477" t="s">
        <v>8</v>
      </c>
      <c r="E477" s="9">
        <f>INDEX(Table1[],MATCH(Proj[[#This Row],[Player]],Table1[Player],0),5)</f>
        <v>16.719670970073</v>
      </c>
      <c r="F477" s="9">
        <f>_xlfn.IFNA(INDEX(Table2[],MATCH(Proj[[#This Row],[Player]],Table2[Player],0),5),0)</f>
        <v>0</v>
      </c>
      <c r="G477" s="9">
        <f>_xlfn.IFNA(INDEX(Table3[],MATCH(Proj[[#This Row],[Player]],Table3[Player],0),5),0)</f>
        <v>2.21</v>
      </c>
      <c r="H477" s="10">
        <v>79</v>
      </c>
      <c r="I477">
        <v>79</v>
      </c>
      <c r="J477" s="9">
        <v>16.719670970073</v>
      </c>
      <c r="K477" s="9">
        <v>0</v>
      </c>
      <c r="L477" s="9">
        <v>2.21</v>
      </c>
      <c r="M477" s="9">
        <f>Proj[[#This Row],[TOI ES]]+Proj[[#This Row],[TOI PP]]+Proj[[#This Row],[TOI PK]]</f>
        <v>18.929670970073001</v>
      </c>
      <c r="N4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4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77" s="10">
        <f>Proj[[#This Row],[Goals]]+Proj[[#This Row],[Assists]]</f>
        <v>22</v>
      </c>
      <c r="Q477" s="10">
        <f>ROUND(_xlfn.IFNA(INDEX(Table2[],MATCH(Proj[[#This Row],[Player]],Table2[Player],0),11)/60,IF(Proj[[#This Row],[Pos]] = "D", 'Per 60 PP'!$K$527,'Per 60 PP'!$K$526)/60)*Proj[[#This Row],[TOI PP]]*Proj[[#This Row],[GP]],0)</f>
        <v>0</v>
      </c>
      <c r="R477" s="10">
        <f>ROUND(_xlfn.IFNA(INDEX(Table2[],MATCH(Proj[[#This Row],[Player]],Table2[Player],0),7)/60,IF(Proj[[#This Row],[Pos]] = "D", 'Per 60 PP'!$G$527,'Per 60 PP'!$G$526)/60)*Proj[[#This Row],[TOI PP]]*Proj[[#This Row],[GP]],0)</f>
        <v>0</v>
      </c>
      <c r="S477" s="10">
        <f>Proj[[#This Row],[PPG]]+Proj[[#This Row],[PPA]]</f>
        <v>0</v>
      </c>
      <c r="T477">
        <f>ROUND((_xlfn.IFNA(INDEX(Table3[],MATCH(Proj[[#This Row],[Player]],Table3[Player],0),6)/60,IF(Proj[[#This Row],[Pos]] ="D", 'Per 60 PK'!$F$623, 'Per 60 PK'!$F$622)/60)+_xlfn.IFNA(INDEX(Table3[],MATCH(Proj[[#This Row],[Player]],Table3[Player],0),8)/60,IF(Proj[[#This Row],[Pos]] ="D", 'Per 60 PK'!$H$623, 'Per 60 PK'!$H$622)/60))*Proj[[#This Row],[TOI PK]]*Proj[[#This Row],[GP]],0)</f>
        <v>2</v>
      </c>
      <c r="U4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95</v>
      </c>
      <c r="V4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143</v>
      </c>
      <c r="W4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64</v>
      </c>
      <c r="X4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91</v>
      </c>
      <c r="AA4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-126.15851223089834</v>
      </c>
      <c r="AB477" s="10">
        <f>_xlfn.RANK.EQ(Proj[[#This Row],[VOR]],Proj[VOR])</f>
        <v>214</v>
      </c>
      <c r="AC477" s="10">
        <f>INDEX(Std[],MATCH(Proj[[#This Row],[Player]],Std[Player],0),20)</f>
        <v>-18.79374451143385</v>
      </c>
      <c r="AD4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311.15000000000003</v>
      </c>
    </row>
    <row r="478" spans="1:30" x14ac:dyDescent="0.25">
      <c r="A478" t="s">
        <v>613</v>
      </c>
      <c r="B478">
        <v>32</v>
      </c>
      <c r="C478" t="s">
        <v>74</v>
      </c>
      <c r="D478" t="s">
        <v>23</v>
      </c>
      <c r="E478" s="9">
        <f>INDEX(Table1[],MATCH(Proj[[#This Row],[Player]],Table1[Player],0),5)</f>
        <v>11.862557352096401</v>
      </c>
      <c r="F478" s="9">
        <f>_xlfn.IFNA(INDEX(Table2[],MATCH(Proj[[#This Row],[Player]],Table2[Player],0),5),0)</f>
        <v>0</v>
      </c>
      <c r="G478" s="9">
        <f>_xlfn.IFNA(INDEX(Table3[],MATCH(Proj[[#This Row],[Player]],Table3[Player],0),5),0)</f>
        <v>2.09</v>
      </c>
      <c r="H478" s="10">
        <v>78</v>
      </c>
      <c r="I478">
        <v>78</v>
      </c>
      <c r="J478" s="9">
        <v>11.862557352096401</v>
      </c>
      <c r="K478" s="9">
        <v>0</v>
      </c>
      <c r="L478" s="9">
        <v>2.09</v>
      </c>
      <c r="M478" s="9">
        <f>Proj[[#This Row],[TOI ES]]+Proj[[#This Row],[TOI PP]]+Proj[[#This Row],[TOI PK]]</f>
        <v>13.952557352096401</v>
      </c>
      <c r="N4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78" s="10">
        <f>Proj[[#This Row],[Goals]]+Proj[[#This Row],[Assists]]</f>
        <v>22</v>
      </c>
      <c r="Q478" s="10">
        <f>ROUND(_xlfn.IFNA(INDEX(Table2[],MATCH(Proj[[#This Row],[Player]],Table2[Player],0),11)/60,IF(Proj[[#This Row],[Pos]] = "D", 'Per 60 PP'!$K$527,'Per 60 PP'!$K$526)/60)*Proj[[#This Row],[TOI PP]]*Proj[[#This Row],[GP]],0)</f>
        <v>0</v>
      </c>
      <c r="R478" s="10">
        <f>ROUND(_xlfn.IFNA(INDEX(Table2[],MATCH(Proj[[#This Row],[Player]],Table2[Player],0),7)/60,IF(Proj[[#This Row],[Pos]] = "D", 'Per 60 PP'!$G$527,'Per 60 PP'!$G$526)/60)*Proj[[#This Row],[TOI PP]]*Proj[[#This Row],[GP]],0)</f>
        <v>0</v>
      </c>
      <c r="S478" s="10">
        <f>Proj[[#This Row],[PPG]]+Proj[[#This Row],[PPA]]</f>
        <v>0</v>
      </c>
      <c r="T478">
        <f>ROUND((_xlfn.IFNA(INDEX(Table3[],MATCH(Proj[[#This Row],[Player]],Table3[Player],0),6)/60,IF(Proj[[#This Row],[Pos]] ="D", 'Per 60 PK'!$F$623, 'Per 60 PK'!$F$622)/60)+_xlfn.IFNA(INDEX(Table3[],MATCH(Proj[[#This Row],[Player]],Table3[Player],0),8)/60,IF(Proj[[#This Row],[Pos]] ="D", 'Per 60 PK'!$H$623, 'Per 60 PK'!$H$622)/60))*Proj[[#This Row],[TOI PK]]*Proj[[#This Row],[GP]],0)</f>
        <v>2</v>
      </c>
      <c r="U4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179</v>
      </c>
      <c r="V4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4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56</v>
      </c>
      <c r="X4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391</v>
      </c>
      <c r="Y4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413</v>
      </c>
      <c r="Z4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110</v>
      </c>
      <c r="AA4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-584.30304252419705</v>
      </c>
      <c r="AB478" s="10">
        <f>_xlfn.RANK.EQ(Proj[[#This Row],[VOR]],Proj[VOR])</f>
        <v>476</v>
      </c>
      <c r="AC478" s="10">
        <f>INDEX(Std[],MATCH(Proj[[#This Row],[Player]],Std[Player],0),20)</f>
        <v>150.33081178610152</v>
      </c>
      <c r="AD4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359.95</v>
      </c>
    </row>
    <row r="479" spans="1:30" x14ac:dyDescent="0.25">
      <c r="A479" t="s">
        <v>753</v>
      </c>
      <c r="B479">
        <v>28</v>
      </c>
      <c r="C479" t="s">
        <v>3</v>
      </c>
      <c r="D479" t="s">
        <v>87</v>
      </c>
      <c r="E479" s="9">
        <f>INDEX(Table1[],MATCH(Proj[[#This Row],[Player]],Table1[Player],0),5)</f>
        <v>15.9716576303141</v>
      </c>
      <c r="F479" s="9">
        <f>_xlfn.IFNA(INDEX(Table2[],MATCH(Proj[[#This Row],[Player]],Table2[Player],0),5),0)</f>
        <v>0</v>
      </c>
      <c r="G479" s="9">
        <f>_xlfn.IFNA(INDEX(Table3[],MATCH(Proj[[#This Row],[Player]],Table3[Player],0),5),0)</f>
        <v>1.46</v>
      </c>
      <c r="H479" s="10">
        <v>82</v>
      </c>
      <c r="I479">
        <v>82</v>
      </c>
      <c r="J479" s="9">
        <v>15.9716576303141</v>
      </c>
      <c r="K479" s="9">
        <v>0</v>
      </c>
      <c r="L479" s="9">
        <v>1.46</v>
      </c>
      <c r="M479" s="9">
        <f>Proj[[#This Row],[TOI ES]]+Proj[[#This Row],[TOI PP]]+Proj[[#This Row],[TOI PK]]</f>
        <v>17.431657630314099</v>
      </c>
      <c r="N4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4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19</v>
      </c>
      <c r="P479" s="10">
        <f>Proj[[#This Row],[Goals]]+Proj[[#This Row],[Assists]]</f>
        <v>22</v>
      </c>
      <c r="Q479" s="10">
        <f>ROUND(_xlfn.IFNA(INDEX(Table2[],MATCH(Proj[[#This Row],[Player]],Table2[Player],0),11)/60,IF(Proj[[#This Row],[Pos]] = "D", 'Per 60 PP'!$K$527,'Per 60 PP'!$K$526)/60)*Proj[[#This Row],[TOI PP]]*Proj[[#This Row],[GP]],0)</f>
        <v>0</v>
      </c>
      <c r="R479" s="10">
        <f>ROUND(_xlfn.IFNA(INDEX(Table2[],MATCH(Proj[[#This Row],[Player]],Table2[Player],0),7)/60,IF(Proj[[#This Row],[Pos]] = "D", 'Per 60 PP'!$G$527,'Per 60 PP'!$G$526)/60)*Proj[[#This Row],[TOI PP]]*Proj[[#This Row],[GP]],0)</f>
        <v>0</v>
      </c>
      <c r="S479" s="10">
        <f>Proj[[#This Row],[PPG]]+Proj[[#This Row],[PPA]]</f>
        <v>0</v>
      </c>
      <c r="T479">
        <f>ROUND((_xlfn.IFNA(INDEX(Table3[],MATCH(Proj[[#This Row],[Player]],Table3[Player],0),6)/60,IF(Proj[[#This Row],[Pos]] ="D", 'Per 60 PK'!$F$623, 'Per 60 PK'!$F$622)/60)+_xlfn.IFNA(INDEX(Table3[],MATCH(Proj[[#This Row],[Player]],Table3[Player],0),8)/60,IF(Proj[[#This Row],[Pos]] ="D", 'Per 60 PK'!$H$623, 'Per 60 PK'!$H$622)/60))*Proj[[#This Row],[TOI PK]]*Proj[[#This Row],[GP]],0)</f>
        <v>0</v>
      </c>
      <c r="U4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183</v>
      </c>
      <c r="V4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110</v>
      </c>
      <c r="W4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4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93</v>
      </c>
      <c r="AA4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-61.56377299172113</v>
      </c>
      <c r="AB479" s="10">
        <f>_xlfn.RANK.EQ(Proj[[#This Row],[VOR]],Proj[VOR])</f>
        <v>186</v>
      </c>
      <c r="AC479" s="10">
        <f>INDEX(Std[],MATCH(Proj[[#This Row],[Player]],Std[Player],0),20)</f>
        <v>45.800994727743351</v>
      </c>
      <c r="AD4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342.35</v>
      </c>
    </row>
    <row r="480" spans="1:30" x14ac:dyDescent="0.25">
      <c r="A480" t="s">
        <v>1117</v>
      </c>
      <c r="B480">
        <v>26</v>
      </c>
      <c r="C480" t="s">
        <v>102</v>
      </c>
      <c r="D480" t="s">
        <v>4</v>
      </c>
      <c r="E480" s="9">
        <f>INDEX(Table1[],MATCH(Proj[[#This Row],[Player]],Table1[Player],0),5)</f>
        <v>11.7147312779485</v>
      </c>
      <c r="F480" s="9">
        <f>_xlfn.IFNA(INDEX(Table2[],MATCH(Proj[[#This Row],[Player]],Table2[Player],0),5),0)</f>
        <v>0</v>
      </c>
      <c r="G480" s="9">
        <f>_xlfn.IFNA(INDEX(Table3[],MATCH(Proj[[#This Row],[Player]],Table3[Player],0),5),0)</f>
        <v>2.6</v>
      </c>
      <c r="H480" s="10">
        <v>78</v>
      </c>
      <c r="I480">
        <v>78</v>
      </c>
      <c r="J480" s="9">
        <v>11.7147312779485</v>
      </c>
      <c r="K480" s="9">
        <v>0</v>
      </c>
      <c r="L480" s="9">
        <v>2.6</v>
      </c>
      <c r="M480" s="9">
        <f>Proj[[#This Row],[TOI ES]]+Proj[[#This Row],[TOI PP]]+Proj[[#This Row],[TOI PK]]</f>
        <v>14.3147312779485</v>
      </c>
      <c r="N4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4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480" s="10">
        <f>Proj[[#This Row],[Goals]]+Proj[[#This Row],[Assists]]</f>
        <v>22</v>
      </c>
      <c r="Q480" s="10">
        <f>ROUND(_xlfn.IFNA(INDEX(Table2[],MATCH(Proj[[#This Row],[Player]],Table2[Player],0),11)/60,IF(Proj[[#This Row],[Pos]] = "D", 'Per 60 PP'!$K$527,'Per 60 PP'!$K$526)/60)*Proj[[#This Row],[TOI PP]]*Proj[[#This Row],[GP]],0)</f>
        <v>0</v>
      </c>
      <c r="R480" s="10">
        <f>ROUND(_xlfn.IFNA(INDEX(Table2[],MATCH(Proj[[#This Row],[Player]],Table2[Player],0),7)/60,IF(Proj[[#This Row],[Pos]] = "D", 'Per 60 PP'!$G$527,'Per 60 PP'!$G$526)/60)*Proj[[#This Row],[TOI PP]]*Proj[[#This Row],[GP]],0)</f>
        <v>0</v>
      </c>
      <c r="S480" s="10">
        <f>Proj[[#This Row],[PPG]]+Proj[[#This Row],[PPA]]</f>
        <v>0</v>
      </c>
      <c r="T480">
        <f>ROUND((_xlfn.IFNA(INDEX(Table3[],MATCH(Proj[[#This Row],[Player]],Table3[Player],0),6)/60,IF(Proj[[#This Row],[Pos]] ="D", 'Per 60 PK'!$F$623, 'Per 60 PK'!$F$622)/60)+_xlfn.IFNA(INDEX(Table3[],MATCH(Proj[[#This Row],[Player]],Table3[Player],0),8)/60,IF(Proj[[#This Row],[Pos]] ="D", 'Per 60 PK'!$H$623, 'Per 60 PK'!$H$622)/60))*Proj[[#This Row],[TOI PK]]*Proj[[#This Row],[GP]],0)</f>
        <v>3</v>
      </c>
      <c r="U4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203</v>
      </c>
      <c r="V4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80</v>
      </c>
      <c r="W4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4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v>
      </c>
      <c r="Y4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41</v>
      </c>
      <c r="Z4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4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-554.70089176889894</v>
      </c>
      <c r="AB480" s="10">
        <f>_xlfn.RANK.EQ(Proj[[#This Row],[VOR]],Proj[VOR])</f>
        <v>456</v>
      </c>
      <c r="AC480" s="10">
        <f>INDEX(Std[],MATCH(Proj[[#This Row],[Player]],Std[Player],0),20)</f>
        <v>-83.156167378650068</v>
      </c>
      <c r="AD4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335.2</v>
      </c>
    </row>
    <row r="481" spans="1:30" x14ac:dyDescent="0.25">
      <c r="A481" t="s">
        <v>1166</v>
      </c>
      <c r="B481">
        <v>22</v>
      </c>
      <c r="C481" t="s">
        <v>102</v>
      </c>
      <c r="D481" t="s">
        <v>10</v>
      </c>
      <c r="E481" s="9">
        <f>INDEX(Table1[],MATCH(Proj[[#This Row],[Player]],Table1[Player],0),5)</f>
        <v>11.099870371902901</v>
      </c>
      <c r="F481" s="9">
        <f>_xlfn.IFNA(INDEX(Table2[],MATCH(Proj[[#This Row],[Player]],Table2[Player],0),5),0)</f>
        <v>0</v>
      </c>
      <c r="G481" s="9">
        <f>_xlfn.IFNA(INDEX(Table3[],MATCH(Proj[[#This Row],[Player]],Table3[Player],0),5),0)</f>
        <v>0</v>
      </c>
      <c r="H481" s="10">
        <v>82</v>
      </c>
      <c r="I481">
        <v>82</v>
      </c>
      <c r="J481" s="9">
        <v>11.099870371902901</v>
      </c>
      <c r="K481" s="9">
        <v>0</v>
      </c>
      <c r="L481" s="9">
        <v>0</v>
      </c>
      <c r="M481" s="9">
        <f>Proj[[#This Row],[TOI ES]]+Proj[[#This Row],[TOI PP]]+Proj[[#This Row],[TOI PK]]</f>
        <v>11.099870371902901</v>
      </c>
      <c r="N4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12</v>
      </c>
      <c r="O4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481" s="10">
        <f>Proj[[#This Row],[Goals]]+Proj[[#This Row],[Assists]]</f>
        <v>22</v>
      </c>
      <c r="Q481" s="10">
        <f>ROUND(_xlfn.IFNA(INDEX(Table2[],MATCH(Proj[[#This Row],[Player]],Table2[Player],0),11)/60,IF(Proj[[#This Row],[Pos]] = "D", 'Per 60 PP'!$K$527,'Per 60 PP'!$K$526)/60)*Proj[[#This Row],[TOI PP]]*Proj[[#This Row],[GP]],0)</f>
        <v>0</v>
      </c>
      <c r="R481" s="10">
        <f>ROUND(_xlfn.IFNA(INDEX(Table2[],MATCH(Proj[[#This Row],[Player]],Table2[Player],0),7)/60,IF(Proj[[#This Row],[Pos]] = "D", 'Per 60 PP'!$G$527,'Per 60 PP'!$G$526)/60)*Proj[[#This Row],[TOI PP]]*Proj[[#This Row],[GP]],0)</f>
        <v>0</v>
      </c>
      <c r="S481" s="10">
        <f>Proj[[#This Row],[PPG]]+Proj[[#This Row],[PPA]]</f>
        <v>0</v>
      </c>
      <c r="T481">
        <f>ROUND((_xlfn.IFNA(INDEX(Table3[],MATCH(Proj[[#This Row],[Player]],Table3[Player],0),6)/60,IF(Proj[[#This Row],[Pos]] ="D", 'Per 60 PK'!$F$623, 'Per 60 PK'!$F$622)/60)+_xlfn.IFNA(INDEX(Table3[],MATCH(Proj[[#This Row],[Player]],Table3[Player],0),8)/60,IF(Proj[[#This Row],[Pos]] ="D", 'Per 60 PK'!$H$623, 'Per 60 PK'!$H$622)/60))*Proj[[#This Row],[TOI PK]]*Proj[[#This Row],[GP]],0)</f>
        <v>0</v>
      </c>
      <c r="U4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211</v>
      </c>
      <c r="V4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4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54</v>
      </c>
      <c r="X4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4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v>
      </c>
      <c r="Z4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4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-490.49079364060265</v>
      </c>
      <c r="AB481" s="10">
        <f>_xlfn.RANK.EQ(Proj[[#This Row],[VOR]],Proj[VOR])</f>
        <v>416</v>
      </c>
      <c r="AC481" s="10">
        <f>INDEX(Std[],MATCH(Proj[[#This Row],[Player]],Std[Player],0),20)</f>
        <v>-18.946069250353791</v>
      </c>
      <c r="AD4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336.40000000000003</v>
      </c>
    </row>
    <row r="482" spans="1:30" x14ac:dyDescent="0.25">
      <c r="A482" t="s">
        <v>388</v>
      </c>
      <c r="B482">
        <v>33</v>
      </c>
      <c r="C482" t="s">
        <v>103</v>
      </c>
      <c r="D482" t="s">
        <v>32</v>
      </c>
      <c r="E482" s="9">
        <f>INDEX(Table1[],MATCH(Proj[[#This Row],[Player]],Table1[Player],0),5)</f>
        <v>10.915726050621601</v>
      </c>
      <c r="F482" s="9">
        <f>_xlfn.IFNA(INDEX(Table2[],MATCH(Proj[[#This Row],[Player]],Table2[Player],0),5),0)</f>
        <v>0</v>
      </c>
      <c r="G482" s="9">
        <f>_xlfn.IFNA(INDEX(Table3[],MATCH(Proj[[#This Row],[Player]],Table3[Player],0),5),0)</f>
        <v>1.49</v>
      </c>
      <c r="H482" s="10">
        <v>82</v>
      </c>
      <c r="I482">
        <v>82</v>
      </c>
      <c r="J482" s="9">
        <v>10.915726050621601</v>
      </c>
      <c r="K482" s="9">
        <v>0</v>
      </c>
      <c r="L482" s="9">
        <v>1.49</v>
      </c>
      <c r="M482" s="9">
        <f>Proj[[#This Row],[TOI ES]]+Proj[[#This Row],[TOI PP]]+Proj[[#This Row],[TOI PK]]</f>
        <v>12.405726050621601</v>
      </c>
      <c r="N4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82" s="10">
        <f>Proj[[#This Row],[Goals]]+Proj[[#This Row],[Assists]]</f>
        <v>22</v>
      </c>
      <c r="Q482" s="10">
        <f>ROUND(_xlfn.IFNA(INDEX(Table2[],MATCH(Proj[[#This Row],[Player]],Table2[Player],0),11)/60,IF(Proj[[#This Row],[Pos]] = "D", 'Per 60 PP'!$K$527,'Per 60 PP'!$K$526)/60)*Proj[[#This Row],[TOI PP]]*Proj[[#This Row],[GP]],0)</f>
        <v>0</v>
      </c>
      <c r="R482" s="10">
        <f>ROUND(_xlfn.IFNA(INDEX(Table2[],MATCH(Proj[[#This Row],[Player]],Table2[Player],0),7)/60,IF(Proj[[#This Row],[Pos]] = "D", 'Per 60 PP'!$G$527,'Per 60 PP'!$G$526)/60)*Proj[[#This Row],[TOI PP]]*Proj[[#This Row],[GP]],0)</f>
        <v>0</v>
      </c>
      <c r="S482" s="10">
        <f>Proj[[#This Row],[PPG]]+Proj[[#This Row],[PPA]]</f>
        <v>0</v>
      </c>
      <c r="T482">
        <f>ROUND((_xlfn.IFNA(INDEX(Table3[],MATCH(Proj[[#This Row],[Player]],Table3[Player],0),6)/60,IF(Proj[[#This Row],[Pos]] ="D", 'Per 60 PK'!$F$623, 'Per 60 PK'!$F$622)/60)+_xlfn.IFNA(INDEX(Table3[],MATCH(Proj[[#This Row],[Player]],Table3[Player],0),8)/60,IF(Proj[[#This Row],[Pos]] ="D", 'Per 60 PK'!$H$623, 'Per 60 PK'!$H$622)/60))*Proj[[#This Row],[TOI PK]]*Proj[[#This Row],[GP]],0)</f>
        <v>2</v>
      </c>
      <c r="U4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270</v>
      </c>
      <c r="V4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76</v>
      </c>
      <c r="W4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84</v>
      </c>
      <c r="X4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4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4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-135.83150823297103</v>
      </c>
      <c r="AB482" s="10">
        <f>_xlfn.RANK.EQ(Proj[[#This Row],[VOR]],Proj[VOR])</f>
        <v>215</v>
      </c>
      <c r="AC482" s="10">
        <f>INDEX(Std[],MATCH(Proj[[#This Row],[Player]],Std[Player],0),20)</f>
        <v>310.71321615727783</v>
      </c>
      <c r="AD4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401.15000000000003</v>
      </c>
    </row>
    <row r="483" spans="1:30" x14ac:dyDescent="0.25">
      <c r="A483" t="s">
        <v>1044</v>
      </c>
      <c r="B483">
        <v>23</v>
      </c>
      <c r="C483" t="s">
        <v>103</v>
      </c>
      <c r="D483" t="s">
        <v>20</v>
      </c>
      <c r="E483" s="9">
        <f>INDEX(Table1[],MATCH(Proj[[#This Row],[Player]],Table1[Player],0),5)</f>
        <v>11.734058400979899</v>
      </c>
      <c r="F483" s="9">
        <f>_xlfn.IFNA(INDEX(Table2[],MATCH(Proj[[#This Row],[Player]],Table2[Player],0),5),0)</f>
        <v>0</v>
      </c>
      <c r="G483" s="9">
        <f>_xlfn.IFNA(INDEX(Table3[],MATCH(Proj[[#This Row],[Player]],Table3[Player],0),5),0)</f>
        <v>1.4</v>
      </c>
      <c r="H483" s="10">
        <v>76</v>
      </c>
      <c r="I483">
        <v>76</v>
      </c>
      <c r="J483" s="9">
        <v>11.734058400979899</v>
      </c>
      <c r="K483" s="9">
        <v>0</v>
      </c>
      <c r="L483" s="9">
        <v>1.4</v>
      </c>
      <c r="M483" s="9">
        <f>Proj[[#This Row],[TOI ES]]+Proj[[#This Row],[TOI PP]]+Proj[[#This Row],[TOI PK]]</f>
        <v>13.1340584009799</v>
      </c>
      <c r="N4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4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83" s="10">
        <f>Proj[[#This Row],[Goals]]+Proj[[#This Row],[Assists]]</f>
        <v>21</v>
      </c>
      <c r="Q483" s="10">
        <f>ROUND(_xlfn.IFNA(INDEX(Table2[],MATCH(Proj[[#This Row],[Player]],Table2[Player],0),11)/60,IF(Proj[[#This Row],[Pos]] = "D", 'Per 60 PP'!$K$527,'Per 60 PP'!$K$526)/60)*Proj[[#This Row],[TOI PP]]*Proj[[#This Row],[GP]],0)</f>
        <v>0</v>
      </c>
      <c r="R483" s="10">
        <f>ROUND(_xlfn.IFNA(INDEX(Table2[],MATCH(Proj[[#This Row],[Player]],Table2[Player],0),7)/60,IF(Proj[[#This Row],[Pos]] = "D", 'Per 60 PP'!$G$527,'Per 60 PP'!$G$526)/60)*Proj[[#This Row],[TOI PP]]*Proj[[#This Row],[GP]],0)</f>
        <v>0</v>
      </c>
      <c r="S483" s="10">
        <f>Proj[[#This Row],[PPG]]+Proj[[#This Row],[PPA]]</f>
        <v>0</v>
      </c>
      <c r="T483">
        <f>ROUND((_xlfn.IFNA(INDEX(Table3[],MATCH(Proj[[#This Row],[Player]],Table3[Player],0),6)/60,IF(Proj[[#This Row],[Pos]] ="D", 'Per 60 PK'!$F$623, 'Per 60 PK'!$F$622)/60)+_xlfn.IFNA(INDEX(Table3[],MATCH(Proj[[#This Row],[Player]],Table3[Player],0),8)/60,IF(Proj[[#This Row],[Pos]] ="D", 'Per 60 PK'!$H$623, 'Per 60 PK'!$H$622)/60))*Proj[[#This Row],[TOI PK]]*Proj[[#This Row],[GP]],0)</f>
        <v>2</v>
      </c>
      <c r="U4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v>
      </c>
      <c r="V4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45</v>
      </c>
      <c r="W4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4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4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v>
      </c>
      <c r="Z4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72</v>
      </c>
      <c r="AA4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-1100.8039586182551</v>
      </c>
      <c r="AB483" s="10">
        <f>_xlfn.RANK.EQ(Proj[[#This Row],[VOR]],Proj[VOR])</f>
        <v>679</v>
      </c>
      <c r="AC483" s="10">
        <f>INDEX(Std[],MATCH(Proj[[#This Row],[Player]],Std[Player],0),20)</f>
        <v>-654.25923422800633</v>
      </c>
      <c r="AD4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182.85</v>
      </c>
    </row>
    <row r="484" spans="1:30" x14ac:dyDescent="0.25">
      <c r="A484" t="s">
        <v>543</v>
      </c>
      <c r="B484">
        <v>31</v>
      </c>
      <c r="C484" t="s">
        <v>103</v>
      </c>
      <c r="D484" t="s">
        <v>16</v>
      </c>
      <c r="E484" s="9">
        <f>INDEX(Table1[],MATCH(Proj[[#This Row],[Player]],Table1[Player],0),5)</f>
        <v>11.3098172361313</v>
      </c>
      <c r="F484" s="9">
        <f>_xlfn.IFNA(INDEX(Table2[],MATCH(Proj[[#This Row],[Player]],Table2[Player],0),5),0)</f>
        <v>0</v>
      </c>
      <c r="G484" s="9">
        <f>_xlfn.IFNA(INDEX(Table3[],MATCH(Proj[[#This Row],[Player]],Table3[Player],0),5),0)</f>
        <v>1.88</v>
      </c>
      <c r="H484" s="10">
        <v>76</v>
      </c>
      <c r="I484">
        <v>76</v>
      </c>
      <c r="J484" s="9">
        <v>11.3098172361313</v>
      </c>
      <c r="K484" s="9">
        <v>0</v>
      </c>
      <c r="L484" s="9">
        <v>1.88</v>
      </c>
      <c r="M484" s="9">
        <f>Proj[[#This Row],[TOI ES]]+Proj[[#This Row],[TOI PP]]+Proj[[#This Row],[TOI PK]]</f>
        <v>13.189817236131301</v>
      </c>
      <c r="N4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84" s="10">
        <f>Proj[[#This Row],[Goals]]+Proj[[#This Row],[Assists]]</f>
        <v>21</v>
      </c>
      <c r="Q484" s="10">
        <f>ROUND(_xlfn.IFNA(INDEX(Table2[],MATCH(Proj[[#This Row],[Player]],Table2[Player],0),11)/60,IF(Proj[[#This Row],[Pos]] = "D", 'Per 60 PP'!$K$527,'Per 60 PP'!$K$526)/60)*Proj[[#This Row],[TOI PP]]*Proj[[#This Row],[GP]],0)</f>
        <v>0</v>
      </c>
      <c r="R484" s="10">
        <f>ROUND(_xlfn.IFNA(INDEX(Table2[],MATCH(Proj[[#This Row],[Player]],Table2[Player],0),7)/60,IF(Proj[[#This Row],[Pos]] = "D", 'Per 60 PP'!$G$527,'Per 60 PP'!$G$526)/60)*Proj[[#This Row],[TOI PP]]*Proj[[#This Row],[GP]],0)</f>
        <v>0</v>
      </c>
      <c r="S484" s="10">
        <f>Proj[[#This Row],[PPG]]+Proj[[#This Row],[PPA]]</f>
        <v>0</v>
      </c>
      <c r="T484">
        <f>ROUND((_xlfn.IFNA(INDEX(Table3[],MATCH(Proj[[#This Row],[Player]],Table3[Player],0),6)/60,IF(Proj[[#This Row],[Pos]] ="D", 'Per 60 PK'!$F$623, 'Per 60 PK'!$F$622)/60)+_xlfn.IFNA(INDEX(Table3[],MATCH(Proj[[#This Row],[Player]],Table3[Player],0),8)/60,IF(Proj[[#This Row],[Pos]] ="D", 'Per 60 PK'!$H$623, 'Per 60 PK'!$H$622)/60))*Proj[[#This Row],[TOI PK]]*Proj[[#This Row],[GP]],0)</f>
        <v>2</v>
      </c>
      <c r="U4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29</v>
      </c>
      <c r="V4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4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4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v>
      </c>
      <c r="Y4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41</v>
      </c>
      <c r="Z4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108</v>
      </c>
      <c r="AA4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-1046.2990134188467</v>
      </c>
      <c r="AB484" s="10">
        <f>_xlfn.RANK.EQ(Proj[[#This Row],[VOR]],Proj[VOR])</f>
        <v>671</v>
      </c>
      <c r="AC484" s="10">
        <f>INDEX(Std[],MATCH(Proj[[#This Row],[Player]],Std[Player],0),20)</f>
        <v>-599.7542890285979</v>
      </c>
      <c r="AD4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198.90000000000003</v>
      </c>
    </row>
    <row r="485" spans="1:30" x14ac:dyDescent="0.25">
      <c r="A485" t="s">
        <v>574</v>
      </c>
      <c r="B485">
        <v>35</v>
      </c>
      <c r="C485" t="s">
        <v>74</v>
      </c>
      <c r="D485" t="s">
        <v>21</v>
      </c>
      <c r="E485" s="9">
        <f>INDEX(Table1[],MATCH(Proj[[#This Row],[Player]],Table1[Player],0),5)</f>
        <v>10.3491858365218</v>
      </c>
      <c r="F485" s="9">
        <f>_xlfn.IFNA(INDEX(Table2[],MATCH(Proj[[#This Row],[Player]],Table2[Player],0),5),0)</f>
        <v>0</v>
      </c>
      <c r="G485" s="9">
        <f>_xlfn.IFNA(INDEX(Table3[],MATCH(Proj[[#This Row],[Player]],Table3[Player],0),5),0)</f>
        <v>0</v>
      </c>
      <c r="H485" s="10">
        <v>75</v>
      </c>
      <c r="I485">
        <v>75</v>
      </c>
      <c r="J485" s="9">
        <v>10.3491858365218</v>
      </c>
      <c r="K485" s="9">
        <v>0</v>
      </c>
      <c r="L485" s="9">
        <v>0</v>
      </c>
      <c r="M485" s="9">
        <f>Proj[[#This Row],[TOI ES]]+Proj[[#This Row],[TOI PP]]+Proj[[#This Row],[TOI PK]]</f>
        <v>10.3491858365218</v>
      </c>
      <c r="N4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485" s="10">
        <f>Proj[[#This Row],[Goals]]+Proj[[#This Row],[Assists]]</f>
        <v>21</v>
      </c>
      <c r="Q485" s="10">
        <f>ROUND(_xlfn.IFNA(INDEX(Table2[],MATCH(Proj[[#This Row],[Player]],Table2[Player],0),11)/60,IF(Proj[[#This Row],[Pos]] = "D", 'Per 60 PP'!$K$527,'Per 60 PP'!$K$526)/60)*Proj[[#This Row],[TOI PP]]*Proj[[#This Row],[GP]],0)</f>
        <v>0</v>
      </c>
      <c r="R485" s="10">
        <f>ROUND(_xlfn.IFNA(INDEX(Table2[],MATCH(Proj[[#This Row],[Player]],Table2[Player],0),7)/60,IF(Proj[[#This Row],[Pos]] = "D", 'Per 60 PP'!$G$527,'Per 60 PP'!$G$526)/60)*Proj[[#This Row],[TOI PP]]*Proj[[#This Row],[GP]],0)</f>
        <v>0</v>
      </c>
      <c r="S485" s="10">
        <f>Proj[[#This Row],[PPG]]+Proj[[#This Row],[PPA]]</f>
        <v>0</v>
      </c>
      <c r="T485">
        <f>ROUND((_xlfn.IFNA(INDEX(Table3[],MATCH(Proj[[#This Row],[Player]],Table3[Player],0),6)/60,IF(Proj[[#This Row],[Pos]] ="D", 'Per 60 PK'!$F$623, 'Per 60 PK'!$F$622)/60)+_xlfn.IFNA(INDEX(Table3[],MATCH(Proj[[#This Row],[Player]],Table3[Player],0),8)/60,IF(Proj[[#This Row],[Pos]] ="D", 'Per 60 PK'!$H$623, 'Per 60 PK'!$H$622)/60))*Proj[[#This Row],[TOI PK]]*Proj[[#This Row],[GP]],0)</f>
        <v>0</v>
      </c>
      <c r="U4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4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4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4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4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v>
      </c>
      <c r="Z4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115</v>
      </c>
      <c r="AA4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-1235.2233860480542</v>
      </c>
      <c r="AB485" s="10">
        <f>_xlfn.RANK.EQ(Proj[[#This Row],[VOR]],Proj[VOR])</f>
        <v>701</v>
      </c>
      <c r="AC485" s="10">
        <f>INDEX(Std[],MATCH(Proj[[#This Row],[Player]],Std[Player],0),20)</f>
        <v>-500.58953173775569</v>
      </c>
      <c r="AD4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218.6</v>
      </c>
    </row>
    <row r="486" spans="1:30" x14ac:dyDescent="0.25">
      <c r="A486" t="s">
        <v>1035</v>
      </c>
      <c r="B486">
        <v>23</v>
      </c>
      <c r="C486" t="s">
        <v>104</v>
      </c>
      <c r="D486" t="s">
        <v>2</v>
      </c>
      <c r="E486" s="9">
        <f>INDEX(Table1[],MATCH(Proj[[#This Row],[Player]],Table1[Player],0),5)</f>
        <v>11.6149710133153</v>
      </c>
      <c r="F486" s="9">
        <f>_xlfn.IFNA(INDEX(Table2[],MATCH(Proj[[#This Row],[Player]],Table2[Player],0),5),0)</f>
        <v>0</v>
      </c>
      <c r="G486" s="9">
        <f>_xlfn.IFNA(INDEX(Table3[],MATCH(Proj[[#This Row],[Player]],Table3[Player],0),5),0)</f>
        <v>0</v>
      </c>
      <c r="H486" s="10">
        <v>60</v>
      </c>
      <c r="I486">
        <v>60</v>
      </c>
      <c r="J486" s="9">
        <v>11.6149710133153</v>
      </c>
      <c r="K486" s="9">
        <v>0</v>
      </c>
      <c r="L486" s="9">
        <v>0</v>
      </c>
      <c r="M486" s="9">
        <f>Proj[[#This Row],[TOI ES]]+Proj[[#This Row],[TOI PP]]+Proj[[#This Row],[TOI PK]]</f>
        <v>11.6149710133153</v>
      </c>
      <c r="N4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486" s="10">
        <f>Proj[[#This Row],[Goals]]+Proj[[#This Row],[Assists]]</f>
        <v>21</v>
      </c>
      <c r="Q486" s="10">
        <f>ROUND(_xlfn.IFNA(INDEX(Table2[],MATCH(Proj[[#This Row],[Player]],Table2[Player],0),11)/60,IF(Proj[[#This Row],[Pos]] = "D", 'Per 60 PP'!$K$527,'Per 60 PP'!$K$526)/60)*Proj[[#This Row],[TOI PP]]*Proj[[#This Row],[GP]],0)</f>
        <v>0</v>
      </c>
      <c r="R486" s="10">
        <f>ROUND(_xlfn.IFNA(INDEX(Table2[],MATCH(Proj[[#This Row],[Player]],Table2[Player],0),7)/60,IF(Proj[[#This Row],[Pos]] = "D", 'Per 60 PP'!$G$527,'Per 60 PP'!$G$526)/60)*Proj[[#This Row],[TOI PP]]*Proj[[#This Row],[GP]],0)</f>
        <v>0</v>
      </c>
      <c r="S486" s="10">
        <f>Proj[[#This Row],[PPG]]+Proj[[#This Row],[PPA]]</f>
        <v>0</v>
      </c>
      <c r="T486">
        <f>ROUND((_xlfn.IFNA(INDEX(Table3[],MATCH(Proj[[#This Row],[Player]],Table3[Player],0),6)/60,IF(Proj[[#This Row],[Pos]] ="D", 'Per 60 PK'!$F$623, 'Per 60 PK'!$F$622)/60)+_xlfn.IFNA(INDEX(Table3[],MATCH(Proj[[#This Row],[Player]],Table3[Player],0),8)/60,IF(Proj[[#This Row],[Pos]] ="D", 'Per 60 PK'!$H$623, 'Per 60 PK'!$H$622)/60))*Proj[[#This Row],[TOI PK]]*Proj[[#This Row],[GP]],0)</f>
        <v>0</v>
      </c>
      <c r="U4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4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4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4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v>
      </c>
      <c r="Y4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40</v>
      </c>
      <c r="Z4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4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-978.78152640580129</v>
      </c>
      <c r="AB486" s="10">
        <f>_xlfn.RANK.EQ(Proj[[#This Row],[VOR]],Proj[VOR])</f>
        <v>654</v>
      </c>
      <c r="AC486" s="10">
        <f>INDEX(Std[],MATCH(Proj[[#This Row],[Player]],Std[Player],0),20)</f>
        <v>-532.23680201555237</v>
      </c>
      <c r="AD4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208.70000000000002</v>
      </c>
    </row>
    <row r="487" spans="1:30" x14ac:dyDescent="0.25">
      <c r="A487" t="s">
        <v>664</v>
      </c>
      <c r="B487">
        <v>31</v>
      </c>
      <c r="C487" t="s">
        <v>74</v>
      </c>
      <c r="D487" t="s">
        <v>17</v>
      </c>
      <c r="E487" s="9">
        <f>INDEX(Table1[],MATCH(Proj[[#This Row],[Player]],Table1[Player],0),5)</f>
        <v>12.0608857760168</v>
      </c>
      <c r="F487" s="9">
        <f>_xlfn.IFNA(INDEX(Table2[],MATCH(Proj[[#This Row],[Player]],Table2[Player],0),5),0)</f>
        <v>0</v>
      </c>
      <c r="G487" s="9">
        <f>_xlfn.IFNA(INDEX(Table3[],MATCH(Proj[[#This Row],[Player]],Table3[Player],0),5),0)</f>
        <v>1.73</v>
      </c>
      <c r="H487" s="10">
        <v>76</v>
      </c>
      <c r="I487">
        <v>76</v>
      </c>
      <c r="J487" s="9">
        <v>12.0608857760168</v>
      </c>
      <c r="K487" s="9">
        <v>0</v>
      </c>
      <c r="L487" s="9">
        <v>1.73</v>
      </c>
      <c r="M487" s="9">
        <f>Proj[[#This Row],[TOI ES]]+Proj[[#This Row],[TOI PP]]+Proj[[#This Row],[TOI PK]]</f>
        <v>13.7908857760168</v>
      </c>
      <c r="N4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4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487" s="10">
        <f>Proj[[#This Row],[Goals]]+Proj[[#This Row],[Assists]]</f>
        <v>21</v>
      </c>
      <c r="Q487" s="10">
        <f>ROUND(_xlfn.IFNA(INDEX(Table2[],MATCH(Proj[[#This Row],[Player]],Table2[Player],0),11)/60,IF(Proj[[#This Row],[Pos]] = "D", 'Per 60 PP'!$K$527,'Per 60 PP'!$K$526)/60)*Proj[[#This Row],[TOI PP]]*Proj[[#This Row],[GP]],0)</f>
        <v>0</v>
      </c>
      <c r="R487" s="10">
        <f>ROUND(_xlfn.IFNA(INDEX(Table2[],MATCH(Proj[[#This Row],[Player]],Table2[Player],0),7)/60,IF(Proj[[#This Row],[Pos]] = "D", 'Per 60 PP'!$G$527,'Per 60 PP'!$G$526)/60)*Proj[[#This Row],[TOI PP]]*Proj[[#This Row],[GP]],0)</f>
        <v>0</v>
      </c>
      <c r="S487" s="10">
        <f>Proj[[#This Row],[PPG]]+Proj[[#This Row],[PPA]]</f>
        <v>0</v>
      </c>
      <c r="T487">
        <f>ROUND((_xlfn.IFNA(INDEX(Table3[],MATCH(Proj[[#This Row],[Player]],Table3[Player],0),6)/60,IF(Proj[[#This Row],[Pos]] ="D", 'Per 60 PK'!$F$623, 'Per 60 PK'!$F$622)/60)+_xlfn.IFNA(INDEX(Table3[],MATCH(Proj[[#This Row],[Player]],Table3[Player],0),8)/60,IF(Proj[[#This Row],[Pos]] ="D", 'Per 60 PK'!$H$623, 'Per 60 PK'!$H$622)/60))*Proj[[#This Row],[TOI PK]]*Proj[[#This Row],[GP]],0)</f>
        <v>2</v>
      </c>
      <c r="U4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82</v>
      </c>
      <c r="V4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4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4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61</v>
      </c>
      <c r="Y4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71</v>
      </c>
      <c r="Z4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121</v>
      </c>
      <c r="AA4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-1165.8639893620998</v>
      </c>
      <c r="AB487" s="10">
        <f>_xlfn.RANK.EQ(Proj[[#This Row],[VOR]],Proj[VOR])</f>
        <v>692</v>
      </c>
      <c r="AC487" s="10">
        <f>INDEX(Std[],MATCH(Proj[[#This Row],[Player]],Std[Player],0),20)</f>
        <v>-431.23013505180126</v>
      </c>
      <c r="AD4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246.79999999999998</v>
      </c>
    </row>
    <row r="488" spans="1:30" x14ac:dyDescent="0.25">
      <c r="A488" t="s">
        <v>459</v>
      </c>
      <c r="B488">
        <v>32</v>
      </c>
      <c r="C488" t="s">
        <v>3</v>
      </c>
      <c r="D488" t="s">
        <v>87</v>
      </c>
      <c r="E488" s="9">
        <f>INDEX(Table1[],MATCH(Proj[[#This Row],[Player]],Table1[Player],0),5)</f>
        <v>16.596328589761999</v>
      </c>
      <c r="F488" s="9">
        <f>_xlfn.IFNA(INDEX(Table2[],MATCH(Proj[[#This Row],[Player]],Table2[Player],0),5),0)</f>
        <v>0</v>
      </c>
      <c r="G488" s="9">
        <f>_xlfn.IFNA(INDEX(Table3[],MATCH(Proj[[#This Row],[Player]],Table3[Player],0),5),0)</f>
        <v>2.94</v>
      </c>
      <c r="H488" s="10">
        <v>80</v>
      </c>
      <c r="I488">
        <v>80</v>
      </c>
      <c r="J488" s="9">
        <v>16.596328589761999</v>
      </c>
      <c r="K488" s="9">
        <v>0</v>
      </c>
      <c r="L488" s="9">
        <v>2.94</v>
      </c>
      <c r="M488" s="9">
        <f>Proj[[#This Row],[TOI ES]]+Proj[[#This Row],[TOI PP]]+Proj[[#This Row],[TOI PK]]</f>
        <v>19.536328589762</v>
      </c>
      <c r="N4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88" s="10">
        <f>Proj[[#This Row],[Goals]]+Proj[[#This Row],[Assists]]</f>
        <v>21</v>
      </c>
      <c r="Q488" s="10">
        <f>ROUND(_xlfn.IFNA(INDEX(Table2[],MATCH(Proj[[#This Row],[Player]],Table2[Player],0),11)/60,IF(Proj[[#This Row],[Pos]] = "D", 'Per 60 PP'!$K$527,'Per 60 PP'!$K$526)/60)*Proj[[#This Row],[TOI PP]]*Proj[[#This Row],[GP]],0)</f>
        <v>0</v>
      </c>
      <c r="R488" s="10">
        <f>ROUND(_xlfn.IFNA(INDEX(Table2[],MATCH(Proj[[#This Row],[Player]],Table2[Player],0),7)/60,IF(Proj[[#This Row],[Pos]] = "D", 'Per 60 PP'!$G$527,'Per 60 PP'!$G$526)/60)*Proj[[#This Row],[TOI PP]]*Proj[[#This Row],[GP]],0)</f>
        <v>0</v>
      </c>
      <c r="S488" s="10">
        <f>Proj[[#This Row],[PPG]]+Proj[[#This Row],[PPA]]</f>
        <v>0</v>
      </c>
      <c r="T488">
        <f>ROUND((_xlfn.IFNA(INDEX(Table3[],MATCH(Proj[[#This Row],[Player]],Table3[Player],0),6)/60,IF(Proj[[#This Row],[Pos]] ="D", 'Per 60 PK'!$F$623, 'Per 60 PK'!$F$622)/60)+_xlfn.IFNA(INDEX(Table3[],MATCH(Proj[[#This Row],[Player]],Table3[Player],0),8)/60,IF(Proj[[#This Row],[Pos]] ="D", 'Per 60 PK'!$H$623, 'Per 60 PK'!$H$622)/60))*Proj[[#This Row],[TOI PK]]*Proj[[#This Row],[GP]],0)</f>
        <v>2</v>
      </c>
      <c r="U4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105</v>
      </c>
      <c r="V4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151</v>
      </c>
      <c r="W4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52</v>
      </c>
      <c r="X4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4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-145.14435940755772</v>
      </c>
      <c r="AB488" s="10">
        <f>_xlfn.RANK.EQ(Proj[[#This Row],[VOR]],Proj[VOR])</f>
        <v>218</v>
      </c>
      <c r="AC488" s="10">
        <f>INDEX(Std[],MATCH(Proj[[#This Row],[Player]],Std[Player],0),20)</f>
        <v>-37.77959168809322</v>
      </c>
      <c r="AD4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316.90000000000003</v>
      </c>
    </row>
    <row r="489" spans="1:30" x14ac:dyDescent="0.25">
      <c r="A489" t="s">
        <v>378</v>
      </c>
      <c r="B489">
        <v>29</v>
      </c>
      <c r="C489" t="s">
        <v>3</v>
      </c>
      <c r="D489" t="s">
        <v>15</v>
      </c>
      <c r="E489" s="9">
        <f>INDEX(Table1[],MATCH(Proj[[#This Row],[Player]],Table1[Player],0),5)</f>
        <v>18.116656443277499</v>
      </c>
      <c r="F489" s="9">
        <f>_xlfn.IFNA(INDEX(Table2[],MATCH(Proj[[#This Row],[Player]],Table2[Player],0),5),0)</f>
        <v>0</v>
      </c>
      <c r="G489" s="9">
        <f>_xlfn.IFNA(INDEX(Table3[],MATCH(Proj[[#This Row],[Player]],Table3[Player],0),5),0)</f>
        <v>2.4900000000000002</v>
      </c>
      <c r="H489" s="10">
        <v>74</v>
      </c>
      <c r="I489">
        <v>74</v>
      </c>
      <c r="J489" s="9">
        <v>18.116656443277499</v>
      </c>
      <c r="K489" s="9">
        <v>0</v>
      </c>
      <c r="L489" s="9">
        <v>2.4900000000000002</v>
      </c>
      <c r="M489" s="9">
        <f>Proj[[#This Row],[TOI ES]]+Proj[[#This Row],[TOI PP]]+Proj[[#This Row],[TOI PK]]</f>
        <v>20.606656443277501</v>
      </c>
      <c r="N4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4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89" s="10">
        <f>Proj[[#This Row],[Goals]]+Proj[[#This Row],[Assists]]</f>
        <v>21</v>
      </c>
      <c r="Q489" s="10">
        <f>ROUND(_xlfn.IFNA(INDEX(Table2[],MATCH(Proj[[#This Row],[Player]],Table2[Player],0),11)/60,IF(Proj[[#This Row],[Pos]] = "D", 'Per 60 PP'!$K$527,'Per 60 PP'!$K$526)/60)*Proj[[#This Row],[TOI PP]]*Proj[[#This Row],[GP]],0)</f>
        <v>0</v>
      </c>
      <c r="R489" s="10">
        <f>ROUND(_xlfn.IFNA(INDEX(Table2[],MATCH(Proj[[#This Row],[Player]],Table2[Player],0),7)/60,IF(Proj[[#This Row],[Pos]] = "D", 'Per 60 PP'!$G$527,'Per 60 PP'!$G$526)/60)*Proj[[#This Row],[TOI PP]]*Proj[[#This Row],[GP]],0)</f>
        <v>0</v>
      </c>
      <c r="S489" s="10">
        <f>Proj[[#This Row],[PPG]]+Proj[[#This Row],[PPA]]</f>
        <v>0</v>
      </c>
      <c r="T489">
        <f>ROUND((_xlfn.IFNA(INDEX(Table3[],MATCH(Proj[[#This Row],[Player]],Table3[Player],0),6)/60,IF(Proj[[#This Row],[Pos]] ="D", 'Per 60 PK'!$F$623, 'Per 60 PK'!$F$622)/60)+_xlfn.IFNA(INDEX(Table3[],MATCH(Proj[[#This Row],[Player]],Table3[Player],0),8)/60,IF(Proj[[#This Row],[Pos]] ="D", 'Per 60 PK'!$H$623, 'Per 60 PK'!$H$622)/60))*Proj[[#This Row],[TOI PK]]*Proj[[#This Row],[GP]],0)</f>
        <v>1</v>
      </c>
      <c r="U4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136</v>
      </c>
      <c r="V4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124</v>
      </c>
      <c r="W4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4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4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-206.35649961536927</v>
      </c>
      <c r="AB489" s="10">
        <f>_xlfn.RANK.EQ(Proj[[#This Row],[VOR]],Proj[VOR])</f>
        <v>251</v>
      </c>
      <c r="AC489" s="10">
        <f>INDEX(Std[],MATCH(Proj[[#This Row],[Player]],Std[Player],0),20)</f>
        <v>-98.991731895904806</v>
      </c>
      <c r="AD4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307.14999999999998</v>
      </c>
    </row>
    <row r="490" spans="1:30" x14ac:dyDescent="0.25">
      <c r="A490" t="s">
        <v>325</v>
      </c>
      <c r="B490">
        <v>33</v>
      </c>
      <c r="C490" t="s">
        <v>3</v>
      </c>
      <c r="D490" t="s">
        <v>2</v>
      </c>
      <c r="E490" s="9">
        <f>INDEX(Table1[],MATCH(Proj[[#This Row],[Player]],Table1[Player],0),5)</f>
        <v>17.678077442876202</v>
      </c>
      <c r="F490" s="9">
        <f>_xlfn.IFNA(INDEX(Table2[],MATCH(Proj[[#This Row],[Player]],Table2[Player],0),5),0)</f>
        <v>0.25</v>
      </c>
      <c r="G490" s="9">
        <f>_xlfn.IFNA(INDEX(Table3[],MATCH(Proj[[#This Row],[Player]],Table3[Player],0),5),0)</f>
        <v>2.09</v>
      </c>
      <c r="H490" s="10">
        <v>80</v>
      </c>
      <c r="I490">
        <v>80</v>
      </c>
      <c r="J490" s="9">
        <v>17.678077442876202</v>
      </c>
      <c r="K490" s="9">
        <v>0.25</v>
      </c>
      <c r="L490" s="9">
        <v>2.09</v>
      </c>
      <c r="M490" s="9">
        <f>Proj[[#This Row],[TOI ES]]+Proj[[#This Row],[TOI PP]]+Proj[[#This Row],[TOI PK]]</f>
        <v>20.018077442876201</v>
      </c>
      <c r="N4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90" s="10">
        <f>Proj[[#This Row],[Goals]]+Proj[[#This Row],[Assists]]</f>
        <v>21</v>
      </c>
      <c r="Q490" s="10">
        <f>ROUND(_xlfn.IFNA(INDEX(Table2[],MATCH(Proj[[#This Row],[Player]],Table2[Player],0),11)/60,IF(Proj[[#This Row],[Pos]] = "D", 'Per 60 PP'!$K$527,'Per 60 PP'!$K$526)/60)*Proj[[#This Row],[TOI PP]]*Proj[[#This Row],[GP]],0)</f>
        <v>0</v>
      </c>
      <c r="R490" s="10">
        <f>ROUND(_xlfn.IFNA(INDEX(Table2[],MATCH(Proj[[#This Row],[Player]],Table2[Player],0),7)/60,IF(Proj[[#This Row],[Pos]] = "D", 'Per 60 PP'!$G$527,'Per 60 PP'!$G$526)/60)*Proj[[#This Row],[TOI PP]]*Proj[[#This Row],[GP]],0)</f>
        <v>1</v>
      </c>
      <c r="S490" s="10">
        <f>Proj[[#This Row],[PPG]]+Proj[[#This Row],[PPA]]</f>
        <v>1</v>
      </c>
      <c r="T490">
        <f>ROUND((_xlfn.IFNA(INDEX(Table3[],MATCH(Proj[[#This Row],[Player]],Table3[Player],0),6)/60,IF(Proj[[#This Row],[Pos]] ="D", 'Per 60 PK'!$F$623, 'Per 60 PK'!$F$622)/60)+_xlfn.IFNA(INDEX(Table3[],MATCH(Proj[[#This Row],[Player]],Table3[Player],0),8)/60,IF(Proj[[#This Row],[Pos]] ="D", 'Per 60 PK'!$H$623, 'Per 60 PK'!$H$622)/60))*Proj[[#This Row],[TOI PK]]*Proj[[#This Row],[GP]],0)</f>
        <v>0</v>
      </c>
      <c r="U4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141</v>
      </c>
      <c r="V4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169</v>
      </c>
      <c r="W4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53</v>
      </c>
      <c r="X4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110</v>
      </c>
      <c r="AA4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7.8892376531328097</v>
      </c>
      <c r="AB490" s="10">
        <f>_xlfn.RANK.EQ(Proj[[#This Row],[VOR]],Proj[VOR])</f>
        <v>157</v>
      </c>
      <c r="AC490" s="10">
        <f>INDEX(Std[],MATCH(Proj[[#This Row],[Player]],Std[Player],0),20)</f>
        <v>115.25400537259729</v>
      </c>
      <c r="AD4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358.7</v>
      </c>
    </row>
    <row r="491" spans="1:30" x14ac:dyDescent="0.25">
      <c r="A491" t="s">
        <v>871</v>
      </c>
      <c r="B491">
        <v>34</v>
      </c>
      <c r="C491" t="s">
        <v>3</v>
      </c>
      <c r="D491" t="s">
        <v>28</v>
      </c>
      <c r="E491" s="9">
        <f>INDEX(Table1[],MATCH(Proj[[#This Row],[Player]],Table1[Player],0),5)</f>
        <v>17.070391269862</v>
      </c>
      <c r="F491" s="9">
        <f>_xlfn.IFNA(INDEX(Table2[],MATCH(Proj[[#This Row],[Player]],Table2[Player],0),5),0)</f>
        <v>0</v>
      </c>
      <c r="G491" s="9">
        <f>_xlfn.IFNA(INDEX(Table3[],MATCH(Proj[[#This Row],[Player]],Table3[Player],0),5),0)</f>
        <v>2.25</v>
      </c>
      <c r="H491" s="10">
        <v>82</v>
      </c>
      <c r="I491">
        <v>82</v>
      </c>
      <c r="J491" s="9">
        <v>17.070391269862</v>
      </c>
      <c r="K491" s="9">
        <v>0</v>
      </c>
      <c r="L491" s="9">
        <v>2.25</v>
      </c>
      <c r="M491" s="9">
        <f>Proj[[#This Row],[TOI ES]]+Proj[[#This Row],[TOI PP]]+Proj[[#This Row],[TOI PK]]</f>
        <v>19.320391269862</v>
      </c>
      <c r="N4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4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18</v>
      </c>
      <c r="P491" s="10">
        <f>Proj[[#This Row],[Goals]]+Proj[[#This Row],[Assists]]</f>
        <v>21</v>
      </c>
      <c r="Q491" s="10">
        <f>ROUND(_xlfn.IFNA(INDEX(Table2[],MATCH(Proj[[#This Row],[Player]],Table2[Player],0),11)/60,IF(Proj[[#This Row],[Pos]] = "D", 'Per 60 PP'!$K$527,'Per 60 PP'!$K$526)/60)*Proj[[#This Row],[TOI PP]]*Proj[[#This Row],[GP]],0)</f>
        <v>0</v>
      </c>
      <c r="R491" s="10">
        <f>ROUND(_xlfn.IFNA(INDEX(Table2[],MATCH(Proj[[#This Row],[Player]],Table2[Player],0),7)/60,IF(Proj[[#This Row],[Pos]] = "D", 'Per 60 PP'!$G$527,'Per 60 PP'!$G$526)/60)*Proj[[#This Row],[TOI PP]]*Proj[[#This Row],[GP]],0)</f>
        <v>0</v>
      </c>
      <c r="S491" s="10">
        <f>Proj[[#This Row],[PPG]]+Proj[[#This Row],[PPA]]</f>
        <v>0</v>
      </c>
      <c r="T491">
        <f>ROUND((_xlfn.IFNA(INDEX(Table3[],MATCH(Proj[[#This Row],[Player]],Table3[Player],0),6)/60,IF(Proj[[#This Row],[Pos]] ="D", 'Per 60 PK'!$F$623, 'Per 60 PK'!$F$622)/60)+_xlfn.IFNA(INDEX(Table3[],MATCH(Proj[[#This Row],[Player]],Table3[Player],0),8)/60,IF(Proj[[#This Row],[Pos]] ="D", 'Per 60 PK'!$H$623, 'Per 60 PK'!$H$622)/60))*Proj[[#This Row],[TOI PK]]*Proj[[#This Row],[GP]],0)</f>
        <v>1</v>
      </c>
      <c r="U4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146</v>
      </c>
      <c r="V4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208</v>
      </c>
      <c r="W4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4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85</v>
      </c>
      <c r="AA4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-14.675685196167336</v>
      </c>
      <c r="AB491" s="10">
        <f>_xlfn.RANK.EQ(Proj[[#This Row],[VOR]],Proj[VOR])</f>
        <v>171</v>
      </c>
      <c r="AC491" s="10">
        <f>INDEX(Std[],MATCH(Proj[[#This Row],[Player]],Std[Player],0),20)</f>
        <v>92.689082523297145</v>
      </c>
      <c r="AD4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363.5</v>
      </c>
    </row>
    <row r="492" spans="1:30" x14ac:dyDescent="0.25">
      <c r="A492" t="s">
        <v>666</v>
      </c>
      <c r="B492">
        <v>23</v>
      </c>
      <c r="C492" t="s">
        <v>3</v>
      </c>
      <c r="D492" t="s">
        <v>10</v>
      </c>
      <c r="E492" s="9">
        <f>INDEX(Table1[],MATCH(Proj[[#This Row],[Player]],Table1[Player],0),5)</f>
        <v>16.25</v>
      </c>
      <c r="F492" s="9">
        <f>_xlfn.IFNA(INDEX(Table2[],MATCH(Proj[[#This Row],[Player]],Table2[Player],0),5),0)</f>
        <v>0</v>
      </c>
      <c r="G492" s="9">
        <f>_xlfn.IFNA(INDEX(Table3[],MATCH(Proj[[#This Row],[Player]],Table3[Player],0),5),0)</f>
        <v>1.02</v>
      </c>
      <c r="H492" s="10">
        <v>82</v>
      </c>
      <c r="I492">
        <v>82</v>
      </c>
      <c r="J492" s="9">
        <v>16.25</v>
      </c>
      <c r="K492" s="9">
        <v>0</v>
      </c>
      <c r="L492" s="9">
        <v>1.02</v>
      </c>
      <c r="M492" s="9">
        <f>Proj[[#This Row],[TOI ES]]+Proj[[#This Row],[TOI PP]]+Proj[[#This Row],[TOI PK]]</f>
        <v>17.27</v>
      </c>
      <c r="N4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492" s="10">
        <f>Proj[[#This Row],[Goals]]+Proj[[#This Row],[Assists]]</f>
        <v>21</v>
      </c>
      <c r="Q492" s="10">
        <f>ROUND(_xlfn.IFNA(INDEX(Table2[],MATCH(Proj[[#This Row],[Player]],Table2[Player],0),11)/60,IF(Proj[[#This Row],[Pos]] = "D", 'Per 60 PP'!$K$527,'Per 60 PP'!$K$526)/60)*Proj[[#This Row],[TOI PP]]*Proj[[#This Row],[GP]],0)</f>
        <v>0</v>
      </c>
      <c r="R492" s="10">
        <f>ROUND(_xlfn.IFNA(INDEX(Table2[],MATCH(Proj[[#This Row],[Player]],Table2[Player],0),7)/60,IF(Proj[[#This Row],[Pos]] = "D", 'Per 60 PP'!$G$527,'Per 60 PP'!$G$526)/60)*Proj[[#This Row],[TOI PP]]*Proj[[#This Row],[GP]],0)</f>
        <v>0</v>
      </c>
      <c r="S492" s="10">
        <f>Proj[[#This Row],[PPG]]+Proj[[#This Row],[PPA]]</f>
        <v>0</v>
      </c>
      <c r="T492">
        <f>ROUND((_xlfn.IFNA(INDEX(Table3[],MATCH(Proj[[#This Row],[Player]],Table3[Player],0),6)/60,IF(Proj[[#This Row],[Pos]] ="D", 'Per 60 PK'!$F$623, 'Per 60 PK'!$F$622)/60)+_xlfn.IFNA(INDEX(Table3[],MATCH(Proj[[#This Row],[Player]],Table3[Player],0),8)/60,IF(Proj[[#This Row],[Pos]] ="D", 'Per 60 PK'!$H$623, 'Per 60 PK'!$H$622)/60))*Proj[[#This Row],[TOI PK]]*Proj[[#This Row],[GP]],0)</f>
        <v>1</v>
      </c>
      <c r="U4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150</v>
      </c>
      <c r="V4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143</v>
      </c>
      <c r="W4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4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89</v>
      </c>
      <c r="AA4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-233.54498677076884</v>
      </c>
      <c r="AB492" s="10">
        <f>_xlfn.RANK.EQ(Proj[[#This Row],[VOR]],Proj[VOR])</f>
        <v>270</v>
      </c>
      <c r="AC492" s="10">
        <f>INDEX(Std[],MATCH(Proj[[#This Row],[Player]],Std[Player],0),20)</f>
        <v>-126.18021905130435</v>
      </c>
      <c r="AD4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323.8</v>
      </c>
    </row>
    <row r="493" spans="1:30" x14ac:dyDescent="0.25">
      <c r="A493" t="s">
        <v>1095</v>
      </c>
      <c r="B493">
        <v>22</v>
      </c>
      <c r="C493" t="s">
        <v>103</v>
      </c>
      <c r="D493" t="s">
        <v>22</v>
      </c>
      <c r="E493" s="9">
        <f>INDEX(Table1[],MATCH(Proj[[#This Row],[Player]],Table1[Player],0),5)</f>
        <v>11.3694118115748</v>
      </c>
      <c r="F493" s="9">
        <f>_xlfn.IFNA(INDEX(Table2[],MATCH(Proj[[#This Row],[Player]],Table2[Player],0),5),0)</f>
        <v>2.0299999999999998</v>
      </c>
      <c r="G493" s="9">
        <f>_xlfn.IFNA(INDEX(Table3[],MATCH(Proj[[#This Row],[Player]],Table3[Player],0),5),0)</f>
        <v>0</v>
      </c>
      <c r="H493" s="10">
        <v>51</v>
      </c>
      <c r="I493">
        <v>51</v>
      </c>
      <c r="J493" s="9">
        <v>11.3694118115748</v>
      </c>
      <c r="K493" s="9">
        <v>2.0299999999999998</v>
      </c>
      <c r="L493" s="9">
        <v>0</v>
      </c>
      <c r="M493" s="9">
        <f>Proj[[#This Row],[TOI ES]]+Proj[[#This Row],[TOI PP]]+Proj[[#This Row],[TOI PK]]</f>
        <v>13.399411811574799</v>
      </c>
      <c r="N4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4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93" s="10">
        <f>Proj[[#This Row],[Goals]]+Proj[[#This Row],[Assists]]</f>
        <v>20</v>
      </c>
      <c r="Q493" s="10">
        <f>ROUND(_xlfn.IFNA(INDEX(Table2[],MATCH(Proj[[#This Row],[Player]],Table2[Player],0),11)/60,IF(Proj[[#This Row],[Pos]] = "D", 'Per 60 PP'!$K$527,'Per 60 PP'!$K$526)/60)*Proj[[#This Row],[TOI PP]]*Proj[[#This Row],[GP]],0)</f>
        <v>3</v>
      </c>
      <c r="R493" s="10">
        <f>ROUND(_xlfn.IFNA(INDEX(Table2[],MATCH(Proj[[#This Row],[Player]],Table2[Player],0),7)/60,IF(Proj[[#This Row],[Pos]] = "D", 'Per 60 PP'!$G$527,'Per 60 PP'!$G$526)/60)*Proj[[#This Row],[TOI PP]]*Proj[[#This Row],[GP]],0)</f>
        <v>3</v>
      </c>
      <c r="S493" s="10">
        <f>Proj[[#This Row],[PPG]]+Proj[[#This Row],[PPA]]</f>
        <v>6</v>
      </c>
      <c r="T493">
        <f>ROUND((_xlfn.IFNA(INDEX(Table3[],MATCH(Proj[[#This Row],[Player]],Table3[Player],0),6)/60,IF(Proj[[#This Row],[Pos]] ="D", 'Per 60 PK'!$F$623, 'Per 60 PK'!$F$622)/60)+_xlfn.IFNA(INDEX(Table3[],MATCH(Proj[[#This Row],[Player]],Table3[Player],0),8)/60,IF(Proj[[#This Row],[Pos]] ="D", 'Per 60 PK'!$H$623, 'Per 60 PK'!$H$622)/60))*Proj[[#This Row],[TOI PK]]*Proj[[#This Row],[GP]],0)</f>
        <v>0</v>
      </c>
      <c r="U4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v>
      </c>
      <c r="V4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v>
      </c>
      <c r="W4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4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35</v>
      </c>
      <c r="Y4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v>
      </c>
      <c r="Z4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93</v>
      </c>
      <c r="AA4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-1073.8491895344321</v>
      </c>
      <c r="AB493" s="10">
        <f>_xlfn.RANK.EQ(Proj[[#This Row],[VOR]],Proj[VOR])</f>
        <v>676</v>
      </c>
      <c r="AC493" s="10">
        <f>INDEX(Std[],MATCH(Proj[[#This Row],[Player]],Std[Player],0),20)</f>
        <v>-627.30446514418315</v>
      </c>
      <c r="AD4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177</v>
      </c>
    </row>
    <row r="494" spans="1:30" x14ac:dyDescent="0.25">
      <c r="A494" t="s">
        <v>1053</v>
      </c>
      <c r="B494">
        <v>24</v>
      </c>
      <c r="C494" t="s">
        <v>3</v>
      </c>
      <c r="D494" t="s">
        <v>32</v>
      </c>
      <c r="E494" s="9">
        <f>INDEX(Table1[],MATCH(Proj[[#This Row],[Player]],Table1[Player],0),5)</f>
        <v>14.341379501895601</v>
      </c>
      <c r="F494" s="9">
        <f>_xlfn.IFNA(INDEX(Table2[],MATCH(Proj[[#This Row],[Player]],Table2[Player],0),5),0)</f>
        <v>1.61</v>
      </c>
      <c r="G494" s="9">
        <f>_xlfn.IFNA(INDEX(Table3[],MATCH(Proj[[#This Row],[Player]],Table3[Player],0),5),0)</f>
        <v>0</v>
      </c>
      <c r="H494" s="10">
        <v>66</v>
      </c>
      <c r="I494">
        <v>66</v>
      </c>
      <c r="J494" s="9">
        <v>14.341379501895601</v>
      </c>
      <c r="K494" s="9">
        <v>1.61</v>
      </c>
      <c r="L494" s="9">
        <v>0</v>
      </c>
      <c r="M494" s="9">
        <f>Proj[[#This Row],[TOI ES]]+Proj[[#This Row],[TOI PP]]+Proj[[#This Row],[TOI PK]]</f>
        <v>15.9513795018956</v>
      </c>
      <c r="N4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4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94" s="10">
        <f>Proj[[#This Row],[Goals]]+Proj[[#This Row],[Assists]]</f>
        <v>20</v>
      </c>
      <c r="Q494" s="10">
        <f>ROUND(_xlfn.IFNA(INDEX(Table2[],MATCH(Proj[[#This Row],[Player]],Table2[Player],0),11)/60,IF(Proj[[#This Row],[Pos]] = "D", 'Per 60 PP'!$K$527,'Per 60 PP'!$K$526)/60)*Proj[[#This Row],[TOI PP]]*Proj[[#This Row],[GP]],0)</f>
        <v>1</v>
      </c>
      <c r="R494" s="10">
        <f>ROUND(_xlfn.IFNA(INDEX(Table2[],MATCH(Proj[[#This Row],[Player]],Table2[Player],0),7)/60,IF(Proj[[#This Row],[Pos]] = "D", 'Per 60 PP'!$G$527,'Per 60 PP'!$G$526)/60)*Proj[[#This Row],[TOI PP]]*Proj[[#This Row],[GP]],0)</f>
        <v>7</v>
      </c>
      <c r="S494" s="10">
        <f>Proj[[#This Row],[PPG]]+Proj[[#This Row],[PPA]]</f>
        <v>8</v>
      </c>
      <c r="T494">
        <f>ROUND((_xlfn.IFNA(INDEX(Table3[],MATCH(Proj[[#This Row],[Player]],Table3[Player],0),6)/60,IF(Proj[[#This Row],[Pos]] ="D", 'Per 60 PK'!$F$623, 'Per 60 PK'!$F$622)/60)+_xlfn.IFNA(INDEX(Table3[],MATCH(Proj[[#This Row],[Player]],Table3[Player],0),8)/60,IF(Proj[[#This Row],[Pos]] ="D", 'Per 60 PK'!$H$623, 'Per 60 PK'!$H$622)/60))*Proj[[#This Row],[TOI PK]]*Proj[[#This Row],[GP]],0)</f>
        <v>0</v>
      </c>
      <c r="U4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4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86</v>
      </c>
      <c r="W4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4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58</v>
      </c>
      <c r="AA4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-542.50442389888451</v>
      </c>
      <c r="AB494" s="10">
        <f>_xlfn.RANK.EQ(Proj[[#This Row],[VOR]],Proj[VOR])</f>
        <v>448</v>
      </c>
      <c r="AC494" s="10">
        <f>INDEX(Std[],MATCH(Proj[[#This Row],[Player]],Std[Player],0),20)</f>
        <v>-435.13965617942</v>
      </c>
      <c r="AD4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208.75</v>
      </c>
    </row>
    <row r="495" spans="1:30" x14ac:dyDescent="0.25">
      <c r="A495" t="s">
        <v>765</v>
      </c>
      <c r="B495">
        <v>25</v>
      </c>
      <c r="C495" t="s">
        <v>103</v>
      </c>
      <c r="D495" t="s">
        <v>25</v>
      </c>
      <c r="E495" s="9">
        <f>INDEX(Table1[],MATCH(Proj[[#This Row],[Player]],Table1[Player],0),5)</f>
        <v>9.9932865460138505</v>
      </c>
      <c r="F495" s="9">
        <f>_xlfn.IFNA(INDEX(Table2[],MATCH(Proj[[#This Row],[Player]],Table2[Player],0),5),0)</f>
        <v>1.45</v>
      </c>
      <c r="G495" s="9">
        <f>_xlfn.IFNA(INDEX(Table3[],MATCH(Proj[[#This Row],[Player]],Table3[Player],0),5),0)</f>
        <v>0</v>
      </c>
      <c r="H495" s="10">
        <v>64</v>
      </c>
      <c r="I495">
        <v>64</v>
      </c>
      <c r="J495" s="9">
        <v>9.9932865460138505</v>
      </c>
      <c r="K495" s="9">
        <v>1.45</v>
      </c>
      <c r="L495" s="9">
        <v>0</v>
      </c>
      <c r="M495" s="9">
        <f>Proj[[#This Row],[TOI ES]]+Proj[[#This Row],[TOI PP]]+Proj[[#This Row],[TOI PK]]</f>
        <v>11.44328654601385</v>
      </c>
      <c r="N4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4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495">
        <f>Proj[[#This Row],[Goals]]+Proj[[#This Row],[Assists]]</f>
        <v>20</v>
      </c>
      <c r="Q495" s="10">
        <f>ROUND(_xlfn.IFNA(INDEX(Table2[],MATCH(Proj[[#This Row],[Player]],Table2[Player],0),11)/60,IF(Proj[[#This Row],[Pos]] = "D", 'Per 60 PP'!$K$527,'Per 60 PP'!$K$526)/60)*Proj[[#This Row],[TOI PP]]*Proj[[#This Row],[GP]],0)</f>
        <v>3</v>
      </c>
      <c r="R495" s="10">
        <f>ROUND(_xlfn.IFNA(INDEX(Table2[],MATCH(Proj[[#This Row],[Player]],Table2[Player],0),7)/60,IF(Proj[[#This Row],[Pos]] = "D", 'Per 60 PP'!$G$527,'Per 60 PP'!$G$526)/60)*Proj[[#This Row],[TOI PP]]*Proj[[#This Row],[GP]],0)</f>
        <v>2</v>
      </c>
      <c r="S495" s="10">
        <f>Proj[[#This Row],[PPG]]+Proj[[#This Row],[PPA]]</f>
        <v>5</v>
      </c>
      <c r="T495">
        <f>ROUND((_xlfn.IFNA(INDEX(Table3[],MATCH(Proj[[#This Row],[Player]],Table3[Player],0),6)/60,IF(Proj[[#This Row],[Pos]] ="D", 'Per 60 PK'!$F$623, 'Per 60 PK'!$F$622)/60)+_xlfn.IFNA(INDEX(Table3[],MATCH(Proj[[#This Row],[Player]],Table3[Player],0),8)/60,IF(Proj[[#This Row],[Pos]] ="D", 'Per 60 PK'!$H$623, 'Per 60 PK'!$H$622)/60))*Proj[[#This Row],[TOI PK]]*Proj[[#This Row],[GP]],0)</f>
        <v>0</v>
      </c>
      <c r="U4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4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4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4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4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4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4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-1021.647200425974</v>
      </c>
      <c r="AB495" s="10">
        <f>_xlfn.RANK.EQ(Proj[[#This Row],[VOR]],Proj[VOR])</f>
        <v>663</v>
      </c>
      <c r="AC495" s="10">
        <f>INDEX(Std[],MATCH(Proj[[#This Row],[Player]],Std[Player],0),20)</f>
        <v>-575.1024760357252</v>
      </c>
      <c r="AD4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195.75</v>
      </c>
    </row>
    <row r="496" spans="1:30" x14ac:dyDescent="0.25">
      <c r="A496" t="s">
        <v>363</v>
      </c>
      <c r="B496">
        <v>37</v>
      </c>
      <c r="C496" t="s">
        <v>3</v>
      </c>
      <c r="D496" t="s">
        <v>21</v>
      </c>
      <c r="E496" s="9">
        <f>INDEX(Table1[],MATCH(Proj[[#This Row],[Player]],Table1[Player],0),5)</f>
        <v>17.1769662889172</v>
      </c>
      <c r="F496" s="9">
        <f>_xlfn.IFNA(INDEX(Table2[],MATCH(Proj[[#This Row],[Player]],Table2[Player],0),5),0)</f>
        <v>0.75</v>
      </c>
      <c r="G496" s="9">
        <f>_xlfn.IFNA(INDEX(Table3[],MATCH(Proj[[#This Row],[Player]],Table3[Player],0),5),0)</f>
        <v>1.34</v>
      </c>
      <c r="H496" s="10">
        <v>72</v>
      </c>
      <c r="I496">
        <v>72</v>
      </c>
      <c r="J496" s="9">
        <v>17.1769662889172</v>
      </c>
      <c r="K496" s="9">
        <v>0.75</v>
      </c>
      <c r="L496" s="9">
        <v>1.34</v>
      </c>
      <c r="M496" s="9">
        <f>Proj[[#This Row],[TOI ES]]+Proj[[#This Row],[TOI PP]]+Proj[[#This Row],[TOI PK]]</f>
        <v>19.2669662889172</v>
      </c>
      <c r="N4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96" s="10">
        <f>Proj[[#This Row],[Goals]]+Proj[[#This Row],[Assists]]</f>
        <v>20</v>
      </c>
      <c r="Q496" s="10">
        <f>ROUND(_xlfn.IFNA(INDEX(Table2[],MATCH(Proj[[#This Row],[Player]],Table2[Player],0),11)/60,IF(Proj[[#This Row],[Pos]] = "D", 'Per 60 PP'!$K$527,'Per 60 PP'!$K$526)/60)*Proj[[#This Row],[TOI PP]]*Proj[[#This Row],[GP]],0)</f>
        <v>0</v>
      </c>
      <c r="R496" s="10">
        <f>ROUND(_xlfn.IFNA(INDEX(Table2[],MATCH(Proj[[#This Row],[Player]],Table2[Player],0),7)/60,IF(Proj[[#This Row],[Pos]] = "D", 'Per 60 PP'!$G$527,'Per 60 PP'!$G$526)/60)*Proj[[#This Row],[TOI PP]]*Proj[[#This Row],[GP]],0)</f>
        <v>3</v>
      </c>
      <c r="S496" s="10">
        <f>Proj[[#This Row],[PPG]]+Proj[[#This Row],[PPA]]</f>
        <v>3</v>
      </c>
      <c r="T496">
        <f>ROUND((_xlfn.IFNA(INDEX(Table3[],MATCH(Proj[[#This Row],[Player]],Table3[Player],0),6)/60,IF(Proj[[#This Row],[Pos]] ="D", 'Per 60 PK'!$F$623, 'Per 60 PK'!$F$622)/60)+_xlfn.IFNA(INDEX(Table3[],MATCH(Proj[[#This Row],[Player]],Table3[Player],0),8)/60,IF(Proj[[#This Row],[Pos]] ="D", 'Per 60 PK'!$H$623, 'Per 60 PK'!$H$622)/60))*Proj[[#This Row],[TOI PK]]*Proj[[#This Row],[GP]],0)</f>
        <v>0</v>
      </c>
      <c r="U4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4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209</v>
      </c>
      <c r="W4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4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4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-294.91167322640092</v>
      </c>
      <c r="AB496" s="10">
        <f>_xlfn.RANK.EQ(Proj[[#This Row],[VOR]],Proj[VOR])</f>
        <v>303</v>
      </c>
      <c r="AC496" s="10">
        <f>INDEX(Std[],MATCH(Proj[[#This Row],[Player]],Std[Player],0),20)</f>
        <v>-187.54690550693641</v>
      </c>
      <c r="AD4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293.54999999999995</v>
      </c>
    </row>
    <row r="497" spans="1:30" x14ac:dyDescent="0.25">
      <c r="A497" t="s">
        <v>549</v>
      </c>
      <c r="B497">
        <v>26</v>
      </c>
      <c r="C497" t="s">
        <v>3</v>
      </c>
      <c r="D497" t="s">
        <v>22</v>
      </c>
      <c r="E497" s="9">
        <f>INDEX(Table1[],MATCH(Proj[[#This Row],[Player]],Table1[Player],0),5)</f>
        <v>16.5</v>
      </c>
      <c r="F497" s="9">
        <f>_xlfn.IFNA(INDEX(Table2[],MATCH(Proj[[#This Row],[Player]],Table2[Player],0),5),0)</f>
        <v>0</v>
      </c>
      <c r="G497" s="9">
        <f>_xlfn.IFNA(INDEX(Table3[],MATCH(Proj[[#This Row],[Player]],Table3[Player],0),5),0)</f>
        <v>1.1200000000000001</v>
      </c>
      <c r="H497" s="10">
        <v>77</v>
      </c>
      <c r="I497">
        <v>77</v>
      </c>
      <c r="J497" s="9">
        <v>16.5</v>
      </c>
      <c r="K497" s="9">
        <v>0</v>
      </c>
      <c r="L497" s="9">
        <v>1.1200000000000001</v>
      </c>
      <c r="M497" s="9">
        <f>Proj[[#This Row],[TOI ES]]+Proj[[#This Row],[TOI PP]]+Proj[[#This Row],[TOI PK]]</f>
        <v>17.62</v>
      </c>
      <c r="N4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4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497">
        <f>Proj[[#This Row],[Goals]]+Proj[[#This Row],[Assists]]</f>
        <v>20</v>
      </c>
      <c r="Q497" s="10">
        <f>ROUND(_xlfn.IFNA(INDEX(Table2[],MATCH(Proj[[#This Row],[Player]],Table2[Player],0),11)/60,IF(Proj[[#This Row],[Pos]] = "D", 'Per 60 PP'!$K$527,'Per 60 PP'!$K$526)/60)*Proj[[#This Row],[TOI PP]]*Proj[[#This Row],[GP]],0)</f>
        <v>0</v>
      </c>
      <c r="R497" s="10">
        <f>ROUND(_xlfn.IFNA(INDEX(Table2[],MATCH(Proj[[#This Row],[Player]],Table2[Player],0),7)/60,IF(Proj[[#This Row],[Pos]] = "D", 'Per 60 PP'!$G$527,'Per 60 PP'!$G$526)/60)*Proj[[#This Row],[TOI PP]]*Proj[[#This Row],[GP]],0)</f>
        <v>0</v>
      </c>
      <c r="S497" s="10">
        <f>Proj[[#This Row],[PPG]]+Proj[[#This Row],[PPA]]</f>
        <v>0</v>
      </c>
      <c r="T497">
        <f>ROUND((_xlfn.IFNA(INDEX(Table3[],MATCH(Proj[[#This Row],[Player]],Table3[Player],0),6)/60,IF(Proj[[#This Row],[Pos]] ="D", 'Per 60 PK'!$F$623, 'Per 60 PK'!$F$622)/60)+_xlfn.IFNA(INDEX(Table3[],MATCH(Proj[[#This Row],[Player]],Table3[Player],0),8)/60,IF(Proj[[#This Row],[Pos]] ="D", 'Per 60 PK'!$H$623, 'Per 60 PK'!$H$622)/60))*Proj[[#This Row],[TOI PK]]*Proj[[#This Row],[GP]],0)</f>
        <v>1</v>
      </c>
      <c r="U4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4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124</v>
      </c>
      <c r="W4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4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4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-429.85176913175792</v>
      </c>
      <c r="AB497" s="10">
        <f>_xlfn.RANK.EQ(Proj[[#This Row],[VOR]],Proj[VOR])</f>
        <v>385</v>
      </c>
      <c r="AC497" s="10">
        <f>INDEX(Std[],MATCH(Proj[[#This Row],[Player]],Std[Player],0),20)</f>
        <v>-322.48700141229347</v>
      </c>
      <c r="AD4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248.15</v>
      </c>
    </row>
    <row r="498" spans="1:30" x14ac:dyDescent="0.25">
      <c r="A498" t="s">
        <v>762</v>
      </c>
      <c r="B498">
        <v>30</v>
      </c>
      <c r="C498" t="s">
        <v>74</v>
      </c>
      <c r="D498" t="s">
        <v>30</v>
      </c>
      <c r="E498" s="9">
        <f>INDEX(Table1[],MATCH(Proj[[#This Row],[Player]],Table1[Player],0),5)</f>
        <v>11.269681905792901</v>
      </c>
      <c r="F498" s="9">
        <f>_xlfn.IFNA(INDEX(Table2[],MATCH(Proj[[#This Row],[Player]],Table2[Player],0),5),0)</f>
        <v>0</v>
      </c>
      <c r="G498" s="9">
        <f>_xlfn.IFNA(INDEX(Table3[],MATCH(Proj[[#This Row],[Player]],Table3[Player],0),5),0)</f>
        <v>2.4900000000000002</v>
      </c>
      <c r="H498" s="10">
        <v>81</v>
      </c>
      <c r="I498">
        <v>81</v>
      </c>
      <c r="J498" s="9">
        <v>11.269681905792901</v>
      </c>
      <c r="K498" s="9">
        <v>0</v>
      </c>
      <c r="L498" s="9">
        <v>2.4900000000000002</v>
      </c>
      <c r="M498" s="9">
        <f>Proj[[#This Row],[TOI ES]]+Proj[[#This Row],[TOI PP]]+Proj[[#This Row],[TOI PK]]</f>
        <v>13.759681905792901</v>
      </c>
      <c r="N4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4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498" s="10">
        <f>Proj[[#This Row],[Goals]]+Proj[[#This Row],[Assists]]</f>
        <v>20</v>
      </c>
      <c r="Q498" s="10">
        <f>ROUND(_xlfn.IFNA(INDEX(Table2[],MATCH(Proj[[#This Row],[Player]],Table2[Player],0),11)/60,IF(Proj[[#This Row],[Pos]] = "D", 'Per 60 PP'!$K$527,'Per 60 PP'!$K$526)/60)*Proj[[#This Row],[TOI PP]]*Proj[[#This Row],[GP]],0)</f>
        <v>0</v>
      </c>
      <c r="R498" s="10">
        <f>ROUND(_xlfn.IFNA(INDEX(Table2[],MATCH(Proj[[#This Row],[Player]],Table2[Player],0),7)/60,IF(Proj[[#This Row],[Pos]] = "D", 'Per 60 PP'!$G$527,'Per 60 PP'!$G$526)/60)*Proj[[#This Row],[TOI PP]]*Proj[[#This Row],[GP]],0)</f>
        <v>0</v>
      </c>
      <c r="S498" s="10">
        <f>Proj[[#This Row],[PPG]]+Proj[[#This Row],[PPA]]</f>
        <v>0</v>
      </c>
      <c r="T498">
        <f>ROUND((_xlfn.IFNA(INDEX(Table3[],MATCH(Proj[[#This Row],[Player]],Table3[Player],0),6)/60,IF(Proj[[#This Row],[Pos]] ="D", 'Per 60 PK'!$F$623, 'Per 60 PK'!$F$622)/60)+_xlfn.IFNA(INDEX(Table3[],MATCH(Proj[[#This Row],[Player]],Table3[Player],0),8)/60,IF(Proj[[#This Row],[Pos]] ="D", 'Per 60 PK'!$H$623, 'Per 60 PK'!$H$622)/60))*Proj[[#This Row],[TOI PK]]*Proj[[#This Row],[GP]],0)</f>
        <v>1</v>
      </c>
      <c r="U4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4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4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4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486</v>
      </c>
      <c r="Y4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471</v>
      </c>
      <c r="Z4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4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-1043.2858769802172</v>
      </c>
      <c r="AB498" s="10">
        <f>_xlfn.RANK.EQ(Proj[[#This Row],[VOR]],Proj[VOR])</f>
        <v>670</v>
      </c>
      <c r="AC498" s="10">
        <f>INDEX(Std[],MATCH(Proj[[#This Row],[Player]],Std[Player],0),20)</f>
        <v>-308.65202266991855</v>
      </c>
      <c r="AD4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254.6</v>
      </c>
    </row>
    <row r="499" spans="1:30" x14ac:dyDescent="0.25">
      <c r="A499" t="s">
        <v>606</v>
      </c>
      <c r="B499">
        <v>34</v>
      </c>
      <c r="C499" t="s">
        <v>3</v>
      </c>
      <c r="D499" t="s">
        <v>15</v>
      </c>
      <c r="E499" s="9">
        <f>INDEX(Table1[],MATCH(Proj[[#This Row],[Player]],Table1[Player],0),5)</f>
        <v>16.958166389172199</v>
      </c>
      <c r="F499" s="9">
        <f>_xlfn.IFNA(INDEX(Table2[],MATCH(Proj[[#This Row],[Player]],Table2[Player],0),5),0)</f>
        <v>0</v>
      </c>
      <c r="G499" s="9">
        <f>_xlfn.IFNA(INDEX(Table3[],MATCH(Proj[[#This Row],[Player]],Table3[Player],0),5),0)</f>
        <v>2.7</v>
      </c>
      <c r="H499" s="10">
        <v>78</v>
      </c>
      <c r="I499">
        <v>78</v>
      </c>
      <c r="J499" s="9">
        <v>16.958166389172199</v>
      </c>
      <c r="K499" s="9">
        <v>0</v>
      </c>
      <c r="L499" s="9">
        <v>2.7</v>
      </c>
      <c r="M499" s="9">
        <f>Proj[[#This Row],[TOI ES]]+Proj[[#This Row],[TOI PP]]+Proj[[#This Row],[TOI PK]]</f>
        <v>19.658166389172198</v>
      </c>
      <c r="N4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4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499" s="10">
        <f>Proj[[#This Row],[Goals]]+Proj[[#This Row],[Assists]]</f>
        <v>20</v>
      </c>
      <c r="Q499" s="10">
        <f>ROUND(_xlfn.IFNA(INDEX(Table2[],MATCH(Proj[[#This Row],[Player]],Table2[Player],0),11)/60,IF(Proj[[#This Row],[Pos]] = "D", 'Per 60 PP'!$K$527,'Per 60 PP'!$K$526)/60)*Proj[[#This Row],[TOI PP]]*Proj[[#This Row],[GP]],0)</f>
        <v>0</v>
      </c>
      <c r="R499" s="10">
        <f>ROUND(_xlfn.IFNA(INDEX(Table2[],MATCH(Proj[[#This Row],[Player]],Table2[Player],0),7)/60,IF(Proj[[#This Row],[Pos]] = "D", 'Per 60 PP'!$G$527,'Per 60 PP'!$G$526)/60)*Proj[[#This Row],[TOI PP]]*Proj[[#This Row],[GP]],0)</f>
        <v>0</v>
      </c>
      <c r="S499" s="10">
        <f>Proj[[#This Row],[PPG]]+Proj[[#This Row],[PPA]]</f>
        <v>0</v>
      </c>
      <c r="T499">
        <f>ROUND((_xlfn.IFNA(INDEX(Table3[],MATCH(Proj[[#This Row],[Player]],Table3[Player],0),6)/60,IF(Proj[[#This Row],[Pos]] ="D", 'Per 60 PK'!$F$623, 'Per 60 PK'!$F$622)/60)+_xlfn.IFNA(INDEX(Table3[],MATCH(Proj[[#This Row],[Player]],Table3[Player],0),8)/60,IF(Proj[[#This Row],[Pos]] ="D", 'Per 60 PK'!$H$623, 'Per 60 PK'!$H$622)/60))*Proj[[#This Row],[TOI PK]]*Proj[[#This Row],[GP]],0)</f>
        <v>1</v>
      </c>
      <c r="U4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4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124</v>
      </c>
      <c r="W4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4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4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4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81</v>
      </c>
      <c r="AA4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-463.68440624393895</v>
      </c>
      <c r="AB499" s="10">
        <f>_xlfn.RANK.EQ(Proj[[#This Row],[VOR]],Proj[VOR])</f>
        <v>406</v>
      </c>
      <c r="AC499" s="10">
        <f>INDEX(Std[],MATCH(Proj[[#This Row],[Player]],Std[Player],0),20)</f>
        <v>-356.3196385244745</v>
      </c>
      <c r="AD4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255.84999999999997</v>
      </c>
    </row>
    <row r="500" spans="1:30" x14ac:dyDescent="0.25">
      <c r="A500" t="s">
        <v>401</v>
      </c>
      <c r="B500">
        <v>33</v>
      </c>
      <c r="C500" t="s">
        <v>3</v>
      </c>
      <c r="D500" t="s">
        <v>23</v>
      </c>
      <c r="E500" s="9">
        <f>INDEX(Table1[],MATCH(Proj[[#This Row],[Player]],Table1[Player],0),5)</f>
        <v>16.929937081633899</v>
      </c>
      <c r="F500" s="9">
        <f>_xlfn.IFNA(INDEX(Table2[],MATCH(Proj[[#This Row],[Player]],Table2[Player],0),5),0)</f>
        <v>0</v>
      </c>
      <c r="G500" s="9">
        <f>_xlfn.IFNA(INDEX(Table3[],MATCH(Proj[[#This Row],[Player]],Table3[Player],0),5),0)</f>
        <v>2.78</v>
      </c>
      <c r="H500" s="10">
        <v>80</v>
      </c>
      <c r="I500">
        <v>80</v>
      </c>
      <c r="J500" s="9">
        <v>16.929937081633899</v>
      </c>
      <c r="K500" s="9">
        <v>0</v>
      </c>
      <c r="L500" s="9">
        <v>2.78</v>
      </c>
      <c r="M500" s="9">
        <f>Proj[[#This Row],[TOI ES]]+Proj[[#This Row],[TOI PP]]+Proj[[#This Row],[TOI PK]]</f>
        <v>19.7099370816339</v>
      </c>
      <c r="N5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500">
        <f>Proj[[#This Row],[Goals]]+Proj[[#This Row],[Assists]]</f>
        <v>20</v>
      </c>
      <c r="Q500" s="10">
        <f>ROUND(_xlfn.IFNA(INDEX(Table2[],MATCH(Proj[[#This Row],[Player]],Table2[Player],0),11)/60,IF(Proj[[#This Row],[Pos]] = "D", 'Per 60 PP'!$K$527,'Per 60 PP'!$K$526)/60)*Proj[[#This Row],[TOI PP]]*Proj[[#This Row],[GP]],0)</f>
        <v>0</v>
      </c>
      <c r="R500" s="10">
        <f>ROUND(_xlfn.IFNA(INDEX(Table2[],MATCH(Proj[[#This Row],[Player]],Table2[Player],0),7)/60,IF(Proj[[#This Row],[Pos]] = "D", 'Per 60 PP'!$G$527,'Per 60 PP'!$G$526)/60)*Proj[[#This Row],[TOI PP]]*Proj[[#This Row],[GP]],0)</f>
        <v>0</v>
      </c>
      <c r="S500" s="10">
        <f>Proj[[#This Row],[PPG]]+Proj[[#This Row],[PPA]]</f>
        <v>0</v>
      </c>
      <c r="T500">
        <f>ROUND((_xlfn.IFNA(INDEX(Table3[],MATCH(Proj[[#This Row],[Player]],Table3[Player],0),6)/60,IF(Proj[[#This Row],[Pos]] ="D", 'Per 60 PK'!$F$623, 'Per 60 PK'!$F$622)/60)+_xlfn.IFNA(INDEX(Table3[],MATCH(Proj[[#This Row],[Player]],Table3[Player],0),8)/60,IF(Proj[[#This Row],[Pos]] ="D", 'Per 60 PK'!$H$623, 'Per 60 PK'!$H$622)/60))*Proj[[#This Row],[TOI PK]]*Proj[[#This Row],[GP]],0)</f>
        <v>1</v>
      </c>
      <c r="U5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96</v>
      </c>
      <c r="V5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157</v>
      </c>
      <c r="W5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65</v>
      </c>
      <c r="X5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100</v>
      </c>
      <c r="AA5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-93.711237196060139</v>
      </c>
      <c r="AB500" s="10">
        <f>_xlfn.RANK.EQ(Proj[[#This Row],[VOR]],Proj[VOR])</f>
        <v>198</v>
      </c>
      <c r="AC500" s="10">
        <f>INDEX(Std[],MATCH(Proj[[#This Row],[Player]],Std[Player],0),20)</f>
        <v>13.653530523404346</v>
      </c>
      <c r="AD5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317.8</v>
      </c>
    </row>
    <row r="501" spans="1:30" x14ac:dyDescent="0.25">
      <c r="A501" t="s">
        <v>829</v>
      </c>
      <c r="B501">
        <v>26</v>
      </c>
      <c r="C501" t="s">
        <v>102</v>
      </c>
      <c r="D501" t="s">
        <v>15</v>
      </c>
      <c r="E501" s="9">
        <f>INDEX(Table1[],MATCH(Proj[[#This Row],[Player]],Table1[Player],0),5)</f>
        <v>10.3353426676825</v>
      </c>
      <c r="F501" s="9">
        <f>_xlfn.IFNA(INDEX(Table2[],MATCH(Proj[[#This Row],[Player]],Table2[Player],0),5),0)</f>
        <v>1.34</v>
      </c>
      <c r="G501" s="9">
        <f>_xlfn.IFNA(INDEX(Table3[],MATCH(Proj[[#This Row],[Player]],Table3[Player],0),5),0)</f>
        <v>1.06</v>
      </c>
      <c r="H501" s="10">
        <v>68</v>
      </c>
      <c r="I501">
        <v>68</v>
      </c>
      <c r="J501" s="9">
        <v>10.3353426676825</v>
      </c>
      <c r="K501" s="9">
        <v>1.34</v>
      </c>
      <c r="L501" s="9">
        <v>1.06</v>
      </c>
      <c r="M501" s="9">
        <f>Proj[[#This Row],[TOI ES]]+Proj[[#This Row],[TOI PP]]+Proj[[#This Row],[TOI PK]]</f>
        <v>12.735342667682501</v>
      </c>
      <c r="N5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5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01" s="10">
        <f>Proj[[#This Row],[Goals]]+Proj[[#This Row],[Assists]]</f>
        <v>20</v>
      </c>
      <c r="Q501" s="10">
        <f>ROUND(_xlfn.IFNA(INDEX(Table2[],MATCH(Proj[[#This Row],[Player]],Table2[Player],0),11)/60,IF(Proj[[#This Row],[Pos]] = "D", 'Per 60 PP'!$K$527,'Per 60 PP'!$K$526)/60)*Proj[[#This Row],[TOI PP]]*Proj[[#This Row],[GP]],0)</f>
        <v>4</v>
      </c>
      <c r="R501" s="10">
        <f>ROUND(_xlfn.IFNA(INDEX(Table2[],MATCH(Proj[[#This Row],[Player]],Table2[Player],0),7)/60,IF(Proj[[#This Row],[Pos]] = "D", 'Per 60 PP'!$G$527,'Per 60 PP'!$G$526)/60)*Proj[[#This Row],[TOI PP]]*Proj[[#This Row],[GP]],0)</f>
        <v>2</v>
      </c>
      <c r="S501" s="10">
        <f>Proj[[#This Row],[PPG]]+Proj[[#This Row],[PPA]]</f>
        <v>6</v>
      </c>
      <c r="T501">
        <f>ROUND((_xlfn.IFNA(INDEX(Table3[],MATCH(Proj[[#This Row],[Player]],Table3[Player],0),6)/60,IF(Proj[[#This Row],[Pos]] ="D", 'Per 60 PK'!$F$623, 'Per 60 PK'!$F$622)/60)+_xlfn.IFNA(INDEX(Table3[],MATCH(Proj[[#This Row],[Player]],Table3[Player],0),8)/60,IF(Proj[[#This Row],[Pos]] ="D", 'Per 60 PK'!$H$623, 'Per 60 PK'!$H$622)/60))*Proj[[#This Row],[TOI PK]]*Proj[[#This Row],[GP]],0)</f>
        <v>1</v>
      </c>
      <c r="U5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98</v>
      </c>
      <c r="V5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5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5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v>
      </c>
      <c r="Y5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34</v>
      </c>
      <c r="Z5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5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-813.05094045031933</v>
      </c>
      <c r="AB501" s="10">
        <f>_xlfn.RANK.EQ(Proj[[#This Row],[VOR]],Proj[VOR])</f>
        <v>599</v>
      </c>
      <c r="AC501" s="10">
        <f>INDEX(Std[],MATCH(Proj[[#This Row],[Player]],Std[Player],0),20)</f>
        <v>-341.50621606007053</v>
      </c>
      <c r="AD5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242.70000000000002</v>
      </c>
    </row>
    <row r="502" spans="1:30" x14ac:dyDescent="0.25">
      <c r="A502" t="s">
        <v>861</v>
      </c>
      <c r="B502">
        <v>21</v>
      </c>
      <c r="C502" t="s">
        <v>3</v>
      </c>
      <c r="D502" t="s">
        <v>2</v>
      </c>
      <c r="E502" s="9">
        <f>INDEX(Table1[],MATCH(Proj[[#This Row],[Player]],Table1[Player],0),5)</f>
        <v>18.25</v>
      </c>
      <c r="F502" s="9">
        <f>_xlfn.IFNA(INDEX(Table2[],MATCH(Proj[[#This Row],[Player]],Table2[Player],0),5),0)</f>
        <v>0</v>
      </c>
      <c r="G502" s="9">
        <f>_xlfn.IFNA(INDEX(Table3[],MATCH(Proj[[#This Row],[Player]],Table3[Player],0),5),0)</f>
        <v>1.27</v>
      </c>
      <c r="H502" s="10">
        <v>74</v>
      </c>
      <c r="I502">
        <v>74</v>
      </c>
      <c r="J502" s="9">
        <v>18.25</v>
      </c>
      <c r="K502" s="9">
        <v>0</v>
      </c>
      <c r="L502" s="9">
        <v>1.27</v>
      </c>
      <c r="M502" s="9">
        <f>Proj[[#This Row],[TOI ES]]+Proj[[#This Row],[TOI PP]]+Proj[[#This Row],[TOI PK]]</f>
        <v>19.52</v>
      </c>
      <c r="N5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02">
        <f>Proj[[#This Row],[Goals]]+Proj[[#This Row],[Assists]]</f>
        <v>20</v>
      </c>
      <c r="Q502" s="10">
        <f>ROUND(_xlfn.IFNA(INDEX(Table2[],MATCH(Proj[[#This Row],[Player]],Table2[Player],0),11)/60,IF(Proj[[#This Row],[Pos]] = "D", 'Per 60 PP'!$K$527,'Per 60 PP'!$K$526)/60)*Proj[[#This Row],[TOI PP]]*Proj[[#This Row],[GP]],0)</f>
        <v>0</v>
      </c>
      <c r="R502" s="10">
        <f>ROUND(_xlfn.IFNA(INDEX(Table2[],MATCH(Proj[[#This Row],[Player]],Table2[Player],0),7)/60,IF(Proj[[#This Row],[Pos]] = "D", 'Per 60 PP'!$G$527,'Per 60 PP'!$G$526)/60)*Proj[[#This Row],[TOI PP]]*Proj[[#This Row],[GP]],0)</f>
        <v>0</v>
      </c>
      <c r="S502" s="10">
        <f>Proj[[#This Row],[PPG]]+Proj[[#This Row],[PPA]]</f>
        <v>0</v>
      </c>
      <c r="T502">
        <f>ROUND((_xlfn.IFNA(INDEX(Table3[],MATCH(Proj[[#This Row],[Player]],Table3[Player],0),6)/60,IF(Proj[[#This Row],[Pos]] ="D", 'Per 60 PK'!$F$623, 'Per 60 PK'!$F$622)/60)+_xlfn.IFNA(INDEX(Table3[],MATCH(Proj[[#This Row],[Player]],Table3[Player],0),8)/60,IF(Proj[[#This Row],[Pos]] ="D", 'Per 60 PK'!$H$623, 'Per 60 PK'!$H$622)/60))*Proj[[#This Row],[TOI PK]]*Proj[[#This Row],[GP]],0)</f>
        <v>1</v>
      </c>
      <c r="U5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114</v>
      </c>
      <c r="V5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115</v>
      </c>
      <c r="W5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56</v>
      </c>
      <c r="X5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5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-227.94749177869187</v>
      </c>
      <c r="AB502" s="10">
        <f>_xlfn.RANK.EQ(Proj[[#This Row],[VOR]],Proj[VOR])</f>
        <v>267</v>
      </c>
      <c r="AC502" s="10">
        <f>INDEX(Std[],MATCH(Proj[[#This Row],[Player]],Std[Player],0),20)</f>
        <v>-120.58272405922739</v>
      </c>
      <c r="AD5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291.79999999999995</v>
      </c>
    </row>
    <row r="503" spans="1:30" x14ac:dyDescent="0.25">
      <c r="A503" t="s">
        <v>708</v>
      </c>
      <c r="B503">
        <v>33</v>
      </c>
      <c r="C503" t="s">
        <v>74</v>
      </c>
      <c r="D503" t="s">
        <v>20</v>
      </c>
      <c r="E503" s="9">
        <f>INDEX(Table1[],MATCH(Proj[[#This Row],[Player]],Table1[Player],0),5)</f>
        <v>11.9014525658616</v>
      </c>
      <c r="F503" s="9">
        <f>_xlfn.IFNA(INDEX(Table2[],MATCH(Proj[[#This Row],[Player]],Table2[Player],0),5),0)</f>
        <v>0</v>
      </c>
      <c r="G503" s="9">
        <f>_xlfn.IFNA(INDEX(Table3[],MATCH(Proj[[#This Row],[Player]],Table3[Player],0),5),0)</f>
        <v>1.86</v>
      </c>
      <c r="H503" s="10">
        <v>75</v>
      </c>
      <c r="I503">
        <v>75</v>
      </c>
      <c r="J503" s="9">
        <v>11.9014525658616</v>
      </c>
      <c r="K503" s="9">
        <v>0</v>
      </c>
      <c r="L503" s="9">
        <v>1.86</v>
      </c>
      <c r="M503" s="9">
        <f>Proj[[#This Row],[TOI ES]]+Proj[[#This Row],[TOI PP]]+Proj[[#This Row],[TOI PK]]</f>
        <v>13.7614525658616</v>
      </c>
      <c r="N5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03" s="10">
        <f>Proj[[#This Row],[Goals]]+Proj[[#This Row],[Assists]]</f>
        <v>20</v>
      </c>
      <c r="Q503" s="10">
        <f>ROUND(_xlfn.IFNA(INDEX(Table2[],MATCH(Proj[[#This Row],[Player]],Table2[Player],0),11)/60,IF(Proj[[#This Row],[Pos]] = "D", 'Per 60 PP'!$K$527,'Per 60 PP'!$K$526)/60)*Proj[[#This Row],[TOI PP]]*Proj[[#This Row],[GP]],0)</f>
        <v>0</v>
      </c>
      <c r="R503" s="10">
        <f>ROUND(_xlfn.IFNA(INDEX(Table2[],MATCH(Proj[[#This Row],[Player]],Table2[Player],0),7)/60,IF(Proj[[#This Row],[Pos]] = "D", 'Per 60 PP'!$G$527,'Per 60 PP'!$G$526)/60)*Proj[[#This Row],[TOI PP]]*Proj[[#This Row],[GP]],0)</f>
        <v>0</v>
      </c>
      <c r="S503" s="10">
        <f>Proj[[#This Row],[PPG]]+Proj[[#This Row],[PPA]]</f>
        <v>0</v>
      </c>
      <c r="T503">
        <f>ROUND((_xlfn.IFNA(INDEX(Table3[],MATCH(Proj[[#This Row],[Player]],Table3[Player],0),6)/60,IF(Proj[[#This Row],[Pos]] ="D", 'Per 60 PK'!$F$623, 'Per 60 PK'!$F$622)/60)+_xlfn.IFNA(INDEX(Table3[],MATCH(Proj[[#This Row],[Player]],Table3[Player],0),8)/60,IF(Proj[[#This Row],[Pos]] ="D", 'Per 60 PK'!$H$623, 'Per 60 PK'!$H$622)/60))*Proj[[#This Row],[TOI PK]]*Proj[[#This Row],[GP]],0)</f>
        <v>2</v>
      </c>
      <c r="U5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130</v>
      </c>
      <c r="V5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64</v>
      </c>
      <c r="W5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5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384</v>
      </c>
      <c r="Y5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338</v>
      </c>
      <c r="Z5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88</v>
      </c>
      <c r="AA5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-781.91549885345148</v>
      </c>
      <c r="AB503" s="10">
        <f>_xlfn.RANK.EQ(Proj[[#This Row],[VOR]],Proj[VOR])</f>
        <v>575</v>
      </c>
      <c r="AC503" s="10">
        <f>INDEX(Std[],MATCH(Proj[[#This Row],[Player]],Std[Player],0),20)</f>
        <v>-47.281644543152844</v>
      </c>
      <c r="AD5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311.44999999999993</v>
      </c>
    </row>
    <row r="504" spans="1:30" x14ac:dyDescent="0.25">
      <c r="A504" t="s">
        <v>420</v>
      </c>
      <c r="B504">
        <v>31</v>
      </c>
      <c r="C504" t="s">
        <v>74</v>
      </c>
      <c r="D504" t="s">
        <v>154</v>
      </c>
      <c r="E504" s="9">
        <f>INDEX(Table1[],MATCH(Proj[[#This Row],[Player]],Table1[Player],0),5)</f>
        <v>11.0172308799545</v>
      </c>
      <c r="F504" s="9">
        <f>_xlfn.IFNA(INDEX(Table2[],MATCH(Proj[[#This Row],[Player]],Table2[Player],0),5),0)</f>
        <v>0</v>
      </c>
      <c r="G504" s="9">
        <f>_xlfn.IFNA(INDEX(Table3[],MATCH(Proj[[#This Row],[Player]],Table3[Player],0),5),0)</f>
        <v>1.88</v>
      </c>
      <c r="H504" s="10">
        <v>80</v>
      </c>
      <c r="I504">
        <v>80</v>
      </c>
      <c r="J504" s="9">
        <v>11.0172308799545</v>
      </c>
      <c r="K504" s="9">
        <v>0</v>
      </c>
      <c r="L504" s="9">
        <v>1.88</v>
      </c>
      <c r="M504" s="9">
        <f>Proj[[#This Row],[TOI ES]]+Proj[[#This Row],[TOI PP]]+Proj[[#This Row],[TOI PK]]</f>
        <v>12.897230879954499</v>
      </c>
      <c r="N5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04">
        <f>Proj[[#This Row],[Goals]]+Proj[[#This Row],[Assists]]</f>
        <v>20</v>
      </c>
      <c r="Q504" s="10">
        <f>ROUND(_xlfn.IFNA(INDEX(Table2[],MATCH(Proj[[#This Row],[Player]],Table2[Player],0),11)/60,IF(Proj[[#This Row],[Pos]] = "D", 'Per 60 PP'!$K$527,'Per 60 PP'!$K$526)/60)*Proj[[#This Row],[TOI PP]]*Proj[[#This Row],[GP]],0)</f>
        <v>0</v>
      </c>
      <c r="R504" s="10">
        <f>ROUND(_xlfn.IFNA(INDEX(Table2[],MATCH(Proj[[#This Row],[Player]],Table2[Player],0),7)/60,IF(Proj[[#This Row],[Pos]] = "D", 'Per 60 PP'!$G$527,'Per 60 PP'!$G$526)/60)*Proj[[#This Row],[TOI PP]]*Proj[[#This Row],[GP]],0)</f>
        <v>0</v>
      </c>
      <c r="S504" s="10">
        <f>Proj[[#This Row],[PPG]]+Proj[[#This Row],[PPA]]</f>
        <v>0</v>
      </c>
      <c r="T504">
        <f>ROUND((_xlfn.IFNA(INDEX(Table3[],MATCH(Proj[[#This Row],[Player]],Table3[Player],0),6)/60,IF(Proj[[#This Row],[Pos]] ="D", 'Per 60 PK'!$F$623, 'Per 60 PK'!$F$622)/60)+_xlfn.IFNA(INDEX(Table3[],MATCH(Proj[[#This Row],[Player]],Table3[Player],0),8)/60,IF(Proj[[#This Row],[Pos]] ="D", 'Per 60 PK'!$H$623, 'Per 60 PK'!$H$622)/60))*Proj[[#This Row],[TOI PK]]*Proj[[#This Row],[GP]],0)</f>
        <v>2</v>
      </c>
      <c r="U5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137</v>
      </c>
      <c r="V5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72</v>
      </c>
      <c r="W5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61</v>
      </c>
      <c r="X5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318</v>
      </c>
      <c r="Y5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287</v>
      </c>
      <c r="Z5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68</v>
      </c>
      <c r="AA5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-730.5364188845906</v>
      </c>
      <c r="AB504" s="10">
        <f>_xlfn.RANK.EQ(Proj[[#This Row],[VOR]],Proj[VOR])</f>
        <v>545</v>
      </c>
      <c r="AC504" s="10">
        <f>INDEX(Std[],MATCH(Proj[[#This Row],[Player]],Std[Player],0),20)</f>
        <v>4.0974354257079737</v>
      </c>
      <c r="AD5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309.34999999999997</v>
      </c>
    </row>
    <row r="505" spans="1:30" x14ac:dyDescent="0.25">
      <c r="A505" t="s">
        <v>919</v>
      </c>
      <c r="B505">
        <v>32</v>
      </c>
      <c r="C505" t="s">
        <v>74</v>
      </c>
      <c r="D505" t="s">
        <v>10</v>
      </c>
      <c r="E505" s="9">
        <f>INDEX(Table1[],MATCH(Proj[[#This Row],[Player]],Table1[Player],0),5)</f>
        <v>9.51669011612411</v>
      </c>
      <c r="F505" s="9">
        <f>_xlfn.IFNA(INDEX(Table2[],MATCH(Proj[[#This Row],[Player]],Table2[Player],0),5),0)</f>
        <v>1.02</v>
      </c>
      <c r="G505" s="9">
        <f>_xlfn.IFNA(INDEX(Table3[],MATCH(Proj[[#This Row],[Player]],Table3[Player],0),5),0)</f>
        <v>1.9</v>
      </c>
      <c r="H505" s="10">
        <v>77</v>
      </c>
      <c r="I505">
        <v>77</v>
      </c>
      <c r="J505" s="9">
        <v>9.51669011612411</v>
      </c>
      <c r="K505" s="9">
        <v>1.02</v>
      </c>
      <c r="L505" s="9">
        <v>1.9</v>
      </c>
      <c r="M505" s="9">
        <f>Proj[[#This Row],[TOI ES]]+Proj[[#This Row],[TOI PP]]+Proj[[#This Row],[TOI PK]]</f>
        <v>12.43669011612411</v>
      </c>
      <c r="N5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5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05">
        <f>Proj[[#This Row],[Goals]]+Proj[[#This Row],[Assists]]</f>
        <v>20</v>
      </c>
      <c r="Q505" s="10">
        <f>ROUND(_xlfn.IFNA(INDEX(Table2[],MATCH(Proj[[#This Row],[Player]],Table2[Player],0),11)/60,IF(Proj[[#This Row],[Pos]] = "D", 'Per 60 PP'!$K$527,'Per 60 PP'!$K$526)/60)*Proj[[#This Row],[TOI PP]]*Proj[[#This Row],[GP]],0)</f>
        <v>2</v>
      </c>
      <c r="R505" s="10">
        <f>ROUND(_xlfn.IFNA(INDEX(Table2[],MATCH(Proj[[#This Row],[Player]],Table2[Player],0),7)/60,IF(Proj[[#This Row],[Pos]] = "D", 'Per 60 PP'!$G$527,'Per 60 PP'!$G$526)/60)*Proj[[#This Row],[TOI PP]]*Proj[[#This Row],[GP]],0)</f>
        <v>2</v>
      </c>
      <c r="S505" s="10">
        <f>Proj[[#This Row],[PPG]]+Proj[[#This Row],[PPA]]</f>
        <v>4</v>
      </c>
      <c r="T505">
        <f>ROUND((_xlfn.IFNA(INDEX(Table3[],MATCH(Proj[[#This Row],[Player]],Table3[Player],0),6)/60,IF(Proj[[#This Row],[Pos]] ="D", 'Per 60 PK'!$F$623, 'Per 60 PK'!$F$622)/60)+_xlfn.IFNA(INDEX(Table3[],MATCH(Proj[[#This Row],[Player]],Table3[Player],0),8)/60,IF(Proj[[#This Row],[Pos]] ="D", 'Per 60 PK'!$H$623, 'Per 60 PK'!$H$622)/60))*Proj[[#This Row],[TOI PK]]*Proj[[#This Row],[GP]],0)</f>
        <v>1</v>
      </c>
      <c r="U5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138</v>
      </c>
      <c r="V5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5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107</v>
      </c>
      <c r="X5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363</v>
      </c>
      <c r="Y5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334</v>
      </c>
      <c r="Z5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94</v>
      </c>
      <c r="AA5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-479.11076532641658</v>
      </c>
      <c r="AB505" s="10">
        <f>_xlfn.RANK.EQ(Proj[[#This Row],[VOR]],Proj[VOR])</f>
        <v>411</v>
      </c>
      <c r="AC505" s="10">
        <f>INDEX(Std[],MATCH(Proj[[#This Row],[Player]],Std[Player],0),20)</f>
        <v>255.52308898388202</v>
      </c>
      <c r="AD5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332</v>
      </c>
    </row>
    <row r="506" spans="1:30" x14ac:dyDescent="0.25">
      <c r="A506" t="s">
        <v>867</v>
      </c>
      <c r="B506">
        <v>25</v>
      </c>
      <c r="C506" t="s">
        <v>3</v>
      </c>
      <c r="D506" t="s">
        <v>20</v>
      </c>
      <c r="E506" s="9">
        <f>INDEX(Table1[],MATCH(Proj[[#This Row],[Player]],Table1[Player],0),5)</f>
        <v>18.563320313602301</v>
      </c>
      <c r="F506" s="9">
        <f>_xlfn.IFNA(INDEX(Table2[],MATCH(Proj[[#This Row],[Player]],Table2[Player],0),5),0)</f>
        <v>0</v>
      </c>
      <c r="G506" s="9">
        <f>_xlfn.IFNA(INDEX(Table3[],MATCH(Proj[[#This Row],[Player]],Table3[Player],0),5),0)</f>
        <v>2.04</v>
      </c>
      <c r="H506" s="10">
        <v>79</v>
      </c>
      <c r="I506">
        <v>79</v>
      </c>
      <c r="J506" s="9">
        <v>18.563320313602301</v>
      </c>
      <c r="K506" s="9">
        <v>0</v>
      </c>
      <c r="L506" s="9">
        <v>2.04</v>
      </c>
      <c r="M506" s="9">
        <f>Proj[[#This Row],[TOI ES]]+Proj[[#This Row],[TOI PP]]+Proj[[#This Row],[TOI PK]]</f>
        <v>20.6033203136023</v>
      </c>
      <c r="N5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506" s="10">
        <f>Proj[[#This Row],[Goals]]+Proj[[#This Row],[Assists]]</f>
        <v>20</v>
      </c>
      <c r="Q506" s="10">
        <f>ROUND(_xlfn.IFNA(INDEX(Table2[],MATCH(Proj[[#This Row],[Player]],Table2[Player],0),11)/60,IF(Proj[[#This Row],[Pos]] = "D", 'Per 60 PP'!$K$527,'Per 60 PP'!$K$526)/60)*Proj[[#This Row],[TOI PP]]*Proj[[#This Row],[GP]],0)</f>
        <v>0</v>
      </c>
      <c r="R506" s="10">
        <f>ROUND(_xlfn.IFNA(INDEX(Table2[],MATCH(Proj[[#This Row],[Player]],Table2[Player],0),7)/60,IF(Proj[[#This Row],[Pos]] = "D", 'Per 60 PP'!$G$527,'Per 60 PP'!$G$526)/60)*Proj[[#This Row],[TOI PP]]*Proj[[#This Row],[GP]],0)</f>
        <v>0</v>
      </c>
      <c r="S506" s="10">
        <f>Proj[[#This Row],[PPG]]+Proj[[#This Row],[PPA]]</f>
        <v>0</v>
      </c>
      <c r="T506">
        <f>ROUND((_xlfn.IFNA(INDEX(Table3[],MATCH(Proj[[#This Row],[Player]],Table3[Player],0),6)/60,IF(Proj[[#This Row],[Pos]] ="D", 'Per 60 PK'!$F$623, 'Per 60 PK'!$F$622)/60)+_xlfn.IFNA(INDEX(Table3[],MATCH(Proj[[#This Row],[Player]],Table3[Player],0),8)/60,IF(Proj[[#This Row],[Pos]] ="D", 'Per 60 PK'!$H$623, 'Per 60 PK'!$H$622)/60))*Proj[[#This Row],[TOI PK]]*Proj[[#This Row],[GP]],0)</f>
        <v>0</v>
      </c>
      <c r="U5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156</v>
      </c>
      <c r="V5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160</v>
      </c>
      <c r="W5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5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108</v>
      </c>
      <c r="AA5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-69.188539212778963</v>
      </c>
      <c r="AB506" s="10">
        <f>_xlfn.RANK.EQ(Proj[[#This Row],[VOR]],Proj[VOR])</f>
        <v>189</v>
      </c>
      <c r="AC506" s="10">
        <f>INDEX(Std[],MATCH(Proj[[#This Row],[Player]],Std[Player],0),20)</f>
        <v>38.176228506685518</v>
      </c>
      <c r="AD5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350</v>
      </c>
    </row>
    <row r="507" spans="1:30" x14ac:dyDescent="0.25">
      <c r="A507" t="s">
        <v>1206</v>
      </c>
      <c r="B507">
        <v>24</v>
      </c>
      <c r="C507" t="s">
        <v>3</v>
      </c>
      <c r="D507" t="s">
        <v>16</v>
      </c>
      <c r="E507" s="9">
        <f>INDEX(Table1[],MATCH(Proj[[#This Row],[Player]],Table1[Player],0),5)</f>
        <v>17.5</v>
      </c>
      <c r="F507" s="9">
        <f>_xlfn.IFNA(INDEX(Table2[],MATCH(Proj[[#This Row],[Player]],Table2[Player],0),5),0)</f>
        <v>0</v>
      </c>
      <c r="G507" s="9">
        <f>_xlfn.IFNA(INDEX(Table3[],MATCH(Proj[[#This Row],[Player]],Table3[Player],0),5),0)</f>
        <v>1.17</v>
      </c>
      <c r="H507" s="10">
        <v>76</v>
      </c>
      <c r="I507">
        <v>76</v>
      </c>
      <c r="J507" s="9">
        <v>17.5</v>
      </c>
      <c r="K507" s="9">
        <v>0</v>
      </c>
      <c r="L507" s="9">
        <v>1.17</v>
      </c>
      <c r="M507" s="9">
        <f>Proj[[#This Row],[TOI ES]]+Proj[[#This Row],[TOI PP]]+Proj[[#This Row],[TOI PK]]</f>
        <v>18.670000000000002</v>
      </c>
      <c r="N5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507" s="10">
        <f>Proj[[#This Row],[Goals]]+Proj[[#This Row],[Assists]]</f>
        <v>20</v>
      </c>
      <c r="Q507" s="10">
        <f>ROUND(_xlfn.IFNA(INDEX(Table2[],MATCH(Proj[[#This Row],[Player]],Table2[Player],0),11)/60,IF(Proj[[#This Row],[Pos]] = "D", 'Per 60 PP'!$K$527,'Per 60 PP'!$K$526)/60)*Proj[[#This Row],[TOI PP]]*Proj[[#This Row],[GP]],0)</f>
        <v>0</v>
      </c>
      <c r="R507" s="10">
        <f>ROUND(_xlfn.IFNA(INDEX(Table2[],MATCH(Proj[[#This Row],[Player]],Table2[Player],0),7)/60,IF(Proj[[#This Row],[Pos]] = "D", 'Per 60 PP'!$G$527,'Per 60 PP'!$G$526)/60)*Proj[[#This Row],[TOI PP]]*Proj[[#This Row],[GP]],0)</f>
        <v>0</v>
      </c>
      <c r="S507" s="10">
        <f>Proj[[#This Row],[PPG]]+Proj[[#This Row],[PPA]]</f>
        <v>0</v>
      </c>
      <c r="T507">
        <f>ROUND((_xlfn.IFNA(INDEX(Table3[],MATCH(Proj[[#This Row],[Player]],Table3[Player],0),6)/60,IF(Proj[[#This Row],[Pos]] ="D", 'Per 60 PK'!$F$623, 'Per 60 PK'!$F$622)/60)+_xlfn.IFNA(INDEX(Table3[],MATCH(Proj[[#This Row],[Player]],Table3[Player],0),8)/60,IF(Proj[[#This Row],[Pos]] ="D", 'Per 60 PK'!$H$623, 'Per 60 PK'!$H$622)/60))*Proj[[#This Row],[TOI PK]]*Proj[[#This Row],[GP]],0)</f>
        <v>1</v>
      </c>
      <c r="U5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161</v>
      </c>
      <c r="V5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118</v>
      </c>
      <c r="W5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5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5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-248.53474254182439</v>
      </c>
      <c r="AB507" s="10">
        <f>_xlfn.RANK.EQ(Proj[[#This Row],[VOR]],Proj[VOR])</f>
        <v>277</v>
      </c>
      <c r="AC507" s="10">
        <f>INDEX(Std[],MATCH(Proj[[#This Row],[Player]],Std[Player],0),20)</f>
        <v>-141.1699748223599</v>
      </c>
      <c r="AD5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312</v>
      </c>
    </row>
    <row r="508" spans="1:30" x14ac:dyDescent="0.25">
      <c r="A508" t="s">
        <v>525</v>
      </c>
      <c r="B508">
        <v>27</v>
      </c>
      <c r="C508" t="s">
        <v>103</v>
      </c>
      <c r="D508" t="s">
        <v>156</v>
      </c>
      <c r="E508" s="9">
        <f>INDEX(Table1[],MATCH(Proj[[#This Row],[Player]],Table1[Player],0),5)</f>
        <v>9.1066503268918098</v>
      </c>
      <c r="F508" s="9">
        <f>_xlfn.IFNA(INDEX(Table2[],MATCH(Proj[[#This Row],[Player]],Table2[Player],0),5),0)</f>
        <v>0.83</v>
      </c>
      <c r="G508" s="9">
        <f>_xlfn.IFNA(INDEX(Table3[],MATCH(Proj[[#This Row],[Player]],Table3[Player],0),5),0)</f>
        <v>0.95</v>
      </c>
      <c r="H508" s="10">
        <v>80</v>
      </c>
      <c r="I508">
        <v>80</v>
      </c>
      <c r="J508" s="9">
        <v>9.1066503268918098</v>
      </c>
      <c r="K508" s="9">
        <v>0.83</v>
      </c>
      <c r="L508" s="9">
        <v>0.95</v>
      </c>
      <c r="M508" s="9">
        <f>Proj[[#This Row],[TOI ES]]+Proj[[#This Row],[TOI PP]]+Proj[[#This Row],[TOI PK]]</f>
        <v>10.886650326891809</v>
      </c>
      <c r="N5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5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08">
        <f>Proj[[#This Row],[Goals]]+Proj[[#This Row],[Assists]]</f>
        <v>20</v>
      </c>
      <c r="Q508" s="10">
        <f>ROUND(_xlfn.IFNA(INDEX(Table2[],MATCH(Proj[[#This Row],[Player]],Table2[Player],0),11)/60,IF(Proj[[#This Row],[Pos]] = "D", 'Per 60 PP'!$K$527,'Per 60 PP'!$K$526)/60)*Proj[[#This Row],[TOI PP]]*Proj[[#This Row],[GP]],0)</f>
        <v>1</v>
      </c>
      <c r="R508" s="10">
        <f>ROUND(_xlfn.IFNA(INDEX(Table2[],MATCH(Proj[[#This Row],[Player]],Table2[Player],0),7)/60,IF(Proj[[#This Row],[Pos]] = "D", 'Per 60 PP'!$G$527,'Per 60 PP'!$G$526)/60)*Proj[[#This Row],[TOI PP]]*Proj[[#This Row],[GP]],0)</f>
        <v>0</v>
      </c>
      <c r="S508" s="10">
        <f>Proj[[#This Row],[PPG]]+Proj[[#This Row],[PPA]]</f>
        <v>1</v>
      </c>
      <c r="T508">
        <f>ROUND((_xlfn.IFNA(INDEX(Table3[],MATCH(Proj[[#This Row],[Player]],Table3[Player],0),6)/60,IF(Proj[[#This Row],[Pos]] ="D", 'Per 60 PK'!$F$623, 'Per 60 PK'!$F$622)/60)+_xlfn.IFNA(INDEX(Table3[],MATCH(Proj[[#This Row],[Player]],Table3[Player],0),8)/60,IF(Proj[[#This Row],[Pos]] ="D", 'Per 60 PK'!$H$623, 'Per 60 PK'!$H$622)/60))*Proj[[#This Row],[TOI PK]]*Proj[[#This Row],[GP]],0)</f>
        <v>1</v>
      </c>
      <c r="U5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176</v>
      </c>
      <c r="V5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5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5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v>
      </c>
      <c r="Y5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v>
      </c>
      <c r="Z5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91</v>
      </c>
      <c r="AA5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-533.37558705346567</v>
      </c>
      <c r="AB508" s="10">
        <f>_xlfn.RANK.EQ(Proj[[#This Row],[VOR]],Proj[VOR])</f>
        <v>444</v>
      </c>
      <c r="AC508" s="10">
        <f>INDEX(Std[],MATCH(Proj[[#This Row],[Player]],Std[Player],0),20)</f>
        <v>-86.830862663216763</v>
      </c>
      <c r="AD5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305.75</v>
      </c>
    </row>
    <row r="509" spans="1:30" x14ac:dyDescent="0.25">
      <c r="A509" t="s">
        <v>351</v>
      </c>
      <c r="B509">
        <v>34</v>
      </c>
      <c r="C509" t="s">
        <v>3</v>
      </c>
      <c r="D509" t="s">
        <v>156</v>
      </c>
      <c r="E509" s="9">
        <f>INDEX(Table1[],MATCH(Proj[[#This Row],[Player]],Table1[Player],0),5)</f>
        <v>16.463626204297299</v>
      </c>
      <c r="F509" s="9">
        <f>_xlfn.IFNA(INDEX(Table2[],MATCH(Proj[[#This Row],[Player]],Table2[Player],0),5),0)</f>
        <v>0</v>
      </c>
      <c r="G509" s="9">
        <f>_xlfn.IFNA(INDEX(Table3[],MATCH(Proj[[#This Row],[Player]],Table3[Player],0),5),0)</f>
        <v>2.2999999999999998</v>
      </c>
      <c r="H509" s="10">
        <v>80</v>
      </c>
      <c r="I509">
        <v>80</v>
      </c>
      <c r="J509" s="9">
        <v>16.463626204297299</v>
      </c>
      <c r="K509" s="9">
        <v>0</v>
      </c>
      <c r="L509" s="9">
        <v>2.2999999999999998</v>
      </c>
      <c r="M509" s="9">
        <f>Proj[[#This Row],[TOI ES]]+Proj[[#This Row],[TOI PP]]+Proj[[#This Row],[TOI PK]]</f>
        <v>18.763626204297299</v>
      </c>
      <c r="N5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509">
        <f>Proj[[#This Row],[Goals]]+Proj[[#This Row],[Assists]]</f>
        <v>20</v>
      </c>
      <c r="Q509" s="10">
        <f>ROUND(_xlfn.IFNA(INDEX(Table2[],MATCH(Proj[[#This Row],[Player]],Table2[Player],0),11)/60,IF(Proj[[#This Row],[Pos]] = "D", 'Per 60 PP'!$K$527,'Per 60 PP'!$K$526)/60)*Proj[[#This Row],[TOI PP]]*Proj[[#This Row],[GP]],0)</f>
        <v>0</v>
      </c>
      <c r="R509" s="10">
        <f>ROUND(_xlfn.IFNA(INDEX(Table2[],MATCH(Proj[[#This Row],[Player]],Table2[Player],0),7)/60,IF(Proj[[#This Row],[Pos]] = "D", 'Per 60 PP'!$G$527,'Per 60 PP'!$G$526)/60)*Proj[[#This Row],[TOI PP]]*Proj[[#This Row],[GP]],0)</f>
        <v>0</v>
      </c>
      <c r="S509" s="10">
        <f>Proj[[#This Row],[PPG]]+Proj[[#This Row],[PPA]]</f>
        <v>0</v>
      </c>
      <c r="T509">
        <f>ROUND((_xlfn.IFNA(INDEX(Table3[],MATCH(Proj[[#This Row],[Player]],Table3[Player],0),6)/60,IF(Proj[[#This Row],[Pos]] ="D", 'Per 60 PK'!$F$623, 'Per 60 PK'!$F$622)/60)+_xlfn.IFNA(INDEX(Table3[],MATCH(Proj[[#This Row],[Player]],Table3[Player],0),8)/60,IF(Proj[[#This Row],[Pos]] ="D", 'Per 60 PK'!$H$623, 'Per 60 PK'!$H$622)/60))*Proj[[#This Row],[TOI PK]]*Proj[[#This Row],[GP]],0)</f>
        <v>0</v>
      </c>
      <c r="U5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210</v>
      </c>
      <c r="V5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119</v>
      </c>
      <c r="W5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71</v>
      </c>
      <c r="X5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80</v>
      </c>
      <c r="AA5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34.483386846486979</v>
      </c>
      <c r="AB509" s="10">
        <f>_xlfn.RANK.EQ(Proj[[#This Row],[VOR]],Proj[VOR])</f>
        <v>143</v>
      </c>
      <c r="AC509" s="10">
        <f>INDEX(Std[],MATCH(Proj[[#This Row],[Player]],Std[Player],0),20)</f>
        <v>141.84815456595146</v>
      </c>
      <c r="AD5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355.79999999999995</v>
      </c>
    </row>
    <row r="510" spans="1:30" x14ac:dyDescent="0.25">
      <c r="A510" t="s">
        <v>900</v>
      </c>
      <c r="B510">
        <v>33</v>
      </c>
      <c r="C510" t="s">
        <v>3</v>
      </c>
      <c r="D510" t="s">
        <v>29</v>
      </c>
      <c r="E510" s="9">
        <f>INDEX(Table1[],MATCH(Proj[[#This Row],[Player]],Table1[Player],0),5)</f>
        <v>16.876852344536001</v>
      </c>
      <c r="F510" s="9">
        <f>_xlfn.IFNA(INDEX(Table2[],MATCH(Proj[[#This Row],[Player]],Table2[Player],0),5),0)</f>
        <v>0</v>
      </c>
      <c r="G510" s="9">
        <f>_xlfn.IFNA(INDEX(Table3[],MATCH(Proj[[#This Row],[Player]],Table3[Player],0),5),0)</f>
        <v>1.84</v>
      </c>
      <c r="H510" s="10">
        <v>76</v>
      </c>
      <c r="I510">
        <v>76</v>
      </c>
      <c r="J510" s="9">
        <v>16.876852344536001</v>
      </c>
      <c r="K510" s="9">
        <v>0</v>
      </c>
      <c r="L510" s="9">
        <v>1.84</v>
      </c>
      <c r="M510" s="9">
        <f>Proj[[#This Row],[TOI ES]]+Proj[[#This Row],[TOI PP]]+Proj[[#This Row],[TOI PK]]</f>
        <v>18.716852344536001</v>
      </c>
      <c r="N5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510" s="10">
        <f>Proj[[#This Row],[Goals]]+Proj[[#This Row],[Assists]]</f>
        <v>19</v>
      </c>
      <c r="Q510" s="10">
        <f>ROUND(_xlfn.IFNA(INDEX(Table2[],MATCH(Proj[[#This Row],[Player]],Table2[Player],0),11)/60,IF(Proj[[#This Row],[Pos]] = "D", 'Per 60 PP'!$K$527,'Per 60 PP'!$K$526)/60)*Proj[[#This Row],[TOI PP]]*Proj[[#This Row],[GP]],0)</f>
        <v>0</v>
      </c>
      <c r="R510" s="10">
        <f>ROUND(_xlfn.IFNA(INDEX(Table2[],MATCH(Proj[[#This Row],[Player]],Table2[Player],0),7)/60,IF(Proj[[#This Row],[Pos]] = "D", 'Per 60 PP'!$G$527,'Per 60 PP'!$G$526)/60)*Proj[[#This Row],[TOI PP]]*Proj[[#This Row],[GP]],0)</f>
        <v>0</v>
      </c>
      <c r="S510" s="10">
        <f>Proj[[#This Row],[PPG]]+Proj[[#This Row],[PPA]]</f>
        <v>0</v>
      </c>
      <c r="T510">
        <f>ROUND((_xlfn.IFNA(INDEX(Table3[],MATCH(Proj[[#This Row],[Player]],Table3[Player],0),6)/60,IF(Proj[[#This Row],[Pos]] ="D", 'Per 60 PK'!$F$623, 'Per 60 PK'!$F$622)/60)+_xlfn.IFNA(INDEX(Table3[],MATCH(Proj[[#This Row],[Player]],Table3[Player],0),8)/60,IF(Proj[[#This Row],[Pos]] ="D", 'Per 60 PK'!$H$623, 'Per 60 PK'!$H$622)/60))*Proj[[#This Row],[TOI PK]]*Proj[[#This Row],[GP]],0)</f>
        <v>1</v>
      </c>
      <c r="U5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v>
      </c>
      <c r="V5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137</v>
      </c>
      <c r="W5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5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83</v>
      </c>
      <c r="AA5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-483.48798327987345</v>
      </c>
      <c r="AB510" s="10">
        <f>_xlfn.RANK.EQ(Proj[[#This Row],[VOR]],Proj[VOR])</f>
        <v>415</v>
      </c>
      <c r="AC510" s="10">
        <f>INDEX(Std[],MATCH(Proj[[#This Row],[Player]],Std[Player],0),20)</f>
        <v>-376.12321556040899</v>
      </c>
      <c r="AD5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235.2</v>
      </c>
    </row>
    <row r="511" spans="1:30" x14ac:dyDescent="0.25">
      <c r="A511" t="s">
        <v>1112</v>
      </c>
      <c r="B511">
        <v>23</v>
      </c>
      <c r="C511" t="s">
        <v>74</v>
      </c>
      <c r="D511" t="s">
        <v>155</v>
      </c>
      <c r="E511" s="9">
        <f>INDEX(Table1[],MATCH(Proj[[#This Row],[Player]],Table1[Player],0),5)</f>
        <v>10.451908727602699</v>
      </c>
      <c r="F511" s="9">
        <f>_xlfn.IFNA(INDEX(Table2[],MATCH(Proj[[#This Row],[Player]],Table2[Player],0),5),0)</f>
        <v>0</v>
      </c>
      <c r="G511" s="9">
        <f>_xlfn.IFNA(INDEX(Table3[],MATCH(Proj[[#This Row],[Player]],Table3[Player],0),5),0)</f>
        <v>0</v>
      </c>
      <c r="H511" s="10">
        <v>70</v>
      </c>
      <c r="I511">
        <v>70</v>
      </c>
      <c r="J511" s="9">
        <v>10.451908727602699</v>
      </c>
      <c r="K511" s="9">
        <v>0</v>
      </c>
      <c r="L511" s="9">
        <v>0</v>
      </c>
      <c r="M511" s="9">
        <f>Proj[[#This Row],[TOI ES]]+Proj[[#This Row],[TOI PP]]+Proj[[#This Row],[TOI PK]]</f>
        <v>10.451908727602699</v>
      </c>
      <c r="N5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11">
        <f>Proj[[#This Row],[Goals]]+Proj[[#This Row],[Assists]]</f>
        <v>19</v>
      </c>
      <c r="Q511" s="10">
        <f>ROUND(_xlfn.IFNA(INDEX(Table2[],MATCH(Proj[[#This Row],[Player]],Table2[Player],0),11)/60,IF(Proj[[#This Row],[Pos]] = "D", 'Per 60 PP'!$K$527,'Per 60 PP'!$K$526)/60)*Proj[[#This Row],[TOI PP]]*Proj[[#This Row],[GP]],0)</f>
        <v>0</v>
      </c>
      <c r="R511" s="10">
        <f>ROUND(_xlfn.IFNA(INDEX(Table2[],MATCH(Proj[[#This Row],[Player]],Table2[Player],0),7)/60,IF(Proj[[#This Row],[Pos]] = "D", 'Per 60 PP'!$G$527,'Per 60 PP'!$G$526)/60)*Proj[[#This Row],[TOI PP]]*Proj[[#This Row],[GP]],0)</f>
        <v>0</v>
      </c>
      <c r="S511" s="10">
        <f>Proj[[#This Row],[PPG]]+Proj[[#This Row],[PPA]]</f>
        <v>0</v>
      </c>
      <c r="T511">
        <f>ROUND((_xlfn.IFNA(INDEX(Table3[],MATCH(Proj[[#This Row],[Player]],Table3[Player],0),6)/60,IF(Proj[[#This Row],[Pos]] ="D", 'Per 60 PK'!$F$623, 'Per 60 PK'!$F$622)/60)+_xlfn.IFNA(INDEX(Table3[],MATCH(Proj[[#This Row],[Player]],Table3[Player],0),8)/60,IF(Proj[[#This Row],[Pos]] ="D", 'Per 60 PK'!$H$623, 'Per 60 PK'!$H$622)/60))*Proj[[#This Row],[TOI PK]]*Proj[[#This Row],[GP]],0)</f>
        <v>0</v>
      </c>
      <c r="U5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5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5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5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93</v>
      </c>
      <c r="Y5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93</v>
      </c>
      <c r="Z5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5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-1309.5239685587806</v>
      </c>
      <c r="AB511" s="10">
        <f>_xlfn.RANK.EQ(Proj[[#This Row],[VOR]],Proj[VOR])</f>
        <v>715</v>
      </c>
      <c r="AC511" s="10">
        <f>INDEX(Std[],MATCH(Proj[[#This Row],[Player]],Std[Player],0),20)</f>
        <v>-574.89011424848195</v>
      </c>
      <c r="AD5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184.4</v>
      </c>
    </row>
    <row r="512" spans="1:30" x14ac:dyDescent="0.25">
      <c r="A512" t="s">
        <v>876</v>
      </c>
      <c r="B512">
        <v>35</v>
      </c>
      <c r="C512" t="s">
        <v>3</v>
      </c>
      <c r="D512" t="s">
        <v>30</v>
      </c>
      <c r="E512" s="9">
        <f>INDEX(Table1[],MATCH(Proj[[#This Row],[Player]],Table1[Player],0),5)</f>
        <v>17.124666111717101</v>
      </c>
      <c r="F512" s="9">
        <f>_xlfn.IFNA(INDEX(Table2[],MATCH(Proj[[#This Row],[Player]],Table2[Player],0),5),0)</f>
        <v>0</v>
      </c>
      <c r="G512" s="9">
        <f>_xlfn.IFNA(INDEX(Table3[],MATCH(Proj[[#This Row],[Player]],Table3[Player],0),5),0)</f>
        <v>2.57</v>
      </c>
      <c r="H512" s="10">
        <v>76</v>
      </c>
      <c r="I512">
        <v>76</v>
      </c>
      <c r="J512" s="9">
        <v>17.124666111717101</v>
      </c>
      <c r="K512" s="9">
        <v>0</v>
      </c>
      <c r="L512" s="9">
        <v>2.57</v>
      </c>
      <c r="M512" s="9">
        <f>Proj[[#This Row],[TOI ES]]+Proj[[#This Row],[TOI PP]]+Proj[[#This Row],[TOI PK]]</f>
        <v>19.694666111717101</v>
      </c>
      <c r="N5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5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17</v>
      </c>
      <c r="P512" s="10">
        <f>Proj[[#This Row],[Goals]]+Proj[[#This Row],[Assists]]</f>
        <v>19</v>
      </c>
      <c r="Q512" s="10">
        <f>ROUND(_xlfn.IFNA(INDEX(Table2[],MATCH(Proj[[#This Row],[Player]],Table2[Player],0),11)/60,IF(Proj[[#This Row],[Pos]] = "D", 'Per 60 PP'!$K$527,'Per 60 PP'!$K$526)/60)*Proj[[#This Row],[TOI PP]]*Proj[[#This Row],[GP]],0)</f>
        <v>0</v>
      </c>
      <c r="R512" s="10">
        <f>ROUND(_xlfn.IFNA(INDEX(Table2[],MATCH(Proj[[#This Row],[Player]],Table2[Player],0),7)/60,IF(Proj[[#This Row],[Pos]] = "D", 'Per 60 PP'!$G$527,'Per 60 PP'!$G$526)/60)*Proj[[#This Row],[TOI PP]]*Proj[[#This Row],[GP]],0)</f>
        <v>0</v>
      </c>
      <c r="S512" s="10">
        <f>Proj[[#This Row],[PPG]]+Proj[[#This Row],[PPA]]</f>
        <v>0</v>
      </c>
      <c r="T512">
        <f>ROUND((_xlfn.IFNA(INDEX(Table3[],MATCH(Proj[[#This Row],[Player]],Table3[Player],0),6)/60,IF(Proj[[#This Row],[Pos]] ="D", 'Per 60 PK'!$F$623, 'Per 60 PK'!$F$622)/60)+_xlfn.IFNA(INDEX(Table3[],MATCH(Proj[[#This Row],[Player]],Table3[Player],0),8)/60,IF(Proj[[#This Row],[Pos]] ="D", 'Per 60 PK'!$H$623, 'Per 60 PK'!$H$622)/60))*Proj[[#This Row],[TOI PK]]*Proj[[#This Row],[GP]],0)</f>
        <v>0</v>
      </c>
      <c r="U5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5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185</v>
      </c>
      <c r="W5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5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67</v>
      </c>
      <c r="AA5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-385.62195829620293</v>
      </c>
      <c r="AB512" s="10">
        <f>_xlfn.RANK.EQ(Proj[[#This Row],[VOR]],Proj[VOR])</f>
        <v>366</v>
      </c>
      <c r="AC512" s="10">
        <f>INDEX(Std[],MATCH(Proj[[#This Row],[Player]],Std[Player],0),20)</f>
        <v>-278.25719057673848</v>
      </c>
      <c r="AD5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264.75</v>
      </c>
    </row>
    <row r="513" spans="1:30" x14ac:dyDescent="0.25">
      <c r="A513" t="s">
        <v>737</v>
      </c>
      <c r="B513">
        <v>32</v>
      </c>
      <c r="C513" t="s">
        <v>74</v>
      </c>
      <c r="D513" t="s">
        <v>16</v>
      </c>
      <c r="E513" s="9">
        <f>INDEX(Table1[],MATCH(Proj[[#This Row],[Player]],Table1[Player],0),5)</f>
        <v>10.566177686372599</v>
      </c>
      <c r="F513" s="9">
        <f>_xlfn.IFNA(INDEX(Table2[],MATCH(Proj[[#This Row],[Player]],Table2[Player],0),5),0)</f>
        <v>0</v>
      </c>
      <c r="G513" s="9">
        <f>_xlfn.IFNA(INDEX(Table3[],MATCH(Proj[[#This Row],[Player]],Table3[Player],0),5),0)</f>
        <v>1.83</v>
      </c>
      <c r="H513" s="10">
        <v>77</v>
      </c>
      <c r="I513">
        <v>77</v>
      </c>
      <c r="J513" s="9">
        <v>10.566177686372599</v>
      </c>
      <c r="K513" s="9">
        <v>0</v>
      </c>
      <c r="L513" s="9">
        <v>1.83</v>
      </c>
      <c r="M513" s="9">
        <f>Proj[[#This Row],[TOI ES]]+Proj[[#This Row],[TOI PP]]+Proj[[#This Row],[TOI PK]]</f>
        <v>12.396177686372599</v>
      </c>
      <c r="N5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13">
        <f>Proj[[#This Row],[Goals]]+Proj[[#This Row],[Assists]]</f>
        <v>19</v>
      </c>
      <c r="Q513" s="10">
        <f>ROUND(_xlfn.IFNA(INDEX(Table2[],MATCH(Proj[[#This Row],[Player]],Table2[Player],0),11)/60,IF(Proj[[#This Row],[Pos]] = "D", 'Per 60 PP'!$K$527,'Per 60 PP'!$K$526)/60)*Proj[[#This Row],[TOI PP]]*Proj[[#This Row],[GP]],0)</f>
        <v>0</v>
      </c>
      <c r="R513" s="10">
        <f>ROUND(_xlfn.IFNA(INDEX(Table2[],MATCH(Proj[[#This Row],[Player]],Table2[Player],0),7)/60,IF(Proj[[#This Row],[Pos]] = "D", 'Per 60 PP'!$G$527,'Per 60 PP'!$G$526)/60)*Proj[[#This Row],[TOI PP]]*Proj[[#This Row],[GP]],0)</f>
        <v>0</v>
      </c>
      <c r="S513" s="10">
        <f>Proj[[#This Row],[PPG]]+Proj[[#This Row],[PPA]]</f>
        <v>0</v>
      </c>
      <c r="T513">
        <f>ROUND((_xlfn.IFNA(INDEX(Table3[],MATCH(Proj[[#This Row],[Player]],Table3[Player],0),6)/60,IF(Proj[[#This Row],[Pos]] ="D", 'Per 60 PK'!$F$623, 'Per 60 PK'!$F$622)/60)+_xlfn.IFNA(INDEX(Table3[],MATCH(Proj[[#This Row],[Player]],Table3[Player],0),8)/60,IF(Proj[[#This Row],[Pos]] ="D", 'Per 60 PK'!$H$623, 'Per 60 PK'!$H$622)/60))*Proj[[#This Row],[TOI PK]]*Proj[[#This Row],[GP]],0)</f>
        <v>1</v>
      </c>
      <c r="U5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5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5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v>
      </c>
      <c r="Y5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v>
      </c>
      <c r="Z5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75</v>
      </c>
      <c r="AA5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-1278.8661789235803</v>
      </c>
      <c r="AB513" s="10">
        <f>_xlfn.RANK.EQ(Proj[[#This Row],[VOR]],Proj[VOR])</f>
        <v>708</v>
      </c>
      <c r="AC513" s="10">
        <f>INDEX(Std[],MATCH(Proj[[#This Row],[Player]],Std[Player],0),20)</f>
        <v>-544.23232461328166</v>
      </c>
      <c r="AD5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189.6</v>
      </c>
    </row>
    <row r="514" spans="1:30" x14ac:dyDescent="0.25">
      <c r="A514" t="s">
        <v>1042</v>
      </c>
      <c r="B514">
        <v>25</v>
      </c>
      <c r="C514" t="s">
        <v>103</v>
      </c>
      <c r="D514" t="s">
        <v>30</v>
      </c>
      <c r="E514" s="9">
        <f>INDEX(Table1[],MATCH(Proj[[#This Row],[Player]],Table1[Player],0),5)</f>
        <v>10.5379307770325</v>
      </c>
      <c r="F514" s="9">
        <f>_xlfn.IFNA(INDEX(Table2[],MATCH(Proj[[#This Row],[Player]],Table2[Player],0),5),0)</f>
        <v>0</v>
      </c>
      <c r="G514" s="9">
        <f>_xlfn.IFNA(INDEX(Table3[],MATCH(Proj[[#This Row],[Player]],Table3[Player],0),5),0)</f>
        <v>1.02</v>
      </c>
      <c r="H514" s="10">
        <v>62</v>
      </c>
      <c r="I514">
        <v>62</v>
      </c>
      <c r="J514" s="9">
        <v>10.5379307770325</v>
      </c>
      <c r="K514" s="9">
        <v>0</v>
      </c>
      <c r="L514" s="9">
        <v>1.02</v>
      </c>
      <c r="M514" s="9">
        <f>Proj[[#This Row],[TOI ES]]+Proj[[#This Row],[TOI PP]]+Proj[[#This Row],[TOI PK]]</f>
        <v>11.557930777032499</v>
      </c>
      <c r="N5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14" s="10">
        <f>Proj[[#This Row],[Goals]]+Proj[[#This Row],[Assists]]</f>
        <v>19</v>
      </c>
      <c r="Q514" s="10">
        <f>ROUND(_xlfn.IFNA(INDEX(Table2[],MATCH(Proj[[#This Row],[Player]],Table2[Player],0),11)/60,IF(Proj[[#This Row],[Pos]] = "D", 'Per 60 PP'!$K$527,'Per 60 PP'!$K$526)/60)*Proj[[#This Row],[TOI PP]]*Proj[[#This Row],[GP]],0)</f>
        <v>0</v>
      </c>
      <c r="R514" s="10">
        <f>ROUND(_xlfn.IFNA(INDEX(Table2[],MATCH(Proj[[#This Row],[Player]],Table2[Player],0),7)/60,IF(Proj[[#This Row],[Pos]] = "D", 'Per 60 PP'!$G$527,'Per 60 PP'!$G$526)/60)*Proj[[#This Row],[TOI PP]]*Proj[[#This Row],[GP]],0)</f>
        <v>0</v>
      </c>
      <c r="S514" s="10">
        <f>Proj[[#This Row],[PPG]]+Proj[[#This Row],[PPA]]</f>
        <v>0</v>
      </c>
      <c r="T514">
        <f>ROUND((_xlfn.IFNA(INDEX(Table3[],MATCH(Proj[[#This Row],[Player]],Table3[Player],0),6)/60,IF(Proj[[#This Row],[Pos]] ="D", 'Per 60 PK'!$F$623, 'Per 60 PK'!$F$622)/60)+_xlfn.IFNA(INDEX(Table3[],MATCH(Proj[[#This Row],[Player]],Table3[Player],0),8)/60,IF(Proj[[#This Row],[Pos]] ="D", 'Per 60 PK'!$H$623, 'Per 60 PK'!$H$622)/60))*Proj[[#This Row],[TOI PK]]*Proj[[#This Row],[GP]],0)</f>
        <v>0</v>
      </c>
      <c r="U5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5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5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5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116</v>
      </c>
      <c r="Y5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145</v>
      </c>
      <c r="Z5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56</v>
      </c>
      <c r="AA5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-988.33430982331583</v>
      </c>
      <c r="AB514" s="10">
        <f>_xlfn.RANK.EQ(Proj[[#This Row],[VOR]],Proj[VOR])</f>
        <v>657</v>
      </c>
      <c r="AC514" s="10">
        <f>INDEX(Std[],MATCH(Proj[[#This Row],[Player]],Std[Player],0),20)</f>
        <v>-541.78958543306703</v>
      </c>
      <c r="AD5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195.09999999999997</v>
      </c>
    </row>
    <row r="515" spans="1:30" x14ac:dyDescent="0.25">
      <c r="A515" t="s">
        <v>942</v>
      </c>
      <c r="B515">
        <v>26</v>
      </c>
      <c r="C515" t="s">
        <v>103</v>
      </c>
      <c r="D515" t="s">
        <v>21</v>
      </c>
      <c r="E515" s="9">
        <f>INDEX(Table1[],MATCH(Proj[[#This Row],[Player]],Table1[Player],0),5)</f>
        <v>12.2001135022436</v>
      </c>
      <c r="F515" s="9">
        <f>_xlfn.IFNA(INDEX(Table2[],MATCH(Proj[[#This Row],[Player]],Table2[Player],0),5),0)</f>
        <v>0</v>
      </c>
      <c r="G515" s="9">
        <f>_xlfn.IFNA(INDEX(Table3[],MATCH(Proj[[#This Row],[Player]],Table3[Player],0),5),0)</f>
        <v>1.06</v>
      </c>
      <c r="H515" s="10">
        <v>66</v>
      </c>
      <c r="I515">
        <v>66</v>
      </c>
      <c r="J515" s="9">
        <v>12.2001135022436</v>
      </c>
      <c r="K515" s="9">
        <v>0</v>
      </c>
      <c r="L515" s="9">
        <v>1.06</v>
      </c>
      <c r="M515" s="9">
        <f>Proj[[#This Row],[TOI ES]]+Proj[[#This Row],[TOI PP]]+Proj[[#This Row],[TOI PK]]</f>
        <v>13.2601135022436</v>
      </c>
      <c r="N5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15">
        <f>Proj[[#This Row],[Goals]]+Proj[[#This Row],[Assists]]</f>
        <v>19</v>
      </c>
      <c r="Q515" s="10">
        <f>ROUND(_xlfn.IFNA(INDEX(Table2[],MATCH(Proj[[#This Row],[Player]],Table2[Player],0),11)/60,IF(Proj[[#This Row],[Pos]] = "D", 'Per 60 PP'!$K$527,'Per 60 PP'!$K$526)/60)*Proj[[#This Row],[TOI PP]]*Proj[[#This Row],[GP]],0)</f>
        <v>0</v>
      </c>
      <c r="R515" s="10">
        <f>ROUND(_xlfn.IFNA(INDEX(Table2[],MATCH(Proj[[#This Row],[Player]],Table2[Player],0),7)/60,IF(Proj[[#This Row],[Pos]] = "D", 'Per 60 PP'!$G$527,'Per 60 PP'!$G$526)/60)*Proj[[#This Row],[TOI PP]]*Proj[[#This Row],[GP]],0)</f>
        <v>0</v>
      </c>
      <c r="S515" s="10">
        <f>Proj[[#This Row],[PPG]]+Proj[[#This Row],[PPA]]</f>
        <v>0</v>
      </c>
      <c r="T515">
        <f>ROUND((_xlfn.IFNA(INDEX(Table3[],MATCH(Proj[[#This Row],[Player]],Table3[Player],0),6)/60,IF(Proj[[#This Row],[Pos]] ="D", 'Per 60 PK'!$F$623, 'Per 60 PK'!$F$622)/60)+_xlfn.IFNA(INDEX(Table3[],MATCH(Proj[[#This Row],[Player]],Table3[Player],0),8)/60,IF(Proj[[#This Row],[Pos]] ="D", 'Per 60 PK'!$H$623, 'Per 60 PK'!$H$622)/60))*Proj[[#This Row],[TOI PK]]*Proj[[#This Row],[GP]],0)</f>
        <v>0</v>
      </c>
      <c r="U5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5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30</v>
      </c>
      <c r="W5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v>
      </c>
      <c r="X5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5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5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5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-1113.3741483060437</v>
      </c>
      <c r="AB515" s="10">
        <f>_xlfn.RANK.EQ(Proj[[#This Row],[VOR]],Proj[VOR])</f>
        <v>684</v>
      </c>
      <c r="AC515" s="10">
        <f>INDEX(Std[],MATCH(Proj[[#This Row],[Player]],Std[Player],0),20)</f>
        <v>-666.82942391579491</v>
      </c>
      <c r="AD5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181.54999999999998</v>
      </c>
    </row>
    <row r="516" spans="1:30" x14ac:dyDescent="0.25">
      <c r="A516" t="s">
        <v>922</v>
      </c>
      <c r="B516">
        <v>23</v>
      </c>
      <c r="C516" t="s">
        <v>3</v>
      </c>
      <c r="D516" t="s">
        <v>21</v>
      </c>
      <c r="E516" s="9">
        <f>INDEX(Table1[],MATCH(Proj[[#This Row],[Player]],Table1[Player],0),5)</f>
        <v>17.815699025894101</v>
      </c>
      <c r="F516" s="9">
        <f>_xlfn.IFNA(INDEX(Table2[],MATCH(Proj[[#This Row],[Player]],Table2[Player],0),5),0)</f>
        <v>0.75</v>
      </c>
      <c r="G516" s="9">
        <f>_xlfn.IFNA(INDEX(Table3[],MATCH(Proj[[#This Row],[Player]],Table3[Player],0),5),0)</f>
        <v>2.29</v>
      </c>
      <c r="H516" s="10">
        <v>79</v>
      </c>
      <c r="I516">
        <v>79</v>
      </c>
      <c r="J516" s="9">
        <v>17.815699025894101</v>
      </c>
      <c r="K516" s="9">
        <v>0.75</v>
      </c>
      <c r="L516" s="9">
        <v>2.29</v>
      </c>
      <c r="M516" s="9">
        <f>Proj[[#This Row],[TOI ES]]+Proj[[#This Row],[TOI PP]]+Proj[[#This Row],[TOI PK]]</f>
        <v>20.855699025894101</v>
      </c>
      <c r="N5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16" s="10">
        <f>Proj[[#This Row],[Goals]]+Proj[[#This Row],[Assists]]</f>
        <v>19</v>
      </c>
      <c r="Q516" s="10">
        <f>ROUND(_xlfn.IFNA(INDEX(Table2[],MATCH(Proj[[#This Row],[Player]],Table2[Player],0),11)/60,IF(Proj[[#This Row],[Pos]] = "D", 'Per 60 PP'!$K$527,'Per 60 PP'!$K$526)/60)*Proj[[#This Row],[TOI PP]]*Proj[[#This Row],[GP]],0)</f>
        <v>0</v>
      </c>
      <c r="R516" s="10">
        <f>ROUND(_xlfn.IFNA(INDEX(Table2[],MATCH(Proj[[#This Row],[Player]],Table2[Player],0),7)/60,IF(Proj[[#This Row],[Pos]] = "D", 'Per 60 PP'!$G$527,'Per 60 PP'!$G$526)/60)*Proj[[#This Row],[TOI PP]]*Proj[[#This Row],[GP]],0)</f>
        <v>3</v>
      </c>
      <c r="S516" s="10">
        <f>Proj[[#This Row],[PPG]]+Proj[[#This Row],[PPA]]</f>
        <v>3</v>
      </c>
      <c r="T516">
        <f>ROUND((_xlfn.IFNA(INDEX(Table3[],MATCH(Proj[[#This Row],[Player]],Table3[Player],0),6)/60,IF(Proj[[#This Row],[Pos]] ="D", 'Per 60 PK'!$F$623, 'Per 60 PK'!$F$622)/60)+_xlfn.IFNA(INDEX(Table3[],MATCH(Proj[[#This Row],[Player]],Table3[Player],0),8)/60,IF(Proj[[#This Row],[Pos]] ="D", 'Per 60 PK'!$H$623, 'Per 60 PK'!$H$622)/60))*Proj[[#This Row],[TOI PK]]*Proj[[#This Row],[GP]],0)</f>
        <v>0</v>
      </c>
      <c r="U5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5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135</v>
      </c>
      <c r="W5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5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5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-396.76430759391098</v>
      </c>
      <c r="AB516" s="10">
        <f>_xlfn.RANK.EQ(Proj[[#This Row],[VOR]],Proj[VOR])</f>
        <v>372</v>
      </c>
      <c r="AC516" s="10">
        <f>INDEX(Std[],MATCH(Proj[[#This Row],[Player]],Std[Player],0),20)</f>
        <v>-289.39953987444653</v>
      </c>
      <c r="AD5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257.55</v>
      </c>
    </row>
    <row r="517" spans="1:30" x14ac:dyDescent="0.25">
      <c r="A517" t="s">
        <v>513</v>
      </c>
      <c r="B517">
        <v>31</v>
      </c>
      <c r="C517" t="s">
        <v>3</v>
      </c>
      <c r="D517" t="s">
        <v>20</v>
      </c>
      <c r="E517" s="9">
        <f>INDEX(Table1[],MATCH(Proj[[#This Row],[Player]],Table1[Player],0),5)</f>
        <v>15.454657810383001</v>
      </c>
      <c r="F517" s="9">
        <f>_xlfn.IFNA(INDEX(Table2[],MATCH(Proj[[#This Row],[Player]],Table2[Player],0),5),0)</f>
        <v>1.49</v>
      </c>
      <c r="G517" s="9">
        <f>_xlfn.IFNA(INDEX(Table3[],MATCH(Proj[[#This Row],[Player]],Table3[Player],0),5),0)</f>
        <v>0</v>
      </c>
      <c r="H517" s="10">
        <v>63</v>
      </c>
      <c r="I517">
        <v>63</v>
      </c>
      <c r="J517" s="9">
        <v>15.454657810383001</v>
      </c>
      <c r="K517" s="9">
        <v>1.49</v>
      </c>
      <c r="L517" s="9">
        <v>0</v>
      </c>
      <c r="M517" s="9">
        <f>Proj[[#This Row],[TOI ES]]+Proj[[#This Row],[TOI PP]]+Proj[[#This Row],[TOI PK]]</f>
        <v>16.944657810382999</v>
      </c>
      <c r="N5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17" s="10">
        <f>Proj[[#This Row],[Goals]]+Proj[[#This Row],[Assists]]</f>
        <v>19</v>
      </c>
      <c r="Q517" s="10">
        <f>ROUND(_xlfn.IFNA(INDEX(Table2[],MATCH(Proj[[#This Row],[Player]],Table2[Player],0),11)/60,IF(Proj[[#This Row],[Pos]] = "D", 'Per 60 PP'!$K$527,'Per 60 PP'!$K$526)/60)*Proj[[#This Row],[TOI PP]]*Proj[[#This Row],[GP]],0)</f>
        <v>1</v>
      </c>
      <c r="R517" s="10">
        <f>ROUND(_xlfn.IFNA(INDEX(Table2[],MATCH(Proj[[#This Row],[Player]],Table2[Player],0),7)/60,IF(Proj[[#This Row],[Pos]] = "D", 'Per 60 PP'!$G$527,'Per 60 PP'!$G$526)/60)*Proj[[#This Row],[TOI PP]]*Proj[[#This Row],[GP]],0)</f>
        <v>5</v>
      </c>
      <c r="S517" s="10">
        <f>Proj[[#This Row],[PPG]]+Proj[[#This Row],[PPA]]</f>
        <v>6</v>
      </c>
      <c r="T517">
        <f>ROUND((_xlfn.IFNA(INDEX(Table3[],MATCH(Proj[[#This Row],[Player]],Table3[Player],0),6)/60,IF(Proj[[#This Row],[Pos]] ="D", 'Per 60 PK'!$F$623, 'Per 60 PK'!$F$622)/60)+_xlfn.IFNA(INDEX(Table3[],MATCH(Proj[[#This Row],[Player]],Table3[Player],0),8)/60,IF(Proj[[#This Row],[Pos]] ="D", 'Per 60 PK'!$H$623, 'Per 60 PK'!$H$622)/60))*Proj[[#This Row],[TOI PK]]*Proj[[#This Row],[GP]],0)</f>
        <v>0</v>
      </c>
      <c r="U5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5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62</v>
      </c>
      <c r="W5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5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104</v>
      </c>
      <c r="AA5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-507.91992815444121</v>
      </c>
      <c r="AB517" s="10">
        <f>_xlfn.RANK.EQ(Proj[[#This Row],[VOR]],Proj[VOR])</f>
        <v>428</v>
      </c>
      <c r="AC517" s="10">
        <f>INDEX(Std[],MATCH(Proj[[#This Row],[Player]],Std[Player],0),20)</f>
        <v>-400.5551604349767</v>
      </c>
      <c r="AD5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226.75</v>
      </c>
    </row>
    <row r="518" spans="1:30" x14ac:dyDescent="0.25">
      <c r="A518" t="s">
        <v>945</v>
      </c>
      <c r="B518">
        <v>23</v>
      </c>
      <c r="C518" t="s">
        <v>3</v>
      </c>
      <c r="D518" t="s">
        <v>6</v>
      </c>
      <c r="E518" s="9">
        <f>INDEX(Table1[],MATCH(Proj[[#This Row],[Player]],Table1[Player],0),5)</f>
        <v>16.470878336275</v>
      </c>
      <c r="F518" s="9">
        <f>_xlfn.IFNA(INDEX(Table2[],MATCH(Proj[[#This Row],[Player]],Table2[Player],0),5),0)</f>
        <v>1.3</v>
      </c>
      <c r="G518" s="9">
        <f>_xlfn.IFNA(INDEX(Table3[],MATCH(Proj[[#This Row],[Player]],Table3[Player],0),5),0)</f>
        <v>0.73</v>
      </c>
      <c r="H518" s="10">
        <v>58</v>
      </c>
      <c r="I518">
        <v>58</v>
      </c>
      <c r="J518" s="9">
        <v>16.470878336275</v>
      </c>
      <c r="K518" s="9">
        <v>1.3</v>
      </c>
      <c r="L518" s="9">
        <v>0.73</v>
      </c>
      <c r="M518" s="9">
        <f>Proj[[#This Row],[TOI ES]]+Proj[[#This Row],[TOI PP]]+Proj[[#This Row],[TOI PK]]</f>
        <v>18.500878336275001</v>
      </c>
      <c r="N5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18" s="10">
        <f>Proj[[#This Row],[Goals]]+Proj[[#This Row],[Assists]]</f>
        <v>19</v>
      </c>
      <c r="Q518" s="10">
        <f>ROUND(_xlfn.IFNA(INDEX(Table2[],MATCH(Proj[[#This Row],[Player]],Table2[Player],0),11)/60,IF(Proj[[#This Row],[Pos]] = "D", 'Per 60 PP'!$K$527,'Per 60 PP'!$K$526)/60)*Proj[[#This Row],[TOI PP]]*Proj[[#This Row],[GP]],0)</f>
        <v>1</v>
      </c>
      <c r="R518" s="10">
        <f>ROUND(_xlfn.IFNA(INDEX(Table2[],MATCH(Proj[[#This Row],[Player]],Table2[Player],0),7)/60,IF(Proj[[#This Row],[Pos]] = "D", 'Per 60 PP'!$G$527,'Per 60 PP'!$G$526)/60)*Proj[[#This Row],[TOI PP]]*Proj[[#This Row],[GP]],0)</f>
        <v>3</v>
      </c>
      <c r="S518" s="10">
        <f>Proj[[#This Row],[PPG]]+Proj[[#This Row],[PPA]]</f>
        <v>4</v>
      </c>
      <c r="T518">
        <f>ROUND((_xlfn.IFNA(INDEX(Table3[],MATCH(Proj[[#This Row],[Player]],Table3[Player],0),6)/60,IF(Proj[[#This Row],[Pos]] ="D", 'Per 60 PK'!$F$623, 'Per 60 PK'!$F$622)/60)+_xlfn.IFNA(INDEX(Table3[],MATCH(Proj[[#This Row],[Player]],Table3[Player],0),8)/60,IF(Proj[[#This Row],[Pos]] ="D", 'Per 60 PK'!$H$623, 'Per 60 PK'!$H$622)/60))*Proj[[#This Row],[TOI PK]]*Proj[[#This Row],[GP]],0)</f>
        <v>1</v>
      </c>
      <c r="U5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5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5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5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5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-545.23332597818307</v>
      </c>
      <c r="AB518" s="10">
        <f>_xlfn.RANK.EQ(Proj[[#This Row],[VOR]],Proj[VOR])</f>
        <v>449</v>
      </c>
      <c r="AC518" s="10">
        <f>INDEX(Std[],MATCH(Proj[[#This Row],[Player]],Std[Player],0),20)</f>
        <v>-437.86855825871856</v>
      </c>
      <c r="AD5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216.89999999999998</v>
      </c>
    </row>
    <row r="519" spans="1:30" x14ac:dyDescent="0.25">
      <c r="A519" t="s">
        <v>801</v>
      </c>
      <c r="B519">
        <v>23</v>
      </c>
      <c r="C519" t="s">
        <v>3</v>
      </c>
      <c r="D519" t="s">
        <v>14</v>
      </c>
      <c r="E519" s="9">
        <f>INDEX(Table1[],MATCH(Proj[[#This Row],[Player]],Table1[Player],0),5)</f>
        <v>16.5</v>
      </c>
      <c r="F519" s="9">
        <f>_xlfn.IFNA(INDEX(Table2[],MATCH(Proj[[#This Row],[Player]],Table2[Player],0),5),0)</f>
        <v>0</v>
      </c>
      <c r="G519" s="9">
        <f>_xlfn.IFNA(INDEX(Table3[],MATCH(Proj[[#This Row],[Player]],Table3[Player],0),5),0)</f>
        <v>1.1499999999999999</v>
      </c>
      <c r="H519" s="10">
        <v>77</v>
      </c>
      <c r="I519">
        <v>77</v>
      </c>
      <c r="J519" s="9">
        <v>16.5</v>
      </c>
      <c r="K519" s="9">
        <v>0</v>
      </c>
      <c r="L519" s="9">
        <v>1.1499999999999999</v>
      </c>
      <c r="M519" s="9">
        <f>Proj[[#This Row],[TOI ES]]+Proj[[#This Row],[TOI PP]]+Proj[[#This Row],[TOI PK]]</f>
        <v>17.649999999999999</v>
      </c>
      <c r="N5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19" s="10">
        <f>Proj[[#This Row],[Goals]]+Proj[[#This Row],[Assists]]</f>
        <v>19</v>
      </c>
      <c r="Q519" s="10">
        <f>ROUND(_xlfn.IFNA(INDEX(Table2[],MATCH(Proj[[#This Row],[Player]],Table2[Player],0),11)/60,IF(Proj[[#This Row],[Pos]] = "D", 'Per 60 PP'!$K$527,'Per 60 PP'!$K$526)/60)*Proj[[#This Row],[TOI PP]]*Proj[[#This Row],[GP]],0)</f>
        <v>0</v>
      </c>
      <c r="R519" s="10">
        <f>ROUND(_xlfn.IFNA(INDEX(Table2[],MATCH(Proj[[#This Row],[Player]],Table2[Player],0),7)/60,IF(Proj[[#This Row],[Pos]] = "D", 'Per 60 PP'!$G$527,'Per 60 PP'!$G$526)/60)*Proj[[#This Row],[TOI PP]]*Proj[[#This Row],[GP]],0)</f>
        <v>0</v>
      </c>
      <c r="S519" s="10">
        <f>Proj[[#This Row],[PPG]]+Proj[[#This Row],[PPA]]</f>
        <v>0</v>
      </c>
      <c r="T519">
        <f>ROUND((_xlfn.IFNA(INDEX(Table3[],MATCH(Proj[[#This Row],[Player]],Table3[Player],0),6)/60,IF(Proj[[#This Row],[Pos]] ="D", 'Per 60 PK'!$F$623, 'Per 60 PK'!$F$622)/60)+_xlfn.IFNA(INDEX(Table3[],MATCH(Proj[[#This Row],[Player]],Table3[Player],0),8)/60,IF(Proj[[#This Row],[Pos]] ="D", 'Per 60 PK'!$H$623, 'Per 60 PK'!$H$622)/60))*Proj[[#This Row],[TOI PK]]*Proj[[#This Row],[GP]],0)</f>
        <v>0</v>
      </c>
      <c r="U5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5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89</v>
      </c>
      <c r="W5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5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5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-535.01956983332695</v>
      </c>
      <c r="AB519" s="10">
        <f>_xlfn.RANK.EQ(Proj[[#This Row],[VOR]],Proj[VOR])</f>
        <v>445</v>
      </c>
      <c r="AC519" s="10">
        <f>INDEX(Std[],MATCH(Proj[[#This Row],[Player]],Std[Player],0),20)</f>
        <v>-427.65480211386244</v>
      </c>
      <c r="AD5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228.35000000000002</v>
      </c>
    </row>
    <row r="520" spans="1:30" x14ac:dyDescent="0.25">
      <c r="A520" t="s">
        <v>783</v>
      </c>
      <c r="B520">
        <v>26</v>
      </c>
      <c r="C520" t="s">
        <v>74</v>
      </c>
      <c r="D520" t="s">
        <v>31</v>
      </c>
      <c r="E520" s="9">
        <f>INDEX(Table1[],MATCH(Proj[[#This Row],[Player]],Table1[Player],0),5)</f>
        <v>11.0328015586199</v>
      </c>
      <c r="F520" s="9">
        <f>_xlfn.IFNA(INDEX(Table2[],MATCH(Proj[[#This Row],[Player]],Table2[Player],0),5),0)</f>
        <v>0</v>
      </c>
      <c r="G520" s="9">
        <f>_xlfn.IFNA(INDEX(Table3[],MATCH(Proj[[#This Row],[Player]],Table3[Player],0),5),0)</f>
        <v>0.62</v>
      </c>
      <c r="H520" s="10">
        <v>61</v>
      </c>
      <c r="I520">
        <v>61</v>
      </c>
      <c r="J520" s="9">
        <v>11.0328015586199</v>
      </c>
      <c r="K520" s="9">
        <v>0</v>
      </c>
      <c r="L520" s="9">
        <v>0.62</v>
      </c>
      <c r="M520" s="9">
        <f>Proj[[#This Row],[TOI ES]]+Proj[[#This Row],[TOI PP]]+Proj[[#This Row],[TOI PK]]</f>
        <v>11.652801558619899</v>
      </c>
      <c r="N5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20" s="10">
        <f>Proj[[#This Row],[Goals]]+Proj[[#This Row],[Assists]]</f>
        <v>19</v>
      </c>
      <c r="Q520" s="10">
        <f>ROUND(_xlfn.IFNA(INDEX(Table2[],MATCH(Proj[[#This Row],[Player]],Table2[Player],0),11)/60,IF(Proj[[#This Row],[Pos]] = "D", 'Per 60 PP'!$K$527,'Per 60 PP'!$K$526)/60)*Proj[[#This Row],[TOI PP]]*Proj[[#This Row],[GP]],0)</f>
        <v>0</v>
      </c>
      <c r="R520" s="10">
        <f>ROUND(_xlfn.IFNA(INDEX(Table2[],MATCH(Proj[[#This Row],[Player]],Table2[Player],0),7)/60,IF(Proj[[#This Row],[Pos]] = "D", 'Per 60 PP'!$G$527,'Per 60 PP'!$G$526)/60)*Proj[[#This Row],[TOI PP]]*Proj[[#This Row],[GP]],0)</f>
        <v>0</v>
      </c>
      <c r="S520" s="10">
        <f>Proj[[#This Row],[PPG]]+Proj[[#This Row],[PPA]]</f>
        <v>0</v>
      </c>
      <c r="T520">
        <f>ROUND((_xlfn.IFNA(INDEX(Table3[],MATCH(Proj[[#This Row],[Player]],Table3[Player],0),6)/60,IF(Proj[[#This Row],[Pos]] ="D", 'Per 60 PK'!$F$623, 'Per 60 PK'!$F$622)/60)+_xlfn.IFNA(INDEX(Table3[],MATCH(Proj[[#This Row],[Player]],Table3[Player],0),8)/60,IF(Proj[[#This Row],[Pos]] ="D", 'Per 60 PK'!$H$623, 'Per 60 PK'!$H$622)/60))*Proj[[#This Row],[TOI PK]]*Proj[[#This Row],[GP]],0)</f>
        <v>0</v>
      </c>
      <c r="U5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76</v>
      </c>
      <c r="V5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5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5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75</v>
      </c>
      <c r="Y5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141</v>
      </c>
      <c r="Z5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66</v>
      </c>
      <c r="AA5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-1348.6793182997521</v>
      </c>
      <c r="AB520" s="10">
        <f>_xlfn.RANK.EQ(Proj[[#This Row],[VOR]],Proj[VOR])</f>
        <v>721</v>
      </c>
      <c r="AC520" s="10">
        <f>INDEX(Std[],MATCH(Proj[[#This Row],[Player]],Std[Player],0),20)</f>
        <v>-614.04546398945365</v>
      </c>
      <c r="AD5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193.64999999999998</v>
      </c>
    </row>
    <row r="521" spans="1:30" x14ac:dyDescent="0.25">
      <c r="A521" t="s">
        <v>652</v>
      </c>
      <c r="B521">
        <v>31</v>
      </c>
      <c r="C521" t="s">
        <v>74</v>
      </c>
      <c r="D521" t="s">
        <v>14</v>
      </c>
      <c r="E521" s="9">
        <f>INDEX(Table1[],MATCH(Proj[[#This Row],[Player]],Table1[Player],0),5)</f>
        <v>10.783491042384</v>
      </c>
      <c r="F521" s="9">
        <f>_xlfn.IFNA(INDEX(Table2[],MATCH(Proj[[#This Row],[Player]],Table2[Player],0),5),0)</f>
        <v>0</v>
      </c>
      <c r="G521" s="9">
        <f>_xlfn.IFNA(INDEX(Table3[],MATCH(Proj[[#This Row],[Player]],Table3[Player],0),5),0)</f>
        <v>2.02</v>
      </c>
      <c r="H521" s="10">
        <v>77</v>
      </c>
      <c r="I521">
        <v>77</v>
      </c>
      <c r="J521" s="9">
        <v>10.783491042384</v>
      </c>
      <c r="K521" s="9">
        <v>0</v>
      </c>
      <c r="L521" s="9">
        <v>2.02</v>
      </c>
      <c r="M521" s="9">
        <f>Proj[[#This Row],[TOI ES]]+Proj[[#This Row],[TOI PP]]+Proj[[#This Row],[TOI PK]]</f>
        <v>12.803491042384</v>
      </c>
      <c r="N5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21">
        <f>Proj[[#This Row],[Goals]]+Proj[[#This Row],[Assists]]</f>
        <v>19</v>
      </c>
      <c r="Q521" s="10">
        <f>ROUND(_xlfn.IFNA(INDEX(Table2[],MATCH(Proj[[#This Row],[Player]],Table2[Player],0),11)/60,IF(Proj[[#This Row],[Pos]] = "D", 'Per 60 PP'!$K$527,'Per 60 PP'!$K$526)/60)*Proj[[#This Row],[TOI PP]]*Proj[[#This Row],[GP]],0)</f>
        <v>0</v>
      </c>
      <c r="R521" s="10">
        <f>ROUND(_xlfn.IFNA(INDEX(Table2[],MATCH(Proj[[#This Row],[Player]],Table2[Player],0),7)/60,IF(Proj[[#This Row],[Pos]] = "D", 'Per 60 PP'!$G$527,'Per 60 PP'!$G$526)/60)*Proj[[#This Row],[TOI PP]]*Proj[[#This Row],[GP]],0)</f>
        <v>0</v>
      </c>
      <c r="S521" s="10">
        <f>Proj[[#This Row],[PPG]]+Proj[[#This Row],[PPA]]</f>
        <v>0</v>
      </c>
      <c r="T521">
        <f>ROUND((_xlfn.IFNA(INDEX(Table3[],MATCH(Proj[[#This Row],[Player]],Table3[Player],0),6)/60,IF(Proj[[#This Row],[Pos]] ="D", 'Per 60 PK'!$F$623, 'Per 60 PK'!$F$622)/60)+_xlfn.IFNA(INDEX(Table3[],MATCH(Proj[[#This Row],[Player]],Table3[Player],0),8)/60,IF(Proj[[#This Row],[Pos]] ="D", 'Per 60 PK'!$H$623, 'Per 60 PK'!$H$622)/60))*Proj[[#This Row],[TOI PK]]*Proj[[#This Row],[GP]],0)</f>
        <v>3</v>
      </c>
      <c r="U5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91</v>
      </c>
      <c r="V5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54</v>
      </c>
      <c r="W5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5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288</v>
      </c>
      <c r="Y5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244</v>
      </c>
      <c r="Z5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5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-1024.3941575259266</v>
      </c>
      <c r="AB521" s="10">
        <f>_xlfn.RANK.EQ(Proj[[#This Row],[VOR]],Proj[VOR])</f>
        <v>665</v>
      </c>
      <c r="AC521" s="10">
        <f>INDEX(Std[],MATCH(Proj[[#This Row],[Player]],Std[Player],0),20)</f>
        <v>-289.76030321562808</v>
      </c>
      <c r="AD5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253.20000000000002</v>
      </c>
    </row>
    <row r="522" spans="1:30" x14ac:dyDescent="0.25">
      <c r="A522" t="s">
        <v>905</v>
      </c>
      <c r="B522">
        <v>25</v>
      </c>
      <c r="C522" t="s">
        <v>74</v>
      </c>
      <c r="D522" t="s">
        <v>30</v>
      </c>
      <c r="E522" s="9">
        <f>INDEX(Table1[],MATCH(Proj[[#This Row],[Player]],Table1[Player],0),5)</f>
        <v>9.4069749236905604</v>
      </c>
      <c r="F522" s="9">
        <f>_xlfn.IFNA(INDEX(Table2[],MATCH(Proj[[#This Row],[Player]],Table2[Player],0),5),0)</f>
        <v>0</v>
      </c>
      <c r="G522" s="9">
        <f>_xlfn.IFNA(INDEX(Table3[],MATCH(Proj[[#This Row],[Player]],Table3[Player],0),5),0)</f>
        <v>2.0099999999999998</v>
      </c>
      <c r="H522" s="10">
        <v>78</v>
      </c>
      <c r="I522">
        <v>78</v>
      </c>
      <c r="J522" s="9">
        <v>9.4069749236905604</v>
      </c>
      <c r="K522" s="9">
        <v>0</v>
      </c>
      <c r="L522" s="9">
        <v>2.0099999999999998</v>
      </c>
      <c r="M522" s="9">
        <f>Proj[[#This Row],[TOI ES]]+Proj[[#This Row],[TOI PP]]+Proj[[#This Row],[TOI PK]]</f>
        <v>11.41697492369056</v>
      </c>
      <c r="N5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22" s="10">
        <f>Proj[[#This Row],[Goals]]+Proj[[#This Row],[Assists]]</f>
        <v>19</v>
      </c>
      <c r="Q522" s="10">
        <f>ROUND(_xlfn.IFNA(INDEX(Table2[],MATCH(Proj[[#This Row],[Player]],Table2[Player],0),11)/60,IF(Proj[[#This Row],[Pos]] = "D", 'Per 60 PP'!$K$527,'Per 60 PP'!$K$526)/60)*Proj[[#This Row],[TOI PP]]*Proj[[#This Row],[GP]],0)</f>
        <v>0</v>
      </c>
      <c r="R522" s="10">
        <f>ROUND(_xlfn.IFNA(INDEX(Table2[],MATCH(Proj[[#This Row],[Player]],Table2[Player],0),7)/60,IF(Proj[[#This Row],[Pos]] = "D", 'Per 60 PP'!$G$527,'Per 60 PP'!$G$526)/60)*Proj[[#This Row],[TOI PP]]*Proj[[#This Row],[GP]],0)</f>
        <v>0</v>
      </c>
      <c r="S522" s="10">
        <f>Proj[[#This Row],[PPG]]+Proj[[#This Row],[PPA]]</f>
        <v>0</v>
      </c>
      <c r="T522">
        <f>ROUND((_xlfn.IFNA(INDEX(Table3[],MATCH(Proj[[#This Row],[Player]],Table3[Player],0),6)/60,IF(Proj[[#This Row],[Pos]] ="D", 'Per 60 PK'!$F$623, 'Per 60 PK'!$F$622)/60)+_xlfn.IFNA(INDEX(Table3[],MATCH(Proj[[#This Row],[Player]],Table3[Player],0),8)/60,IF(Proj[[#This Row],[Pos]] ="D", 'Per 60 PK'!$H$623, 'Per 60 PK'!$H$622)/60))*Proj[[#This Row],[TOI PK]]*Proj[[#This Row],[GP]],0)</f>
        <v>3</v>
      </c>
      <c r="U5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112</v>
      </c>
      <c r="V5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51</v>
      </c>
      <c r="W5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5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189</v>
      </c>
      <c r="Y5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220</v>
      </c>
      <c r="Z5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5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-946.10616811517843</v>
      </c>
      <c r="AB522" s="10">
        <f>_xlfn.RANK.EQ(Proj[[#This Row],[VOR]],Proj[VOR])</f>
        <v>642</v>
      </c>
      <c r="AC522" s="10">
        <f>INDEX(Std[],MATCH(Proj[[#This Row],[Player]],Std[Player],0),20)</f>
        <v>-211.47231380487989</v>
      </c>
      <c r="AD5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270.2</v>
      </c>
    </row>
    <row r="523" spans="1:30" x14ac:dyDescent="0.25">
      <c r="A523" t="s">
        <v>577</v>
      </c>
      <c r="B523">
        <v>34</v>
      </c>
      <c r="C523" t="s">
        <v>3</v>
      </c>
      <c r="D523" t="s">
        <v>31</v>
      </c>
      <c r="E523" s="9">
        <f>INDEX(Table1[],MATCH(Proj[[#This Row],[Player]],Table1[Player],0),5)</f>
        <v>14.5129463319903</v>
      </c>
      <c r="F523" s="9">
        <f>_xlfn.IFNA(INDEX(Table2[],MATCH(Proj[[#This Row],[Player]],Table2[Player],0),5),0)</f>
        <v>0</v>
      </c>
      <c r="G523" s="9">
        <f>_xlfn.IFNA(INDEX(Table3[],MATCH(Proj[[#This Row],[Player]],Table3[Player],0),5),0)</f>
        <v>2.4300000000000002</v>
      </c>
      <c r="H523" s="10">
        <v>78</v>
      </c>
      <c r="I523">
        <v>78</v>
      </c>
      <c r="J523" s="9">
        <v>14.5129463319903</v>
      </c>
      <c r="K523" s="9">
        <v>0</v>
      </c>
      <c r="L523" s="9">
        <v>2.4300000000000002</v>
      </c>
      <c r="M523" s="9">
        <f>Proj[[#This Row],[TOI ES]]+Proj[[#This Row],[TOI PP]]+Proj[[#This Row],[TOI PK]]</f>
        <v>16.942946331990299</v>
      </c>
      <c r="N5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16</v>
      </c>
      <c r="P523">
        <f>Proj[[#This Row],[Goals]]+Proj[[#This Row],[Assists]]</f>
        <v>19</v>
      </c>
      <c r="Q523" s="10">
        <f>ROUND(_xlfn.IFNA(INDEX(Table2[],MATCH(Proj[[#This Row],[Player]],Table2[Player],0),11)/60,IF(Proj[[#This Row],[Pos]] = "D", 'Per 60 PP'!$K$527,'Per 60 PP'!$K$526)/60)*Proj[[#This Row],[TOI PP]]*Proj[[#This Row],[GP]],0)</f>
        <v>0</v>
      </c>
      <c r="R523" s="10">
        <f>ROUND(_xlfn.IFNA(INDEX(Table2[],MATCH(Proj[[#This Row],[Player]],Table2[Player],0),7)/60,IF(Proj[[#This Row],[Pos]] = "D", 'Per 60 PP'!$G$527,'Per 60 PP'!$G$526)/60)*Proj[[#This Row],[TOI PP]]*Proj[[#This Row],[GP]],0)</f>
        <v>0</v>
      </c>
      <c r="S523" s="10">
        <f>Proj[[#This Row],[PPG]]+Proj[[#This Row],[PPA]]</f>
        <v>0</v>
      </c>
      <c r="T523">
        <f>ROUND((_xlfn.IFNA(INDEX(Table3[],MATCH(Proj[[#This Row],[Player]],Table3[Player],0),6)/60,IF(Proj[[#This Row],[Pos]] ="D", 'Per 60 PK'!$F$623, 'Per 60 PK'!$F$622)/60)+_xlfn.IFNA(INDEX(Table3[],MATCH(Proj[[#This Row],[Player]],Table3[Player],0),8)/60,IF(Proj[[#This Row],[Pos]] ="D", 'Per 60 PK'!$H$623, 'Per 60 PK'!$H$622)/60))*Proj[[#This Row],[TOI PK]]*Proj[[#This Row],[GP]],0)</f>
        <v>1</v>
      </c>
      <c r="U5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114</v>
      </c>
      <c r="V5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103</v>
      </c>
      <c r="W5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5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5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-350.10210191116596</v>
      </c>
      <c r="AB523" s="10">
        <f>_xlfn.RANK.EQ(Proj[[#This Row],[VOR]],Proj[VOR])</f>
        <v>348</v>
      </c>
      <c r="AC523" s="10">
        <f>INDEX(Std[],MATCH(Proj[[#This Row],[Player]],Std[Player],0),20)</f>
        <v>-242.73733419170145</v>
      </c>
      <c r="AD5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269.09999999999997</v>
      </c>
    </row>
    <row r="524" spans="1:30" x14ac:dyDescent="0.25">
      <c r="A524" t="s">
        <v>390</v>
      </c>
      <c r="B524">
        <v>26</v>
      </c>
      <c r="C524" t="s">
        <v>3</v>
      </c>
      <c r="D524" t="s">
        <v>154</v>
      </c>
      <c r="E524" s="9">
        <f>INDEX(Table1[],MATCH(Proj[[#This Row],[Player]],Table1[Player],0),5)</f>
        <v>19.186466139035002</v>
      </c>
      <c r="F524" s="9">
        <f>_xlfn.IFNA(INDEX(Table2[],MATCH(Proj[[#This Row],[Player]],Table2[Player],0),5),0)</f>
        <v>0.7</v>
      </c>
      <c r="G524" s="9">
        <f>_xlfn.IFNA(INDEX(Table3[],MATCH(Proj[[#This Row],[Player]],Table3[Player],0),5),0)</f>
        <v>3.06</v>
      </c>
      <c r="H524" s="10">
        <v>80</v>
      </c>
      <c r="I524">
        <v>80</v>
      </c>
      <c r="J524" s="9">
        <v>19.186466139035002</v>
      </c>
      <c r="K524" s="9">
        <v>0.7</v>
      </c>
      <c r="L524" s="9">
        <v>3.06</v>
      </c>
      <c r="M524" s="9">
        <f>Proj[[#This Row],[TOI ES]]+Proj[[#This Row],[TOI PP]]+Proj[[#This Row],[TOI PK]]</f>
        <v>22.946466139035</v>
      </c>
      <c r="N5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24" s="10">
        <f>Proj[[#This Row],[Goals]]+Proj[[#This Row],[Assists]]</f>
        <v>19</v>
      </c>
      <c r="Q524" s="10">
        <f>ROUND(_xlfn.IFNA(INDEX(Table2[],MATCH(Proj[[#This Row],[Player]],Table2[Player],0),11)/60,IF(Proj[[#This Row],[Pos]] = "D", 'Per 60 PP'!$K$527,'Per 60 PP'!$K$526)/60)*Proj[[#This Row],[TOI PP]]*Proj[[#This Row],[GP]],0)</f>
        <v>0</v>
      </c>
      <c r="R524" s="10">
        <f>ROUND(_xlfn.IFNA(INDEX(Table2[],MATCH(Proj[[#This Row],[Player]],Table2[Player],0),7)/60,IF(Proj[[#This Row],[Pos]] = "D", 'Per 60 PP'!$G$527,'Per 60 PP'!$G$526)/60)*Proj[[#This Row],[TOI PP]]*Proj[[#This Row],[GP]],0)</f>
        <v>1</v>
      </c>
      <c r="S524" s="10">
        <f>Proj[[#This Row],[PPG]]+Proj[[#This Row],[PPA]]</f>
        <v>1</v>
      </c>
      <c r="T524">
        <f>ROUND((_xlfn.IFNA(INDEX(Table3[],MATCH(Proj[[#This Row],[Player]],Table3[Player],0),6)/60,IF(Proj[[#This Row],[Pos]] ="D", 'Per 60 PK'!$F$623, 'Per 60 PK'!$F$622)/60)+_xlfn.IFNA(INDEX(Table3[],MATCH(Proj[[#This Row],[Player]],Table3[Player],0),8)/60,IF(Proj[[#This Row],[Pos]] ="D", 'Per 60 PK'!$H$623, 'Per 60 PK'!$H$622)/60))*Proj[[#This Row],[TOI PK]]*Proj[[#This Row],[GP]],0)</f>
        <v>0</v>
      </c>
      <c r="U5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116</v>
      </c>
      <c r="V5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196</v>
      </c>
      <c r="W5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5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103</v>
      </c>
      <c r="AA5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-111.31786372512127</v>
      </c>
      <c r="AB524" s="10">
        <f>_xlfn.RANK.EQ(Proj[[#This Row],[VOR]],Proj[VOR])</f>
        <v>203</v>
      </c>
      <c r="AC524" s="10">
        <f>INDEX(Std[],MATCH(Proj[[#This Row],[Player]],Std[Player],0),20)</f>
        <v>-3.9530960056567839</v>
      </c>
      <c r="AD5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339.5</v>
      </c>
    </row>
    <row r="525" spans="1:30" x14ac:dyDescent="0.25">
      <c r="A525" t="s">
        <v>711</v>
      </c>
      <c r="B525">
        <v>27</v>
      </c>
      <c r="C525" t="s">
        <v>103</v>
      </c>
      <c r="D525" t="s">
        <v>2</v>
      </c>
      <c r="E525" s="9">
        <f>INDEX(Table1[],MATCH(Proj[[#This Row],[Player]],Table1[Player],0),5)</f>
        <v>10.808082710547099</v>
      </c>
      <c r="F525" s="9">
        <f>_xlfn.IFNA(INDEX(Table2[],MATCH(Proj[[#This Row],[Player]],Table2[Player],0),5),0)</f>
        <v>0</v>
      </c>
      <c r="G525" s="9">
        <f>_xlfn.IFNA(INDEX(Table3[],MATCH(Proj[[#This Row],[Player]],Table3[Player],0),5),0)</f>
        <v>1.1599999999999999</v>
      </c>
      <c r="H525" s="10">
        <v>78</v>
      </c>
      <c r="I525">
        <v>78</v>
      </c>
      <c r="J525" s="9">
        <v>10.808082710547099</v>
      </c>
      <c r="K525" s="9">
        <v>0</v>
      </c>
      <c r="L525" s="9">
        <v>1.1599999999999999</v>
      </c>
      <c r="M525" s="9">
        <f>Proj[[#This Row],[TOI ES]]+Proj[[#This Row],[TOI PP]]+Proj[[#This Row],[TOI PK]]</f>
        <v>11.968082710547099</v>
      </c>
      <c r="N5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25" s="10">
        <f>Proj[[#This Row],[Goals]]+Proj[[#This Row],[Assists]]</f>
        <v>19</v>
      </c>
      <c r="Q525" s="10">
        <f>ROUND(_xlfn.IFNA(INDEX(Table2[],MATCH(Proj[[#This Row],[Player]],Table2[Player],0),11)/60,IF(Proj[[#This Row],[Pos]] = "D", 'Per 60 PP'!$K$527,'Per 60 PP'!$K$526)/60)*Proj[[#This Row],[TOI PP]]*Proj[[#This Row],[GP]],0)</f>
        <v>0</v>
      </c>
      <c r="R525" s="10">
        <f>ROUND(_xlfn.IFNA(INDEX(Table2[],MATCH(Proj[[#This Row],[Player]],Table2[Player],0),7)/60,IF(Proj[[#This Row],[Pos]] = "D", 'Per 60 PP'!$G$527,'Per 60 PP'!$G$526)/60)*Proj[[#This Row],[TOI PP]]*Proj[[#This Row],[GP]],0)</f>
        <v>0</v>
      </c>
      <c r="S525" s="10">
        <f>Proj[[#This Row],[PPG]]+Proj[[#This Row],[PPA]]</f>
        <v>0</v>
      </c>
      <c r="T525">
        <f>ROUND((_xlfn.IFNA(INDEX(Table3[],MATCH(Proj[[#This Row],[Player]],Table3[Player],0),6)/60,IF(Proj[[#This Row],[Pos]] ="D", 'Per 60 PK'!$F$623, 'Per 60 PK'!$F$622)/60)+_xlfn.IFNA(INDEX(Table3[],MATCH(Proj[[#This Row],[Player]],Table3[Player],0),8)/60,IF(Proj[[#This Row],[Pos]] ="D", 'Per 60 PK'!$H$623, 'Per 60 PK'!$H$622)/60))*Proj[[#This Row],[TOI PK]]*Proj[[#This Row],[GP]],0)</f>
        <v>1</v>
      </c>
      <c r="U5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5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5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5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81</v>
      </c>
      <c r="Y5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130</v>
      </c>
      <c r="Z5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5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-837.47618059940601</v>
      </c>
      <c r="AB525" s="10">
        <f>_xlfn.RANK.EQ(Proj[[#This Row],[VOR]],Proj[VOR])</f>
        <v>607</v>
      </c>
      <c r="AC525" s="10">
        <f>INDEX(Std[],MATCH(Proj[[#This Row],[Player]],Std[Player],0),20)</f>
        <v>-390.93145620915709</v>
      </c>
      <c r="AD5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243.79999999999998</v>
      </c>
    </row>
    <row r="526" spans="1:30" x14ac:dyDescent="0.25">
      <c r="A526" t="s">
        <v>790</v>
      </c>
      <c r="B526">
        <v>25</v>
      </c>
      <c r="C526" t="s">
        <v>74</v>
      </c>
      <c r="D526" t="s">
        <v>154</v>
      </c>
      <c r="E526" s="9">
        <f>INDEX(Table1[],MATCH(Proj[[#This Row],[Player]],Table1[Player],0),5)</f>
        <v>10.299476797883401</v>
      </c>
      <c r="F526" s="9">
        <f>_xlfn.IFNA(INDEX(Table2[],MATCH(Proj[[#This Row],[Player]],Table2[Player],0),5),0)</f>
        <v>0</v>
      </c>
      <c r="G526" s="9">
        <f>_xlfn.IFNA(INDEX(Table3[],MATCH(Proj[[#This Row],[Player]],Table3[Player],0),5),0)</f>
        <v>0</v>
      </c>
      <c r="H526" s="10">
        <v>68</v>
      </c>
      <c r="I526">
        <v>68</v>
      </c>
      <c r="J526" s="9">
        <v>10.299476797883401</v>
      </c>
      <c r="K526" s="9">
        <v>0</v>
      </c>
      <c r="L526" s="9">
        <v>0</v>
      </c>
      <c r="M526" s="9">
        <f>Proj[[#This Row],[TOI ES]]+Proj[[#This Row],[TOI PP]]+Proj[[#This Row],[TOI PK]]</f>
        <v>10.299476797883401</v>
      </c>
      <c r="N5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26" s="10">
        <f>Proj[[#This Row],[Goals]]+Proj[[#This Row],[Assists]]</f>
        <v>19</v>
      </c>
      <c r="Q526" s="10">
        <f>ROUND(_xlfn.IFNA(INDEX(Table2[],MATCH(Proj[[#This Row],[Player]],Table2[Player],0),11)/60,IF(Proj[[#This Row],[Pos]] = "D", 'Per 60 PP'!$K$527,'Per 60 PP'!$K$526)/60)*Proj[[#This Row],[TOI PP]]*Proj[[#This Row],[GP]],0)</f>
        <v>0</v>
      </c>
      <c r="R526" s="10">
        <f>ROUND(_xlfn.IFNA(INDEX(Table2[],MATCH(Proj[[#This Row],[Player]],Table2[Player],0),7)/60,IF(Proj[[#This Row],[Pos]] = "D", 'Per 60 PP'!$G$527,'Per 60 PP'!$G$526)/60)*Proj[[#This Row],[TOI PP]]*Proj[[#This Row],[GP]],0)</f>
        <v>0</v>
      </c>
      <c r="S526" s="10">
        <f>Proj[[#This Row],[PPG]]+Proj[[#This Row],[PPA]]</f>
        <v>0</v>
      </c>
      <c r="T526">
        <f>ROUND((_xlfn.IFNA(INDEX(Table3[],MATCH(Proj[[#This Row],[Player]],Table3[Player],0),6)/60,IF(Proj[[#This Row],[Pos]] ="D", 'Per 60 PK'!$F$623, 'Per 60 PK'!$F$622)/60)+_xlfn.IFNA(INDEX(Table3[],MATCH(Proj[[#This Row],[Player]],Table3[Player],0),8)/60,IF(Proj[[#This Row],[Pos]] ="D", 'Per 60 PK'!$H$623, 'Per 60 PK'!$H$622)/60))*Proj[[#This Row],[TOI PK]]*Proj[[#This Row],[GP]],0)</f>
        <v>0</v>
      </c>
      <c r="U5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137</v>
      </c>
      <c r="V5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5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65</v>
      </c>
      <c r="X5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5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5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56</v>
      </c>
      <c r="AA5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-1016.5300927127394</v>
      </c>
      <c r="AB526" s="10">
        <f>_xlfn.RANK.EQ(Proj[[#This Row],[VOR]],Proj[VOR])</f>
        <v>662</v>
      </c>
      <c r="AC526" s="10">
        <f>INDEX(Std[],MATCH(Proj[[#This Row],[Player]],Std[Player],0),20)</f>
        <v>-281.8962384024407</v>
      </c>
      <c r="AD5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242.59999999999997</v>
      </c>
    </row>
    <row r="527" spans="1:30" x14ac:dyDescent="0.25">
      <c r="A527" t="s">
        <v>655</v>
      </c>
      <c r="B527">
        <v>31</v>
      </c>
      <c r="C527" t="s">
        <v>102</v>
      </c>
      <c r="D527" t="s">
        <v>153</v>
      </c>
      <c r="E527" s="9">
        <f>INDEX(Table1[],MATCH(Proj[[#This Row],[Player]],Table1[Player],0),5)</f>
        <v>11.019268135208501</v>
      </c>
      <c r="F527" s="9">
        <f>_xlfn.IFNA(INDEX(Table2[],MATCH(Proj[[#This Row],[Player]],Table2[Player],0),5),0)</f>
        <v>0</v>
      </c>
      <c r="G527" s="9">
        <f>_xlfn.IFNA(INDEX(Table3[],MATCH(Proj[[#This Row],[Player]],Table3[Player],0),5),0)</f>
        <v>1.0900000000000001</v>
      </c>
      <c r="H527" s="10">
        <v>76</v>
      </c>
      <c r="I527">
        <v>76</v>
      </c>
      <c r="J527" s="9">
        <v>11.019268135208501</v>
      </c>
      <c r="K527" s="9">
        <v>0</v>
      </c>
      <c r="L527" s="9">
        <v>1.0900000000000001</v>
      </c>
      <c r="M527" s="9">
        <f>Proj[[#This Row],[TOI ES]]+Proj[[#This Row],[TOI PP]]+Proj[[#This Row],[TOI PK]]</f>
        <v>12.109268135208501</v>
      </c>
      <c r="N5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5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27">
        <f>Proj[[#This Row],[Goals]]+Proj[[#This Row],[Assists]]</f>
        <v>19</v>
      </c>
      <c r="Q527" s="10">
        <f>ROUND(_xlfn.IFNA(INDEX(Table2[],MATCH(Proj[[#This Row],[Player]],Table2[Player],0),11)/60,IF(Proj[[#This Row],[Pos]] = "D", 'Per 60 PP'!$K$527,'Per 60 PP'!$K$526)/60)*Proj[[#This Row],[TOI PP]]*Proj[[#This Row],[GP]],0)</f>
        <v>0</v>
      </c>
      <c r="R527" s="10">
        <f>ROUND(_xlfn.IFNA(INDEX(Table2[],MATCH(Proj[[#This Row],[Player]],Table2[Player],0),7)/60,IF(Proj[[#This Row],[Pos]] = "D", 'Per 60 PP'!$G$527,'Per 60 PP'!$G$526)/60)*Proj[[#This Row],[TOI PP]]*Proj[[#This Row],[GP]],0)</f>
        <v>0</v>
      </c>
      <c r="S527" s="10">
        <f>Proj[[#This Row],[PPG]]+Proj[[#This Row],[PPA]]</f>
        <v>0</v>
      </c>
      <c r="T527">
        <f>ROUND((_xlfn.IFNA(INDEX(Table3[],MATCH(Proj[[#This Row],[Player]],Table3[Player],0),6)/60,IF(Proj[[#This Row],[Pos]] ="D", 'Per 60 PK'!$F$623, 'Per 60 PK'!$F$622)/60)+_xlfn.IFNA(INDEX(Table3[],MATCH(Proj[[#This Row],[Player]],Table3[Player],0),8)/60,IF(Proj[[#This Row],[Pos]] ="D", 'Per 60 PK'!$H$623, 'Per 60 PK'!$H$622)/60))*Proj[[#This Row],[TOI PK]]*Proj[[#This Row],[GP]],0)</f>
        <v>1</v>
      </c>
      <c r="U5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138</v>
      </c>
      <c r="V5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5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5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113</v>
      </c>
      <c r="Y5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128</v>
      </c>
      <c r="Z5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91</v>
      </c>
      <c r="AA5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-779.8493193240713</v>
      </c>
      <c r="AB527" s="10">
        <f>_xlfn.RANK.EQ(Proj[[#This Row],[VOR]],Proj[VOR])</f>
        <v>574</v>
      </c>
      <c r="AC527" s="10">
        <f>INDEX(Std[],MATCH(Proj[[#This Row],[Player]],Std[Player],0),20)</f>
        <v>-308.30459493382244</v>
      </c>
      <c r="AD5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268.25000000000006</v>
      </c>
    </row>
    <row r="528" spans="1:30" x14ac:dyDescent="0.25">
      <c r="A528" t="s">
        <v>987</v>
      </c>
      <c r="B528">
        <v>25</v>
      </c>
      <c r="C528" t="s">
        <v>103</v>
      </c>
      <c r="D528" t="s">
        <v>31</v>
      </c>
      <c r="E528" s="9">
        <f>INDEX(Table1[],MATCH(Proj[[#This Row],[Player]],Table1[Player],0),5)</f>
        <v>10.6036853945971</v>
      </c>
      <c r="F528" s="9">
        <f>_xlfn.IFNA(INDEX(Table2[],MATCH(Proj[[#This Row],[Player]],Table2[Player],0),5),0)</f>
        <v>1.65</v>
      </c>
      <c r="G528" s="9">
        <f>_xlfn.IFNA(INDEX(Table3[],MATCH(Proj[[#This Row],[Player]],Table3[Player],0),5),0)</f>
        <v>0.62</v>
      </c>
      <c r="H528" s="10">
        <v>72</v>
      </c>
      <c r="I528">
        <v>72</v>
      </c>
      <c r="J528" s="9">
        <v>10.6036853945971</v>
      </c>
      <c r="K528" s="9">
        <v>1.65</v>
      </c>
      <c r="L528" s="9">
        <v>0.62</v>
      </c>
      <c r="M528" s="9">
        <f>Proj[[#This Row],[TOI ES]]+Proj[[#This Row],[TOI PP]]+Proj[[#This Row],[TOI PK]]</f>
        <v>12.8736853945971</v>
      </c>
      <c r="N5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28" s="10">
        <f>Proj[[#This Row],[Goals]]+Proj[[#This Row],[Assists]]</f>
        <v>19</v>
      </c>
      <c r="Q528" s="10">
        <f>ROUND(_xlfn.IFNA(INDEX(Table2[],MATCH(Proj[[#This Row],[Player]],Table2[Player],0),11)/60,IF(Proj[[#This Row],[Pos]] = "D", 'Per 60 PP'!$K$527,'Per 60 PP'!$K$526)/60)*Proj[[#This Row],[TOI PP]]*Proj[[#This Row],[GP]],0)</f>
        <v>2</v>
      </c>
      <c r="R528" s="10">
        <f>ROUND(_xlfn.IFNA(INDEX(Table2[],MATCH(Proj[[#This Row],[Player]],Table2[Player],0),7)/60,IF(Proj[[#This Row],[Pos]] = "D", 'Per 60 PP'!$G$527,'Per 60 PP'!$G$526)/60)*Proj[[#This Row],[TOI PP]]*Proj[[#This Row],[GP]],0)</f>
        <v>4</v>
      </c>
      <c r="S528" s="10">
        <f>Proj[[#This Row],[PPG]]+Proj[[#This Row],[PPA]]</f>
        <v>6</v>
      </c>
      <c r="T528">
        <f>ROUND((_xlfn.IFNA(INDEX(Table3[],MATCH(Proj[[#This Row],[Player]],Table3[Player],0),6)/60,IF(Proj[[#This Row],[Pos]] ="D", 'Per 60 PK'!$F$623, 'Per 60 PK'!$F$622)/60)+_xlfn.IFNA(INDEX(Table3[],MATCH(Proj[[#This Row],[Player]],Table3[Player],0),8)/60,IF(Proj[[#This Row],[Pos]] ="D", 'Per 60 PK'!$H$623, 'Per 60 PK'!$H$622)/60))*Proj[[#This Row],[TOI PK]]*Proj[[#This Row],[GP]],0)</f>
        <v>1</v>
      </c>
      <c r="U5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139</v>
      </c>
      <c r="V5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5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5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165</v>
      </c>
      <c r="Y5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209</v>
      </c>
      <c r="Z5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72</v>
      </c>
      <c r="AA5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-659.71149220202597</v>
      </c>
      <c r="AB528" s="10">
        <f>_xlfn.RANK.EQ(Proj[[#This Row],[VOR]],Proj[VOR])</f>
        <v>505</v>
      </c>
      <c r="AC528" s="10">
        <f>INDEX(Std[],MATCH(Proj[[#This Row],[Player]],Std[Player],0),20)</f>
        <v>-213.16676781177713</v>
      </c>
      <c r="AD5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268.04999999999995</v>
      </c>
    </row>
    <row r="529" spans="1:30" x14ac:dyDescent="0.25">
      <c r="A529" t="s">
        <v>726</v>
      </c>
      <c r="B529">
        <v>29</v>
      </c>
      <c r="C529" t="s">
        <v>74</v>
      </c>
      <c r="D529" t="s">
        <v>156</v>
      </c>
      <c r="E529" s="9">
        <f>INDEX(Table1[],MATCH(Proj[[#This Row],[Player]],Table1[Player],0),5)</f>
        <v>11.1017897291495</v>
      </c>
      <c r="F529" s="9">
        <f>_xlfn.IFNA(INDEX(Table2[],MATCH(Proj[[#This Row],[Player]],Table2[Player],0),5),0)</f>
        <v>0</v>
      </c>
      <c r="G529" s="9">
        <f>_xlfn.IFNA(INDEX(Table3[],MATCH(Proj[[#This Row],[Player]],Table3[Player],0),5),0)</f>
        <v>1.0900000000000001</v>
      </c>
      <c r="H529" s="10">
        <v>72</v>
      </c>
      <c r="I529">
        <v>72</v>
      </c>
      <c r="J529" s="9">
        <v>11.1017897291495</v>
      </c>
      <c r="K529" s="9">
        <v>0</v>
      </c>
      <c r="L529" s="9">
        <v>1.0900000000000001</v>
      </c>
      <c r="M529" s="9">
        <f>Proj[[#This Row],[TOI ES]]+Proj[[#This Row],[TOI PP]]+Proj[[#This Row],[TOI PK]]</f>
        <v>12.1917897291495</v>
      </c>
      <c r="N5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29">
        <f>Proj[[#This Row],[Goals]]+Proj[[#This Row],[Assists]]</f>
        <v>19</v>
      </c>
      <c r="Q529" s="10">
        <f>ROUND(_xlfn.IFNA(INDEX(Table2[],MATCH(Proj[[#This Row],[Player]],Table2[Player],0),11)/60,IF(Proj[[#This Row],[Pos]] = "D", 'Per 60 PP'!$K$527,'Per 60 PP'!$K$526)/60)*Proj[[#This Row],[TOI PP]]*Proj[[#This Row],[GP]],0)</f>
        <v>0</v>
      </c>
      <c r="R529" s="10">
        <f>ROUND(_xlfn.IFNA(INDEX(Table2[],MATCH(Proj[[#This Row],[Player]],Table2[Player],0),7)/60,IF(Proj[[#This Row],[Pos]] = "D", 'Per 60 PP'!$G$527,'Per 60 PP'!$G$526)/60)*Proj[[#This Row],[TOI PP]]*Proj[[#This Row],[GP]],0)</f>
        <v>0</v>
      </c>
      <c r="S529" s="10">
        <f>Proj[[#This Row],[PPG]]+Proj[[#This Row],[PPA]]</f>
        <v>0</v>
      </c>
      <c r="T529">
        <f>ROUND((_xlfn.IFNA(INDEX(Table3[],MATCH(Proj[[#This Row],[Player]],Table3[Player],0),6)/60,IF(Proj[[#This Row],[Pos]] ="D", 'Per 60 PK'!$F$623, 'Per 60 PK'!$F$622)/60)+_xlfn.IFNA(INDEX(Table3[],MATCH(Proj[[#This Row],[Player]],Table3[Player],0),8)/60,IF(Proj[[#This Row],[Pos]] ="D", 'Per 60 PK'!$H$623, 'Per 60 PK'!$H$622)/60))*Proj[[#This Row],[TOI PK]]*Proj[[#This Row],[GP]],0)</f>
        <v>1</v>
      </c>
      <c r="U5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159</v>
      </c>
      <c r="V5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5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5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170</v>
      </c>
      <c r="Y5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177</v>
      </c>
      <c r="Z5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79</v>
      </c>
      <c r="AA5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-907.69042065186602</v>
      </c>
      <c r="AB529" s="10">
        <f>_xlfn.RANK.EQ(Proj[[#This Row],[VOR]],Proj[VOR])</f>
        <v>629</v>
      </c>
      <c r="AC529" s="10">
        <f>INDEX(Std[],MATCH(Proj[[#This Row],[Player]],Std[Player],0),20)</f>
        <v>-173.05656634156742</v>
      </c>
      <c r="AD5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293.59999999999997</v>
      </c>
    </row>
    <row r="530" spans="1:30" x14ac:dyDescent="0.25">
      <c r="A530" t="s">
        <v>415</v>
      </c>
      <c r="B530">
        <v>29</v>
      </c>
      <c r="C530" t="s">
        <v>3</v>
      </c>
      <c r="D530" t="s">
        <v>12</v>
      </c>
      <c r="E530" s="9">
        <f>INDEX(Table1[],MATCH(Proj[[#This Row],[Player]],Table1[Player],0),5)</f>
        <v>15.8206534804011</v>
      </c>
      <c r="F530" s="9">
        <f>_xlfn.IFNA(INDEX(Table2[],MATCH(Proj[[#This Row],[Player]],Table2[Player],0),5),0)</f>
        <v>0</v>
      </c>
      <c r="G530" s="9">
        <f>_xlfn.IFNA(INDEX(Table3[],MATCH(Proj[[#This Row],[Player]],Table3[Player],0),5),0)</f>
        <v>1.73</v>
      </c>
      <c r="H530" s="10">
        <v>78</v>
      </c>
      <c r="I530">
        <v>78</v>
      </c>
      <c r="J530" s="9">
        <v>15.8206534804011</v>
      </c>
      <c r="K530" s="9">
        <v>0</v>
      </c>
      <c r="L530" s="9">
        <v>1.73</v>
      </c>
      <c r="M530" s="9">
        <f>Proj[[#This Row],[TOI ES]]+Proj[[#This Row],[TOI PP]]+Proj[[#This Row],[TOI PK]]</f>
        <v>17.550653480401099</v>
      </c>
      <c r="N5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5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30" s="10">
        <f>Proj[[#This Row],[Goals]]+Proj[[#This Row],[Assists]]</f>
        <v>19</v>
      </c>
      <c r="Q530" s="10">
        <f>ROUND(_xlfn.IFNA(INDEX(Table2[],MATCH(Proj[[#This Row],[Player]],Table2[Player],0),11)/60,IF(Proj[[#This Row],[Pos]] = "D", 'Per 60 PP'!$K$527,'Per 60 PP'!$K$526)/60)*Proj[[#This Row],[TOI PP]]*Proj[[#This Row],[GP]],0)</f>
        <v>0</v>
      </c>
      <c r="R530" s="10">
        <f>ROUND(_xlfn.IFNA(INDEX(Table2[],MATCH(Proj[[#This Row],[Player]],Table2[Player],0),7)/60,IF(Proj[[#This Row],[Pos]] = "D", 'Per 60 PP'!$G$527,'Per 60 PP'!$G$526)/60)*Proj[[#This Row],[TOI PP]]*Proj[[#This Row],[GP]],0)</f>
        <v>0</v>
      </c>
      <c r="S530" s="10">
        <f>Proj[[#This Row],[PPG]]+Proj[[#This Row],[PPA]]</f>
        <v>0</v>
      </c>
      <c r="T530">
        <f>ROUND((_xlfn.IFNA(INDEX(Table3[],MATCH(Proj[[#This Row],[Player]],Table3[Player],0),6)/60,IF(Proj[[#This Row],[Pos]] ="D", 'Per 60 PK'!$F$623, 'Per 60 PK'!$F$622)/60)+_xlfn.IFNA(INDEX(Table3[],MATCH(Proj[[#This Row],[Player]],Table3[Player],0),8)/60,IF(Proj[[#This Row],[Pos]] ="D", 'Per 60 PK'!$H$623, 'Per 60 PK'!$H$622)/60))*Proj[[#This Row],[TOI PK]]*Proj[[#This Row],[GP]],0)</f>
        <v>1</v>
      </c>
      <c r="U5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160</v>
      </c>
      <c r="V5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76</v>
      </c>
      <c r="W5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90</v>
      </c>
      <c r="X5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99</v>
      </c>
      <c r="AA5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-48.959266710210983</v>
      </c>
      <c r="AB530" s="10">
        <f>_xlfn.RANK.EQ(Proj[[#This Row],[VOR]],Proj[VOR])</f>
        <v>183</v>
      </c>
      <c r="AC530" s="10">
        <f>INDEX(Std[],MATCH(Proj[[#This Row],[Player]],Std[Player],0),20)</f>
        <v>58.405501009253499</v>
      </c>
      <c r="AD5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315.35000000000002</v>
      </c>
    </row>
    <row r="531" spans="1:30" x14ac:dyDescent="0.25">
      <c r="A531" t="s">
        <v>542</v>
      </c>
      <c r="B531">
        <v>36</v>
      </c>
      <c r="C531" t="s">
        <v>102</v>
      </c>
      <c r="D531" t="s">
        <v>1101</v>
      </c>
      <c r="E531" s="9">
        <f>INDEX(Table1[],MATCH(Proj[[#This Row],[Player]],Table1[Player],0),5)</f>
        <v>11.060628819320501</v>
      </c>
      <c r="F531" s="9">
        <f>_xlfn.IFNA(INDEX(Table2[],MATCH(Proj[[#This Row],[Player]],Table2[Player],0),5),0)</f>
        <v>0</v>
      </c>
      <c r="G531" s="9">
        <f>_xlfn.IFNA(INDEX(Table3[],MATCH(Proj[[#This Row],[Player]],Table3[Player],0),5),0)</f>
        <v>0</v>
      </c>
      <c r="H531" s="10">
        <v>80</v>
      </c>
      <c r="I531">
        <v>80</v>
      </c>
      <c r="J531" s="9">
        <v>11.060628819320501</v>
      </c>
      <c r="K531" s="9">
        <v>0</v>
      </c>
      <c r="L531" s="9">
        <v>0</v>
      </c>
      <c r="M531" s="9">
        <f>Proj[[#This Row],[TOI ES]]+Proj[[#This Row],[TOI PP]]+Proj[[#This Row],[TOI PK]]</f>
        <v>11.060628819320501</v>
      </c>
      <c r="N5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31" s="10">
        <f>Proj[[#This Row],[Goals]]+Proj[[#This Row],[Assists]]</f>
        <v>19</v>
      </c>
      <c r="Q531" s="10">
        <f>ROUND(_xlfn.IFNA(INDEX(Table2[],MATCH(Proj[[#This Row],[Player]],Table2[Player],0),11)/60,IF(Proj[[#This Row],[Pos]] = "D", 'Per 60 PP'!$K$527,'Per 60 PP'!$K$526)/60)*Proj[[#This Row],[TOI PP]]*Proj[[#This Row],[GP]],0)</f>
        <v>0</v>
      </c>
      <c r="R531" s="10">
        <f>ROUND(_xlfn.IFNA(INDEX(Table2[],MATCH(Proj[[#This Row],[Player]],Table2[Player],0),7)/60,IF(Proj[[#This Row],[Pos]] = "D", 'Per 60 PP'!$G$527,'Per 60 PP'!$G$526)/60)*Proj[[#This Row],[TOI PP]]*Proj[[#This Row],[GP]],0)</f>
        <v>0</v>
      </c>
      <c r="S531" s="10">
        <f>Proj[[#This Row],[PPG]]+Proj[[#This Row],[PPA]]</f>
        <v>0</v>
      </c>
      <c r="T531">
        <f>ROUND((_xlfn.IFNA(INDEX(Table3[],MATCH(Proj[[#This Row],[Player]],Table3[Player],0),6)/60,IF(Proj[[#This Row],[Pos]] ="D", 'Per 60 PK'!$F$623, 'Per 60 PK'!$F$622)/60)+_xlfn.IFNA(INDEX(Table3[],MATCH(Proj[[#This Row],[Player]],Table3[Player],0),8)/60,IF(Proj[[#This Row],[Pos]] ="D", 'Per 60 PK'!$H$623, 'Per 60 PK'!$H$622)/60))*Proj[[#This Row],[TOI PK]]*Proj[[#This Row],[GP]],0)</f>
        <v>0</v>
      </c>
      <c r="U5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167</v>
      </c>
      <c r="V5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5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59</v>
      </c>
      <c r="X5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v>
      </c>
      <c r="Y5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5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5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-690.21289144560478</v>
      </c>
      <c r="AB531" s="10">
        <f>_xlfn.RANK.EQ(Proj[[#This Row],[VOR]],Proj[VOR])</f>
        <v>521</v>
      </c>
      <c r="AC531" s="10">
        <f>INDEX(Std[],MATCH(Proj[[#This Row],[Player]],Std[Player],0),20)</f>
        <v>-218.66816705535587</v>
      </c>
      <c r="AD5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267.25</v>
      </c>
    </row>
    <row r="532" spans="1:30" x14ac:dyDescent="0.25">
      <c r="A532" t="s">
        <v>609</v>
      </c>
      <c r="B532">
        <v>37</v>
      </c>
      <c r="C532" t="s">
        <v>103</v>
      </c>
      <c r="D532" t="s">
        <v>20</v>
      </c>
      <c r="E532" s="9">
        <f>INDEX(Table1[],MATCH(Proj[[#This Row],[Player]],Table1[Player],0),5)</f>
        <v>10.214403452791601</v>
      </c>
      <c r="F532" s="9">
        <f>_xlfn.IFNA(INDEX(Table2[],MATCH(Proj[[#This Row],[Player]],Table2[Player],0),5),0)</f>
        <v>0</v>
      </c>
      <c r="G532" s="9">
        <f>_xlfn.IFNA(INDEX(Table3[],MATCH(Proj[[#This Row],[Player]],Table3[Player],0),5),0)</f>
        <v>1.81</v>
      </c>
      <c r="H532" s="10">
        <v>81</v>
      </c>
      <c r="I532">
        <v>81</v>
      </c>
      <c r="J532" s="9">
        <v>10.214403452791601</v>
      </c>
      <c r="K532" s="9">
        <v>0</v>
      </c>
      <c r="L532" s="9">
        <v>1.81</v>
      </c>
      <c r="M532" s="9">
        <f>Proj[[#This Row],[TOI ES]]+Proj[[#This Row],[TOI PP]]+Proj[[#This Row],[TOI PK]]</f>
        <v>12.024403452791601</v>
      </c>
      <c r="N5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32">
        <f>Proj[[#This Row],[Goals]]+Proj[[#This Row],[Assists]]</f>
        <v>19</v>
      </c>
      <c r="Q532" s="10">
        <f>ROUND(_xlfn.IFNA(INDEX(Table2[],MATCH(Proj[[#This Row],[Player]],Table2[Player],0),11)/60,IF(Proj[[#This Row],[Pos]] = "D", 'Per 60 PP'!$K$527,'Per 60 PP'!$K$526)/60)*Proj[[#This Row],[TOI PP]]*Proj[[#This Row],[GP]],0)</f>
        <v>0</v>
      </c>
      <c r="R532" s="10">
        <f>ROUND(_xlfn.IFNA(INDEX(Table2[],MATCH(Proj[[#This Row],[Player]],Table2[Player],0),7)/60,IF(Proj[[#This Row],[Pos]] = "D", 'Per 60 PP'!$G$527,'Per 60 PP'!$G$526)/60)*Proj[[#This Row],[TOI PP]]*Proj[[#This Row],[GP]],0)</f>
        <v>0</v>
      </c>
      <c r="S532" s="10">
        <f>Proj[[#This Row],[PPG]]+Proj[[#This Row],[PPA]]</f>
        <v>0</v>
      </c>
      <c r="T532">
        <f>ROUND((_xlfn.IFNA(INDEX(Table3[],MATCH(Proj[[#This Row],[Player]],Table3[Player],0),6)/60,IF(Proj[[#This Row],[Pos]] ="D", 'Per 60 PK'!$F$623, 'Per 60 PK'!$F$622)/60)+_xlfn.IFNA(INDEX(Table3[],MATCH(Proj[[#This Row],[Player]],Table3[Player],0),8)/60,IF(Proj[[#This Row],[Pos]] ="D", 'Per 60 PK'!$H$623, 'Per 60 PK'!$H$622)/60))*Proj[[#This Row],[TOI PK]]*Proj[[#This Row],[GP]],0)</f>
        <v>1</v>
      </c>
      <c r="U5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249</v>
      </c>
      <c r="V5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5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5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v>
      </c>
      <c r="Y5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5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66</v>
      </c>
      <c r="AA5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-598.68592532432535</v>
      </c>
      <c r="AB532" s="10">
        <f>_xlfn.RANK.EQ(Proj[[#This Row],[VOR]],Proj[VOR])</f>
        <v>480</v>
      </c>
      <c r="AC532" s="10">
        <f>INDEX(Std[],MATCH(Proj[[#This Row],[Player]],Std[Player],0),20)</f>
        <v>-152.14120093407649</v>
      </c>
      <c r="AD5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316.35000000000002</v>
      </c>
    </row>
    <row r="533" spans="1:30" x14ac:dyDescent="0.25">
      <c r="A533" t="s">
        <v>526</v>
      </c>
      <c r="B533">
        <v>27</v>
      </c>
      <c r="C533" t="s">
        <v>103</v>
      </c>
      <c r="D533" t="s">
        <v>28</v>
      </c>
      <c r="E533" s="9">
        <f>INDEX(Table1[],MATCH(Proj[[#This Row],[Player]],Table1[Player],0),5)</f>
        <v>10.645929987103701</v>
      </c>
      <c r="F533" s="9">
        <f>_xlfn.IFNA(INDEX(Table2[],MATCH(Proj[[#This Row],[Player]],Table2[Player],0),5),0)</f>
        <v>0</v>
      </c>
      <c r="G533" s="9">
        <f>_xlfn.IFNA(INDEX(Table3[],MATCH(Proj[[#This Row],[Player]],Table3[Player],0),5),0)</f>
        <v>0.47</v>
      </c>
      <c r="H533" s="10">
        <v>80</v>
      </c>
      <c r="I533">
        <v>80</v>
      </c>
      <c r="J533" s="9">
        <v>10.645929987103701</v>
      </c>
      <c r="K533" s="9">
        <v>0</v>
      </c>
      <c r="L533" s="9">
        <v>0.47</v>
      </c>
      <c r="M533" s="9">
        <f>Proj[[#This Row],[TOI ES]]+Proj[[#This Row],[TOI PP]]+Proj[[#This Row],[TOI PK]]</f>
        <v>11.115929987103701</v>
      </c>
      <c r="N5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33" s="10">
        <f>Proj[[#This Row],[Goals]]+Proj[[#This Row],[Assists]]</f>
        <v>19</v>
      </c>
      <c r="Q533" s="10">
        <f>ROUND(_xlfn.IFNA(INDEX(Table2[],MATCH(Proj[[#This Row],[Player]],Table2[Player],0),11)/60,IF(Proj[[#This Row],[Pos]] = "D", 'Per 60 PP'!$K$527,'Per 60 PP'!$K$526)/60)*Proj[[#This Row],[TOI PP]]*Proj[[#This Row],[GP]],0)</f>
        <v>0</v>
      </c>
      <c r="R533" s="10">
        <f>ROUND(_xlfn.IFNA(INDEX(Table2[],MATCH(Proj[[#This Row],[Player]],Table2[Player],0),7)/60,IF(Proj[[#This Row],[Pos]] = "D", 'Per 60 PP'!$G$527,'Per 60 PP'!$G$526)/60)*Proj[[#This Row],[TOI PP]]*Proj[[#This Row],[GP]],0)</f>
        <v>0</v>
      </c>
      <c r="S533" s="10">
        <f>Proj[[#This Row],[PPG]]+Proj[[#This Row],[PPA]]</f>
        <v>0</v>
      </c>
      <c r="T533">
        <f>ROUND((_xlfn.IFNA(INDEX(Table3[],MATCH(Proj[[#This Row],[Player]],Table3[Player],0),6)/60,IF(Proj[[#This Row],[Pos]] ="D", 'Per 60 PK'!$F$623, 'Per 60 PK'!$F$622)/60)+_xlfn.IFNA(INDEX(Table3[],MATCH(Proj[[#This Row],[Player]],Table3[Player],0),8)/60,IF(Proj[[#This Row],[Pos]] ="D", 'Per 60 PK'!$H$623, 'Per 60 PK'!$H$622)/60))*Proj[[#This Row],[TOI PK]]*Proj[[#This Row],[GP]],0)</f>
        <v>1</v>
      </c>
      <c r="U5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253</v>
      </c>
      <c r="V5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5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62</v>
      </c>
      <c r="X5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5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5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73</v>
      </c>
      <c r="AA5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-446.61686971273753</v>
      </c>
      <c r="AB533" s="10">
        <f>_xlfn.RANK.EQ(Proj[[#This Row],[VOR]],Proj[VOR])</f>
        <v>392</v>
      </c>
      <c r="AC533" s="10">
        <f>INDEX(Std[],MATCH(Proj[[#This Row],[Player]],Std[Player],0),20)</f>
        <v>-7.2145322488648134E-2</v>
      </c>
      <c r="AD5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329.59999999999997</v>
      </c>
    </row>
    <row r="534" spans="1:30" x14ac:dyDescent="0.25">
      <c r="A534" t="s">
        <v>886</v>
      </c>
      <c r="B534">
        <v>30</v>
      </c>
      <c r="C534" t="s">
        <v>74</v>
      </c>
      <c r="D534" t="s">
        <v>7</v>
      </c>
      <c r="E534" s="9">
        <f>INDEX(Table1[],MATCH(Proj[[#This Row],[Player]],Table1[Player],0),5)</f>
        <v>11.1815250816905</v>
      </c>
      <c r="F534" s="9">
        <f>_xlfn.IFNA(INDEX(Table2[],MATCH(Proj[[#This Row],[Player]],Table2[Player],0),5),0)</f>
        <v>0</v>
      </c>
      <c r="G534" s="9">
        <f>_xlfn.IFNA(INDEX(Table3[],MATCH(Proj[[#This Row],[Player]],Table3[Player],0),5),0)</f>
        <v>1.37</v>
      </c>
      <c r="H534" s="10">
        <v>50</v>
      </c>
      <c r="I534">
        <v>50</v>
      </c>
      <c r="J534" s="9">
        <v>11.1815250816905</v>
      </c>
      <c r="K534" s="9">
        <v>0</v>
      </c>
      <c r="L534" s="9">
        <v>1.37</v>
      </c>
      <c r="M534" s="9">
        <f>Proj[[#This Row],[TOI ES]]+Proj[[#This Row],[TOI PP]]+Proj[[#This Row],[TOI PK]]</f>
        <v>12.5515250816905</v>
      </c>
      <c r="N5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34" s="10">
        <f>Proj[[#This Row],[Goals]]+Proj[[#This Row],[Assists]]</f>
        <v>18</v>
      </c>
      <c r="Q534" s="10">
        <f>ROUND(_xlfn.IFNA(INDEX(Table2[],MATCH(Proj[[#This Row],[Player]],Table2[Player],0),11)/60,IF(Proj[[#This Row],[Pos]] = "D", 'Per 60 PP'!$K$527,'Per 60 PP'!$K$526)/60)*Proj[[#This Row],[TOI PP]]*Proj[[#This Row],[GP]],0)</f>
        <v>0</v>
      </c>
      <c r="R534" s="10">
        <f>ROUND(_xlfn.IFNA(INDEX(Table2[],MATCH(Proj[[#This Row],[Player]],Table2[Player],0),7)/60,IF(Proj[[#This Row],[Pos]] = "D", 'Per 60 PP'!$G$527,'Per 60 PP'!$G$526)/60)*Proj[[#This Row],[TOI PP]]*Proj[[#This Row],[GP]],0)</f>
        <v>0</v>
      </c>
      <c r="S534" s="10">
        <f>Proj[[#This Row],[PPG]]+Proj[[#This Row],[PPA]]</f>
        <v>0</v>
      </c>
      <c r="T534">
        <f>ROUND((_xlfn.IFNA(INDEX(Table3[],MATCH(Proj[[#This Row],[Player]],Table3[Player],0),6)/60,IF(Proj[[#This Row],[Pos]] ="D", 'Per 60 PK'!$F$623, 'Per 60 PK'!$F$622)/60)+_xlfn.IFNA(INDEX(Table3[],MATCH(Proj[[#This Row],[Player]],Table3[Player],0),8)/60,IF(Proj[[#This Row],[Pos]] ="D", 'Per 60 PK'!$H$623, 'Per 60 PK'!$H$622)/60))*Proj[[#This Row],[TOI PK]]*Proj[[#This Row],[GP]],0)</f>
        <v>2</v>
      </c>
      <c r="U5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5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5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5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138</v>
      </c>
      <c r="Y5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132</v>
      </c>
      <c r="Z5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60</v>
      </c>
      <c r="AA5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-1419.5574594926775</v>
      </c>
      <c r="AB534" s="10">
        <f>_xlfn.RANK.EQ(Proj[[#This Row],[VOR]],Proj[VOR])</f>
        <v>731</v>
      </c>
      <c r="AC534" s="10">
        <f>INDEX(Std[],MATCH(Proj[[#This Row],[Player]],Std[Player],0),20)</f>
        <v>-684.92360518237876</v>
      </c>
      <c r="AD5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161.70000000000002</v>
      </c>
    </row>
    <row r="535" spans="1:30" x14ac:dyDescent="0.25">
      <c r="A535" t="s">
        <v>722</v>
      </c>
      <c r="B535">
        <v>35</v>
      </c>
      <c r="C535" t="s">
        <v>74</v>
      </c>
      <c r="D535" t="s">
        <v>1101</v>
      </c>
      <c r="E535" s="9">
        <f>INDEX(Table1[],MATCH(Proj[[#This Row],[Player]],Table1[Player],0),5)</f>
        <v>9.7506559688174406</v>
      </c>
      <c r="F535" s="9">
        <f>_xlfn.IFNA(INDEX(Table2[],MATCH(Proj[[#This Row],[Player]],Table2[Player],0),5),0)</f>
        <v>1.51</v>
      </c>
      <c r="G535" s="9">
        <f>_xlfn.IFNA(INDEX(Table3[],MATCH(Proj[[#This Row],[Player]],Table3[Player],0),5),0)</f>
        <v>0</v>
      </c>
      <c r="H535" s="10">
        <v>50</v>
      </c>
      <c r="I535">
        <v>50</v>
      </c>
      <c r="J535" s="9">
        <v>9.7506559688174406</v>
      </c>
      <c r="K535" s="9">
        <v>1.51</v>
      </c>
      <c r="L535" s="9">
        <v>0</v>
      </c>
      <c r="M535" s="9">
        <f>Proj[[#This Row],[TOI ES]]+Proj[[#This Row],[TOI PP]]+Proj[[#This Row],[TOI PK]]</f>
        <v>11.26065596881744</v>
      </c>
      <c r="N5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35">
        <f>Proj[[#This Row],[Goals]]+Proj[[#This Row],[Assists]]</f>
        <v>18</v>
      </c>
      <c r="Q535" s="10">
        <f>ROUND(_xlfn.IFNA(INDEX(Table2[],MATCH(Proj[[#This Row],[Player]],Table2[Player],0),11)/60,IF(Proj[[#This Row],[Pos]] = "D", 'Per 60 PP'!$K$527,'Per 60 PP'!$K$526)/60)*Proj[[#This Row],[TOI PP]]*Proj[[#This Row],[GP]],0)</f>
        <v>1</v>
      </c>
      <c r="R535" s="10">
        <f>ROUND(_xlfn.IFNA(INDEX(Table2[],MATCH(Proj[[#This Row],[Player]],Table2[Player],0),7)/60,IF(Proj[[#This Row],[Pos]] = "D", 'Per 60 PP'!$G$527,'Per 60 PP'!$G$526)/60)*Proj[[#This Row],[TOI PP]]*Proj[[#This Row],[GP]],0)</f>
        <v>2</v>
      </c>
      <c r="S535" s="10">
        <f>Proj[[#This Row],[PPG]]+Proj[[#This Row],[PPA]]</f>
        <v>3</v>
      </c>
      <c r="T535">
        <f>ROUND((_xlfn.IFNA(INDEX(Table3[],MATCH(Proj[[#This Row],[Player]],Table3[Player],0),6)/60,IF(Proj[[#This Row],[Pos]] ="D", 'Per 60 PK'!$F$623, 'Per 60 PK'!$F$622)/60)+_xlfn.IFNA(INDEX(Table3[],MATCH(Proj[[#This Row],[Player]],Table3[Player],0),8)/60,IF(Proj[[#This Row],[Pos]] ="D", 'Per 60 PK'!$H$623, 'Per 60 PK'!$H$622)/60))*Proj[[#This Row],[TOI PK]]*Proj[[#This Row],[GP]],0)</f>
        <v>0</v>
      </c>
      <c r="U5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23</v>
      </c>
      <c r="V5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5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5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v>
      </c>
      <c r="Y5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5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79</v>
      </c>
      <c r="AA5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-1385.1225373882774</v>
      </c>
      <c r="AB535" s="10">
        <f>_xlfn.RANK.EQ(Proj[[#This Row],[VOR]],Proj[VOR])</f>
        <v>726</v>
      </c>
      <c r="AC535" s="10">
        <f>INDEX(Std[],MATCH(Proj[[#This Row],[Player]],Std[Player],0),20)</f>
        <v>-650.48868307797875</v>
      </c>
      <c r="AD5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168.14999999999998</v>
      </c>
    </row>
    <row r="536" spans="1:30" x14ac:dyDescent="0.25">
      <c r="A536" t="s">
        <v>691</v>
      </c>
      <c r="B536">
        <v>31</v>
      </c>
      <c r="C536" t="s">
        <v>3</v>
      </c>
      <c r="D536" t="s">
        <v>28</v>
      </c>
      <c r="E536" s="9">
        <f>INDEX(Table1[],MATCH(Proj[[#This Row],[Player]],Table1[Player],0),5)</f>
        <v>15.0023175403621</v>
      </c>
      <c r="F536" s="9">
        <f>_xlfn.IFNA(INDEX(Table2[],MATCH(Proj[[#This Row],[Player]],Table2[Player],0),5),0)</f>
        <v>1.4</v>
      </c>
      <c r="G536" s="9">
        <f>_xlfn.IFNA(INDEX(Table3[],MATCH(Proj[[#This Row],[Player]],Table3[Player],0),5),0)</f>
        <v>0</v>
      </c>
      <c r="H536" s="10">
        <v>60</v>
      </c>
      <c r="I536">
        <v>60</v>
      </c>
      <c r="J536" s="9">
        <v>15.0023175403621</v>
      </c>
      <c r="K536" s="9">
        <v>1.4</v>
      </c>
      <c r="L536" s="9">
        <v>0</v>
      </c>
      <c r="M536" s="9">
        <f>Proj[[#This Row],[TOI ES]]+Proj[[#This Row],[TOI PP]]+Proj[[#This Row],[TOI PK]]</f>
        <v>16.402317540362098</v>
      </c>
      <c r="N5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36" s="10">
        <f>Proj[[#This Row],[Goals]]+Proj[[#This Row],[Assists]]</f>
        <v>18</v>
      </c>
      <c r="Q536" s="10">
        <f>ROUND(_xlfn.IFNA(INDEX(Table2[],MATCH(Proj[[#This Row],[Player]],Table2[Player],0),11)/60,IF(Proj[[#This Row],[Pos]] = "D", 'Per 60 PP'!$K$527,'Per 60 PP'!$K$526)/60)*Proj[[#This Row],[TOI PP]]*Proj[[#This Row],[GP]],0)</f>
        <v>1</v>
      </c>
      <c r="R536" s="10">
        <f>ROUND(_xlfn.IFNA(INDEX(Table2[],MATCH(Proj[[#This Row],[Player]],Table2[Player],0),7)/60,IF(Proj[[#This Row],[Pos]] = "D", 'Per 60 PP'!$G$527,'Per 60 PP'!$G$526)/60)*Proj[[#This Row],[TOI PP]]*Proj[[#This Row],[GP]],0)</f>
        <v>4</v>
      </c>
      <c r="S536" s="10">
        <f>Proj[[#This Row],[PPG]]+Proj[[#This Row],[PPA]]</f>
        <v>5</v>
      </c>
      <c r="T536">
        <f>ROUND((_xlfn.IFNA(INDEX(Table3[],MATCH(Proj[[#This Row],[Player]],Table3[Player],0),6)/60,IF(Proj[[#This Row],[Pos]] ="D", 'Per 60 PK'!$F$623, 'Per 60 PK'!$F$622)/60)+_xlfn.IFNA(INDEX(Table3[],MATCH(Proj[[#This Row],[Player]],Table3[Player],0),8)/60,IF(Proj[[#This Row],[Pos]] ="D", 'Per 60 PK'!$H$623, 'Per 60 PK'!$H$622)/60))*Proj[[#This Row],[TOI PK]]*Proj[[#This Row],[GP]],0)</f>
        <v>0</v>
      </c>
      <c r="U5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5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77</v>
      </c>
      <c r="W5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5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95</v>
      </c>
      <c r="AA5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-584.00486840962935</v>
      </c>
      <c r="AB536" s="10">
        <f>_xlfn.RANK.EQ(Proj[[#This Row],[VOR]],Proj[VOR])</f>
        <v>475</v>
      </c>
      <c r="AC536" s="10">
        <f>INDEX(Std[],MATCH(Proj[[#This Row],[Player]],Std[Player],0),20)</f>
        <v>-476.64010069016484</v>
      </c>
      <c r="AD5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205.39999999999998</v>
      </c>
    </row>
    <row r="537" spans="1:30" x14ac:dyDescent="0.25">
      <c r="A537" t="s">
        <v>1075</v>
      </c>
      <c r="B537">
        <v>23</v>
      </c>
      <c r="C537" t="s">
        <v>3</v>
      </c>
      <c r="D537" t="s">
        <v>154</v>
      </c>
      <c r="E537" s="9">
        <f>INDEX(Table1[],MATCH(Proj[[#This Row],[Player]],Table1[Player],0),5)</f>
        <v>17.2928263399148</v>
      </c>
      <c r="F537" s="9">
        <f>_xlfn.IFNA(INDEX(Table2[],MATCH(Proj[[#This Row],[Player]],Table2[Player],0),5),0)</f>
        <v>1.22</v>
      </c>
      <c r="G537" s="9">
        <f>_xlfn.IFNA(INDEX(Table3[],MATCH(Proj[[#This Row],[Player]],Table3[Player],0),5),0)</f>
        <v>1.68</v>
      </c>
      <c r="H537" s="10">
        <v>64</v>
      </c>
      <c r="I537">
        <v>64</v>
      </c>
      <c r="J537" s="9">
        <v>17.2928263399148</v>
      </c>
      <c r="K537" s="9">
        <v>1.22</v>
      </c>
      <c r="L537" s="9">
        <v>1.68</v>
      </c>
      <c r="M537" s="9">
        <f>Proj[[#This Row],[TOI ES]]+Proj[[#This Row],[TOI PP]]+Proj[[#This Row],[TOI PK]]</f>
        <v>20.192826339914799</v>
      </c>
      <c r="N5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37" s="10">
        <f>Proj[[#This Row],[Goals]]+Proj[[#This Row],[Assists]]</f>
        <v>18</v>
      </c>
      <c r="Q537" s="10">
        <f>ROUND(_xlfn.IFNA(INDEX(Table2[],MATCH(Proj[[#This Row],[Player]],Table2[Player],0),11)/60,IF(Proj[[#This Row],[Pos]] = "D", 'Per 60 PP'!$K$527,'Per 60 PP'!$K$526)/60)*Proj[[#This Row],[TOI PP]]*Proj[[#This Row],[GP]],0)</f>
        <v>1</v>
      </c>
      <c r="R537" s="10">
        <f>ROUND(_xlfn.IFNA(INDEX(Table2[],MATCH(Proj[[#This Row],[Player]],Table2[Player],0),7)/60,IF(Proj[[#This Row],[Pos]] = "D", 'Per 60 PP'!$G$527,'Per 60 PP'!$G$526)/60)*Proj[[#This Row],[TOI PP]]*Proj[[#This Row],[GP]],0)</f>
        <v>4</v>
      </c>
      <c r="S537" s="10">
        <f>Proj[[#This Row],[PPG]]+Proj[[#This Row],[PPA]]</f>
        <v>5</v>
      </c>
      <c r="T537">
        <f>ROUND((_xlfn.IFNA(INDEX(Table3[],MATCH(Proj[[#This Row],[Player]],Table3[Player],0),6)/60,IF(Proj[[#This Row],[Pos]] ="D", 'Per 60 PK'!$F$623, 'Per 60 PK'!$F$622)/60)+_xlfn.IFNA(INDEX(Table3[],MATCH(Proj[[#This Row],[Player]],Table3[Player],0),8)/60,IF(Proj[[#This Row],[Pos]] ="D", 'Per 60 PK'!$H$623, 'Per 60 PK'!$H$622)/60))*Proj[[#This Row],[TOI PK]]*Proj[[#This Row],[GP]],0)</f>
        <v>1</v>
      </c>
      <c r="U5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5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92</v>
      </c>
      <c r="W5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5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72</v>
      </c>
      <c r="AA5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-560.12860083116084</v>
      </c>
      <c r="AB537" s="10">
        <f>_xlfn.RANK.EQ(Proj[[#This Row],[VOR]],Proj[VOR])</f>
        <v>458</v>
      </c>
      <c r="AC537" s="10">
        <f>INDEX(Std[],MATCH(Proj[[#This Row],[Player]],Std[Player],0),20)</f>
        <v>-452.76383311169639</v>
      </c>
      <c r="AD5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207.65</v>
      </c>
    </row>
    <row r="538" spans="1:30" x14ac:dyDescent="0.25">
      <c r="A538" t="s">
        <v>746</v>
      </c>
      <c r="B538">
        <v>28</v>
      </c>
      <c r="C538" t="s">
        <v>3</v>
      </c>
      <c r="D538" t="s">
        <v>25</v>
      </c>
      <c r="E538" s="9">
        <f>INDEX(Table1[],MATCH(Proj[[#This Row],[Player]],Table1[Player],0),5)</f>
        <v>15.131247143909</v>
      </c>
      <c r="F538" s="9">
        <f>_xlfn.IFNA(INDEX(Table2[],MATCH(Proj[[#This Row],[Player]],Table2[Player],0),5),0)</f>
        <v>0.98</v>
      </c>
      <c r="G538" s="9">
        <f>_xlfn.IFNA(INDEX(Table3[],MATCH(Proj[[#This Row],[Player]],Table3[Player],0),5),0)</f>
        <v>0.61</v>
      </c>
      <c r="H538" s="10">
        <v>68</v>
      </c>
      <c r="I538">
        <v>68</v>
      </c>
      <c r="J538" s="9">
        <v>15.131247143909</v>
      </c>
      <c r="K538" s="9">
        <v>0.98</v>
      </c>
      <c r="L538" s="9">
        <v>0.61</v>
      </c>
      <c r="M538" s="9">
        <f>Proj[[#This Row],[TOI ES]]+Proj[[#This Row],[TOI PP]]+Proj[[#This Row],[TOI PK]]</f>
        <v>16.721247143909</v>
      </c>
      <c r="N5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38">
        <f>Proj[[#This Row],[Goals]]+Proj[[#This Row],[Assists]]</f>
        <v>18</v>
      </c>
      <c r="Q538" s="10">
        <f>ROUND(_xlfn.IFNA(INDEX(Table2[],MATCH(Proj[[#This Row],[Player]],Table2[Player],0),11)/60,IF(Proj[[#This Row],[Pos]] = "D", 'Per 60 PP'!$K$527,'Per 60 PP'!$K$526)/60)*Proj[[#This Row],[TOI PP]]*Proj[[#This Row],[GP]],0)</f>
        <v>0</v>
      </c>
      <c r="R538" s="10">
        <f>ROUND(_xlfn.IFNA(INDEX(Table2[],MATCH(Proj[[#This Row],[Player]],Table2[Player],0),7)/60,IF(Proj[[#This Row],[Pos]] = "D", 'Per 60 PP'!$G$527,'Per 60 PP'!$G$526)/60)*Proj[[#This Row],[TOI PP]]*Proj[[#This Row],[GP]],0)</f>
        <v>3</v>
      </c>
      <c r="S538" s="10">
        <f>Proj[[#This Row],[PPG]]+Proj[[#This Row],[PPA]]</f>
        <v>3</v>
      </c>
      <c r="T538">
        <f>ROUND((_xlfn.IFNA(INDEX(Table3[],MATCH(Proj[[#This Row],[Player]],Table3[Player],0),6)/60,IF(Proj[[#This Row],[Pos]] ="D", 'Per 60 PK'!$F$623, 'Per 60 PK'!$F$622)/60)+_xlfn.IFNA(INDEX(Table3[],MATCH(Proj[[#This Row],[Player]],Table3[Player],0),8)/60,IF(Proj[[#This Row],[Pos]] ="D", 'Per 60 PK'!$H$623, 'Per 60 PK'!$H$622)/60))*Proj[[#This Row],[TOI PK]]*Proj[[#This Row],[GP]],0)</f>
        <v>0</v>
      </c>
      <c r="U5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5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85</v>
      </c>
      <c r="W5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5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67</v>
      </c>
      <c r="AA5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-621.37295847116536</v>
      </c>
      <c r="AB538" s="10">
        <f>_xlfn.RANK.EQ(Proj[[#This Row],[VOR]],Proj[VOR])</f>
        <v>489</v>
      </c>
      <c r="AC538" s="10">
        <f>INDEX(Std[],MATCH(Proj[[#This Row],[Player]],Std[Player],0),20)</f>
        <v>-514.00819075170091</v>
      </c>
      <c r="AD5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201.55</v>
      </c>
    </row>
    <row r="539" spans="1:30" x14ac:dyDescent="0.25">
      <c r="A539" t="s">
        <v>1020</v>
      </c>
      <c r="B539">
        <v>24</v>
      </c>
      <c r="C539" t="s">
        <v>3</v>
      </c>
      <c r="D539" t="s">
        <v>17</v>
      </c>
      <c r="E539" s="9">
        <f>INDEX(Table1[],MATCH(Proj[[#This Row],[Player]],Table1[Player],0),5)</f>
        <v>13.510766112634</v>
      </c>
      <c r="F539" s="9">
        <f>_xlfn.IFNA(INDEX(Table2[],MATCH(Proj[[#This Row],[Player]],Table2[Player],0),5),0)</f>
        <v>1.1299999999999999</v>
      </c>
      <c r="G539" s="9">
        <f>_xlfn.IFNA(INDEX(Table3[],MATCH(Proj[[#This Row],[Player]],Table3[Player],0),5),0)</f>
        <v>0</v>
      </c>
      <c r="H539" s="10">
        <v>70</v>
      </c>
      <c r="I539">
        <v>70</v>
      </c>
      <c r="J539" s="9">
        <v>13.510766112634</v>
      </c>
      <c r="K539" s="9">
        <v>1.1299999999999999</v>
      </c>
      <c r="L539" s="9">
        <v>0</v>
      </c>
      <c r="M539" s="9">
        <f>Proj[[#This Row],[TOI ES]]+Proj[[#This Row],[TOI PP]]+Proj[[#This Row],[TOI PK]]</f>
        <v>14.640766112634001</v>
      </c>
      <c r="N5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39" s="10">
        <f>Proj[[#This Row],[Goals]]+Proj[[#This Row],[Assists]]</f>
        <v>18</v>
      </c>
      <c r="Q539" s="10">
        <f>ROUND(_xlfn.IFNA(INDEX(Table2[],MATCH(Proj[[#This Row],[Player]],Table2[Player],0),11)/60,IF(Proj[[#This Row],[Pos]] = "D", 'Per 60 PP'!$K$527,'Per 60 PP'!$K$526)/60)*Proj[[#This Row],[TOI PP]]*Proj[[#This Row],[GP]],0)</f>
        <v>1</v>
      </c>
      <c r="R539" s="10">
        <f>ROUND(_xlfn.IFNA(INDEX(Table2[],MATCH(Proj[[#This Row],[Player]],Table2[Player],0),7)/60,IF(Proj[[#This Row],[Pos]] = "D", 'Per 60 PP'!$G$527,'Per 60 PP'!$G$526)/60)*Proj[[#This Row],[TOI PP]]*Proj[[#This Row],[GP]],0)</f>
        <v>2</v>
      </c>
      <c r="S539" s="10">
        <f>Proj[[#This Row],[PPG]]+Proj[[#This Row],[PPA]]</f>
        <v>3</v>
      </c>
      <c r="T539">
        <f>ROUND((_xlfn.IFNA(INDEX(Table3[],MATCH(Proj[[#This Row],[Player]],Table3[Player],0),6)/60,IF(Proj[[#This Row],[Pos]] ="D", 'Per 60 PK'!$F$623, 'Per 60 PK'!$F$622)/60)+_xlfn.IFNA(INDEX(Table3[],MATCH(Proj[[#This Row],[Player]],Table3[Player],0),8)/60,IF(Proj[[#This Row],[Pos]] ="D", 'Per 60 PK'!$H$623, 'Per 60 PK'!$H$622)/60))*Proj[[#This Row],[TOI PK]]*Proj[[#This Row],[GP]],0)</f>
        <v>0</v>
      </c>
      <c r="U5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48</v>
      </c>
      <c r="V5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5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5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5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-640.93919894004921</v>
      </c>
      <c r="AB539" s="10">
        <f>_xlfn.RANK.EQ(Proj[[#This Row],[VOR]],Proj[VOR])</f>
        <v>497</v>
      </c>
      <c r="AC539" s="10">
        <f>INDEX(Std[],MATCH(Proj[[#This Row],[Player]],Std[Player],0),20)</f>
        <v>-533.57443122058476</v>
      </c>
      <c r="AD5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200.9</v>
      </c>
    </row>
    <row r="540" spans="1:30" x14ac:dyDescent="0.25">
      <c r="A540" t="s">
        <v>544</v>
      </c>
      <c r="B540">
        <v>33</v>
      </c>
      <c r="C540" t="s">
        <v>3</v>
      </c>
      <c r="D540" t="s">
        <v>31</v>
      </c>
      <c r="E540" s="9">
        <f>INDEX(Table1[],MATCH(Proj[[#This Row],[Player]],Table1[Player],0),5)</f>
        <v>14.735886384513201</v>
      </c>
      <c r="F540" s="9">
        <f>_xlfn.IFNA(INDEX(Table2[],MATCH(Proj[[#This Row],[Player]],Table2[Player],0),5),0)</f>
        <v>1.56</v>
      </c>
      <c r="G540" s="9">
        <f>_xlfn.IFNA(INDEX(Table3[],MATCH(Proj[[#This Row],[Player]],Table3[Player],0),5),0)</f>
        <v>0.85</v>
      </c>
      <c r="H540" s="10">
        <v>70</v>
      </c>
      <c r="I540">
        <v>70</v>
      </c>
      <c r="J540" s="9">
        <v>14.735886384513201</v>
      </c>
      <c r="K540" s="9">
        <v>1.56</v>
      </c>
      <c r="L540" s="9">
        <v>0.85</v>
      </c>
      <c r="M540" s="9">
        <f>Proj[[#This Row],[TOI ES]]+Proj[[#This Row],[TOI PP]]+Proj[[#This Row],[TOI PK]]</f>
        <v>17.145886384513201</v>
      </c>
      <c r="N5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40" s="10">
        <f>Proj[[#This Row],[Goals]]+Proj[[#This Row],[Assists]]</f>
        <v>18</v>
      </c>
      <c r="Q540" s="10">
        <f>ROUND(_xlfn.IFNA(INDEX(Table2[],MATCH(Proj[[#This Row],[Player]],Table2[Player],0),11)/60,IF(Proj[[#This Row],[Pos]] = "D", 'Per 60 PP'!$K$527,'Per 60 PP'!$K$526)/60)*Proj[[#This Row],[TOI PP]]*Proj[[#This Row],[GP]],0)</f>
        <v>1</v>
      </c>
      <c r="R540" s="10">
        <f>ROUND(_xlfn.IFNA(INDEX(Table2[],MATCH(Proj[[#This Row],[Player]],Table2[Player],0),7)/60,IF(Proj[[#This Row],[Pos]] = "D", 'Per 60 PP'!$G$527,'Per 60 PP'!$G$526)/60)*Proj[[#This Row],[TOI PP]]*Proj[[#This Row],[GP]],0)</f>
        <v>3</v>
      </c>
      <c r="S540" s="10">
        <f>Proj[[#This Row],[PPG]]+Proj[[#This Row],[PPA]]</f>
        <v>4</v>
      </c>
      <c r="T540">
        <f>ROUND((_xlfn.IFNA(INDEX(Table3[],MATCH(Proj[[#This Row],[Player]],Table3[Player],0),6)/60,IF(Proj[[#This Row],[Pos]] ="D", 'Per 60 PK'!$F$623, 'Per 60 PK'!$F$622)/60)+_xlfn.IFNA(INDEX(Table3[],MATCH(Proj[[#This Row],[Player]],Table3[Player],0),8)/60,IF(Proj[[#This Row],[Pos]] ="D", 'Per 60 PK'!$H$623, 'Per 60 PK'!$H$622)/60))*Proj[[#This Row],[TOI PK]]*Proj[[#This Row],[GP]],0)</f>
        <v>0</v>
      </c>
      <c r="U5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5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88</v>
      </c>
      <c r="W5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5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5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-566.52460674504118</v>
      </c>
      <c r="AB540" s="10">
        <f>_xlfn.RANK.EQ(Proj[[#This Row],[VOR]],Proj[VOR])</f>
        <v>465</v>
      </c>
      <c r="AC540" s="10">
        <f>INDEX(Std[],MATCH(Proj[[#This Row],[Player]],Std[Player],0),20)</f>
        <v>-459.15983902557667</v>
      </c>
      <c r="AD5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222.29999999999998</v>
      </c>
    </row>
    <row r="541" spans="1:30" x14ac:dyDescent="0.25">
      <c r="A541" t="s">
        <v>626</v>
      </c>
      <c r="B541">
        <v>25</v>
      </c>
      <c r="C541" t="s">
        <v>3</v>
      </c>
      <c r="D541" t="s">
        <v>14</v>
      </c>
      <c r="E541" s="9">
        <f>INDEX(Table1[],MATCH(Proj[[#This Row],[Player]],Table1[Player],0),5)</f>
        <v>14.6084404388082</v>
      </c>
      <c r="F541" s="9">
        <f>_xlfn.IFNA(INDEX(Table2[],MATCH(Proj[[#This Row],[Player]],Table2[Player],0),5),0)</f>
        <v>0.3</v>
      </c>
      <c r="G541" s="9">
        <f>_xlfn.IFNA(INDEX(Table3[],MATCH(Proj[[#This Row],[Player]],Table3[Player],0),5),0)</f>
        <v>0.55000000000000004</v>
      </c>
      <c r="H541" s="10">
        <v>70</v>
      </c>
      <c r="I541">
        <v>70</v>
      </c>
      <c r="J541" s="9">
        <v>14.6084404388082</v>
      </c>
      <c r="K541" s="9">
        <v>0.3</v>
      </c>
      <c r="L541" s="9">
        <v>0.55000000000000004</v>
      </c>
      <c r="M541" s="9">
        <f>Proj[[#This Row],[TOI ES]]+Proj[[#This Row],[TOI PP]]+Proj[[#This Row],[TOI PK]]</f>
        <v>15.458440438808202</v>
      </c>
      <c r="N5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41">
        <f>Proj[[#This Row],[Goals]]+Proj[[#This Row],[Assists]]</f>
        <v>18</v>
      </c>
      <c r="Q541" s="10">
        <f>ROUND(_xlfn.IFNA(INDEX(Table2[],MATCH(Proj[[#This Row],[Player]],Table2[Player],0),11)/60,IF(Proj[[#This Row],[Pos]] = "D", 'Per 60 PP'!$K$527,'Per 60 PP'!$K$526)/60)*Proj[[#This Row],[TOI PP]]*Proj[[#This Row],[GP]],0)</f>
        <v>0</v>
      </c>
      <c r="R541" s="10">
        <f>ROUND(_xlfn.IFNA(INDEX(Table2[],MATCH(Proj[[#This Row],[Player]],Table2[Player],0),7)/60,IF(Proj[[#This Row],[Pos]] = "D", 'Per 60 PP'!$G$527,'Per 60 PP'!$G$526)/60)*Proj[[#This Row],[TOI PP]]*Proj[[#This Row],[GP]],0)</f>
        <v>1</v>
      </c>
      <c r="S541" s="10">
        <f>Proj[[#This Row],[PPG]]+Proj[[#This Row],[PPA]]</f>
        <v>1</v>
      </c>
      <c r="T541">
        <f>ROUND((_xlfn.IFNA(INDEX(Table3[],MATCH(Proj[[#This Row],[Player]],Table3[Player],0),6)/60,IF(Proj[[#This Row],[Pos]] ="D", 'Per 60 PK'!$F$623, 'Per 60 PK'!$F$622)/60)+_xlfn.IFNA(INDEX(Table3[],MATCH(Proj[[#This Row],[Player]],Table3[Player],0),8)/60,IF(Proj[[#This Row],[Pos]] ="D", 'Per 60 PK'!$H$623, 'Per 60 PK'!$H$622)/60))*Proj[[#This Row],[TOI PK]]*Proj[[#This Row],[GP]],0)</f>
        <v>0</v>
      </c>
      <c r="U5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65</v>
      </c>
      <c r="V5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5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5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72</v>
      </c>
      <c r="AA5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-606.19775878619259</v>
      </c>
      <c r="AB541" s="10">
        <f>_xlfn.RANK.EQ(Proj[[#This Row],[VOR]],Proj[VOR])</f>
        <v>483</v>
      </c>
      <c r="AC541" s="10">
        <f>INDEX(Std[],MATCH(Proj[[#This Row],[Player]],Std[Player],0),20)</f>
        <v>-498.83299106672814</v>
      </c>
      <c r="AD5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203.65</v>
      </c>
    </row>
    <row r="542" spans="1:30" x14ac:dyDescent="0.25">
      <c r="A542" t="s">
        <v>316</v>
      </c>
      <c r="B542">
        <v>41</v>
      </c>
      <c r="C542" t="s">
        <v>3</v>
      </c>
      <c r="D542" t="s">
        <v>1101</v>
      </c>
      <c r="E542" s="9">
        <f>INDEX(Table1[],MATCH(Proj[[#This Row],[Player]],Table1[Player],0),5)</f>
        <v>14.268669945826201</v>
      </c>
      <c r="F542" s="9">
        <f>_xlfn.IFNA(INDEX(Table2[],MATCH(Proj[[#This Row],[Player]],Table2[Player],0),5),0)</f>
        <v>0.5</v>
      </c>
      <c r="G542" s="9">
        <f>_xlfn.IFNA(INDEX(Table3[],MATCH(Proj[[#This Row],[Player]],Table3[Player],0),5),0)</f>
        <v>2.2599999999999998</v>
      </c>
      <c r="H542" s="10">
        <v>69</v>
      </c>
      <c r="I542">
        <v>69</v>
      </c>
      <c r="J542" s="9">
        <v>14.268669945826201</v>
      </c>
      <c r="K542" s="9">
        <v>0.5</v>
      </c>
      <c r="L542" s="9">
        <v>2.2599999999999998</v>
      </c>
      <c r="M542" s="9">
        <f>Proj[[#This Row],[TOI ES]]+Proj[[#This Row],[TOI PP]]+Proj[[#This Row],[TOI PK]]</f>
        <v>17.028669945826202</v>
      </c>
      <c r="N5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42" s="10">
        <f>Proj[[#This Row],[Goals]]+Proj[[#This Row],[Assists]]</f>
        <v>18</v>
      </c>
      <c r="Q542" s="10">
        <f>ROUND(_xlfn.IFNA(INDEX(Table2[],MATCH(Proj[[#This Row],[Player]],Table2[Player],0),11)/60,IF(Proj[[#This Row],[Pos]] = "D", 'Per 60 PP'!$K$527,'Per 60 PP'!$K$526)/60)*Proj[[#This Row],[TOI PP]]*Proj[[#This Row],[GP]],0)</f>
        <v>0</v>
      </c>
      <c r="R542" s="10">
        <f>ROUND(_xlfn.IFNA(INDEX(Table2[],MATCH(Proj[[#This Row],[Player]],Table2[Player],0),7)/60,IF(Proj[[#This Row],[Pos]] = "D", 'Per 60 PP'!$G$527,'Per 60 PP'!$G$526)/60)*Proj[[#This Row],[TOI PP]]*Proj[[#This Row],[GP]],0)</f>
        <v>2</v>
      </c>
      <c r="S542" s="10">
        <f>Proj[[#This Row],[PPG]]+Proj[[#This Row],[PPA]]</f>
        <v>2</v>
      </c>
      <c r="T542">
        <f>ROUND((_xlfn.IFNA(INDEX(Table3[],MATCH(Proj[[#This Row],[Player]],Table3[Player],0),6)/60,IF(Proj[[#This Row],[Pos]] ="D", 'Per 60 PK'!$F$623, 'Per 60 PK'!$F$622)/60)+_xlfn.IFNA(INDEX(Table3[],MATCH(Proj[[#This Row],[Player]],Table3[Player],0),8)/60,IF(Proj[[#This Row],[Pos]] ="D", 'Per 60 PK'!$H$623, 'Per 60 PK'!$H$622)/60))*Proj[[#This Row],[TOI PK]]*Proj[[#This Row],[GP]],0)</f>
        <v>0</v>
      </c>
      <c r="U5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5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127</v>
      </c>
      <c r="W5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51</v>
      </c>
      <c r="X5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88</v>
      </c>
      <c r="AA5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-308.72320297512647</v>
      </c>
      <c r="AB542" s="10">
        <f>_xlfn.RANK.EQ(Proj[[#This Row],[VOR]],Proj[VOR])</f>
        <v>317</v>
      </c>
      <c r="AC542" s="10">
        <f>INDEX(Std[],MATCH(Proj[[#This Row],[Player]],Std[Player],0),20)</f>
        <v>-201.35843525566196</v>
      </c>
      <c r="AD5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263.7</v>
      </c>
    </row>
    <row r="543" spans="1:30" x14ac:dyDescent="0.25">
      <c r="A543" t="s">
        <v>821</v>
      </c>
      <c r="B543">
        <v>25</v>
      </c>
      <c r="C543" t="s">
        <v>103</v>
      </c>
      <c r="D543" t="s">
        <v>5</v>
      </c>
      <c r="E543" s="9">
        <f>INDEX(Table1[],MATCH(Proj[[#This Row],[Player]],Table1[Player],0),5)</f>
        <v>10.5039209673341</v>
      </c>
      <c r="F543" s="9">
        <f>_xlfn.IFNA(INDEX(Table2[],MATCH(Proj[[#This Row],[Player]],Table2[Player],0),5),0)</f>
        <v>0</v>
      </c>
      <c r="G543" s="9">
        <f>_xlfn.IFNA(INDEX(Table3[],MATCH(Proj[[#This Row],[Player]],Table3[Player],0),5),0)</f>
        <v>2.1800000000000002</v>
      </c>
      <c r="H543" s="10">
        <v>70</v>
      </c>
      <c r="I543">
        <v>70</v>
      </c>
      <c r="J543" s="9">
        <v>10.5039209673341</v>
      </c>
      <c r="K543" s="9">
        <v>0</v>
      </c>
      <c r="L543" s="9">
        <v>2.1800000000000002</v>
      </c>
      <c r="M543" s="9">
        <f>Proj[[#This Row],[TOI ES]]+Proj[[#This Row],[TOI PP]]+Proj[[#This Row],[TOI PK]]</f>
        <v>12.6839209673341</v>
      </c>
      <c r="N5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43" s="10">
        <f>Proj[[#This Row],[Goals]]+Proj[[#This Row],[Assists]]</f>
        <v>18</v>
      </c>
      <c r="Q543" s="10">
        <f>ROUND(_xlfn.IFNA(INDEX(Table2[],MATCH(Proj[[#This Row],[Player]],Table2[Player],0),11)/60,IF(Proj[[#This Row],[Pos]] = "D", 'Per 60 PP'!$K$527,'Per 60 PP'!$K$526)/60)*Proj[[#This Row],[TOI PP]]*Proj[[#This Row],[GP]],0)</f>
        <v>0</v>
      </c>
      <c r="R543" s="10">
        <f>ROUND(_xlfn.IFNA(INDEX(Table2[],MATCH(Proj[[#This Row],[Player]],Table2[Player],0),7)/60,IF(Proj[[#This Row],[Pos]] = "D", 'Per 60 PP'!$G$527,'Per 60 PP'!$G$526)/60)*Proj[[#This Row],[TOI PP]]*Proj[[#This Row],[GP]],0)</f>
        <v>0</v>
      </c>
      <c r="S543" s="10">
        <f>Proj[[#This Row],[PPG]]+Proj[[#This Row],[PPA]]</f>
        <v>0</v>
      </c>
      <c r="T543">
        <f>ROUND((_xlfn.IFNA(INDEX(Table3[],MATCH(Proj[[#This Row],[Player]],Table3[Player],0),6)/60,IF(Proj[[#This Row],[Pos]] ="D", 'Per 60 PK'!$F$623, 'Per 60 PK'!$F$622)/60)+_xlfn.IFNA(INDEX(Table3[],MATCH(Proj[[#This Row],[Player]],Table3[Player],0),8)/60,IF(Proj[[#This Row],[Pos]] ="D", 'Per 60 PK'!$H$623, 'Per 60 PK'!$H$622)/60))*Proj[[#This Row],[TOI PK]]*Proj[[#This Row],[GP]],0)</f>
        <v>1</v>
      </c>
      <c r="U5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5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5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5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20</v>
      </c>
      <c r="Y5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5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5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-970.63284281525034</v>
      </c>
      <c r="AB543" s="10">
        <f>_xlfn.RANK.EQ(Proj[[#This Row],[VOR]],Proj[VOR])</f>
        <v>651</v>
      </c>
      <c r="AC543" s="10">
        <f>INDEX(Std[],MATCH(Proj[[#This Row],[Player]],Std[Player],0),20)</f>
        <v>-524.08811842500154</v>
      </c>
      <c r="AD5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214.54999999999998</v>
      </c>
    </row>
    <row r="544" spans="1:30" x14ac:dyDescent="0.25">
      <c r="A544" t="s">
        <v>530</v>
      </c>
      <c r="B544">
        <v>25</v>
      </c>
      <c r="C544" t="s">
        <v>3</v>
      </c>
      <c r="D544" t="s">
        <v>4</v>
      </c>
      <c r="E544" s="9">
        <f>INDEX(Table1[],MATCH(Proj[[#This Row],[Player]],Table1[Player],0),5)</f>
        <v>17.899537989488302</v>
      </c>
      <c r="F544" s="9">
        <f>_xlfn.IFNA(INDEX(Table2[],MATCH(Proj[[#This Row],[Player]],Table2[Player],0),5),0)</f>
        <v>0</v>
      </c>
      <c r="G544" s="9">
        <f>_xlfn.IFNA(INDEX(Table3[],MATCH(Proj[[#This Row],[Player]],Table3[Player],0),5),0)</f>
        <v>1.17</v>
      </c>
      <c r="H544" s="10">
        <v>78</v>
      </c>
      <c r="I544">
        <v>78</v>
      </c>
      <c r="J544" s="9">
        <v>17.899537989488302</v>
      </c>
      <c r="K544" s="9">
        <v>0</v>
      </c>
      <c r="L544" s="9">
        <v>1.17</v>
      </c>
      <c r="M544" s="9">
        <f>Proj[[#This Row],[TOI ES]]+Proj[[#This Row],[TOI PP]]+Proj[[#This Row],[TOI PK]]</f>
        <v>19.069537989488303</v>
      </c>
      <c r="N5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44" s="10">
        <f>Proj[[#This Row],[Goals]]+Proj[[#This Row],[Assists]]</f>
        <v>18</v>
      </c>
      <c r="Q544" s="10">
        <f>ROUND(_xlfn.IFNA(INDEX(Table2[],MATCH(Proj[[#This Row],[Player]],Table2[Player],0),11)/60,IF(Proj[[#This Row],[Pos]] = "D", 'Per 60 PP'!$K$527,'Per 60 PP'!$K$526)/60)*Proj[[#This Row],[TOI PP]]*Proj[[#This Row],[GP]],0)</f>
        <v>0</v>
      </c>
      <c r="R544" s="10">
        <f>ROUND(_xlfn.IFNA(INDEX(Table2[],MATCH(Proj[[#This Row],[Player]],Table2[Player],0),7)/60,IF(Proj[[#This Row],[Pos]] = "D", 'Per 60 PP'!$G$527,'Per 60 PP'!$G$526)/60)*Proj[[#This Row],[TOI PP]]*Proj[[#This Row],[GP]],0)</f>
        <v>0</v>
      </c>
      <c r="S544" s="10">
        <f>Proj[[#This Row],[PPG]]+Proj[[#This Row],[PPA]]</f>
        <v>0</v>
      </c>
      <c r="T544">
        <f>ROUND((_xlfn.IFNA(INDEX(Table3[],MATCH(Proj[[#This Row],[Player]],Table3[Player],0),6)/60,IF(Proj[[#This Row],[Pos]] ="D", 'Per 60 PK'!$F$623, 'Per 60 PK'!$F$622)/60)+_xlfn.IFNA(INDEX(Table3[],MATCH(Proj[[#This Row],[Player]],Table3[Player],0),8)/60,IF(Proj[[#This Row],[Pos]] ="D", 'Per 60 PK'!$H$623, 'Per 60 PK'!$H$622)/60))*Proj[[#This Row],[TOI PK]]*Proj[[#This Row],[GP]],0)</f>
        <v>1</v>
      </c>
      <c r="U5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82</v>
      </c>
      <c r="V5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100</v>
      </c>
      <c r="W5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5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87</v>
      </c>
      <c r="AA5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-459.95844311072756</v>
      </c>
      <c r="AB544" s="10">
        <f>_xlfn.RANK.EQ(Proj[[#This Row],[VOR]],Proj[VOR])</f>
        <v>403</v>
      </c>
      <c r="AC544" s="10">
        <f>INDEX(Std[],MATCH(Proj[[#This Row],[Player]],Std[Player],0),20)</f>
        <v>-352.59367539126305</v>
      </c>
      <c r="AD5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245.35</v>
      </c>
    </row>
    <row r="545" spans="1:30" x14ac:dyDescent="0.25">
      <c r="A545" t="s">
        <v>986</v>
      </c>
      <c r="B545">
        <v>29</v>
      </c>
      <c r="C545" t="s">
        <v>103</v>
      </c>
      <c r="D545" t="s">
        <v>154</v>
      </c>
      <c r="E545" s="9">
        <f>INDEX(Table1[],MATCH(Proj[[#This Row],[Player]],Table1[Player],0),5)</f>
        <v>10.933975744591301</v>
      </c>
      <c r="F545" s="9">
        <f>_xlfn.IFNA(INDEX(Table2[],MATCH(Proj[[#This Row],[Player]],Table2[Player],0),5),0)</f>
        <v>0</v>
      </c>
      <c r="G545" s="9">
        <f>_xlfn.IFNA(INDEX(Table3[],MATCH(Proj[[#This Row],[Player]],Table3[Player],0),5),0)</f>
        <v>0.63</v>
      </c>
      <c r="H545" s="10">
        <v>68</v>
      </c>
      <c r="I545">
        <v>68</v>
      </c>
      <c r="J545" s="9">
        <v>10.933975744591301</v>
      </c>
      <c r="K545" s="9">
        <v>0</v>
      </c>
      <c r="L545" s="9">
        <v>0.63</v>
      </c>
      <c r="M545" s="9">
        <f>Proj[[#This Row],[TOI ES]]+Proj[[#This Row],[TOI PP]]+Proj[[#This Row],[TOI PK]]</f>
        <v>11.563975744591302</v>
      </c>
      <c r="N5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45" s="10">
        <f>Proj[[#This Row],[Goals]]+Proj[[#This Row],[Assists]]</f>
        <v>18</v>
      </c>
      <c r="Q545" s="10">
        <f>ROUND(_xlfn.IFNA(INDEX(Table2[],MATCH(Proj[[#This Row],[Player]],Table2[Player],0),11)/60,IF(Proj[[#This Row],[Pos]] = "D", 'Per 60 PP'!$K$527,'Per 60 PP'!$K$526)/60)*Proj[[#This Row],[TOI PP]]*Proj[[#This Row],[GP]],0)</f>
        <v>0</v>
      </c>
      <c r="R545" s="10">
        <f>ROUND(_xlfn.IFNA(INDEX(Table2[],MATCH(Proj[[#This Row],[Player]],Table2[Player],0),7)/60,IF(Proj[[#This Row],[Pos]] = "D", 'Per 60 PP'!$G$527,'Per 60 PP'!$G$526)/60)*Proj[[#This Row],[TOI PP]]*Proj[[#This Row],[GP]],0)</f>
        <v>0</v>
      </c>
      <c r="S545" s="10">
        <f>Proj[[#This Row],[PPG]]+Proj[[#This Row],[PPA]]</f>
        <v>0</v>
      </c>
      <c r="T545">
        <f>ROUND((_xlfn.IFNA(INDEX(Table3[],MATCH(Proj[[#This Row],[Player]],Table3[Player],0),6)/60,IF(Proj[[#This Row],[Pos]] ="D", 'Per 60 PK'!$F$623, 'Per 60 PK'!$F$622)/60)+_xlfn.IFNA(INDEX(Table3[],MATCH(Proj[[#This Row],[Player]],Table3[Player],0),8)/60,IF(Proj[[#This Row],[Pos]] ="D", 'Per 60 PK'!$H$623, 'Per 60 PK'!$H$622)/60))*Proj[[#This Row],[TOI PK]]*Proj[[#This Row],[GP]],0)</f>
        <v>0</v>
      </c>
      <c r="U5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85</v>
      </c>
      <c r="V5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5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5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v>
      </c>
      <c r="Y5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v>
      </c>
      <c r="Z5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83</v>
      </c>
      <c r="AA5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-1011.0412808310448</v>
      </c>
      <c r="AB545" s="10">
        <f>_xlfn.RANK.EQ(Proj[[#This Row],[VOR]],Proj[VOR])</f>
        <v>661</v>
      </c>
      <c r="AC545" s="10">
        <f>INDEX(Std[],MATCH(Proj[[#This Row],[Player]],Std[Player],0),20)</f>
        <v>-564.49655644079598</v>
      </c>
      <c r="AD5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205.85</v>
      </c>
    </row>
    <row r="546" spans="1:30" x14ac:dyDescent="0.25">
      <c r="A546" t="s">
        <v>432</v>
      </c>
      <c r="B546">
        <v>26</v>
      </c>
      <c r="C546" t="s">
        <v>3</v>
      </c>
      <c r="D546" t="s">
        <v>10</v>
      </c>
      <c r="E546" s="9">
        <f>INDEX(Table1[],MATCH(Proj[[#This Row],[Player]],Table1[Player],0),5)</f>
        <v>16.602608164026002</v>
      </c>
      <c r="F546" s="9">
        <f>_xlfn.IFNA(INDEX(Table2[],MATCH(Proj[[#This Row],[Player]],Table2[Player],0),5),0)</f>
        <v>0</v>
      </c>
      <c r="G546" s="9">
        <f>_xlfn.IFNA(INDEX(Table3[],MATCH(Proj[[#This Row],[Player]],Table3[Player],0),5),0)</f>
        <v>2.56</v>
      </c>
      <c r="H546" s="10">
        <v>75</v>
      </c>
      <c r="I546">
        <v>75</v>
      </c>
      <c r="J546" s="9">
        <v>16.602608164026002</v>
      </c>
      <c r="K546" s="9">
        <v>0</v>
      </c>
      <c r="L546" s="9">
        <v>2.56</v>
      </c>
      <c r="M546" s="9">
        <f>Proj[[#This Row],[TOI ES]]+Proj[[#This Row],[TOI PP]]+Proj[[#This Row],[TOI PK]]</f>
        <v>19.162608164026</v>
      </c>
      <c r="N5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46">
        <f>Proj[[#This Row],[Goals]]+Proj[[#This Row],[Assists]]</f>
        <v>18</v>
      </c>
      <c r="Q546" s="10">
        <f>ROUND(_xlfn.IFNA(INDEX(Table2[],MATCH(Proj[[#This Row],[Player]],Table2[Player],0),11)/60,IF(Proj[[#This Row],[Pos]] = "D", 'Per 60 PP'!$K$527,'Per 60 PP'!$K$526)/60)*Proj[[#This Row],[TOI PP]]*Proj[[#This Row],[GP]],0)</f>
        <v>0</v>
      </c>
      <c r="R546" s="10">
        <f>ROUND(_xlfn.IFNA(INDEX(Table2[],MATCH(Proj[[#This Row],[Player]],Table2[Player],0),7)/60,IF(Proj[[#This Row],[Pos]] = "D", 'Per 60 PP'!$G$527,'Per 60 PP'!$G$526)/60)*Proj[[#This Row],[TOI PP]]*Proj[[#This Row],[GP]],0)</f>
        <v>0</v>
      </c>
      <c r="S546" s="10">
        <f>Proj[[#This Row],[PPG]]+Proj[[#This Row],[PPA]]</f>
        <v>0</v>
      </c>
      <c r="T546">
        <f>ROUND((_xlfn.IFNA(INDEX(Table3[],MATCH(Proj[[#This Row],[Player]],Table3[Player],0),6)/60,IF(Proj[[#This Row],[Pos]] ="D", 'Per 60 PK'!$F$623, 'Per 60 PK'!$F$622)/60)+_xlfn.IFNA(INDEX(Table3[],MATCH(Proj[[#This Row],[Player]],Table3[Player],0),8)/60,IF(Proj[[#This Row],[Pos]] ="D", 'Per 60 PK'!$H$623, 'Per 60 PK'!$H$622)/60))*Proj[[#This Row],[TOI PK]]*Proj[[#This Row],[GP]],0)</f>
        <v>1</v>
      </c>
      <c r="U5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91</v>
      </c>
      <c r="V5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120</v>
      </c>
      <c r="W5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5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75</v>
      </c>
      <c r="AA5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-364.3533575018896</v>
      </c>
      <c r="AB546" s="10">
        <f>_xlfn.RANK.EQ(Proj[[#This Row],[VOR]],Proj[VOR])</f>
        <v>356</v>
      </c>
      <c r="AC546" s="10">
        <f>INDEX(Std[],MATCH(Proj[[#This Row],[Player]],Std[Player],0),20)</f>
        <v>-256.98858978242515</v>
      </c>
      <c r="AD5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261.14999999999998</v>
      </c>
    </row>
    <row r="547" spans="1:30" x14ac:dyDescent="0.25">
      <c r="A547" t="s">
        <v>1018</v>
      </c>
      <c r="B547">
        <v>36</v>
      </c>
      <c r="C547" t="s">
        <v>102</v>
      </c>
      <c r="D547" t="s">
        <v>21</v>
      </c>
      <c r="E547" s="9">
        <f>INDEX(Table1[],MATCH(Proj[[#This Row],[Player]],Table1[Player],0),5)</f>
        <v>11.700172728063899</v>
      </c>
      <c r="F547" s="9">
        <f>_xlfn.IFNA(INDEX(Table2[],MATCH(Proj[[#This Row],[Player]],Table2[Player],0),5),0)</f>
        <v>0.97</v>
      </c>
      <c r="G547" s="9">
        <f>_xlfn.IFNA(INDEX(Table3[],MATCH(Proj[[#This Row],[Player]],Table3[Player],0),5),0)</f>
        <v>0</v>
      </c>
      <c r="H547" s="10">
        <v>64</v>
      </c>
      <c r="I547">
        <v>64</v>
      </c>
      <c r="J547" s="9">
        <v>11.700172728063899</v>
      </c>
      <c r="K547" s="9">
        <v>0.97</v>
      </c>
      <c r="L547" s="9">
        <v>0</v>
      </c>
      <c r="M547" s="9">
        <f>Proj[[#This Row],[TOI ES]]+Proj[[#This Row],[TOI PP]]+Proj[[#This Row],[TOI PK]]</f>
        <v>12.6701727280639</v>
      </c>
      <c r="N5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5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47" s="10">
        <f>Proj[[#This Row],[Goals]]+Proj[[#This Row],[Assists]]</f>
        <v>18</v>
      </c>
      <c r="Q547" s="10">
        <f>ROUND(_xlfn.IFNA(INDEX(Table2[],MATCH(Proj[[#This Row],[Player]],Table2[Player],0),11)/60,IF(Proj[[#This Row],[Pos]] = "D", 'Per 60 PP'!$K$527,'Per 60 PP'!$K$526)/60)*Proj[[#This Row],[TOI PP]]*Proj[[#This Row],[GP]],0)</f>
        <v>1</v>
      </c>
      <c r="R547" s="10">
        <f>ROUND(_xlfn.IFNA(INDEX(Table2[],MATCH(Proj[[#This Row],[Player]],Table2[Player],0),7)/60,IF(Proj[[#This Row],[Pos]] = "D", 'Per 60 PP'!$G$527,'Per 60 PP'!$G$526)/60)*Proj[[#This Row],[TOI PP]]*Proj[[#This Row],[GP]],0)</f>
        <v>2</v>
      </c>
      <c r="S547" s="10">
        <f>Proj[[#This Row],[PPG]]+Proj[[#This Row],[PPA]]</f>
        <v>3</v>
      </c>
      <c r="T547">
        <f>ROUND((_xlfn.IFNA(INDEX(Table3[],MATCH(Proj[[#This Row],[Player]],Table3[Player],0),6)/60,IF(Proj[[#This Row],[Pos]] ="D", 'Per 60 PK'!$F$623, 'Per 60 PK'!$F$622)/60)+_xlfn.IFNA(INDEX(Table3[],MATCH(Proj[[#This Row],[Player]],Table3[Player],0),8)/60,IF(Proj[[#This Row],[Pos]] ="D", 'Per 60 PK'!$H$623, 'Per 60 PK'!$H$622)/60))*Proj[[#This Row],[TOI PK]]*Proj[[#This Row],[GP]],0)</f>
        <v>0</v>
      </c>
      <c r="U5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96</v>
      </c>
      <c r="V5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5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114</v>
      </c>
      <c r="X5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5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5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68</v>
      </c>
      <c r="AA5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-582.6872656011509</v>
      </c>
      <c r="AB547" s="10">
        <f>_xlfn.RANK.EQ(Proj[[#This Row],[VOR]],Proj[VOR])</f>
        <v>472</v>
      </c>
      <c r="AC547" s="10">
        <f>INDEX(Std[],MATCH(Proj[[#This Row],[Player]],Std[Player],0),20)</f>
        <v>-111.142541210902</v>
      </c>
      <c r="AD5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236.2</v>
      </c>
    </row>
    <row r="548" spans="1:30" x14ac:dyDescent="0.25">
      <c r="A548" t="s">
        <v>736</v>
      </c>
      <c r="B548">
        <v>31</v>
      </c>
      <c r="C548" t="s">
        <v>102</v>
      </c>
      <c r="D548" t="s">
        <v>8</v>
      </c>
      <c r="E548" s="9">
        <f>INDEX(Table1[],MATCH(Proj[[#This Row],[Player]],Table1[Player],0),5)</f>
        <v>11.302476648223401</v>
      </c>
      <c r="F548" s="9">
        <f>_xlfn.IFNA(INDEX(Table2[],MATCH(Proj[[#This Row],[Player]],Table2[Player],0),5),0)</f>
        <v>0</v>
      </c>
      <c r="G548" s="9">
        <f>_xlfn.IFNA(INDEX(Table3[],MATCH(Proj[[#This Row],[Player]],Table3[Player],0),5),0)</f>
        <v>1.18</v>
      </c>
      <c r="H548" s="10">
        <v>66</v>
      </c>
      <c r="I548">
        <v>66</v>
      </c>
      <c r="J548" s="9">
        <v>11.302476648223401</v>
      </c>
      <c r="K548" s="9">
        <v>0</v>
      </c>
      <c r="L548" s="9">
        <v>1.18</v>
      </c>
      <c r="M548" s="9">
        <f>Proj[[#This Row],[TOI ES]]+Proj[[#This Row],[TOI PP]]+Proj[[#This Row],[TOI PK]]</f>
        <v>12.4824766482234</v>
      </c>
      <c r="N5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48" s="10">
        <f>Proj[[#This Row],[Goals]]+Proj[[#This Row],[Assists]]</f>
        <v>18</v>
      </c>
      <c r="Q548" s="10">
        <f>ROUND(_xlfn.IFNA(INDEX(Table2[],MATCH(Proj[[#This Row],[Player]],Table2[Player],0),11)/60,IF(Proj[[#This Row],[Pos]] = "D", 'Per 60 PP'!$K$527,'Per 60 PP'!$K$526)/60)*Proj[[#This Row],[TOI PP]]*Proj[[#This Row],[GP]],0)</f>
        <v>0</v>
      </c>
      <c r="R548" s="10">
        <f>ROUND(_xlfn.IFNA(INDEX(Table2[],MATCH(Proj[[#This Row],[Player]],Table2[Player],0),7)/60,IF(Proj[[#This Row],[Pos]] = "D", 'Per 60 PP'!$G$527,'Per 60 PP'!$G$526)/60)*Proj[[#This Row],[TOI PP]]*Proj[[#This Row],[GP]],0)</f>
        <v>0</v>
      </c>
      <c r="S548" s="10">
        <f>Proj[[#This Row],[PPG]]+Proj[[#This Row],[PPA]]</f>
        <v>0</v>
      </c>
      <c r="T548">
        <f>ROUND((_xlfn.IFNA(INDEX(Table3[],MATCH(Proj[[#This Row],[Player]],Table3[Player],0),6)/60,IF(Proj[[#This Row],[Pos]] ="D", 'Per 60 PK'!$F$623, 'Per 60 PK'!$F$622)/60)+_xlfn.IFNA(INDEX(Table3[],MATCH(Proj[[#This Row],[Player]],Table3[Player],0),8)/60,IF(Proj[[#This Row],[Pos]] ="D", 'Per 60 PK'!$H$623, 'Per 60 PK'!$H$622)/60))*Proj[[#This Row],[TOI PK]]*Proj[[#This Row],[GP]],0)</f>
        <v>1</v>
      </c>
      <c r="U5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104</v>
      </c>
      <c r="V5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28</v>
      </c>
      <c r="W5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v>
      </c>
      <c r="Y5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5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88</v>
      </c>
      <c r="AA5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-900.69595517534697</v>
      </c>
      <c r="AB548" s="10">
        <f>_xlfn.RANK.EQ(Proj[[#This Row],[VOR]],Proj[VOR])</f>
        <v>625</v>
      </c>
      <c r="AC548" s="10">
        <f>INDEX(Std[],MATCH(Proj[[#This Row],[Player]],Std[Player],0),20)</f>
        <v>-429.15123078509811</v>
      </c>
      <c r="AD5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226.65</v>
      </c>
    </row>
    <row r="549" spans="1:30" x14ac:dyDescent="0.25">
      <c r="A549" t="s">
        <v>805</v>
      </c>
      <c r="B549">
        <v>26</v>
      </c>
      <c r="C549" t="s">
        <v>74</v>
      </c>
      <c r="D549" t="s">
        <v>9</v>
      </c>
      <c r="E549" s="9">
        <f>INDEX(Table1[],MATCH(Proj[[#This Row],[Player]],Table1[Player],0),5)</f>
        <v>9.4340726709597504</v>
      </c>
      <c r="F549" s="9">
        <f>_xlfn.IFNA(INDEX(Table2[],MATCH(Proj[[#This Row],[Player]],Table2[Player],0),5),0)</f>
        <v>0</v>
      </c>
      <c r="G549" s="9">
        <f>_xlfn.IFNA(INDEX(Table3[],MATCH(Proj[[#This Row],[Player]],Table3[Player],0),5),0)</f>
        <v>1.47</v>
      </c>
      <c r="H549" s="10">
        <v>78</v>
      </c>
      <c r="I549">
        <v>78</v>
      </c>
      <c r="J549" s="9">
        <v>9.4340726709597504</v>
      </c>
      <c r="K549" s="9">
        <v>0</v>
      </c>
      <c r="L549" s="9">
        <v>1.47</v>
      </c>
      <c r="M549" s="9">
        <f>Proj[[#This Row],[TOI ES]]+Proj[[#This Row],[TOI PP]]+Proj[[#This Row],[TOI PK]]</f>
        <v>10.904072670959751</v>
      </c>
      <c r="N5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49">
        <f>Proj[[#This Row],[Goals]]+Proj[[#This Row],[Assists]]</f>
        <v>18</v>
      </c>
      <c r="Q549" s="10">
        <f>ROUND(_xlfn.IFNA(INDEX(Table2[],MATCH(Proj[[#This Row],[Player]],Table2[Player],0),11)/60,IF(Proj[[#This Row],[Pos]] = "D", 'Per 60 PP'!$K$527,'Per 60 PP'!$K$526)/60)*Proj[[#This Row],[TOI PP]]*Proj[[#This Row],[GP]],0)</f>
        <v>0</v>
      </c>
      <c r="R549" s="10">
        <f>ROUND(_xlfn.IFNA(INDEX(Table2[],MATCH(Proj[[#This Row],[Player]],Table2[Player],0),7)/60,IF(Proj[[#This Row],[Pos]] = "D", 'Per 60 PP'!$G$527,'Per 60 PP'!$G$526)/60)*Proj[[#This Row],[TOI PP]]*Proj[[#This Row],[GP]],0)</f>
        <v>0</v>
      </c>
      <c r="S549" s="10">
        <f>Proj[[#This Row],[PPG]]+Proj[[#This Row],[PPA]]</f>
        <v>0</v>
      </c>
      <c r="T549">
        <f>ROUND((_xlfn.IFNA(INDEX(Table3[],MATCH(Proj[[#This Row],[Player]],Table3[Player],0),6)/60,IF(Proj[[#This Row],[Pos]] ="D", 'Per 60 PK'!$F$623, 'Per 60 PK'!$F$622)/60)+_xlfn.IFNA(INDEX(Table3[],MATCH(Proj[[#This Row],[Player]],Table3[Player],0),8)/60,IF(Proj[[#This Row],[Pos]] ="D", 'Per 60 PK'!$H$623, 'Per 60 PK'!$H$622)/60))*Proj[[#This Row],[TOI PK]]*Proj[[#This Row],[GP]],0)</f>
        <v>1</v>
      </c>
      <c r="U5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5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5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5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59</v>
      </c>
      <c r="Y5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70</v>
      </c>
      <c r="Z5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95</v>
      </c>
      <c r="AA5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-1111.9123710781948</v>
      </c>
      <c r="AB549" s="10">
        <f>_xlfn.RANK.EQ(Proj[[#This Row],[VOR]],Proj[VOR])</f>
        <v>683</v>
      </c>
      <c r="AC549" s="10">
        <f>INDEX(Std[],MATCH(Proj[[#This Row],[Player]],Std[Player],0),20)</f>
        <v>-377.27851676789618</v>
      </c>
      <c r="AD5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247.55</v>
      </c>
    </row>
    <row r="550" spans="1:30" x14ac:dyDescent="0.25">
      <c r="A550" t="s">
        <v>1099</v>
      </c>
      <c r="B550">
        <v>23</v>
      </c>
      <c r="C550" t="s">
        <v>3</v>
      </c>
      <c r="D550" t="s">
        <v>87</v>
      </c>
      <c r="E550" s="9">
        <f>INDEX(Table1[],MATCH(Proj[[#This Row],[Player]],Table1[Player],0),5)</f>
        <v>16.730492570916901</v>
      </c>
      <c r="F550" s="9">
        <f>_xlfn.IFNA(INDEX(Table2[],MATCH(Proj[[#This Row],[Player]],Table2[Player],0),5),0)</f>
        <v>0.75</v>
      </c>
      <c r="G550" s="9">
        <f>_xlfn.IFNA(INDEX(Table3[],MATCH(Proj[[#This Row],[Player]],Table3[Player],0),5),0)</f>
        <v>0.68</v>
      </c>
      <c r="H550" s="10">
        <v>77</v>
      </c>
      <c r="I550">
        <v>77</v>
      </c>
      <c r="J550" s="9">
        <v>16.730492570916901</v>
      </c>
      <c r="K550" s="9">
        <v>0.75</v>
      </c>
      <c r="L550" s="9">
        <v>0.68</v>
      </c>
      <c r="M550" s="9">
        <f>Proj[[#This Row],[TOI ES]]+Proj[[#This Row],[TOI PP]]+Proj[[#This Row],[TOI PK]]</f>
        <v>18.160492570916901</v>
      </c>
      <c r="N5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50" s="10">
        <f>Proj[[#This Row],[Goals]]+Proj[[#This Row],[Assists]]</f>
        <v>18</v>
      </c>
      <c r="Q550" s="10">
        <f>ROUND(_xlfn.IFNA(INDEX(Table2[],MATCH(Proj[[#This Row],[Player]],Table2[Player],0),11)/60,IF(Proj[[#This Row],[Pos]] = "D", 'Per 60 PP'!$K$527,'Per 60 PP'!$K$526)/60)*Proj[[#This Row],[TOI PP]]*Proj[[#This Row],[GP]],0)</f>
        <v>0</v>
      </c>
      <c r="R550" s="10">
        <f>ROUND(_xlfn.IFNA(INDEX(Table2[],MATCH(Proj[[#This Row],[Player]],Table2[Player],0),7)/60,IF(Proj[[#This Row],[Pos]] = "D", 'Per 60 PP'!$G$527,'Per 60 PP'!$G$526)/60)*Proj[[#This Row],[TOI PP]]*Proj[[#This Row],[GP]],0)</f>
        <v>3</v>
      </c>
      <c r="S550" s="10">
        <f>Proj[[#This Row],[PPG]]+Proj[[#This Row],[PPA]]</f>
        <v>3</v>
      </c>
      <c r="T550">
        <f>ROUND((_xlfn.IFNA(INDEX(Table3[],MATCH(Proj[[#This Row],[Player]],Table3[Player],0),6)/60,IF(Proj[[#This Row],[Pos]] ="D", 'Per 60 PK'!$F$623, 'Per 60 PK'!$F$622)/60)+_xlfn.IFNA(INDEX(Table3[],MATCH(Proj[[#This Row],[Player]],Table3[Player],0),8)/60,IF(Proj[[#This Row],[Pos]] ="D", 'Per 60 PK'!$H$623, 'Per 60 PK'!$H$622)/60))*Proj[[#This Row],[TOI PK]]*Proj[[#This Row],[GP]],0)</f>
        <v>0</v>
      </c>
      <c r="U5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5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92</v>
      </c>
      <c r="W5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41</v>
      </c>
      <c r="X5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92</v>
      </c>
      <c r="AA5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-308.69316812002415</v>
      </c>
      <c r="AB550" s="10">
        <f>_xlfn.RANK.EQ(Proj[[#This Row],[VOR]],Proj[VOR])</f>
        <v>316</v>
      </c>
      <c r="AC550" s="10">
        <f>INDEX(Std[],MATCH(Proj[[#This Row],[Player]],Std[Player],0),20)</f>
        <v>-201.32840040055967</v>
      </c>
      <c r="AD5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275.89999999999998</v>
      </c>
    </row>
    <row r="551" spans="1:30" x14ac:dyDescent="0.25">
      <c r="A551" t="s">
        <v>908</v>
      </c>
      <c r="B551">
        <v>29</v>
      </c>
      <c r="C551" t="s">
        <v>3</v>
      </c>
      <c r="D551" t="s">
        <v>18</v>
      </c>
      <c r="E551" s="9">
        <f>INDEX(Table1[],MATCH(Proj[[#This Row],[Player]],Table1[Player],0),5)</f>
        <v>17.401108318161501</v>
      </c>
      <c r="F551" s="9">
        <f>_xlfn.IFNA(INDEX(Table2[],MATCH(Proj[[#This Row],[Player]],Table2[Player],0),5),0)</f>
        <v>0</v>
      </c>
      <c r="G551" s="9">
        <f>_xlfn.IFNA(INDEX(Table3[],MATCH(Proj[[#This Row],[Player]],Table3[Player],0),5),0)</f>
        <v>2.21</v>
      </c>
      <c r="H551" s="10">
        <v>80</v>
      </c>
      <c r="I551">
        <v>80</v>
      </c>
      <c r="J551" s="9">
        <v>17.401108318161501</v>
      </c>
      <c r="K551" s="9">
        <v>0</v>
      </c>
      <c r="L551" s="9">
        <v>2.21</v>
      </c>
      <c r="M551" s="9">
        <f>Proj[[#This Row],[TOI ES]]+Proj[[#This Row],[TOI PP]]+Proj[[#This Row],[TOI PK]]</f>
        <v>19.611108318161502</v>
      </c>
      <c r="N5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51">
        <f>Proj[[#This Row],[Goals]]+Proj[[#This Row],[Assists]]</f>
        <v>18</v>
      </c>
      <c r="Q551" s="10">
        <f>ROUND(_xlfn.IFNA(INDEX(Table2[],MATCH(Proj[[#This Row],[Player]],Table2[Player],0),11)/60,IF(Proj[[#This Row],[Pos]] = "D", 'Per 60 PP'!$K$527,'Per 60 PP'!$K$526)/60)*Proj[[#This Row],[TOI PP]]*Proj[[#This Row],[GP]],0)</f>
        <v>0</v>
      </c>
      <c r="R551" s="10">
        <f>ROUND(_xlfn.IFNA(INDEX(Table2[],MATCH(Proj[[#This Row],[Player]],Table2[Player],0),7)/60,IF(Proj[[#This Row],[Pos]] = "D", 'Per 60 PP'!$G$527,'Per 60 PP'!$G$526)/60)*Proj[[#This Row],[TOI PP]]*Proj[[#This Row],[GP]],0)</f>
        <v>0</v>
      </c>
      <c r="S551" s="10">
        <f>Proj[[#This Row],[PPG]]+Proj[[#This Row],[PPA]]</f>
        <v>0</v>
      </c>
      <c r="T551">
        <f>ROUND((_xlfn.IFNA(INDEX(Table3[],MATCH(Proj[[#This Row],[Player]],Table3[Player],0),6)/60,IF(Proj[[#This Row],[Pos]] ="D", 'Per 60 PK'!$F$623, 'Per 60 PK'!$F$622)/60)+_xlfn.IFNA(INDEX(Table3[],MATCH(Proj[[#This Row],[Player]],Table3[Player],0),8)/60,IF(Proj[[#This Row],[Pos]] ="D", 'Per 60 PK'!$H$623, 'Per 60 PK'!$H$622)/60))*Proj[[#This Row],[TOI PK]]*Proj[[#This Row],[GP]],0)</f>
        <v>1</v>
      </c>
      <c r="U5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125</v>
      </c>
      <c r="V5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167</v>
      </c>
      <c r="W5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79</v>
      </c>
      <c r="X5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5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0.42412264105229269</v>
      </c>
      <c r="AB551" s="10">
        <f>_xlfn.RANK.EQ(Proj[[#This Row],[VOR]],Proj[VOR])</f>
        <v>161</v>
      </c>
      <c r="AC551" s="10">
        <f>INDEX(Std[],MATCH(Proj[[#This Row],[Player]],Std[Player],0),20)</f>
        <v>107.78889036051677</v>
      </c>
      <c r="AD5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330.55</v>
      </c>
    </row>
    <row r="552" spans="1:30" x14ac:dyDescent="0.25">
      <c r="A552" t="s">
        <v>557</v>
      </c>
      <c r="B552">
        <v>25</v>
      </c>
      <c r="C552" t="s">
        <v>3</v>
      </c>
      <c r="D552" t="s">
        <v>155</v>
      </c>
      <c r="E552" s="9">
        <f>INDEX(Table1[],MATCH(Proj[[#This Row],[Player]],Table1[Player],0),5)</f>
        <v>18.371852907412201</v>
      </c>
      <c r="F552" s="9">
        <f>_xlfn.IFNA(INDEX(Table2[],MATCH(Proj[[#This Row],[Player]],Table2[Player],0),5),0)</f>
        <v>0</v>
      </c>
      <c r="G552" s="9">
        <f>_xlfn.IFNA(INDEX(Table3[],MATCH(Proj[[#This Row],[Player]],Table3[Player],0),5),0)</f>
        <v>2.3199999999999998</v>
      </c>
      <c r="H552" s="10">
        <v>80</v>
      </c>
      <c r="I552">
        <v>80</v>
      </c>
      <c r="J552" s="9">
        <v>18.371852907412201</v>
      </c>
      <c r="K552" s="9">
        <v>0</v>
      </c>
      <c r="L552" s="9">
        <v>2.3199999999999998</v>
      </c>
      <c r="M552" s="9">
        <f>Proj[[#This Row],[TOI ES]]+Proj[[#This Row],[TOI PP]]+Proj[[#This Row],[TOI PK]]</f>
        <v>20.691852907412201</v>
      </c>
      <c r="N5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52" s="10">
        <f>Proj[[#This Row],[Goals]]+Proj[[#This Row],[Assists]]</f>
        <v>18</v>
      </c>
      <c r="Q552" s="10">
        <f>ROUND(_xlfn.IFNA(INDEX(Table2[],MATCH(Proj[[#This Row],[Player]],Table2[Player],0),11)/60,IF(Proj[[#This Row],[Pos]] = "D", 'Per 60 PP'!$K$527,'Per 60 PP'!$K$526)/60)*Proj[[#This Row],[TOI PP]]*Proj[[#This Row],[GP]],0)</f>
        <v>0</v>
      </c>
      <c r="R552" s="10">
        <f>ROUND(_xlfn.IFNA(INDEX(Table2[],MATCH(Proj[[#This Row],[Player]],Table2[Player],0),7)/60,IF(Proj[[#This Row],[Pos]] = "D", 'Per 60 PP'!$G$527,'Per 60 PP'!$G$526)/60)*Proj[[#This Row],[TOI PP]]*Proj[[#This Row],[GP]],0)</f>
        <v>0</v>
      </c>
      <c r="S552" s="10">
        <f>Proj[[#This Row],[PPG]]+Proj[[#This Row],[PPA]]</f>
        <v>0</v>
      </c>
      <c r="T552">
        <f>ROUND((_xlfn.IFNA(INDEX(Table3[],MATCH(Proj[[#This Row],[Player]],Table3[Player],0),6)/60,IF(Proj[[#This Row],[Pos]] ="D", 'Per 60 PK'!$F$623, 'Per 60 PK'!$F$622)/60)+_xlfn.IFNA(INDEX(Table3[],MATCH(Proj[[#This Row],[Player]],Table3[Player],0),8)/60,IF(Proj[[#This Row],[Pos]] ="D", 'Per 60 PK'!$H$623, 'Per 60 PK'!$H$622)/60))*Proj[[#This Row],[TOI PK]]*Proj[[#This Row],[GP]],0)</f>
        <v>1</v>
      </c>
      <c r="U5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138</v>
      </c>
      <c r="V5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139</v>
      </c>
      <c r="W5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5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5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-266.87538724689841</v>
      </c>
      <c r="AB552" s="10">
        <f>_xlfn.RANK.EQ(Proj[[#This Row],[VOR]],Proj[VOR])</f>
        <v>289</v>
      </c>
      <c r="AC552" s="10">
        <f>INDEX(Std[],MATCH(Proj[[#This Row],[Player]],Std[Player],0),20)</f>
        <v>-159.5106195274339</v>
      </c>
      <c r="AD5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303.89999999999998</v>
      </c>
    </row>
    <row r="553" spans="1:30" x14ac:dyDescent="0.25">
      <c r="A553" t="s">
        <v>914</v>
      </c>
      <c r="B553">
        <v>29</v>
      </c>
      <c r="C553" t="s">
        <v>103</v>
      </c>
      <c r="D553" t="s">
        <v>7</v>
      </c>
      <c r="E553" s="9">
        <f>INDEX(Table1[],MATCH(Proj[[#This Row],[Player]],Table1[Player],0),5)</f>
        <v>10.963363807470399</v>
      </c>
      <c r="F553" s="9">
        <f>_xlfn.IFNA(INDEX(Table2[],MATCH(Proj[[#This Row],[Player]],Table2[Player],0),5),0)</f>
        <v>0</v>
      </c>
      <c r="G553" s="9">
        <f>_xlfn.IFNA(INDEX(Table3[],MATCH(Proj[[#This Row],[Player]],Table3[Player],0),5),0)</f>
        <v>1.34</v>
      </c>
      <c r="H553" s="10">
        <v>71</v>
      </c>
      <c r="I553">
        <v>71</v>
      </c>
      <c r="J553" s="9">
        <v>10.963363807470399</v>
      </c>
      <c r="K553" s="9">
        <v>0</v>
      </c>
      <c r="L553" s="9">
        <v>1.34</v>
      </c>
      <c r="M553" s="9">
        <f>Proj[[#This Row],[TOI ES]]+Proj[[#This Row],[TOI PP]]+Proj[[#This Row],[TOI PK]]</f>
        <v>12.303363807470399</v>
      </c>
      <c r="N5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5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553">
        <f>Proj[[#This Row],[Goals]]+Proj[[#This Row],[Assists]]</f>
        <v>18</v>
      </c>
      <c r="Q553" s="10">
        <f>ROUND(_xlfn.IFNA(INDEX(Table2[],MATCH(Proj[[#This Row],[Player]],Table2[Player],0),11)/60,IF(Proj[[#This Row],[Pos]] = "D", 'Per 60 PP'!$K$527,'Per 60 PP'!$K$526)/60)*Proj[[#This Row],[TOI PP]]*Proj[[#This Row],[GP]],0)</f>
        <v>0</v>
      </c>
      <c r="R553" s="10">
        <f>ROUND(_xlfn.IFNA(INDEX(Table2[],MATCH(Proj[[#This Row],[Player]],Table2[Player],0),7)/60,IF(Proj[[#This Row],[Pos]] = "D", 'Per 60 PP'!$G$527,'Per 60 PP'!$G$526)/60)*Proj[[#This Row],[TOI PP]]*Proj[[#This Row],[GP]],0)</f>
        <v>0</v>
      </c>
      <c r="S553" s="10">
        <f>Proj[[#This Row],[PPG]]+Proj[[#This Row],[PPA]]</f>
        <v>0</v>
      </c>
      <c r="T553">
        <f>ROUND((_xlfn.IFNA(INDEX(Table3[],MATCH(Proj[[#This Row],[Player]],Table3[Player],0),6)/60,IF(Proj[[#This Row],[Pos]] ="D", 'Per 60 PK'!$F$623, 'Per 60 PK'!$F$622)/60)+_xlfn.IFNA(INDEX(Table3[],MATCH(Proj[[#This Row],[Player]],Table3[Player],0),8)/60,IF(Proj[[#This Row],[Pos]] ="D", 'Per 60 PK'!$H$623, 'Per 60 PK'!$H$622)/60))*Proj[[#This Row],[TOI PK]]*Proj[[#This Row],[GP]],0)</f>
        <v>1</v>
      </c>
      <c r="U5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142</v>
      </c>
      <c r="V5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5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85</v>
      </c>
      <c r="X5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307</v>
      </c>
      <c r="Y5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266</v>
      </c>
      <c r="Z5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90</v>
      </c>
      <c r="AA5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-350.37769086910845</v>
      </c>
      <c r="AB553" s="10">
        <f>_xlfn.RANK.EQ(Proj[[#This Row],[VOR]],Proj[VOR])</f>
        <v>349</v>
      </c>
      <c r="AC553" s="10">
        <f>INDEX(Std[],MATCH(Proj[[#This Row],[Player]],Std[Player],0),20)</f>
        <v>96.167033521140425</v>
      </c>
      <c r="AD5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315.7</v>
      </c>
    </row>
    <row r="554" spans="1:30" x14ac:dyDescent="0.25">
      <c r="A554" t="s">
        <v>811</v>
      </c>
      <c r="B554">
        <v>25</v>
      </c>
      <c r="C554" t="s">
        <v>103</v>
      </c>
      <c r="D554" t="s">
        <v>14</v>
      </c>
      <c r="E554" s="9">
        <f>INDEX(Table1[],MATCH(Proj[[#This Row],[Player]],Table1[Player],0),5)</f>
        <v>11.218679904782899</v>
      </c>
      <c r="F554" s="9">
        <f>_xlfn.IFNA(INDEX(Table2[],MATCH(Proj[[#This Row],[Player]],Table2[Player],0),5),0)</f>
        <v>0</v>
      </c>
      <c r="G554" s="9">
        <f>_xlfn.IFNA(INDEX(Table3[],MATCH(Proj[[#This Row],[Player]],Table3[Player],0),5),0)</f>
        <v>1.07</v>
      </c>
      <c r="H554" s="10">
        <v>81</v>
      </c>
      <c r="I554">
        <v>81</v>
      </c>
      <c r="J554" s="9">
        <v>11.218679904782899</v>
      </c>
      <c r="K554" s="9">
        <v>0</v>
      </c>
      <c r="L554" s="9">
        <v>1.07</v>
      </c>
      <c r="M554" s="9">
        <f>Proj[[#This Row],[TOI ES]]+Proj[[#This Row],[TOI PP]]+Proj[[#This Row],[TOI PK]]</f>
        <v>12.288679904782899</v>
      </c>
      <c r="N5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11</v>
      </c>
      <c r="O5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554" s="10">
        <f>Proj[[#This Row],[Goals]]+Proj[[#This Row],[Assists]]</f>
        <v>18</v>
      </c>
      <c r="Q554" s="10">
        <f>ROUND(_xlfn.IFNA(INDEX(Table2[],MATCH(Proj[[#This Row],[Player]],Table2[Player],0),11)/60,IF(Proj[[#This Row],[Pos]] = "D", 'Per 60 PP'!$K$527,'Per 60 PP'!$K$526)/60)*Proj[[#This Row],[TOI PP]]*Proj[[#This Row],[GP]],0)</f>
        <v>0</v>
      </c>
      <c r="R554" s="10">
        <f>ROUND(_xlfn.IFNA(INDEX(Table2[],MATCH(Proj[[#This Row],[Player]],Table2[Player],0),7)/60,IF(Proj[[#This Row],[Pos]] = "D", 'Per 60 PP'!$G$527,'Per 60 PP'!$G$526)/60)*Proj[[#This Row],[TOI PP]]*Proj[[#This Row],[GP]],0)</f>
        <v>0</v>
      </c>
      <c r="S554" s="10">
        <f>Proj[[#This Row],[PPG]]+Proj[[#This Row],[PPA]]</f>
        <v>0</v>
      </c>
      <c r="T554">
        <f>ROUND((_xlfn.IFNA(INDEX(Table3[],MATCH(Proj[[#This Row],[Player]],Table3[Player],0),6)/60,IF(Proj[[#This Row],[Pos]] ="D", 'Per 60 PK'!$F$623, 'Per 60 PK'!$F$622)/60)+_xlfn.IFNA(INDEX(Table3[],MATCH(Proj[[#This Row],[Player]],Table3[Player],0),8)/60,IF(Proj[[#This Row],[Pos]] ="D", 'Per 60 PK'!$H$623, 'Per 60 PK'!$H$622)/60))*Proj[[#This Row],[TOI PK]]*Proj[[#This Row],[GP]],0)</f>
        <v>1</v>
      </c>
      <c r="U5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150</v>
      </c>
      <c r="V5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61</v>
      </c>
      <c r="W5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5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5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5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111</v>
      </c>
      <c r="AA5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-695.01276197439574</v>
      </c>
      <c r="AB554" s="10">
        <f>_xlfn.RANK.EQ(Proj[[#This Row],[VOR]],Proj[VOR])</f>
        <v>523</v>
      </c>
      <c r="AC554" s="10">
        <f>INDEX(Std[],MATCH(Proj[[#This Row],[Player]],Std[Player],0),20)</f>
        <v>-248.46803758414686</v>
      </c>
      <c r="AD5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285.05</v>
      </c>
    </row>
    <row r="555" spans="1:30" x14ac:dyDescent="0.25">
      <c r="A555" t="s">
        <v>660</v>
      </c>
      <c r="B555">
        <v>28</v>
      </c>
      <c r="C555" t="s">
        <v>103</v>
      </c>
      <c r="D555" t="s">
        <v>4</v>
      </c>
      <c r="E555" s="9">
        <f>INDEX(Table1[],MATCH(Proj[[#This Row],[Player]],Table1[Player],0),5)</f>
        <v>11.6880620899615</v>
      </c>
      <c r="F555" s="9">
        <f>_xlfn.IFNA(INDEX(Table2[],MATCH(Proj[[#This Row],[Player]],Table2[Player],0),5),0)</f>
        <v>0</v>
      </c>
      <c r="G555" s="9">
        <f>_xlfn.IFNA(INDEX(Table3[],MATCH(Proj[[#This Row],[Player]],Table3[Player],0),5),0)</f>
        <v>0.59</v>
      </c>
      <c r="H555" s="10">
        <v>67</v>
      </c>
      <c r="I555">
        <v>67</v>
      </c>
      <c r="J555" s="9">
        <v>11.6880620899615</v>
      </c>
      <c r="K555" s="9">
        <v>0</v>
      </c>
      <c r="L555" s="9">
        <v>0.59</v>
      </c>
      <c r="M555" s="9">
        <f>Proj[[#This Row],[TOI ES]]+Proj[[#This Row],[TOI PP]]+Proj[[#This Row],[TOI PK]]</f>
        <v>12.2780620899615</v>
      </c>
      <c r="N5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55">
        <f>Proj[[#This Row],[Goals]]+Proj[[#This Row],[Assists]]</f>
        <v>18</v>
      </c>
      <c r="Q555" s="10">
        <f>ROUND(_xlfn.IFNA(INDEX(Table2[],MATCH(Proj[[#This Row],[Player]],Table2[Player],0),11)/60,IF(Proj[[#This Row],[Pos]] = "D", 'Per 60 PP'!$K$527,'Per 60 PP'!$K$526)/60)*Proj[[#This Row],[TOI PP]]*Proj[[#This Row],[GP]],0)</f>
        <v>0</v>
      </c>
      <c r="R555" s="10">
        <f>ROUND(_xlfn.IFNA(INDEX(Table2[],MATCH(Proj[[#This Row],[Player]],Table2[Player],0),7)/60,IF(Proj[[#This Row],[Pos]] = "D", 'Per 60 PP'!$G$527,'Per 60 PP'!$G$526)/60)*Proj[[#This Row],[TOI PP]]*Proj[[#This Row],[GP]],0)</f>
        <v>0</v>
      </c>
      <c r="S555" s="10">
        <f>Proj[[#This Row],[PPG]]+Proj[[#This Row],[PPA]]</f>
        <v>0</v>
      </c>
      <c r="T555">
        <f>ROUND((_xlfn.IFNA(INDEX(Table3[],MATCH(Proj[[#This Row],[Player]],Table3[Player],0),6)/60,IF(Proj[[#This Row],[Pos]] ="D", 'Per 60 PK'!$F$623, 'Per 60 PK'!$F$622)/60)+_xlfn.IFNA(INDEX(Table3[],MATCH(Proj[[#This Row],[Player]],Table3[Player],0),8)/60,IF(Proj[[#This Row],[Pos]] ="D", 'Per 60 PK'!$H$623, 'Per 60 PK'!$H$622)/60))*Proj[[#This Row],[TOI PK]]*Proj[[#This Row],[GP]],0)</f>
        <v>0</v>
      </c>
      <c r="U5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153</v>
      </c>
      <c r="V5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5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5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5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5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5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-776.88430288949905</v>
      </c>
      <c r="AB555" s="10">
        <f>_xlfn.RANK.EQ(Proj[[#This Row],[VOR]],Proj[VOR])</f>
        <v>573</v>
      </c>
      <c r="AC555" s="10">
        <f>INDEX(Std[],MATCH(Proj[[#This Row],[Player]],Std[Player],0),20)</f>
        <v>-330.33957849925019</v>
      </c>
      <c r="AD5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248.75</v>
      </c>
    </row>
    <row r="556" spans="1:30" x14ac:dyDescent="0.25">
      <c r="A556" t="s">
        <v>678</v>
      </c>
      <c r="B556">
        <v>33</v>
      </c>
      <c r="C556" t="s">
        <v>74</v>
      </c>
      <c r="D556" t="s">
        <v>25</v>
      </c>
      <c r="E556" s="9">
        <f>INDEX(Table1[],MATCH(Proj[[#This Row],[Player]],Table1[Player],0),5)</f>
        <v>10.860592375455401</v>
      </c>
      <c r="F556" s="9">
        <f>_xlfn.IFNA(INDEX(Table2[],MATCH(Proj[[#This Row],[Player]],Table2[Player],0),5),0)</f>
        <v>0</v>
      </c>
      <c r="G556" s="9">
        <f>_xlfn.IFNA(INDEX(Table3[],MATCH(Proj[[#This Row],[Player]],Table3[Player],0),5),0)</f>
        <v>2.12</v>
      </c>
      <c r="H556" s="10">
        <v>74</v>
      </c>
      <c r="I556">
        <v>74</v>
      </c>
      <c r="J556" s="9">
        <v>10.860592375455401</v>
      </c>
      <c r="K556" s="9">
        <v>0</v>
      </c>
      <c r="L556" s="9">
        <v>2.12</v>
      </c>
      <c r="M556" s="9">
        <f>Proj[[#This Row],[TOI ES]]+Proj[[#This Row],[TOI PP]]+Proj[[#This Row],[TOI PK]]</f>
        <v>12.980592375455402</v>
      </c>
      <c r="N5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56">
        <f>Proj[[#This Row],[Goals]]+Proj[[#This Row],[Assists]]</f>
        <v>18</v>
      </c>
      <c r="Q556" s="10">
        <f>ROUND(_xlfn.IFNA(INDEX(Table2[],MATCH(Proj[[#This Row],[Player]],Table2[Player],0),11)/60,IF(Proj[[#This Row],[Pos]] = "D", 'Per 60 PP'!$K$527,'Per 60 PP'!$K$526)/60)*Proj[[#This Row],[TOI PP]]*Proj[[#This Row],[GP]],0)</f>
        <v>0</v>
      </c>
      <c r="R556" s="10">
        <f>ROUND(_xlfn.IFNA(INDEX(Table2[],MATCH(Proj[[#This Row],[Player]],Table2[Player],0),7)/60,IF(Proj[[#This Row],[Pos]] = "D", 'Per 60 PP'!$G$527,'Per 60 PP'!$G$526)/60)*Proj[[#This Row],[TOI PP]]*Proj[[#This Row],[GP]],0)</f>
        <v>0</v>
      </c>
      <c r="S556" s="10">
        <f>Proj[[#This Row],[PPG]]+Proj[[#This Row],[PPA]]</f>
        <v>0</v>
      </c>
      <c r="T556">
        <f>ROUND((_xlfn.IFNA(INDEX(Table3[],MATCH(Proj[[#This Row],[Player]],Table3[Player],0),6)/60,IF(Proj[[#This Row],[Pos]] ="D", 'Per 60 PK'!$F$623, 'Per 60 PK'!$F$622)/60)+_xlfn.IFNA(INDEX(Table3[],MATCH(Proj[[#This Row],[Player]],Table3[Player],0),8)/60,IF(Proj[[#This Row],[Pos]] ="D", 'Per 60 PK'!$H$623, 'Per 60 PK'!$H$622)/60))*Proj[[#This Row],[TOI PK]]*Proj[[#This Row],[GP]],0)</f>
        <v>1</v>
      </c>
      <c r="U5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162</v>
      </c>
      <c r="V5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91</v>
      </c>
      <c r="W5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24</v>
      </c>
      <c r="X5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371</v>
      </c>
      <c r="Y5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324</v>
      </c>
      <c r="Z5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89</v>
      </c>
      <c r="AA5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-765.99680206042274</v>
      </c>
      <c r="AB556" s="10">
        <f>_xlfn.RANK.EQ(Proj[[#This Row],[VOR]],Proj[VOR])</f>
        <v>567</v>
      </c>
      <c r="AC556" s="10">
        <f>INDEX(Std[],MATCH(Proj[[#This Row],[Player]],Std[Player],0),20)</f>
        <v>-31.36294775012415</v>
      </c>
      <c r="AD5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330.75000000000006</v>
      </c>
    </row>
    <row r="557" spans="1:30" x14ac:dyDescent="0.25">
      <c r="A557" t="s">
        <v>584</v>
      </c>
      <c r="B557">
        <v>29</v>
      </c>
      <c r="C557" t="s">
        <v>3</v>
      </c>
      <c r="D557" t="s">
        <v>4</v>
      </c>
      <c r="E557" s="9">
        <f>INDEX(Table1[],MATCH(Proj[[#This Row],[Player]],Table1[Player],0),5)</f>
        <v>14.802778323920901</v>
      </c>
      <c r="F557" s="9">
        <f>_xlfn.IFNA(INDEX(Table2[],MATCH(Proj[[#This Row],[Player]],Table2[Player],0),5),0)</f>
        <v>0</v>
      </c>
      <c r="G557" s="9">
        <f>_xlfn.IFNA(INDEX(Table3[],MATCH(Proj[[#This Row],[Player]],Table3[Player],0),5),0)</f>
        <v>1.84</v>
      </c>
      <c r="H557" s="10">
        <v>81</v>
      </c>
      <c r="I557">
        <v>81</v>
      </c>
      <c r="J557" s="9">
        <v>14.802778323920901</v>
      </c>
      <c r="K557" s="9">
        <v>0</v>
      </c>
      <c r="L557" s="9">
        <v>1.84</v>
      </c>
      <c r="M557" s="9">
        <f>Proj[[#This Row],[TOI ES]]+Proj[[#This Row],[TOI PP]]+Proj[[#This Row],[TOI PK]]</f>
        <v>16.642778323920901</v>
      </c>
      <c r="N5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57" s="10">
        <f>Proj[[#This Row],[Goals]]+Proj[[#This Row],[Assists]]</f>
        <v>18</v>
      </c>
      <c r="Q557" s="10">
        <f>ROUND(_xlfn.IFNA(INDEX(Table2[],MATCH(Proj[[#This Row],[Player]],Table2[Player],0),11)/60,IF(Proj[[#This Row],[Pos]] = "D", 'Per 60 PP'!$K$527,'Per 60 PP'!$K$526)/60)*Proj[[#This Row],[TOI PP]]*Proj[[#This Row],[GP]],0)</f>
        <v>0</v>
      </c>
      <c r="R557" s="10">
        <f>ROUND(_xlfn.IFNA(INDEX(Table2[],MATCH(Proj[[#This Row],[Player]],Table2[Player],0),7)/60,IF(Proj[[#This Row],[Pos]] = "D", 'Per 60 PP'!$G$527,'Per 60 PP'!$G$526)/60)*Proj[[#This Row],[TOI PP]]*Proj[[#This Row],[GP]],0)</f>
        <v>0</v>
      </c>
      <c r="S557" s="10">
        <f>Proj[[#This Row],[PPG]]+Proj[[#This Row],[PPA]]</f>
        <v>0</v>
      </c>
      <c r="T557">
        <f>ROUND((_xlfn.IFNA(INDEX(Table3[],MATCH(Proj[[#This Row],[Player]],Table3[Player],0),6)/60,IF(Proj[[#This Row],[Pos]] ="D", 'Per 60 PK'!$F$623, 'Per 60 PK'!$F$622)/60)+_xlfn.IFNA(INDEX(Table3[],MATCH(Proj[[#This Row],[Player]],Table3[Player],0),8)/60,IF(Proj[[#This Row],[Pos]] ="D", 'Per 60 PK'!$H$623, 'Per 60 PK'!$H$622)/60))*Proj[[#This Row],[TOI PK]]*Proj[[#This Row],[GP]],0)</f>
        <v>1</v>
      </c>
      <c r="U5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182</v>
      </c>
      <c r="V5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116</v>
      </c>
      <c r="W5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5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83</v>
      </c>
      <c r="AA5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-143.96695054446076</v>
      </c>
      <c r="AB557" s="10">
        <f>_xlfn.RANK.EQ(Proj[[#This Row],[VOR]],Proj[VOR])</f>
        <v>217</v>
      </c>
      <c r="AC557" s="10">
        <f>INDEX(Std[],MATCH(Proj[[#This Row],[Player]],Std[Player],0),20)</f>
        <v>-36.602182824996291</v>
      </c>
      <c r="AD5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321.79999999999995</v>
      </c>
    </row>
    <row r="558" spans="1:30" x14ac:dyDescent="0.25">
      <c r="A558" t="s">
        <v>392</v>
      </c>
      <c r="B558">
        <v>25</v>
      </c>
      <c r="C558" t="s">
        <v>3</v>
      </c>
      <c r="D558" t="s">
        <v>29</v>
      </c>
      <c r="E558" s="9">
        <f>INDEX(Table1[],MATCH(Proj[[#This Row],[Player]],Table1[Player],0),5)</f>
        <v>17.9320355095984</v>
      </c>
      <c r="F558" s="9">
        <f>_xlfn.IFNA(INDEX(Table2[],MATCH(Proj[[#This Row],[Player]],Table2[Player],0),5),0)</f>
        <v>0</v>
      </c>
      <c r="G558" s="9">
        <f>_xlfn.IFNA(INDEX(Table3[],MATCH(Proj[[#This Row],[Player]],Table3[Player],0),5),0)</f>
        <v>1.67</v>
      </c>
      <c r="H558" s="10">
        <v>77</v>
      </c>
      <c r="I558">
        <v>77</v>
      </c>
      <c r="J558" s="9">
        <v>17.9320355095984</v>
      </c>
      <c r="K558" s="9">
        <v>0</v>
      </c>
      <c r="L558" s="9">
        <v>1.67</v>
      </c>
      <c r="M558" s="9">
        <f>Proj[[#This Row],[TOI ES]]+Proj[[#This Row],[TOI PP]]+Proj[[#This Row],[TOI PK]]</f>
        <v>19.602035509598402</v>
      </c>
      <c r="N5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58" s="10">
        <f>Proj[[#This Row],[Goals]]+Proj[[#This Row],[Assists]]</f>
        <v>18</v>
      </c>
      <c r="Q558" s="10">
        <f>ROUND(_xlfn.IFNA(INDEX(Table2[],MATCH(Proj[[#This Row],[Player]],Table2[Player],0),11)/60,IF(Proj[[#This Row],[Pos]] = "D", 'Per 60 PP'!$K$527,'Per 60 PP'!$K$526)/60)*Proj[[#This Row],[TOI PP]]*Proj[[#This Row],[GP]],0)</f>
        <v>0</v>
      </c>
      <c r="R558" s="10">
        <f>ROUND(_xlfn.IFNA(INDEX(Table2[],MATCH(Proj[[#This Row],[Player]],Table2[Player],0),7)/60,IF(Proj[[#This Row],[Pos]] = "D", 'Per 60 PP'!$G$527,'Per 60 PP'!$G$526)/60)*Proj[[#This Row],[TOI PP]]*Proj[[#This Row],[GP]],0)</f>
        <v>0</v>
      </c>
      <c r="S558" s="10">
        <f>Proj[[#This Row],[PPG]]+Proj[[#This Row],[PPA]]</f>
        <v>0</v>
      </c>
      <c r="T558">
        <f>ROUND((_xlfn.IFNA(INDEX(Table3[],MATCH(Proj[[#This Row],[Player]],Table3[Player],0),6)/60,IF(Proj[[#This Row],[Pos]] ="D", 'Per 60 PK'!$F$623, 'Per 60 PK'!$F$622)/60)+_xlfn.IFNA(INDEX(Table3[],MATCH(Proj[[#This Row],[Player]],Table3[Player],0),8)/60,IF(Proj[[#This Row],[Pos]] ="D", 'Per 60 PK'!$H$623, 'Per 60 PK'!$H$622)/60))*Proj[[#This Row],[TOI PK]]*Proj[[#This Row],[GP]],0)</f>
        <v>1</v>
      </c>
      <c r="U5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202</v>
      </c>
      <c r="V5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135</v>
      </c>
      <c r="W5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5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5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-148.03405789417863</v>
      </c>
      <c r="AB558" s="10">
        <f>_xlfn.RANK.EQ(Proj[[#This Row],[VOR]],Proj[VOR])</f>
        <v>220</v>
      </c>
      <c r="AC558" s="10">
        <f>INDEX(Std[],MATCH(Proj[[#This Row],[Player]],Std[Player],0),20)</f>
        <v>-40.669290174714156</v>
      </c>
      <c r="AD5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338.34999999999997</v>
      </c>
    </row>
    <row r="559" spans="1:30" x14ac:dyDescent="0.25">
      <c r="A559" t="s">
        <v>485</v>
      </c>
      <c r="B559">
        <v>28</v>
      </c>
      <c r="C559" t="s">
        <v>102</v>
      </c>
      <c r="D559" t="s">
        <v>29</v>
      </c>
      <c r="E559" s="9">
        <f>INDEX(Table1[],MATCH(Proj[[#This Row],[Player]],Table1[Player],0),5)</f>
        <v>10.902084736214301</v>
      </c>
      <c r="F559" s="9">
        <f>_xlfn.IFNA(INDEX(Table2[],MATCH(Proj[[#This Row],[Player]],Table2[Player],0),5),0)</f>
        <v>1.79</v>
      </c>
      <c r="G559" s="9">
        <f>_xlfn.IFNA(INDEX(Table3[],MATCH(Proj[[#This Row],[Player]],Table3[Player],0),5),0)</f>
        <v>0</v>
      </c>
      <c r="H559" s="10">
        <v>40</v>
      </c>
      <c r="I559">
        <v>40</v>
      </c>
      <c r="J559" s="9">
        <v>10.902084736214301</v>
      </c>
      <c r="K559" s="9">
        <v>1.79</v>
      </c>
      <c r="L559" s="9">
        <v>0</v>
      </c>
      <c r="M559" s="9">
        <f>Proj[[#This Row],[TOI ES]]+Proj[[#This Row],[TOI PP]]+Proj[[#This Row],[TOI PK]]</f>
        <v>12.692084736214301</v>
      </c>
      <c r="N5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5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559" s="10">
        <f>Proj[[#This Row],[Goals]]+Proj[[#This Row],[Assists]]</f>
        <v>17</v>
      </c>
      <c r="Q559" s="10">
        <f>ROUND(_xlfn.IFNA(INDEX(Table2[],MATCH(Proj[[#This Row],[Player]],Table2[Player],0),11)/60,IF(Proj[[#This Row],[Pos]] = "D", 'Per 60 PP'!$K$527,'Per 60 PP'!$K$526)/60)*Proj[[#This Row],[TOI PP]]*Proj[[#This Row],[GP]],0)</f>
        <v>3</v>
      </c>
      <c r="R559" s="10">
        <f>ROUND(_xlfn.IFNA(INDEX(Table2[],MATCH(Proj[[#This Row],[Player]],Table2[Player],0),7)/60,IF(Proj[[#This Row],[Pos]] = "D", 'Per 60 PP'!$G$527,'Per 60 PP'!$G$526)/60)*Proj[[#This Row],[TOI PP]]*Proj[[#This Row],[GP]],0)</f>
        <v>0</v>
      </c>
      <c r="S559" s="10">
        <f>Proj[[#This Row],[PPG]]+Proj[[#This Row],[PPA]]</f>
        <v>3</v>
      </c>
      <c r="T559">
        <f>ROUND((_xlfn.IFNA(INDEX(Table3[],MATCH(Proj[[#This Row],[Player]],Table3[Player],0),6)/60,IF(Proj[[#This Row],[Pos]] ="D", 'Per 60 PK'!$F$623, 'Per 60 PK'!$F$622)/60)+_xlfn.IFNA(INDEX(Table3[],MATCH(Proj[[#This Row],[Player]],Table3[Player],0),8)/60,IF(Proj[[#This Row],[Pos]] ="D", 'Per 60 PK'!$H$623, 'Per 60 PK'!$H$622)/60))*Proj[[#This Row],[TOI PK]]*Proj[[#This Row],[GP]],0)</f>
        <v>0</v>
      </c>
      <c r="U5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v>
      </c>
      <c r="V5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v>
      </c>
      <c r="W5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5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5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26</v>
      </c>
      <c r="Z5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83</v>
      </c>
      <c r="AA5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-1196.3852676251206</v>
      </c>
      <c r="AB559" s="10">
        <f>_xlfn.RANK.EQ(Proj[[#This Row],[VOR]],Proj[VOR])</f>
        <v>695</v>
      </c>
      <c r="AC559" s="10">
        <f>INDEX(Std[],MATCH(Proj[[#This Row],[Player]],Std[Player],0),20)</f>
        <v>-724.8405432348718</v>
      </c>
      <c r="AD5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152.34999999999997</v>
      </c>
    </row>
    <row r="560" spans="1:30" x14ac:dyDescent="0.25">
      <c r="A560" t="s">
        <v>1178</v>
      </c>
      <c r="B560">
        <v>25</v>
      </c>
      <c r="C560" t="s">
        <v>3</v>
      </c>
      <c r="D560" t="s">
        <v>18</v>
      </c>
      <c r="E560" s="9">
        <f>INDEX(Table1[],MATCH(Proj[[#This Row],[Player]],Table1[Player],0),5)</f>
        <v>14.7773102720978</v>
      </c>
      <c r="F560" s="9">
        <f>_xlfn.IFNA(INDEX(Table2[],MATCH(Proj[[#This Row],[Player]],Table2[Player],0),5),0)</f>
        <v>1.85</v>
      </c>
      <c r="G560" s="9">
        <f>_xlfn.IFNA(INDEX(Table3[],MATCH(Proj[[#This Row],[Player]],Table3[Player],0),5),0)</f>
        <v>0.75</v>
      </c>
      <c r="H560" s="10">
        <v>49</v>
      </c>
      <c r="I560">
        <v>49</v>
      </c>
      <c r="J560" s="9">
        <v>14.7773102720978</v>
      </c>
      <c r="K560" s="9">
        <v>1.85</v>
      </c>
      <c r="L560" s="9">
        <v>0.75</v>
      </c>
      <c r="M560" s="9">
        <f>Proj[[#This Row],[TOI ES]]+Proj[[#This Row],[TOI PP]]+Proj[[#This Row],[TOI PK]]</f>
        <v>17.377310272097802</v>
      </c>
      <c r="N5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60">
        <f>Proj[[#This Row],[Goals]]+Proj[[#This Row],[Assists]]</f>
        <v>17</v>
      </c>
      <c r="Q560" s="10">
        <f>ROUND(_xlfn.IFNA(INDEX(Table2[],MATCH(Proj[[#This Row],[Player]],Table2[Player],0),11)/60,IF(Proj[[#This Row],[Pos]] = "D", 'Per 60 PP'!$K$527,'Per 60 PP'!$K$526)/60)*Proj[[#This Row],[TOI PP]]*Proj[[#This Row],[GP]],0)</f>
        <v>1</v>
      </c>
      <c r="R560" s="10">
        <f>ROUND(_xlfn.IFNA(INDEX(Table2[],MATCH(Proj[[#This Row],[Player]],Table2[Player],0),7)/60,IF(Proj[[#This Row],[Pos]] = "D", 'Per 60 PP'!$G$527,'Per 60 PP'!$G$526)/60)*Proj[[#This Row],[TOI PP]]*Proj[[#This Row],[GP]],0)</f>
        <v>6</v>
      </c>
      <c r="S560" s="10">
        <f>Proj[[#This Row],[PPG]]+Proj[[#This Row],[PPA]]</f>
        <v>7</v>
      </c>
      <c r="T560">
        <f>ROUND((_xlfn.IFNA(INDEX(Table3[],MATCH(Proj[[#This Row],[Player]],Table3[Player],0),6)/60,IF(Proj[[#This Row],[Pos]] ="D", 'Per 60 PK'!$F$623, 'Per 60 PK'!$F$622)/60)+_xlfn.IFNA(INDEX(Table3[],MATCH(Proj[[#This Row],[Player]],Table3[Player],0),8)/60,IF(Proj[[#This Row],[Pos]] ="D", 'Per 60 PK'!$H$623, 'Per 60 PK'!$H$622)/60))*Proj[[#This Row],[TOI PK]]*Proj[[#This Row],[GP]],0)</f>
        <v>0</v>
      </c>
      <c r="U5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5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64</v>
      </c>
      <c r="W5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5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55</v>
      </c>
      <c r="AA5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-653.98445553813258</v>
      </c>
      <c r="AB560" s="10">
        <f>_xlfn.RANK.EQ(Proj[[#This Row],[VOR]],Proj[VOR])</f>
        <v>501</v>
      </c>
      <c r="AC560" s="10">
        <f>INDEX(Std[],MATCH(Proj[[#This Row],[Player]],Std[Player],0),20)</f>
        <v>-546.61968781866813</v>
      </c>
      <c r="AD5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175.7</v>
      </c>
    </row>
    <row r="561" spans="1:30" x14ac:dyDescent="0.25">
      <c r="A561" t="s">
        <v>985</v>
      </c>
      <c r="B561">
        <v>31</v>
      </c>
      <c r="C561" t="s">
        <v>74</v>
      </c>
      <c r="D561" t="s">
        <v>10</v>
      </c>
      <c r="E561" s="9">
        <f>INDEX(Table1[],MATCH(Proj[[#This Row],[Player]],Table1[Player],0),5)</f>
        <v>10.2189309011031</v>
      </c>
      <c r="F561" s="9">
        <f>_xlfn.IFNA(INDEX(Table2[],MATCH(Proj[[#This Row],[Player]],Table2[Player],0),5),0)</f>
        <v>1.18</v>
      </c>
      <c r="G561" s="9">
        <f>_xlfn.IFNA(INDEX(Table3[],MATCH(Proj[[#This Row],[Player]],Table3[Player],0),5),0)</f>
        <v>0</v>
      </c>
      <c r="H561" s="10">
        <v>62</v>
      </c>
      <c r="I561">
        <v>62</v>
      </c>
      <c r="J561" s="9">
        <v>10.2189309011031</v>
      </c>
      <c r="K561" s="9">
        <v>1.18</v>
      </c>
      <c r="L561" s="9">
        <v>0</v>
      </c>
      <c r="M561" s="9">
        <f>Proj[[#This Row],[TOI ES]]+Proj[[#This Row],[TOI PP]]+Proj[[#This Row],[TOI PK]]</f>
        <v>11.3989309011031</v>
      </c>
      <c r="N5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61" s="10">
        <f>Proj[[#This Row],[Goals]]+Proj[[#This Row],[Assists]]</f>
        <v>17</v>
      </c>
      <c r="Q561" s="10">
        <f>ROUND(_xlfn.IFNA(INDEX(Table2[],MATCH(Proj[[#This Row],[Player]],Table2[Player],0),11)/60,IF(Proj[[#This Row],[Pos]] = "D", 'Per 60 PP'!$K$527,'Per 60 PP'!$K$526)/60)*Proj[[#This Row],[TOI PP]]*Proj[[#This Row],[GP]],0)</f>
        <v>2</v>
      </c>
      <c r="R561" s="10">
        <f>ROUND(_xlfn.IFNA(INDEX(Table2[],MATCH(Proj[[#This Row],[Player]],Table2[Player],0),7)/60,IF(Proj[[#This Row],[Pos]] = "D", 'Per 60 PP'!$G$527,'Per 60 PP'!$G$526)/60)*Proj[[#This Row],[TOI PP]]*Proj[[#This Row],[GP]],0)</f>
        <v>3</v>
      </c>
      <c r="S561" s="10">
        <f>Proj[[#This Row],[PPG]]+Proj[[#This Row],[PPA]]</f>
        <v>5</v>
      </c>
      <c r="T561">
        <f>ROUND((_xlfn.IFNA(INDEX(Table3[],MATCH(Proj[[#This Row],[Player]],Table3[Player],0),6)/60,IF(Proj[[#This Row],[Pos]] ="D", 'Per 60 PK'!$F$623, 'Per 60 PK'!$F$622)/60)+_xlfn.IFNA(INDEX(Table3[],MATCH(Proj[[#This Row],[Player]],Table3[Player],0),8)/60,IF(Proj[[#This Row],[Pos]] ="D", 'Per 60 PK'!$H$623, 'Per 60 PK'!$H$622)/60))*Proj[[#This Row],[TOI PK]]*Proj[[#This Row],[GP]],0)</f>
        <v>0</v>
      </c>
      <c r="U5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5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5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5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170</v>
      </c>
      <c r="Y5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166</v>
      </c>
      <c r="Z5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102</v>
      </c>
      <c r="AA5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-1235.9740839009767</v>
      </c>
      <c r="AB561" s="10">
        <f>_xlfn.RANK.EQ(Proj[[#This Row],[VOR]],Proj[VOR])</f>
        <v>702</v>
      </c>
      <c r="AC561" s="10">
        <f>INDEX(Std[],MATCH(Proj[[#This Row],[Player]],Std[Player],0),20)</f>
        <v>-501.34022959067812</v>
      </c>
      <c r="AD5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196.60000000000002</v>
      </c>
    </row>
    <row r="562" spans="1:30" x14ac:dyDescent="0.25">
      <c r="A562" t="s">
        <v>792</v>
      </c>
      <c r="B562">
        <v>38</v>
      </c>
      <c r="C562" t="s">
        <v>74</v>
      </c>
      <c r="D562" t="s">
        <v>16</v>
      </c>
      <c r="E562" s="9">
        <f>INDEX(Table1[],MATCH(Proj[[#This Row],[Player]],Table1[Player],0),5)</f>
        <v>8.8592397890593304</v>
      </c>
      <c r="F562" s="9">
        <f>_xlfn.IFNA(INDEX(Table2[],MATCH(Proj[[#This Row],[Player]],Table2[Player],0),5),0)</f>
        <v>0</v>
      </c>
      <c r="G562" s="9">
        <f>_xlfn.IFNA(INDEX(Table3[],MATCH(Proj[[#This Row],[Player]],Table3[Player],0),5),0)</f>
        <v>1.51</v>
      </c>
      <c r="H562" s="10">
        <v>76</v>
      </c>
      <c r="I562">
        <v>76</v>
      </c>
      <c r="J562" s="9">
        <v>8.8592397890593304</v>
      </c>
      <c r="K562" s="9">
        <v>0</v>
      </c>
      <c r="L562" s="9">
        <v>1.51</v>
      </c>
      <c r="M562" s="9">
        <f>Proj[[#This Row],[TOI ES]]+Proj[[#This Row],[TOI PP]]+Proj[[#This Row],[TOI PK]]</f>
        <v>10.36923978905933</v>
      </c>
      <c r="N5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62" s="10">
        <f>Proj[[#This Row],[Goals]]+Proj[[#This Row],[Assists]]</f>
        <v>17</v>
      </c>
      <c r="Q562" s="10">
        <f>ROUND(_xlfn.IFNA(INDEX(Table2[],MATCH(Proj[[#This Row],[Player]],Table2[Player],0),11)/60,IF(Proj[[#This Row],[Pos]] = "D", 'Per 60 PP'!$K$527,'Per 60 PP'!$K$526)/60)*Proj[[#This Row],[TOI PP]]*Proj[[#This Row],[GP]],0)</f>
        <v>0</v>
      </c>
      <c r="R562" s="10">
        <f>ROUND(_xlfn.IFNA(INDEX(Table2[],MATCH(Proj[[#This Row],[Player]],Table2[Player],0),7)/60,IF(Proj[[#This Row],[Pos]] = "D", 'Per 60 PP'!$G$527,'Per 60 PP'!$G$526)/60)*Proj[[#This Row],[TOI PP]]*Proj[[#This Row],[GP]],0)</f>
        <v>0</v>
      </c>
      <c r="S562" s="10">
        <f>Proj[[#This Row],[PPG]]+Proj[[#This Row],[PPA]]</f>
        <v>0</v>
      </c>
      <c r="T562">
        <f>ROUND((_xlfn.IFNA(INDEX(Table3[],MATCH(Proj[[#This Row],[Player]],Table3[Player],0),6)/60,IF(Proj[[#This Row],[Pos]] ="D", 'Per 60 PK'!$F$623, 'Per 60 PK'!$F$622)/60)+_xlfn.IFNA(INDEX(Table3[],MATCH(Proj[[#This Row],[Player]],Table3[Player],0),8)/60,IF(Proj[[#This Row],[Pos]] ="D", 'Per 60 PK'!$H$623, 'Per 60 PK'!$H$622)/60))*Proj[[#This Row],[TOI PK]]*Proj[[#This Row],[GP]],0)</f>
        <v>2</v>
      </c>
      <c r="U5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53</v>
      </c>
      <c r="V5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36</v>
      </c>
      <c r="W5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5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232</v>
      </c>
      <c r="Y5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189</v>
      </c>
      <c r="Z5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5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-1287.7451119892801</v>
      </c>
      <c r="AB562" s="10">
        <f>_xlfn.RANK.EQ(Proj[[#This Row],[VOR]],Proj[VOR])</f>
        <v>710</v>
      </c>
      <c r="AC562" s="10">
        <f>INDEX(Std[],MATCH(Proj[[#This Row],[Player]],Std[Player],0),20)</f>
        <v>-553.11125767898147</v>
      </c>
      <c r="AD5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194.2</v>
      </c>
    </row>
    <row r="563" spans="1:30" x14ac:dyDescent="0.25">
      <c r="A563" t="s">
        <v>763</v>
      </c>
      <c r="B563">
        <v>25</v>
      </c>
      <c r="C563" t="s">
        <v>74</v>
      </c>
      <c r="D563" t="s">
        <v>5</v>
      </c>
      <c r="E563" s="9">
        <f>INDEX(Table1[],MATCH(Proj[[#This Row],[Player]],Table1[Player],0),5)</f>
        <v>11.9418289569471</v>
      </c>
      <c r="F563" s="9">
        <f>_xlfn.IFNA(INDEX(Table2[],MATCH(Proj[[#This Row],[Player]],Table2[Player],0),5),0)</f>
        <v>0</v>
      </c>
      <c r="G563" s="9">
        <f>_xlfn.IFNA(INDEX(Table3[],MATCH(Proj[[#This Row],[Player]],Table3[Player],0),5),0)</f>
        <v>2.0099999999999998</v>
      </c>
      <c r="H563" s="10">
        <v>71</v>
      </c>
      <c r="I563">
        <v>71</v>
      </c>
      <c r="J563" s="9">
        <v>11.9418289569471</v>
      </c>
      <c r="K563" s="9">
        <v>0</v>
      </c>
      <c r="L563" s="9">
        <v>2.0099999999999998</v>
      </c>
      <c r="M563" s="9">
        <f>Proj[[#This Row],[TOI ES]]+Proj[[#This Row],[TOI PP]]+Proj[[#This Row],[TOI PK]]</f>
        <v>13.9518289569471</v>
      </c>
      <c r="N5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63">
        <f>Proj[[#This Row],[Goals]]+Proj[[#This Row],[Assists]]</f>
        <v>17</v>
      </c>
      <c r="Q563" s="10">
        <f>ROUND(_xlfn.IFNA(INDEX(Table2[],MATCH(Proj[[#This Row],[Player]],Table2[Player],0),11)/60,IF(Proj[[#This Row],[Pos]] = "D", 'Per 60 PP'!$K$527,'Per 60 PP'!$K$526)/60)*Proj[[#This Row],[TOI PP]]*Proj[[#This Row],[GP]],0)</f>
        <v>0</v>
      </c>
      <c r="R563" s="10">
        <f>ROUND(_xlfn.IFNA(INDEX(Table2[],MATCH(Proj[[#This Row],[Player]],Table2[Player],0),7)/60,IF(Proj[[#This Row],[Pos]] = "D", 'Per 60 PP'!$G$527,'Per 60 PP'!$G$526)/60)*Proj[[#This Row],[TOI PP]]*Proj[[#This Row],[GP]],0)</f>
        <v>0</v>
      </c>
      <c r="S563" s="10">
        <f>Proj[[#This Row],[PPG]]+Proj[[#This Row],[PPA]]</f>
        <v>0</v>
      </c>
      <c r="T563">
        <f>ROUND((_xlfn.IFNA(INDEX(Table3[],MATCH(Proj[[#This Row],[Player]],Table3[Player],0),6)/60,IF(Proj[[#This Row],[Pos]] ="D", 'Per 60 PK'!$F$623, 'Per 60 PK'!$F$622)/60)+_xlfn.IFNA(INDEX(Table3[],MATCH(Proj[[#This Row],[Player]],Table3[Player],0),8)/60,IF(Proj[[#This Row],[Pos]] ="D", 'Per 60 PK'!$H$623, 'Per 60 PK'!$H$622)/60))*Proj[[#This Row],[TOI PK]]*Proj[[#This Row],[GP]],0)</f>
        <v>1</v>
      </c>
      <c r="U5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5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5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v>
      </c>
      <c r="X5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260</v>
      </c>
      <c r="Y5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317</v>
      </c>
      <c r="Z5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58</v>
      </c>
      <c r="AA5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-1283.6333612066639</v>
      </c>
      <c r="AB563" s="10">
        <f>_xlfn.RANK.EQ(Proj[[#This Row],[VOR]],Proj[VOR])</f>
        <v>709</v>
      </c>
      <c r="AC563" s="10">
        <f>INDEX(Std[],MATCH(Proj[[#This Row],[Player]],Std[Player],0),20)</f>
        <v>-548.99950689636535</v>
      </c>
      <c r="AD5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200.8</v>
      </c>
    </row>
    <row r="564" spans="1:30" x14ac:dyDescent="0.25">
      <c r="A564" t="s">
        <v>970</v>
      </c>
      <c r="B564">
        <v>28</v>
      </c>
      <c r="C564" t="s">
        <v>3</v>
      </c>
      <c r="D564" t="s">
        <v>34</v>
      </c>
      <c r="E564" s="9">
        <f>INDEX(Table1[],MATCH(Proj[[#This Row],[Player]],Table1[Player],0),5)</f>
        <v>14.362209793284901</v>
      </c>
      <c r="F564" s="9">
        <f>_xlfn.IFNA(INDEX(Table2[],MATCH(Proj[[#This Row],[Player]],Table2[Player],0),5),0)</f>
        <v>0</v>
      </c>
      <c r="G564" s="9">
        <f>_xlfn.IFNA(INDEX(Table3[],MATCH(Proj[[#This Row],[Player]],Table3[Player],0),5),0)</f>
        <v>0.76</v>
      </c>
      <c r="H564" s="10">
        <v>75</v>
      </c>
      <c r="I564">
        <v>75</v>
      </c>
      <c r="J564" s="9">
        <v>14.362209793284901</v>
      </c>
      <c r="K564" s="9">
        <v>0</v>
      </c>
      <c r="L564" s="9">
        <v>0.76</v>
      </c>
      <c r="M564" s="9">
        <f>Proj[[#This Row],[TOI ES]]+Proj[[#This Row],[TOI PP]]+Proj[[#This Row],[TOI PK]]</f>
        <v>15.122209793284901</v>
      </c>
      <c r="N5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64" s="10">
        <f>Proj[[#This Row],[Goals]]+Proj[[#This Row],[Assists]]</f>
        <v>17</v>
      </c>
      <c r="Q564" s="10">
        <f>ROUND(_xlfn.IFNA(INDEX(Table2[],MATCH(Proj[[#This Row],[Player]],Table2[Player],0),11)/60,IF(Proj[[#This Row],[Pos]] = "D", 'Per 60 PP'!$K$527,'Per 60 PP'!$K$526)/60)*Proj[[#This Row],[TOI PP]]*Proj[[#This Row],[GP]],0)</f>
        <v>0</v>
      </c>
      <c r="R564" s="10">
        <f>ROUND(_xlfn.IFNA(INDEX(Table2[],MATCH(Proj[[#This Row],[Player]],Table2[Player],0),7)/60,IF(Proj[[#This Row],[Pos]] = "D", 'Per 60 PP'!$G$527,'Per 60 PP'!$G$526)/60)*Proj[[#This Row],[TOI PP]]*Proj[[#This Row],[GP]],0)</f>
        <v>0</v>
      </c>
      <c r="S564" s="10">
        <f>Proj[[#This Row],[PPG]]+Proj[[#This Row],[PPA]]</f>
        <v>0</v>
      </c>
      <c r="T564">
        <f>ROUND((_xlfn.IFNA(INDEX(Table3[],MATCH(Proj[[#This Row],[Player]],Table3[Player],0),6)/60,IF(Proj[[#This Row],[Pos]] ="D", 'Per 60 PK'!$F$623, 'Per 60 PK'!$F$622)/60)+_xlfn.IFNA(INDEX(Table3[],MATCH(Proj[[#This Row],[Player]],Table3[Player],0),8)/60,IF(Proj[[#This Row],[Pos]] ="D", 'Per 60 PK'!$H$623, 'Per 60 PK'!$H$622)/60))*Proj[[#This Row],[TOI PK]]*Proj[[#This Row],[GP]],0)</f>
        <v>1</v>
      </c>
      <c r="U5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5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5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5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92</v>
      </c>
      <c r="AA5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-546.83138652850482</v>
      </c>
      <c r="AB564" s="10">
        <f>_xlfn.RANK.EQ(Proj[[#This Row],[VOR]],Proj[VOR])</f>
        <v>450</v>
      </c>
      <c r="AC564" s="10">
        <f>INDEX(Std[],MATCH(Proj[[#This Row],[Player]],Std[Player],0),20)</f>
        <v>-439.46661880904037</v>
      </c>
      <c r="AD5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219.89999999999998</v>
      </c>
    </row>
    <row r="565" spans="1:30" x14ac:dyDescent="0.25">
      <c r="A565" t="s">
        <v>512</v>
      </c>
      <c r="B565">
        <v>33</v>
      </c>
      <c r="C565" t="s">
        <v>3</v>
      </c>
      <c r="D565" t="s">
        <v>5</v>
      </c>
      <c r="E565" s="9">
        <f>INDEX(Table1[],MATCH(Proj[[#This Row],[Player]],Table1[Player],0),5)</f>
        <v>15.764769060538701</v>
      </c>
      <c r="F565" s="9">
        <f>_xlfn.IFNA(INDEX(Table2[],MATCH(Proj[[#This Row],[Player]],Table2[Player],0),5),0)</f>
        <v>0</v>
      </c>
      <c r="G565" s="9">
        <f>_xlfn.IFNA(INDEX(Table3[],MATCH(Proj[[#This Row],[Player]],Table3[Player],0),5),0)</f>
        <v>1.79</v>
      </c>
      <c r="H565" s="10">
        <v>80</v>
      </c>
      <c r="I565">
        <v>80</v>
      </c>
      <c r="J565" s="9">
        <v>15.764769060538701</v>
      </c>
      <c r="K565" s="9">
        <v>0</v>
      </c>
      <c r="L565" s="9">
        <v>1.79</v>
      </c>
      <c r="M565" s="9">
        <f>Proj[[#This Row],[TOI ES]]+Proj[[#This Row],[TOI PP]]+Proj[[#This Row],[TOI PK]]</f>
        <v>17.5547690605387</v>
      </c>
      <c r="N5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65" s="10">
        <f>Proj[[#This Row],[Goals]]+Proj[[#This Row],[Assists]]</f>
        <v>17</v>
      </c>
      <c r="Q565" s="10">
        <f>ROUND(_xlfn.IFNA(INDEX(Table2[],MATCH(Proj[[#This Row],[Player]],Table2[Player],0),11)/60,IF(Proj[[#This Row],[Pos]] = "D", 'Per 60 PP'!$K$527,'Per 60 PP'!$K$526)/60)*Proj[[#This Row],[TOI PP]]*Proj[[#This Row],[GP]],0)</f>
        <v>0</v>
      </c>
      <c r="R565" s="10">
        <f>ROUND(_xlfn.IFNA(INDEX(Table2[],MATCH(Proj[[#This Row],[Player]],Table2[Player],0),7)/60,IF(Proj[[#This Row],[Pos]] = "D", 'Per 60 PP'!$G$527,'Per 60 PP'!$G$526)/60)*Proj[[#This Row],[TOI PP]]*Proj[[#This Row],[GP]],0)</f>
        <v>0</v>
      </c>
      <c r="S565" s="10">
        <f>Proj[[#This Row],[PPG]]+Proj[[#This Row],[PPA]]</f>
        <v>0</v>
      </c>
      <c r="T565">
        <f>ROUND((_xlfn.IFNA(INDEX(Table3[],MATCH(Proj[[#This Row],[Player]],Table3[Player],0),6)/60,IF(Proj[[#This Row],[Pos]] ="D", 'Per 60 PK'!$F$623, 'Per 60 PK'!$F$622)/60)+_xlfn.IFNA(INDEX(Table3[],MATCH(Proj[[#This Row],[Player]],Table3[Player],0),8)/60,IF(Proj[[#This Row],[Pos]] ="D", 'Per 60 PK'!$H$623, 'Per 60 PK'!$H$622)/60))*Proj[[#This Row],[TOI PK]]*Proj[[#This Row],[GP]],0)</f>
        <v>0</v>
      </c>
      <c r="U5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5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106</v>
      </c>
      <c r="W5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5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5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-555.1788017526062</v>
      </c>
      <c r="AB565" s="10">
        <f>_xlfn.RANK.EQ(Proj[[#This Row],[VOR]],Proj[VOR])</f>
        <v>457</v>
      </c>
      <c r="AC565" s="10">
        <f>INDEX(Std[],MATCH(Proj[[#This Row],[Player]],Std[Player],0),20)</f>
        <v>-447.8140340331417</v>
      </c>
      <c r="AD5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226.45</v>
      </c>
    </row>
    <row r="566" spans="1:30" x14ac:dyDescent="0.25">
      <c r="A566" t="s">
        <v>709</v>
      </c>
      <c r="B566">
        <v>26</v>
      </c>
      <c r="C566" t="s">
        <v>3</v>
      </c>
      <c r="D566" t="s">
        <v>9</v>
      </c>
      <c r="E566" s="9">
        <f>INDEX(Table1[],MATCH(Proj[[#This Row],[Player]],Table1[Player],0),5)</f>
        <v>13.6100284040273</v>
      </c>
      <c r="F566" s="9">
        <f>_xlfn.IFNA(INDEX(Table2[],MATCH(Proj[[#This Row],[Player]],Table2[Player],0),5),0)</f>
        <v>0</v>
      </c>
      <c r="G566" s="9">
        <f>_xlfn.IFNA(INDEX(Table3[],MATCH(Proj[[#This Row],[Player]],Table3[Player],0),5),0)</f>
        <v>2</v>
      </c>
      <c r="H566" s="10">
        <v>79</v>
      </c>
      <c r="I566">
        <v>79</v>
      </c>
      <c r="J566" s="9">
        <v>13.6100284040273</v>
      </c>
      <c r="K566" s="9">
        <v>0</v>
      </c>
      <c r="L566" s="9">
        <v>2</v>
      </c>
      <c r="M566" s="9">
        <f>Proj[[#This Row],[TOI ES]]+Proj[[#This Row],[TOI PP]]+Proj[[#This Row],[TOI PK]]</f>
        <v>15.6100284040273</v>
      </c>
      <c r="N5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5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15</v>
      </c>
      <c r="P566" s="10">
        <f>Proj[[#This Row],[Goals]]+Proj[[#This Row],[Assists]]</f>
        <v>17</v>
      </c>
      <c r="Q566" s="10">
        <f>ROUND(_xlfn.IFNA(INDEX(Table2[],MATCH(Proj[[#This Row],[Player]],Table2[Player],0),11)/60,IF(Proj[[#This Row],[Pos]] = "D", 'Per 60 PP'!$K$527,'Per 60 PP'!$K$526)/60)*Proj[[#This Row],[TOI PP]]*Proj[[#This Row],[GP]],0)</f>
        <v>0</v>
      </c>
      <c r="R566" s="10">
        <f>ROUND(_xlfn.IFNA(INDEX(Table2[],MATCH(Proj[[#This Row],[Player]],Table2[Player],0),7)/60,IF(Proj[[#This Row],[Pos]] = "D", 'Per 60 PP'!$G$527,'Per 60 PP'!$G$526)/60)*Proj[[#This Row],[TOI PP]]*Proj[[#This Row],[GP]],0)</f>
        <v>0</v>
      </c>
      <c r="S566" s="10">
        <f>Proj[[#This Row],[PPG]]+Proj[[#This Row],[PPA]]</f>
        <v>0</v>
      </c>
      <c r="T566">
        <f>ROUND((_xlfn.IFNA(INDEX(Table3[],MATCH(Proj[[#This Row],[Player]],Table3[Player],0),6)/60,IF(Proj[[#This Row],[Pos]] ="D", 'Per 60 PK'!$F$623, 'Per 60 PK'!$F$622)/60)+_xlfn.IFNA(INDEX(Table3[],MATCH(Proj[[#This Row],[Player]],Table3[Player],0),8)/60,IF(Proj[[#This Row],[Pos]] ="D", 'Per 60 PK'!$H$623, 'Per 60 PK'!$H$622)/60))*Proj[[#This Row],[TOI PK]]*Proj[[#This Row],[GP]],0)</f>
        <v>1</v>
      </c>
      <c r="U5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5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132</v>
      </c>
      <c r="W5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5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5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-432.11095589817535</v>
      </c>
      <c r="AB566" s="10">
        <f>_xlfn.RANK.EQ(Proj[[#This Row],[VOR]],Proj[VOR])</f>
        <v>386</v>
      </c>
      <c r="AC566" s="10">
        <f>INDEX(Std[],MATCH(Proj[[#This Row],[Player]],Std[Player],0),20)</f>
        <v>-324.7461881787109</v>
      </c>
      <c r="AD5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247.34999999999997</v>
      </c>
    </row>
    <row r="567" spans="1:30" x14ac:dyDescent="0.25">
      <c r="A567" t="s">
        <v>1225</v>
      </c>
      <c r="B567">
        <v>23</v>
      </c>
      <c r="C567" t="s">
        <v>3</v>
      </c>
      <c r="D567" t="s">
        <v>153</v>
      </c>
      <c r="E567" s="9">
        <f>INDEX(Table1[],MATCH(Proj[[#This Row],[Player]],Table1[Player],0),5)</f>
        <v>16.086468587003544</v>
      </c>
      <c r="F567" s="9">
        <f>_xlfn.IFNA(INDEX(Table2[],MATCH(Proj[[#This Row],[Player]],Table2[Player],0),5),0)</f>
        <v>0</v>
      </c>
      <c r="G567" s="9">
        <f>_xlfn.IFNA(INDEX(Table3[],MATCH(Proj[[#This Row],[Player]],Table3[Player],0),5),0)</f>
        <v>0</v>
      </c>
      <c r="H567" s="10">
        <v>68</v>
      </c>
      <c r="I567">
        <v>68</v>
      </c>
      <c r="J567" s="9">
        <v>16.086468587003544</v>
      </c>
      <c r="K567" s="9">
        <v>0</v>
      </c>
      <c r="L567" s="9">
        <v>0</v>
      </c>
      <c r="M567" s="9">
        <f>Proj[[#This Row],[TOI ES]]+Proj[[#This Row],[TOI PP]]+Proj[[#This Row],[TOI PK]]</f>
        <v>16.086468587003544</v>
      </c>
      <c r="N5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67">
        <f>Proj[[#This Row],[Goals]]+Proj[[#This Row],[Assists]]</f>
        <v>17</v>
      </c>
      <c r="Q567" s="10">
        <f>ROUND(_xlfn.IFNA(INDEX(Table2[],MATCH(Proj[[#This Row],[Player]],Table2[Player],0),11)/60,IF(Proj[[#This Row],[Pos]] = "D", 'Per 60 PP'!$K$527,'Per 60 PP'!$K$526)/60)*Proj[[#This Row],[TOI PP]]*Proj[[#This Row],[GP]],0)</f>
        <v>0</v>
      </c>
      <c r="R567" s="10">
        <f>ROUND(_xlfn.IFNA(INDEX(Table2[],MATCH(Proj[[#This Row],[Player]],Table2[Player],0),7)/60,IF(Proj[[#This Row],[Pos]] = "D", 'Per 60 PP'!$G$527,'Per 60 PP'!$G$526)/60)*Proj[[#This Row],[TOI PP]]*Proj[[#This Row],[GP]],0)</f>
        <v>0</v>
      </c>
      <c r="S567" s="10">
        <f>Proj[[#This Row],[PPG]]+Proj[[#This Row],[PPA]]</f>
        <v>0</v>
      </c>
      <c r="T567">
        <f>ROUND((_xlfn.IFNA(INDEX(Table3[],MATCH(Proj[[#This Row],[Player]],Table3[Player],0),6)/60,IF(Proj[[#This Row],[Pos]] ="D", 'Per 60 PK'!$F$623, 'Per 60 PK'!$F$622)/60)+_xlfn.IFNA(INDEX(Table3[],MATCH(Proj[[#This Row],[Player]],Table3[Player],0),8)/60,IF(Proj[[#This Row],[Pos]] ="D", 'Per 60 PK'!$H$623, 'Per 60 PK'!$H$622)/60))*Proj[[#This Row],[TOI PK]]*Proj[[#This Row],[GP]],0)</f>
        <v>0</v>
      </c>
      <c r="U5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5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87</v>
      </c>
      <c r="W5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5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-511.36422903676498</v>
      </c>
      <c r="AB567" s="10">
        <f>_xlfn.RANK.EQ(Proj[[#This Row],[VOR]],Proj[VOR])</f>
        <v>430</v>
      </c>
      <c r="AC567" s="10">
        <f>INDEX(Std[],MATCH(Proj[[#This Row],[Player]],Std[Player],0),20)</f>
        <v>-403.99946131730047</v>
      </c>
      <c r="AD5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226.64999999999998</v>
      </c>
    </row>
    <row r="568" spans="1:30" x14ac:dyDescent="0.25">
      <c r="A568" t="s">
        <v>619</v>
      </c>
      <c r="B568">
        <v>31</v>
      </c>
      <c r="C568" t="s">
        <v>3</v>
      </c>
      <c r="D568" t="s">
        <v>16</v>
      </c>
      <c r="E568" s="9">
        <f>INDEX(Table1[],MATCH(Proj[[#This Row],[Player]],Table1[Player],0),5)</f>
        <v>14.6055787808089</v>
      </c>
      <c r="F568" s="9">
        <f>_xlfn.IFNA(INDEX(Table2[],MATCH(Proj[[#This Row],[Player]],Table2[Player],0),5),0)</f>
        <v>0</v>
      </c>
      <c r="G568" s="9">
        <f>_xlfn.IFNA(INDEX(Table3[],MATCH(Proj[[#This Row],[Player]],Table3[Player],0),5),0)</f>
        <v>1.1100000000000001</v>
      </c>
      <c r="H568" s="10">
        <v>82</v>
      </c>
      <c r="I568">
        <v>82</v>
      </c>
      <c r="J568" s="9">
        <v>14.6055787808089</v>
      </c>
      <c r="K568" s="9">
        <v>0</v>
      </c>
      <c r="L568" s="9">
        <v>1.1100000000000001</v>
      </c>
      <c r="M568" s="9">
        <f>Proj[[#This Row],[TOI ES]]+Proj[[#This Row],[TOI PP]]+Proj[[#This Row],[TOI PK]]</f>
        <v>15.715578780808899</v>
      </c>
      <c r="N5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68" s="10">
        <f>Proj[[#This Row],[Goals]]+Proj[[#This Row],[Assists]]</f>
        <v>17</v>
      </c>
      <c r="Q568" s="10">
        <f>ROUND(_xlfn.IFNA(INDEX(Table2[],MATCH(Proj[[#This Row],[Player]],Table2[Player],0),11)/60,IF(Proj[[#This Row],[Pos]] = "D", 'Per 60 PP'!$K$527,'Per 60 PP'!$K$526)/60)*Proj[[#This Row],[TOI PP]]*Proj[[#This Row],[GP]],0)</f>
        <v>0</v>
      </c>
      <c r="R568" s="10">
        <f>ROUND(_xlfn.IFNA(INDEX(Table2[],MATCH(Proj[[#This Row],[Player]],Table2[Player],0),7)/60,IF(Proj[[#This Row],[Pos]] = "D", 'Per 60 PP'!$G$527,'Per 60 PP'!$G$526)/60)*Proj[[#This Row],[TOI PP]]*Proj[[#This Row],[GP]],0)</f>
        <v>0</v>
      </c>
      <c r="S568" s="10">
        <f>Proj[[#This Row],[PPG]]+Proj[[#This Row],[PPA]]</f>
        <v>0</v>
      </c>
      <c r="T568">
        <f>ROUND((_xlfn.IFNA(INDEX(Table3[],MATCH(Proj[[#This Row],[Player]],Table3[Player],0),6)/60,IF(Proj[[#This Row],[Pos]] ="D", 'Per 60 PK'!$F$623, 'Per 60 PK'!$F$622)/60)+_xlfn.IFNA(INDEX(Table3[],MATCH(Proj[[#This Row],[Player]],Table3[Player],0),8)/60,IF(Proj[[#This Row],[Pos]] ="D", 'Per 60 PK'!$H$623, 'Per 60 PK'!$H$622)/60))*Proj[[#This Row],[TOI PK]]*Proj[[#This Row],[GP]],0)</f>
        <v>1</v>
      </c>
      <c r="U5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81</v>
      </c>
      <c r="V5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92</v>
      </c>
      <c r="W5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5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93</v>
      </c>
      <c r="AA5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-459.64529815714775</v>
      </c>
      <c r="AB568" s="10">
        <f>_xlfn.RANK.EQ(Proj[[#This Row],[VOR]],Proj[VOR])</f>
        <v>401</v>
      </c>
      <c r="AC568" s="10">
        <f>INDEX(Std[],MATCH(Proj[[#This Row],[Player]],Std[Player],0),20)</f>
        <v>-352.2805304376833</v>
      </c>
      <c r="AD5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240.7</v>
      </c>
    </row>
    <row r="569" spans="1:30" x14ac:dyDescent="0.25">
      <c r="A569" t="s">
        <v>809</v>
      </c>
      <c r="B569">
        <v>29</v>
      </c>
      <c r="C569" t="s">
        <v>102</v>
      </c>
      <c r="D569" t="s">
        <v>34</v>
      </c>
      <c r="E569" s="9">
        <f>INDEX(Table1[],MATCH(Proj[[#This Row],[Player]],Table1[Player],0),5)</f>
        <v>10.9989901693513</v>
      </c>
      <c r="F569" s="9">
        <f>_xlfn.IFNA(INDEX(Table2[],MATCH(Proj[[#This Row],[Player]],Table2[Player],0),5),0)</f>
        <v>0</v>
      </c>
      <c r="G569" s="9">
        <f>_xlfn.IFNA(INDEX(Table3[],MATCH(Proj[[#This Row],[Player]],Table3[Player],0),5),0)</f>
        <v>0.92</v>
      </c>
      <c r="H569" s="10">
        <v>60</v>
      </c>
      <c r="I569">
        <v>60</v>
      </c>
      <c r="J569" s="9">
        <v>10.9989901693513</v>
      </c>
      <c r="K569" s="9">
        <v>0</v>
      </c>
      <c r="L569" s="9">
        <v>0.92</v>
      </c>
      <c r="M569" s="9">
        <f>Proj[[#This Row],[TOI ES]]+Proj[[#This Row],[TOI PP]]+Proj[[#This Row],[TOI PK]]</f>
        <v>11.9189901693513</v>
      </c>
      <c r="N5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69">
        <f>Proj[[#This Row],[Goals]]+Proj[[#This Row],[Assists]]</f>
        <v>17</v>
      </c>
      <c r="Q569" s="10">
        <f>ROUND(_xlfn.IFNA(INDEX(Table2[],MATCH(Proj[[#This Row],[Player]],Table2[Player],0),11)/60,IF(Proj[[#This Row],[Pos]] = "D", 'Per 60 PP'!$K$527,'Per 60 PP'!$K$526)/60)*Proj[[#This Row],[TOI PP]]*Proj[[#This Row],[GP]],0)</f>
        <v>0</v>
      </c>
      <c r="R569" s="10">
        <f>ROUND(_xlfn.IFNA(INDEX(Table2[],MATCH(Proj[[#This Row],[Player]],Table2[Player],0),7)/60,IF(Proj[[#This Row],[Pos]] = "D", 'Per 60 PP'!$G$527,'Per 60 PP'!$G$526)/60)*Proj[[#This Row],[TOI PP]]*Proj[[#This Row],[GP]],0)</f>
        <v>0</v>
      </c>
      <c r="S569" s="10">
        <f>Proj[[#This Row],[PPG]]+Proj[[#This Row],[PPA]]</f>
        <v>0</v>
      </c>
      <c r="T569">
        <f>ROUND((_xlfn.IFNA(INDEX(Table3[],MATCH(Proj[[#This Row],[Player]],Table3[Player],0),6)/60,IF(Proj[[#This Row],[Pos]] ="D", 'Per 60 PK'!$F$623, 'Per 60 PK'!$F$622)/60)+_xlfn.IFNA(INDEX(Table3[],MATCH(Proj[[#This Row],[Player]],Table3[Player],0),8)/60,IF(Proj[[#This Row],[Pos]] ="D", 'Per 60 PK'!$H$623, 'Per 60 PK'!$H$622)/60))*Proj[[#This Row],[TOI PK]]*Proj[[#This Row],[GP]],0)</f>
        <v>0</v>
      </c>
      <c r="U5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99</v>
      </c>
      <c r="V5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5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5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5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v>
      </c>
      <c r="Z5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5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-1065.2291295247974</v>
      </c>
      <c r="AB569" s="10">
        <f>_xlfn.RANK.EQ(Proj[[#This Row],[VOR]],Proj[VOR])</f>
        <v>675</v>
      </c>
      <c r="AC569" s="10">
        <f>INDEX(Std[],MATCH(Proj[[#This Row],[Player]],Std[Player],0),20)</f>
        <v>-593.68440513454857</v>
      </c>
      <c r="AD5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197.1</v>
      </c>
    </row>
    <row r="570" spans="1:30" x14ac:dyDescent="0.25">
      <c r="A570" t="s">
        <v>732</v>
      </c>
      <c r="B570">
        <v>38</v>
      </c>
      <c r="C570" t="s">
        <v>74</v>
      </c>
      <c r="D570" t="s">
        <v>155</v>
      </c>
      <c r="E570" s="9">
        <f>INDEX(Table1[],MATCH(Proj[[#This Row],[Player]],Table1[Player],0),5)</f>
        <v>9.97436552760262</v>
      </c>
      <c r="F570" s="9">
        <f>_xlfn.IFNA(INDEX(Table2[],MATCH(Proj[[#This Row],[Player]],Table2[Player],0),5),0)</f>
        <v>0</v>
      </c>
      <c r="G570" s="9">
        <f>_xlfn.IFNA(INDEX(Table3[],MATCH(Proj[[#This Row],[Player]],Table3[Player],0),5),0)</f>
        <v>1.76</v>
      </c>
      <c r="H570" s="10">
        <v>82</v>
      </c>
      <c r="I570">
        <v>82</v>
      </c>
      <c r="J570" s="9">
        <v>9.97436552760262</v>
      </c>
      <c r="K570" s="9">
        <v>0</v>
      </c>
      <c r="L570" s="9">
        <v>1.76</v>
      </c>
      <c r="M570" s="9">
        <f>Proj[[#This Row],[TOI ES]]+Proj[[#This Row],[TOI PP]]+Proj[[#This Row],[TOI PK]]</f>
        <v>11.73436552760262</v>
      </c>
      <c r="N5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70" s="10">
        <f>Proj[[#This Row],[Goals]]+Proj[[#This Row],[Assists]]</f>
        <v>17</v>
      </c>
      <c r="Q570" s="10">
        <f>ROUND(_xlfn.IFNA(INDEX(Table2[],MATCH(Proj[[#This Row],[Player]],Table2[Player],0),11)/60,IF(Proj[[#This Row],[Pos]] = "D", 'Per 60 PP'!$K$527,'Per 60 PP'!$K$526)/60)*Proj[[#This Row],[TOI PP]]*Proj[[#This Row],[GP]],0)</f>
        <v>0</v>
      </c>
      <c r="R570" s="10">
        <f>ROUND(_xlfn.IFNA(INDEX(Table2[],MATCH(Proj[[#This Row],[Player]],Table2[Player],0),7)/60,IF(Proj[[#This Row],[Pos]] = "D", 'Per 60 PP'!$G$527,'Per 60 PP'!$G$526)/60)*Proj[[#This Row],[TOI PP]]*Proj[[#This Row],[GP]],0)</f>
        <v>0</v>
      </c>
      <c r="S570" s="10">
        <f>Proj[[#This Row],[PPG]]+Proj[[#This Row],[PPA]]</f>
        <v>0</v>
      </c>
      <c r="T570">
        <f>ROUND((_xlfn.IFNA(INDEX(Table3[],MATCH(Proj[[#This Row],[Player]],Table3[Player],0),6)/60,IF(Proj[[#This Row],[Pos]] ="D", 'Per 60 PK'!$F$623, 'Per 60 PK'!$F$622)/60)+_xlfn.IFNA(INDEX(Table3[],MATCH(Proj[[#This Row],[Player]],Table3[Player],0),8)/60,IF(Proj[[#This Row],[Pos]] ="D", 'Per 60 PK'!$H$623, 'Per 60 PK'!$H$622)/60))*Proj[[#This Row],[TOI PK]]*Proj[[#This Row],[GP]],0)</f>
        <v>2</v>
      </c>
      <c r="U5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100</v>
      </c>
      <c r="V5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5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5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119</v>
      </c>
      <c r="Y5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161</v>
      </c>
      <c r="Z5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122</v>
      </c>
      <c r="AA5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-1110.0071573659802</v>
      </c>
      <c r="AB570" s="10">
        <f>_xlfn.RANK.EQ(Proj[[#This Row],[VOR]],Proj[VOR])</f>
        <v>682</v>
      </c>
      <c r="AC570" s="10">
        <f>INDEX(Std[],MATCH(Proj[[#This Row],[Player]],Std[Player],0),20)</f>
        <v>-375.37330305568162</v>
      </c>
      <c r="AD5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251.95000000000002</v>
      </c>
    </row>
    <row r="571" spans="1:30" x14ac:dyDescent="0.25">
      <c r="A571" t="s">
        <v>954</v>
      </c>
      <c r="B571">
        <v>25</v>
      </c>
      <c r="C571" t="s">
        <v>3</v>
      </c>
      <c r="D571" t="s">
        <v>1240</v>
      </c>
      <c r="E571" s="9">
        <f>INDEX(Table1[],MATCH(Proj[[#This Row],[Player]],Table1[Player],0),5)</f>
        <v>15.5785667593801</v>
      </c>
      <c r="F571" s="9">
        <f>_xlfn.IFNA(INDEX(Table2[],MATCH(Proj[[#This Row],[Player]],Table2[Player],0),5),0)</f>
        <v>0</v>
      </c>
      <c r="G571" s="9">
        <f>_xlfn.IFNA(INDEX(Table3[],MATCH(Proj[[#This Row],[Player]],Table3[Player],0),5),0)</f>
        <v>0.79</v>
      </c>
      <c r="H571" s="10">
        <v>66</v>
      </c>
      <c r="I571">
        <v>66</v>
      </c>
      <c r="J571" s="9">
        <v>15.5785667593801</v>
      </c>
      <c r="K571" s="9">
        <v>0</v>
      </c>
      <c r="L571" s="9">
        <v>0.79</v>
      </c>
      <c r="M571" s="9">
        <f>Proj[[#This Row],[TOI ES]]+Proj[[#This Row],[TOI PP]]+Proj[[#This Row],[TOI PK]]</f>
        <v>16.368566759380101</v>
      </c>
      <c r="N5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71">
        <f>Proj[[#This Row],[Goals]]+Proj[[#This Row],[Assists]]</f>
        <v>17</v>
      </c>
      <c r="Q571" s="10">
        <f>ROUND(_xlfn.IFNA(INDEX(Table2[],MATCH(Proj[[#This Row],[Player]],Table2[Player],0),11)/60,IF(Proj[[#This Row],[Pos]] = "D", 'Per 60 PP'!$K$527,'Per 60 PP'!$K$526)/60)*Proj[[#This Row],[TOI PP]]*Proj[[#This Row],[GP]],0)</f>
        <v>0</v>
      </c>
      <c r="R571" s="10">
        <f>ROUND(_xlfn.IFNA(INDEX(Table2[],MATCH(Proj[[#This Row],[Player]],Table2[Player],0),7)/60,IF(Proj[[#This Row],[Pos]] = "D", 'Per 60 PP'!$G$527,'Per 60 PP'!$G$526)/60)*Proj[[#This Row],[TOI PP]]*Proj[[#This Row],[GP]],0)</f>
        <v>0</v>
      </c>
      <c r="S571" s="10">
        <f>Proj[[#This Row],[PPG]]+Proj[[#This Row],[PPA]]</f>
        <v>0</v>
      </c>
      <c r="T571">
        <f>ROUND((_xlfn.IFNA(INDEX(Table3[],MATCH(Proj[[#This Row],[Player]],Table3[Player],0),6)/60,IF(Proj[[#This Row],[Pos]] ="D", 'Per 60 PK'!$F$623, 'Per 60 PK'!$F$622)/60)+_xlfn.IFNA(INDEX(Table3[],MATCH(Proj[[#This Row],[Player]],Table3[Player],0),8)/60,IF(Proj[[#This Row],[Pos]] ="D", 'Per 60 PK'!$H$623, 'Per 60 PK'!$H$622)/60))*Proj[[#This Row],[TOI PK]]*Proj[[#This Row],[GP]],0)</f>
        <v>0</v>
      </c>
      <c r="U5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103</v>
      </c>
      <c r="V5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5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5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5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-390.15890831957643</v>
      </c>
      <c r="AB571" s="10">
        <f>_xlfn.RANK.EQ(Proj[[#This Row],[VOR]],Proj[VOR])</f>
        <v>369</v>
      </c>
      <c r="AC571" s="10">
        <f>INDEX(Std[],MATCH(Proj[[#This Row],[Player]],Std[Player],0),20)</f>
        <v>-282.79414060011197</v>
      </c>
      <c r="AD5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242.25</v>
      </c>
    </row>
    <row r="572" spans="1:30" x14ac:dyDescent="0.25">
      <c r="A572" t="s">
        <v>1139</v>
      </c>
      <c r="B572">
        <v>23</v>
      </c>
      <c r="C572" t="s">
        <v>74</v>
      </c>
      <c r="D572" t="s">
        <v>12</v>
      </c>
      <c r="E572" s="9">
        <f>INDEX(Table1[],MATCH(Proj[[#This Row],[Player]],Table1[Player],0),5)</f>
        <v>9.6006100119897599</v>
      </c>
      <c r="F572" s="9">
        <f>_xlfn.IFNA(INDEX(Table2[],MATCH(Proj[[#This Row],[Player]],Table2[Player],0),5),0)</f>
        <v>0</v>
      </c>
      <c r="G572" s="9">
        <f>_xlfn.IFNA(INDEX(Table3[],MATCH(Proj[[#This Row],[Player]],Table3[Player],0),5),0)</f>
        <v>1.7</v>
      </c>
      <c r="H572" s="10">
        <v>76</v>
      </c>
      <c r="I572">
        <v>76</v>
      </c>
      <c r="J572" s="9">
        <v>9.6006100119897599</v>
      </c>
      <c r="K572" s="9">
        <v>0</v>
      </c>
      <c r="L572" s="9">
        <v>1.7</v>
      </c>
      <c r="M572" s="9">
        <f>Proj[[#This Row],[TOI ES]]+Proj[[#This Row],[TOI PP]]+Proj[[#This Row],[TOI PK]]</f>
        <v>11.300610011989759</v>
      </c>
      <c r="N5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10</v>
      </c>
      <c r="O5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572" s="10">
        <f>Proj[[#This Row],[Goals]]+Proj[[#This Row],[Assists]]</f>
        <v>17</v>
      </c>
      <c r="Q572" s="10">
        <f>ROUND(_xlfn.IFNA(INDEX(Table2[],MATCH(Proj[[#This Row],[Player]],Table2[Player],0),11)/60,IF(Proj[[#This Row],[Pos]] = "D", 'Per 60 PP'!$K$527,'Per 60 PP'!$K$526)/60)*Proj[[#This Row],[TOI PP]]*Proj[[#This Row],[GP]],0)</f>
        <v>0</v>
      </c>
      <c r="R572" s="10">
        <f>ROUND(_xlfn.IFNA(INDEX(Table2[],MATCH(Proj[[#This Row],[Player]],Table2[Player],0),7)/60,IF(Proj[[#This Row],[Pos]] = "D", 'Per 60 PP'!$G$527,'Per 60 PP'!$G$526)/60)*Proj[[#This Row],[TOI PP]]*Proj[[#This Row],[GP]],0)</f>
        <v>0</v>
      </c>
      <c r="S572" s="10">
        <f>Proj[[#This Row],[PPG]]+Proj[[#This Row],[PPA]]</f>
        <v>0</v>
      </c>
      <c r="T572">
        <f>ROUND((_xlfn.IFNA(INDEX(Table3[],MATCH(Proj[[#This Row],[Player]],Table3[Player],0),6)/60,IF(Proj[[#This Row],[Pos]] ="D", 'Per 60 PK'!$F$623, 'Per 60 PK'!$F$622)/60)+_xlfn.IFNA(INDEX(Table3[],MATCH(Proj[[#This Row],[Player]],Table3[Player],0),8)/60,IF(Proj[[#This Row],[Pos]] ="D", 'Per 60 PK'!$H$623, 'Per 60 PK'!$H$622)/60))*Proj[[#This Row],[TOI PK]]*Proj[[#This Row],[GP]],0)</f>
        <v>1</v>
      </c>
      <c r="U5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120</v>
      </c>
      <c r="V5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5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363</v>
      </c>
      <c r="Y5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306</v>
      </c>
      <c r="Z5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63</v>
      </c>
      <c r="AA5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-951.52640811386027</v>
      </c>
      <c r="AB572" s="10">
        <f>_xlfn.RANK.EQ(Proj[[#This Row],[VOR]],Proj[VOR])</f>
        <v>646</v>
      </c>
      <c r="AC572" s="10">
        <f>INDEX(Std[],MATCH(Proj[[#This Row],[Player]],Std[Player],0),20)</f>
        <v>-216.89255380356173</v>
      </c>
      <c r="AD5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267.35000000000002</v>
      </c>
    </row>
    <row r="573" spans="1:30" x14ac:dyDescent="0.25">
      <c r="A573" t="s">
        <v>322</v>
      </c>
      <c r="B573">
        <v>30</v>
      </c>
      <c r="C573" t="s">
        <v>3</v>
      </c>
      <c r="D573" t="s">
        <v>32</v>
      </c>
      <c r="E573" s="9">
        <f>INDEX(Table1[],MATCH(Proj[[#This Row],[Player]],Table1[Player],0),5)</f>
        <v>15.285490307921</v>
      </c>
      <c r="F573" s="9">
        <f>_xlfn.IFNA(INDEX(Table2[],MATCH(Proj[[#This Row],[Player]],Table2[Player],0),5),0)</f>
        <v>0.75</v>
      </c>
      <c r="G573" s="9">
        <f>_xlfn.IFNA(INDEX(Table3[],MATCH(Proj[[#This Row],[Player]],Table3[Player],0),5),0)</f>
        <v>1.2</v>
      </c>
      <c r="H573" s="10">
        <v>78</v>
      </c>
      <c r="I573">
        <v>78</v>
      </c>
      <c r="J573" s="9">
        <v>15.285490307921</v>
      </c>
      <c r="K573" s="9">
        <v>0.75</v>
      </c>
      <c r="L573" s="9">
        <v>1.2</v>
      </c>
      <c r="M573" s="9">
        <f>Proj[[#This Row],[TOI ES]]+Proj[[#This Row],[TOI PP]]+Proj[[#This Row],[TOI PK]]</f>
        <v>17.235490307921001</v>
      </c>
      <c r="N5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73">
        <f>Proj[[#This Row],[Goals]]+Proj[[#This Row],[Assists]]</f>
        <v>17</v>
      </c>
      <c r="Q573" s="10">
        <f>ROUND(_xlfn.IFNA(INDEX(Table2[],MATCH(Proj[[#This Row],[Player]],Table2[Player],0),11)/60,IF(Proj[[#This Row],[Pos]] = "D", 'Per 60 PP'!$K$527,'Per 60 PP'!$K$526)/60)*Proj[[#This Row],[TOI PP]]*Proj[[#This Row],[GP]],0)</f>
        <v>1</v>
      </c>
      <c r="R573" s="10">
        <f>ROUND(_xlfn.IFNA(INDEX(Table2[],MATCH(Proj[[#This Row],[Player]],Table2[Player],0),7)/60,IF(Proj[[#This Row],[Pos]] = "D", 'Per 60 PP'!$G$527,'Per 60 PP'!$G$526)/60)*Proj[[#This Row],[TOI PP]]*Proj[[#This Row],[GP]],0)</f>
        <v>2</v>
      </c>
      <c r="S573" s="10">
        <f>Proj[[#This Row],[PPG]]+Proj[[#This Row],[PPA]]</f>
        <v>3</v>
      </c>
      <c r="T573">
        <f>ROUND((_xlfn.IFNA(INDEX(Table3[],MATCH(Proj[[#This Row],[Player]],Table3[Player],0),6)/60,IF(Proj[[#This Row],[Pos]] ="D", 'Per 60 PK'!$F$623, 'Per 60 PK'!$F$622)/60)+_xlfn.IFNA(INDEX(Table3[],MATCH(Proj[[#This Row],[Player]],Table3[Player],0),8)/60,IF(Proj[[#This Row],[Pos]] ="D", 'Per 60 PK'!$H$623, 'Per 60 PK'!$H$622)/60))*Proj[[#This Row],[TOI PK]]*Proj[[#This Row],[GP]],0)</f>
        <v>1</v>
      </c>
      <c r="U5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131</v>
      </c>
      <c r="V5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126</v>
      </c>
      <c r="W5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5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105</v>
      </c>
      <c r="AA5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-251.88762476933084</v>
      </c>
      <c r="AB573" s="10">
        <f>_xlfn.RANK.EQ(Proj[[#This Row],[VOR]],Proj[VOR])</f>
        <v>281</v>
      </c>
      <c r="AC573" s="10">
        <f>INDEX(Std[],MATCH(Proj[[#This Row],[Player]],Std[Player],0),20)</f>
        <v>-144.52285704986636</v>
      </c>
      <c r="AD5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299.34999999999997</v>
      </c>
    </row>
    <row r="574" spans="1:30" x14ac:dyDescent="0.25">
      <c r="A574" t="s">
        <v>347</v>
      </c>
      <c r="B574">
        <v>26</v>
      </c>
      <c r="C574" t="s">
        <v>3</v>
      </c>
      <c r="D574" t="s">
        <v>28</v>
      </c>
      <c r="E574" s="9">
        <f>INDEX(Table1[],MATCH(Proj[[#This Row],[Player]],Table1[Player],0),5)</f>
        <v>16.889235823211799</v>
      </c>
      <c r="F574" s="9">
        <f>_xlfn.IFNA(INDEX(Table2[],MATCH(Proj[[#This Row],[Player]],Table2[Player],0),5),0)</f>
        <v>0</v>
      </c>
      <c r="G574" s="9">
        <f>_xlfn.IFNA(INDEX(Table3[],MATCH(Proj[[#This Row],[Player]],Table3[Player],0),5),0)</f>
        <v>1.42</v>
      </c>
      <c r="H574" s="10">
        <v>80</v>
      </c>
      <c r="I574">
        <v>80</v>
      </c>
      <c r="J574" s="9">
        <v>16.889235823211799</v>
      </c>
      <c r="K574" s="9">
        <v>0</v>
      </c>
      <c r="L574" s="9">
        <v>1.42</v>
      </c>
      <c r="M574" s="9">
        <f>Proj[[#This Row],[TOI ES]]+Proj[[#This Row],[TOI PP]]+Proj[[#This Row],[TOI PK]]</f>
        <v>18.3092358232118</v>
      </c>
      <c r="N5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74" s="10">
        <f>Proj[[#This Row],[Goals]]+Proj[[#This Row],[Assists]]</f>
        <v>17</v>
      </c>
      <c r="Q574" s="10">
        <f>ROUND(_xlfn.IFNA(INDEX(Table2[],MATCH(Proj[[#This Row],[Player]],Table2[Player],0),11)/60,IF(Proj[[#This Row],[Pos]] = "D", 'Per 60 PP'!$K$527,'Per 60 PP'!$K$526)/60)*Proj[[#This Row],[TOI PP]]*Proj[[#This Row],[GP]],0)</f>
        <v>0</v>
      </c>
      <c r="R574" s="10">
        <f>ROUND(_xlfn.IFNA(INDEX(Table2[],MATCH(Proj[[#This Row],[Player]],Table2[Player],0),7)/60,IF(Proj[[#This Row],[Pos]] = "D", 'Per 60 PP'!$G$527,'Per 60 PP'!$G$526)/60)*Proj[[#This Row],[TOI PP]]*Proj[[#This Row],[GP]],0)</f>
        <v>0</v>
      </c>
      <c r="S574" s="10">
        <f>Proj[[#This Row],[PPG]]+Proj[[#This Row],[PPA]]</f>
        <v>0</v>
      </c>
      <c r="T574">
        <f>ROUND((_xlfn.IFNA(INDEX(Table3[],MATCH(Proj[[#This Row],[Player]],Table3[Player],0),6)/60,IF(Proj[[#This Row],[Pos]] ="D", 'Per 60 PK'!$F$623, 'Per 60 PK'!$F$622)/60)+_xlfn.IFNA(INDEX(Table3[],MATCH(Proj[[#This Row],[Player]],Table3[Player],0),8)/60,IF(Proj[[#This Row],[Pos]] ="D", 'Per 60 PK'!$H$623, 'Per 60 PK'!$H$622)/60))*Proj[[#This Row],[TOI PK]]*Proj[[#This Row],[GP]],0)</f>
        <v>0</v>
      </c>
      <c r="U5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131</v>
      </c>
      <c r="V5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129</v>
      </c>
      <c r="W5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53</v>
      </c>
      <c r="X5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112</v>
      </c>
      <c r="AA5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-163.80382395845922</v>
      </c>
      <c r="AB574" s="10">
        <f>_xlfn.RANK.EQ(Proj[[#This Row],[VOR]],Proj[VOR])</f>
        <v>227</v>
      </c>
      <c r="AC574" s="10">
        <f>INDEX(Std[],MATCH(Proj[[#This Row],[Player]],Std[Player],0),20)</f>
        <v>-56.439056238994745</v>
      </c>
      <c r="AD5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310.45</v>
      </c>
    </row>
    <row r="575" spans="1:30" x14ac:dyDescent="0.25">
      <c r="A575" t="s">
        <v>637</v>
      </c>
      <c r="B575">
        <v>26</v>
      </c>
      <c r="C575" t="s">
        <v>74</v>
      </c>
      <c r="D575" t="s">
        <v>15</v>
      </c>
      <c r="E575" s="9">
        <f>INDEX(Table1[],MATCH(Proj[[#This Row],[Player]],Table1[Player],0),5)</f>
        <v>10.7037155990788</v>
      </c>
      <c r="F575" s="9">
        <f>_xlfn.IFNA(INDEX(Table2[],MATCH(Proj[[#This Row],[Player]],Table2[Player],0),5),0)</f>
        <v>0</v>
      </c>
      <c r="G575" s="9">
        <f>_xlfn.IFNA(INDEX(Table3[],MATCH(Proj[[#This Row],[Player]],Table3[Player],0),5),0)</f>
        <v>0.91</v>
      </c>
      <c r="H575" s="10">
        <v>68</v>
      </c>
      <c r="I575">
        <v>68</v>
      </c>
      <c r="J575" s="9">
        <v>10.7037155990788</v>
      </c>
      <c r="K575" s="9">
        <v>0</v>
      </c>
      <c r="L575" s="9">
        <v>0.91</v>
      </c>
      <c r="M575" s="9">
        <f>Proj[[#This Row],[TOI ES]]+Proj[[#This Row],[TOI PP]]+Proj[[#This Row],[TOI PK]]</f>
        <v>11.6137155990788</v>
      </c>
      <c r="N5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9</v>
      </c>
      <c r="O5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575" s="10">
        <f>Proj[[#This Row],[Goals]]+Proj[[#This Row],[Assists]]</f>
        <v>17</v>
      </c>
      <c r="Q575" s="10">
        <f>ROUND(_xlfn.IFNA(INDEX(Table2[],MATCH(Proj[[#This Row],[Player]],Table2[Player],0),11)/60,IF(Proj[[#This Row],[Pos]] = "D", 'Per 60 PP'!$K$527,'Per 60 PP'!$K$526)/60)*Proj[[#This Row],[TOI PP]]*Proj[[#This Row],[GP]],0)</f>
        <v>0</v>
      </c>
      <c r="R575" s="10">
        <f>ROUND(_xlfn.IFNA(INDEX(Table2[],MATCH(Proj[[#This Row],[Player]],Table2[Player],0),7)/60,IF(Proj[[#This Row],[Pos]] = "D", 'Per 60 PP'!$G$527,'Per 60 PP'!$G$526)/60)*Proj[[#This Row],[TOI PP]]*Proj[[#This Row],[GP]],0)</f>
        <v>0</v>
      </c>
      <c r="S575" s="10">
        <f>Proj[[#This Row],[PPG]]+Proj[[#This Row],[PPA]]</f>
        <v>0</v>
      </c>
      <c r="T575">
        <f>ROUND((_xlfn.IFNA(INDEX(Table3[],MATCH(Proj[[#This Row],[Player]],Table3[Player],0),6)/60,IF(Proj[[#This Row],[Pos]] ="D", 'Per 60 PK'!$F$623, 'Per 60 PK'!$F$622)/60)+_xlfn.IFNA(INDEX(Table3[],MATCH(Proj[[#This Row],[Player]],Table3[Player],0),8)/60,IF(Proj[[#This Row],[Pos]] ="D", 'Per 60 PK'!$H$623, 'Per 60 PK'!$H$622)/60))*Proj[[#This Row],[TOI PK]]*Proj[[#This Row],[GP]],0)</f>
        <v>1</v>
      </c>
      <c r="U5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131</v>
      </c>
      <c r="V5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5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5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5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5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119</v>
      </c>
      <c r="AA5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-1103.1145661170769</v>
      </c>
      <c r="AB575" s="10">
        <f>_xlfn.RANK.EQ(Proj[[#This Row],[VOR]],Proj[VOR])</f>
        <v>680</v>
      </c>
      <c r="AC575" s="10">
        <f>INDEX(Std[],MATCH(Proj[[#This Row],[Player]],Std[Player],0),20)</f>
        <v>-368.48071180677829</v>
      </c>
      <c r="AD5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254.4</v>
      </c>
    </row>
    <row r="576" spans="1:30" x14ac:dyDescent="0.25">
      <c r="A576" t="s">
        <v>524</v>
      </c>
      <c r="B576">
        <v>28</v>
      </c>
      <c r="C576" t="s">
        <v>3</v>
      </c>
      <c r="D576" t="s">
        <v>28</v>
      </c>
      <c r="E576" s="9">
        <f>INDEX(Table1[],MATCH(Proj[[#This Row],[Player]],Table1[Player],0),5)</f>
        <v>15.9433012745508</v>
      </c>
      <c r="F576" s="9">
        <f>_xlfn.IFNA(INDEX(Table2[],MATCH(Proj[[#This Row],[Player]],Table2[Player],0),5),0)</f>
        <v>0</v>
      </c>
      <c r="G576" s="9">
        <f>_xlfn.IFNA(INDEX(Table3[],MATCH(Proj[[#This Row],[Player]],Table3[Player],0),5),0)</f>
        <v>1.48</v>
      </c>
      <c r="H576" s="10">
        <v>76</v>
      </c>
      <c r="I576">
        <v>76</v>
      </c>
      <c r="J576" s="9">
        <v>15.9433012745508</v>
      </c>
      <c r="K576" s="9">
        <v>0</v>
      </c>
      <c r="L576" s="9">
        <v>1.48</v>
      </c>
      <c r="M576" s="9">
        <f>Proj[[#This Row],[TOI ES]]+Proj[[#This Row],[TOI PP]]+Proj[[#This Row],[TOI PK]]</f>
        <v>17.423301274550798</v>
      </c>
      <c r="N5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76">
        <f>Proj[[#This Row],[Goals]]+Proj[[#This Row],[Assists]]</f>
        <v>17</v>
      </c>
      <c r="Q576" s="10">
        <f>ROUND(_xlfn.IFNA(INDEX(Table2[],MATCH(Proj[[#This Row],[Player]],Table2[Player],0),11)/60,IF(Proj[[#This Row],[Pos]] = "D", 'Per 60 PP'!$K$527,'Per 60 PP'!$K$526)/60)*Proj[[#This Row],[TOI PP]]*Proj[[#This Row],[GP]],0)</f>
        <v>0</v>
      </c>
      <c r="R576" s="10">
        <f>ROUND(_xlfn.IFNA(INDEX(Table2[],MATCH(Proj[[#This Row],[Player]],Table2[Player],0),7)/60,IF(Proj[[#This Row],[Pos]] = "D", 'Per 60 PP'!$G$527,'Per 60 PP'!$G$526)/60)*Proj[[#This Row],[TOI PP]]*Proj[[#This Row],[GP]],0)</f>
        <v>0</v>
      </c>
      <c r="S576" s="10">
        <f>Proj[[#This Row],[PPG]]+Proj[[#This Row],[PPA]]</f>
        <v>0</v>
      </c>
      <c r="T576">
        <f>ROUND((_xlfn.IFNA(INDEX(Table3[],MATCH(Proj[[#This Row],[Player]],Table3[Player],0),6)/60,IF(Proj[[#This Row],[Pos]] ="D", 'Per 60 PK'!$F$623, 'Per 60 PK'!$F$622)/60)+_xlfn.IFNA(INDEX(Table3[],MATCH(Proj[[#This Row],[Player]],Table3[Player],0),8)/60,IF(Proj[[#This Row],[Pos]] ="D", 'Per 60 PK'!$H$623, 'Per 60 PK'!$H$622)/60))*Proj[[#This Row],[TOI PK]]*Proj[[#This Row],[GP]],0)</f>
        <v>0</v>
      </c>
      <c r="U5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132</v>
      </c>
      <c r="V5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135</v>
      </c>
      <c r="W5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5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5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-260.76103758390559</v>
      </c>
      <c r="AB576" s="10">
        <f>_xlfn.RANK.EQ(Proj[[#This Row],[VOR]],Proj[VOR])</f>
        <v>285</v>
      </c>
      <c r="AC576" s="10">
        <f>INDEX(Std[],MATCH(Proj[[#This Row],[Player]],Std[Player],0),20)</f>
        <v>-153.39626986444111</v>
      </c>
      <c r="AD5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291.25</v>
      </c>
    </row>
    <row r="577" spans="1:30" x14ac:dyDescent="0.25">
      <c r="A577" t="s">
        <v>779</v>
      </c>
      <c r="B577">
        <v>24</v>
      </c>
      <c r="C577" t="s">
        <v>3</v>
      </c>
      <c r="D577" t="s">
        <v>22</v>
      </c>
      <c r="E577" s="9">
        <f>INDEX(Table1[],MATCH(Proj[[#This Row],[Player]],Table1[Player],0),5)</f>
        <v>17</v>
      </c>
      <c r="F577" s="9">
        <f>_xlfn.IFNA(INDEX(Table2[],MATCH(Proj[[#This Row],[Player]],Table2[Player],0),5),0)</f>
        <v>0</v>
      </c>
      <c r="G577" s="9">
        <f>_xlfn.IFNA(INDEX(Table3[],MATCH(Proj[[#This Row],[Player]],Table3[Player],0),5),0)</f>
        <v>1.56</v>
      </c>
      <c r="H577" s="10">
        <v>79</v>
      </c>
      <c r="I577">
        <v>79</v>
      </c>
      <c r="J577" s="9">
        <v>17</v>
      </c>
      <c r="K577" s="9">
        <v>0</v>
      </c>
      <c r="L577" s="9">
        <v>1.56</v>
      </c>
      <c r="M577" s="9">
        <f>Proj[[#This Row],[TOI ES]]+Proj[[#This Row],[TOI PP]]+Proj[[#This Row],[TOI PK]]</f>
        <v>18.559999999999999</v>
      </c>
      <c r="N5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77">
        <f>Proj[[#This Row],[Goals]]+Proj[[#This Row],[Assists]]</f>
        <v>17</v>
      </c>
      <c r="Q577" s="10">
        <f>ROUND(_xlfn.IFNA(INDEX(Table2[],MATCH(Proj[[#This Row],[Player]],Table2[Player],0),11)/60,IF(Proj[[#This Row],[Pos]] = "D", 'Per 60 PP'!$K$527,'Per 60 PP'!$K$526)/60)*Proj[[#This Row],[TOI PP]]*Proj[[#This Row],[GP]],0)</f>
        <v>0</v>
      </c>
      <c r="R577" s="10">
        <f>ROUND(_xlfn.IFNA(INDEX(Table2[],MATCH(Proj[[#This Row],[Player]],Table2[Player],0),7)/60,IF(Proj[[#This Row],[Pos]] = "D", 'Per 60 PP'!$G$527,'Per 60 PP'!$G$526)/60)*Proj[[#This Row],[TOI PP]]*Proj[[#This Row],[GP]],0)</f>
        <v>0</v>
      </c>
      <c r="S577" s="10">
        <f>Proj[[#This Row],[PPG]]+Proj[[#This Row],[PPA]]</f>
        <v>0</v>
      </c>
      <c r="T577">
        <f>ROUND((_xlfn.IFNA(INDEX(Table3[],MATCH(Proj[[#This Row],[Player]],Table3[Player],0),6)/60,IF(Proj[[#This Row],[Pos]] ="D", 'Per 60 PK'!$F$623, 'Per 60 PK'!$F$622)/60)+_xlfn.IFNA(INDEX(Table3[],MATCH(Proj[[#This Row],[Player]],Table3[Player],0),8)/60,IF(Proj[[#This Row],[Pos]] ="D", 'Per 60 PK'!$H$623, 'Per 60 PK'!$H$622)/60))*Proj[[#This Row],[TOI PK]]*Proj[[#This Row],[GP]],0)</f>
        <v>0</v>
      </c>
      <c r="U5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137</v>
      </c>
      <c r="V5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106</v>
      </c>
      <c r="W5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75</v>
      </c>
      <c r="X5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69</v>
      </c>
      <c r="AA5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-176.03613259042095</v>
      </c>
      <c r="AB577" s="10">
        <f>_xlfn.RANK.EQ(Proj[[#This Row],[VOR]],Proj[VOR])</f>
        <v>236</v>
      </c>
      <c r="AC577" s="10">
        <f>INDEX(Std[],MATCH(Proj[[#This Row],[Player]],Std[Player],0),20)</f>
        <v>-68.671364870956481</v>
      </c>
      <c r="AD5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286.29999999999995</v>
      </c>
    </row>
    <row r="578" spans="1:30" x14ac:dyDescent="0.25">
      <c r="A578" t="s">
        <v>733</v>
      </c>
      <c r="B578">
        <v>25</v>
      </c>
      <c r="C578" t="s">
        <v>102</v>
      </c>
      <c r="D578" t="s">
        <v>11</v>
      </c>
      <c r="E578" s="9">
        <f>INDEX(Table1[],MATCH(Proj[[#This Row],[Player]],Table1[Player],0),5)</f>
        <v>9.3546278272862793</v>
      </c>
      <c r="F578" s="9">
        <f>_xlfn.IFNA(INDEX(Table2[],MATCH(Proj[[#This Row],[Player]],Table2[Player],0),5),0)</f>
        <v>0</v>
      </c>
      <c r="G578" s="9">
        <f>_xlfn.IFNA(INDEX(Table3[],MATCH(Proj[[#This Row],[Player]],Table3[Player],0),5),0)</f>
        <v>2.21</v>
      </c>
      <c r="H578" s="10">
        <v>80</v>
      </c>
      <c r="I578">
        <v>80</v>
      </c>
      <c r="J578" s="9">
        <v>9.3546278272862793</v>
      </c>
      <c r="K578" s="9">
        <v>0</v>
      </c>
      <c r="L578" s="9">
        <v>2.21</v>
      </c>
      <c r="M578" s="9">
        <f>Proj[[#This Row],[TOI ES]]+Proj[[#This Row],[TOI PP]]+Proj[[#This Row],[TOI PK]]</f>
        <v>11.56462782728628</v>
      </c>
      <c r="N5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78" s="10">
        <f>Proj[[#This Row],[Goals]]+Proj[[#This Row],[Assists]]</f>
        <v>17</v>
      </c>
      <c r="Q578" s="10">
        <f>ROUND(_xlfn.IFNA(INDEX(Table2[],MATCH(Proj[[#This Row],[Player]],Table2[Player],0),11)/60,IF(Proj[[#This Row],[Pos]] = "D", 'Per 60 PP'!$K$527,'Per 60 PP'!$K$526)/60)*Proj[[#This Row],[TOI PP]]*Proj[[#This Row],[GP]],0)</f>
        <v>0</v>
      </c>
      <c r="R578" s="10">
        <f>ROUND(_xlfn.IFNA(INDEX(Table2[],MATCH(Proj[[#This Row],[Player]],Table2[Player],0),7)/60,IF(Proj[[#This Row],[Pos]] = "D", 'Per 60 PP'!$G$527,'Per 60 PP'!$G$526)/60)*Proj[[#This Row],[TOI PP]]*Proj[[#This Row],[GP]],0)</f>
        <v>0</v>
      </c>
      <c r="S578" s="10">
        <f>Proj[[#This Row],[PPG]]+Proj[[#This Row],[PPA]]</f>
        <v>0</v>
      </c>
      <c r="T578">
        <f>ROUND((_xlfn.IFNA(INDEX(Table3[],MATCH(Proj[[#This Row],[Player]],Table3[Player],0),6)/60,IF(Proj[[#This Row],[Pos]] ="D", 'Per 60 PK'!$F$623, 'Per 60 PK'!$F$622)/60)+_xlfn.IFNA(INDEX(Table3[],MATCH(Proj[[#This Row],[Player]],Table3[Player],0),8)/60,IF(Proj[[#This Row],[Pos]] ="D", 'Per 60 PK'!$H$623, 'Per 60 PK'!$H$622)/60))*Proj[[#This Row],[TOI PK]]*Proj[[#This Row],[GP]],0)</f>
        <v>2</v>
      </c>
      <c r="U5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180</v>
      </c>
      <c r="V5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60</v>
      </c>
      <c r="W5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60</v>
      </c>
      <c r="X5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v>
      </c>
      <c r="Y5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33</v>
      </c>
      <c r="Z5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85</v>
      </c>
      <c r="AA5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-583.9886704008112</v>
      </c>
      <c r="AB578" s="10">
        <f>_xlfn.RANK.EQ(Proj[[#This Row],[VOR]],Proj[VOR])</f>
        <v>474</v>
      </c>
      <c r="AC578" s="10">
        <f>INDEX(Std[],MATCH(Proj[[#This Row],[Player]],Std[Player],0),20)</f>
        <v>-112.44394601056233</v>
      </c>
      <c r="AD5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294.25</v>
      </c>
    </row>
    <row r="579" spans="1:30" x14ac:dyDescent="0.25">
      <c r="A579" t="s">
        <v>319</v>
      </c>
      <c r="B579">
        <v>34</v>
      </c>
      <c r="C579" t="s">
        <v>3</v>
      </c>
      <c r="D579" t="s">
        <v>5</v>
      </c>
      <c r="E579" s="9">
        <f>INDEX(Table1[],MATCH(Proj[[#This Row],[Player]],Table1[Player],0),5)</f>
        <v>16.176312291961501</v>
      </c>
      <c r="F579" s="9">
        <f>_xlfn.IFNA(INDEX(Table2[],MATCH(Proj[[#This Row],[Player]],Table2[Player],0),5),0)</f>
        <v>0</v>
      </c>
      <c r="G579" s="9">
        <f>_xlfn.IFNA(INDEX(Table3[],MATCH(Proj[[#This Row],[Player]],Table3[Player],0),5),0)</f>
        <v>2.89</v>
      </c>
      <c r="H579" s="10">
        <v>73</v>
      </c>
      <c r="I579">
        <v>73</v>
      </c>
      <c r="J579" s="9">
        <v>16.176312291961501</v>
      </c>
      <c r="K579" s="9">
        <v>0</v>
      </c>
      <c r="L579" s="9">
        <v>2.89</v>
      </c>
      <c r="M579" s="9">
        <f>Proj[[#This Row],[TOI ES]]+Proj[[#This Row],[TOI PP]]+Proj[[#This Row],[TOI PK]]</f>
        <v>19.066312291961502</v>
      </c>
      <c r="N5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79" s="10">
        <f>Proj[[#This Row],[Goals]]+Proj[[#This Row],[Assists]]</f>
        <v>17</v>
      </c>
      <c r="Q579" s="10">
        <f>ROUND(_xlfn.IFNA(INDEX(Table2[],MATCH(Proj[[#This Row],[Player]],Table2[Player],0),11)/60,IF(Proj[[#This Row],[Pos]] = "D", 'Per 60 PP'!$K$527,'Per 60 PP'!$K$526)/60)*Proj[[#This Row],[TOI PP]]*Proj[[#This Row],[GP]],0)</f>
        <v>0</v>
      </c>
      <c r="R579" s="10">
        <f>ROUND(_xlfn.IFNA(INDEX(Table2[],MATCH(Proj[[#This Row],[Player]],Table2[Player],0),7)/60,IF(Proj[[#This Row],[Pos]] = "D", 'Per 60 PP'!$G$527,'Per 60 PP'!$G$526)/60)*Proj[[#This Row],[TOI PP]]*Proj[[#This Row],[GP]],0)</f>
        <v>0</v>
      </c>
      <c r="S579" s="10">
        <f>Proj[[#This Row],[PPG]]+Proj[[#This Row],[PPA]]</f>
        <v>0</v>
      </c>
      <c r="T579">
        <f>ROUND((_xlfn.IFNA(INDEX(Table3[],MATCH(Proj[[#This Row],[Player]],Table3[Player],0),6)/60,IF(Proj[[#This Row],[Pos]] ="D", 'Per 60 PK'!$F$623, 'Per 60 PK'!$F$622)/60)+_xlfn.IFNA(INDEX(Table3[],MATCH(Proj[[#This Row],[Player]],Table3[Player],0),8)/60,IF(Proj[[#This Row],[Pos]] ="D", 'Per 60 PK'!$H$623, 'Per 60 PK'!$H$622)/60))*Proj[[#This Row],[TOI PK]]*Proj[[#This Row],[GP]],0)</f>
        <v>1</v>
      </c>
      <c r="U5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250</v>
      </c>
      <c r="V5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154</v>
      </c>
      <c r="W5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103</v>
      </c>
      <c r="X5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99</v>
      </c>
      <c r="AA5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336.46958051446688</v>
      </c>
      <c r="AB579" s="10">
        <f>_xlfn.RANK.EQ(Proj[[#This Row],[VOR]],Proj[VOR])</f>
        <v>72</v>
      </c>
      <c r="AC579" s="10">
        <f>INDEX(Std[],MATCH(Proj[[#This Row],[Player]],Std[Player],0),20)</f>
        <v>443.83434823393134</v>
      </c>
      <c r="AD5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410.34999999999997</v>
      </c>
    </row>
    <row r="580" spans="1:30" x14ac:dyDescent="0.25">
      <c r="A580" t="s">
        <v>1093</v>
      </c>
      <c r="B580">
        <v>26</v>
      </c>
      <c r="C580" t="s">
        <v>103</v>
      </c>
      <c r="D580" t="s">
        <v>11</v>
      </c>
      <c r="E580" s="9">
        <f>INDEX(Table1[],MATCH(Proj[[#This Row],[Player]],Table1[Player],0),5)</f>
        <v>10.071043491148901</v>
      </c>
      <c r="F580" s="9">
        <f>_xlfn.IFNA(INDEX(Table2[],MATCH(Proj[[#This Row],[Player]],Table2[Player],0),5),0)</f>
        <v>1.58</v>
      </c>
      <c r="G580" s="9">
        <f>_xlfn.IFNA(INDEX(Table3[],MATCH(Proj[[#This Row],[Player]],Table3[Player],0),5),0)</f>
        <v>0</v>
      </c>
      <c r="H580" s="10">
        <v>49</v>
      </c>
      <c r="I580">
        <v>49</v>
      </c>
      <c r="J580" s="9">
        <v>10.071043491148901</v>
      </c>
      <c r="K580" s="9">
        <v>1.58</v>
      </c>
      <c r="L580" s="9">
        <v>0</v>
      </c>
      <c r="M580" s="9">
        <f>Proj[[#This Row],[TOI ES]]+Proj[[#This Row],[TOI PP]]+Proj[[#This Row],[TOI PK]]</f>
        <v>11.651043491148901</v>
      </c>
      <c r="N5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80" s="10">
        <f>Proj[[#This Row],[Goals]]+Proj[[#This Row],[Assists]]</f>
        <v>16</v>
      </c>
      <c r="Q580" s="10">
        <f>ROUND(_xlfn.IFNA(INDEX(Table2[],MATCH(Proj[[#This Row],[Player]],Table2[Player],0),11)/60,IF(Proj[[#This Row],[Pos]] = "D", 'Per 60 PP'!$K$527,'Per 60 PP'!$K$526)/60)*Proj[[#This Row],[TOI PP]]*Proj[[#This Row],[GP]],0)</f>
        <v>1</v>
      </c>
      <c r="R580" s="10">
        <f>ROUND(_xlfn.IFNA(INDEX(Table2[],MATCH(Proj[[#This Row],[Player]],Table2[Player],0),7)/60,IF(Proj[[#This Row],[Pos]] = "D", 'Per 60 PP'!$G$527,'Per 60 PP'!$G$526)/60)*Proj[[#This Row],[TOI PP]]*Proj[[#This Row],[GP]],0)</f>
        <v>3</v>
      </c>
      <c r="S580" s="10">
        <f>Proj[[#This Row],[PPG]]+Proj[[#This Row],[PPA]]</f>
        <v>4</v>
      </c>
      <c r="T580">
        <f>ROUND((_xlfn.IFNA(INDEX(Table3[],MATCH(Proj[[#This Row],[Player]],Table3[Player],0),6)/60,IF(Proj[[#This Row],[Pos]] ="D", 'Per 60 PK'!$F$623, 'Per 60 PK'!$F$622)/60)+_xlfn.IFNA(INDEX(Table3[],MATCH(Proj[[#This Row],[Player]],Table3[Player],0),8)/60,IF(Proj[[#This Row],[Pos]] ="D", 'Per 60 PK'!$H$623, 'Per 60 PK'!$H$622)/60))*Proj[[#This Row],[TOI PK]]*Proj[[#This Row],[GP]],0)</f>
        <v>0</v>
      </c>
      <c r="U5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v>
      </c>
      <c r="V5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5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v>
      </c>
      <c r="X5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v>
      </c>
      <c r="Y5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v>
      </c>
      <c r="Z5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43</v>
      </c>
      <c r="AA5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-1240.7709420093017</v>
      </c>
      <c r="AB580" s="10">
        <f>_xlfn.RANK.EQ(Proj[[#This Row],[VOR]],Proj[VOR])</f>
        <v>703</v>
      </c>
      <c r="AC580" s="10">
        <f>INDEX(Std[],MATCH(Proj[[#This Row],[Player]],Std[Player],0),20)</f>
        <v>-794.22621761905282</v>
      </c>
      <c r="AD5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130.05000000000001</v>
      </c>
    </row>
    <row r="581" spans="1:30" x14ac:dyDescent="0.25">
      <c r="A581" t="s">
        <v>1032</v>
      </c>
      <c r="B581">
        <v>25</v>
      </c>
      <c r="C581" t="s">
        <v>74</v>
      </c>
      <c r="D581" t="s">
        <v>21</v>
      </c>
      <c r="E581" s="9">
        <f>INDEX(Table1[],MATCH(Proj[[#This Row],[Player]],Table1[Player],0),5)</f>
        <v>11.1673733569991</v>
      </c>
      <c r="F581" s="9">
        <f>_xlfn.IFNA(INDEX(Table2[],MATCH(Proj[[#This Row],[Player]],Table2[Player],0),5),0)</f>
        <v>2.12</v>
      </c>
      <c r="G581" s="9">
        <f>_xlfn.IFNA(INDEX(Table3[],MATCH(Proj[[#This Row],[Player]],Table3[Player],0),5),0)</f>
        <v>0</v>
      </c>
      <c r="H581" s="10">
        <v>42</v>
      </c>
      <c r="I581">
        <v>42</v>
      </c>
      <c r="J581" s="9">
        <v>11.1673733569991</v>
      </c>
      <c r="K581" s="9">
        <v>2.12</v>
      </c>
      <c r="L581" s="9">
        <v>0</v>
      </c>
      <c r="M581" s="9">
        <f>Proj[[#This Row],[TOI ES]]+Proj[[#This Row],[TOI PP]]+Proj[[#This Row],[TOI PK]]</f>
        <v>13.287373356999101</v>
      </c>
      <c r="N5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581" s="10">
        <f>Proj[[#This Row],[Goals]]+Proj[[#This Row],[Assists]]</f>
        <v>16</v>
      </c>
      <c r="Q581" s="10">
        <f>ROUND(_xlfn.IFNA(INDEX(Table2[],MATCH(Proj[[#This Row],[Player]],Table2[Player],0),11)/60,IF(Proj[[#This Row],[Pos]] = "D", 'Per 60 PP'!$K$527,'Per 60 PP'!$K$526)/60)*Proj[[#This Row],[TOI PP]]*Proj[[#This Row],[GP]],0)</f>
        <v>2</v>
      </c>
      <c r="R581" s="10">
        <f>ROUND(_xlfn.IFNA(INDEX(Table2[],MATCH(Proj[[#This Row],[Player]],Table2[Player],0),7)/60,IF(Proj[[#This Row],[Pos]] = "D", 'Per 60 PP'!$G$527,'Per 60 PP'!$G$526)/60)*Proj[[#This Row],[TOI PP]]*Proj[[#This Row],[GP]],0)</f>
        <v>2</v>
      </c>
      <c r="S581" s="10">
        <f>Proj[[#This Row],[PPG]]+Proj[[#This Row],[PPA]]</f>
        <v>4</v>
      </c>
      <c r="T581">
        <f>ROUND((_xlfn.IFNA(INDEX(Table3[],MATCH(Proj[[#This Row],[Player]],Table3[Player],0),6)/60,IF(Proj[[#This Row],[Pos]] ="D", 'Per 60 PK'!$F$623, 'Per 60 PK'!$F$622)/60)+_xlfn.IFNA(INDEX(Table3[],MATCH(Proj[[#This Row],[Player]],Table3[Player],0),8)/60,IF(Proj[[#This Row],[Pos]] ="D", 'Per 60 PK'!$H$623, 'Per 60 PK'!$H$622)/60))*Proj[[#This Row],[TOI PK]]*Proj[[#This Row],[GP]],0)</f>
        <v>0</v>
      </c>
      <c r="U5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v>
      </c>
      <c r="V5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5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5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122</v>
      </c>
      <c r="Y5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114</v>
      </c>
      <c r="Z5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78</v>
      </c>
      <c r="AA5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-1398.7401558524616</v>
      </c>
      <c r="AB581" s="10">
        <f>_xlfn.RANK.EQ(Proj[[#This Row],[VOR]],Proj[VOR])</f>
        <v>729</v>
      </c>
      <c r="AC581" s="10">
        <f>INDEX(Std[],MATCH(Proj[[#This Row],[Player]],Std[Player],0),20)</f>
        <v>-664.10630154216301</v>
      </c>
      <c r="AD5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162.19999999999999</v>
      </c>
    </row>
    <row r="582" spans="1:30" x14ac:dyDescent="0.25">
      <c r="A582" t="s">
        <v>1024</v>
      </c>
      <c r="B582">
        <v>23</v>
      </c>
      <c r="C582" t="s">
        <v>3</v>
      </c>
      <c r="D582" t="s">
        <v>1240</v>
      </c>
      <c r="E582" s="9">
        <f>INDEX(Table1[],MATCH(Proj[[#This Row],[Player]],Table1[Player],0),5)</f>
        <v>15.279276209943101</v>
      </c>
      <c r="F582" s="9">
        <f>_xlfn.IFNA(INDEX(Table2[],MATCH(Proj[[#This Row],[Player]],Table2[Player],0),5),0)</f>
        <v>1.37</v>
      </c>
      <c r="G582" s="9">
        <f>_xlfn.IFNA(INDEX(Table3[],MATCH(Proj[[#This Row],[Player]],Table3[Player],0),5),0)</f>
        <v>0</v>
      </c>
      <c r="H582" s="10">
        <v>63</v>
      </c>
      <c r="I582">
        <v>63</v>
      </c>
      <c r="J582" s="9">
        <v>15.279276209943101</v>
      </c>
      <c r="K582" s="9">
        <v>1.37</v>
      </c>
      <c r="L582" s="9">
        <v>0</v>
      </c>
      <c r="M582" s="9">
        <f>Proj[[#This Row],[TOI ES]]+Proj[[#This Row],[TOI PP]]+Proj[[#This Row],[TOI PK]]</f>
        <v>16.6492762099431</v>
      </c>
      <c r="N5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5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82" s="10">
        <f>Proj[[#This Row],[Goals]]+Proj[[#This Row],[Assists]]</f>
        <v>16</v>
      </c>
      <c r="Q582" s="10">
        <f>ROUND(_xlfn.IFNA(INDEX(Table2[],MATCH(Proj[[#This Row],[Player]],Table2[Player],0),11)/60,IF(Proj[[#This Row],[Pos]] = "D", 'Per 60 PP'!$K$527,'Per 60 PP'!$K$526)/60)*Proj[[#This Row],[TOI PP]]*Proj[[#This Row],[GP]],0)</f>
        <v>1</v>
      </c>
      <c r="R582" s="10">
        <f>ROUND(_xlfn.IFNA(INDEX(Table2[],MATCH(Proj[[#This Row],[Player]],Table2[Player],0),7)/60,IF(Proj[[#This Row],[Pos]] = "D", 'Per 60 PP'!$G$527,'Per 60 PP'!$G$526)/60)*Proj[[#This Row],[TOI PP]]*Proj[[#This Row],[GP]],0)</f>
        <v>5</v>
      </c>
      <c r="S582" s="10">
        <f>Proj[[#This Row],[PPG]]+Proj[[#This Row],[PPA]]</f>
        <v>6</v>
      </c>
      <c r="T582">
        <f>ROUND((_xlfn.IFNA(INDEX(Table3[],MATCH(Proj[[#This Row],[Player]],Table3[Player],0),6)/60,IF(Proj[[#This Row],[Pos]] ="D", 'Per 60 PK'!$F$623, 'Per 60 PK'!$F$622)/60)+_xlfn.IFNA(INDEX(Table3[],MATCH(Proj[[#This Row],[Player]],Table3[Player],0),8)/60,IF(Proj[[#This Row],[Pos]] ="D", 'Per 60 PK'!$H$623, 'Per 60 PK'!$H$622)/60))*Proj[[#This Row],[TOI PK]]*Proj[[#This Row],[GP]],0)</f>
        <v>0</v>
      </c>
      <c r="U5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5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88</v>
      </c>
      <c r="W5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5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69</v>
      </c>
      <c r="AA5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-537.35793570786075</v>
      </c>
      <c r="AB582" s="10">
        <f>_xlfn.RANK.EQ(Proj[[#This Row],[VOR]],Proj[VOR])</f>
        <v>446</v>
      </c>
      <c r="AC582" s="10">
        <f>INDEX(Std[],MATCH(Proj[[#This Row],[Player]],Std[Player],0),20)</f>
        <v>-429.99316798839624</v>
      </c>
      <c r="AD5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202.20000000000002</v>
      </c>
    </row>
    <row r="583" spans="1:30" x14ac:dyDescent="0.25">
      <c r="A583" t="s">
        <v>674</v>
      </c>
      <c r="B583">
        <v>27</v>
      </c>
      <c r="C583" t="s">
        <v>74</v>
      </c>
      <c r="D583" t="s">
        <v>6</v>
      </c>
      <c r="E583" s="9">
        <f>INDEX(Table1[],MATCH(Proj[[#This Row],[Player]],Table1[Player],0),5)</f>
        <v>11</v>
      </c>
      <c r="F583" s="9">
        <f>_xlfn.IFNA(INDEX(Table2[],MATCH(Proj[[#This Row],[Player]],Table2[Player],0),5),0)</f>
        <v>0</v>
      </c>
      <c r="G583" s="9">
        <f>_xlfn.IFNA(INDEX(Table3[],MATCH(Proj[[#This Row],[Player]],Table3[Player],0),5),0)</f>
        <v>0</v>
      </c>
      <c r="H583" s="10">
        <v>50</v>
      </c>
      <c r="I583">
        <v>50</v>
      </c>
      <c r="J583" s="9">
        <v>11</v>
      </c>
      <c r="K583" s="9">
        <v>0</v>
      </c>
      <c r="L583" s="9">
        <v>0</v>
      </c>
      <c r="M583" s="9">
        <f>Proj[[#This Row],[TOI ES]]+Proj[[#This Row],[TOI PP]]+Proj[[#This Row],[TOI PK]]</f>
        <v>11</v>
      </c>
      <c r="N5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83" s="10">
        <f>Proj[[#This Row],[Goals]]+Proj[[#This Row],[Assists]]</f>
        <v>16</v>
      </c>
      <c r="Q583" s="10">
        <f>ROUND(_xlfn.IFNA(INDEX(Table2[],MATCH(Proj[[#This Row],[Player]],Table2[Player],0),11)/60,IF(Proj[[#This Row],[Pos]] = "D", 'Per 60 PP'!$K$527,'Per 60 PP'!$K$526)/60)*Proj[[#This Row],[TOI PP]]*Proj[[#This Row],[GP]],0)</f>
        <v>0</v>
      </c>
      <c r="R583" s="10">
        <f>ROUND(_xlfn.IFNA(INDEX(Table2[],MATCH(Proj[[#This Row],[Player]],Table2[Player],0),7)/60,IF(Proj[[#This Row],[Pos]] = "D", 'Per 60 PP'!$G$527,'Per 60 PP'!$G$526)/60)*Proj[[#This Row],[TOI PP]]*Proj[[#This Row],[GP]],0)</f>
        <v>0</v>
      </c>
      <c r="S583" s="10">
        <f>Proj[[#This Row],[PPG]]+Proj[[#This Row],[PPA]]</f>
        <v>0</v>
      </c>
      <c r="T583">
        <f>ROUND((_xlfn.IFNA(INDEX(Table3[],MATCH(Proj[[#This Row],[Player]],Table3[Player],0),6)/60,IF(Proj[[#This Row],[Pos]] ="D", 'Per 60 PK'!$F$623, 'Per 60 PK'!$F$622)/60)+_xlfn.IFNA(INDEX(Table3[],MATCH(Proj[[#This Row],[Player]],Table3[Player],0),8)/60,IF(Proj[[#This Row],[Pos]] ="D", 'Per 60 PK'!$H$623, 'Per 60 PK'!$H$622)/60))*Proj[[#This Row],[TOI PK]]*Proj[[#This Row],[GP]],0)</f>
        <v>0</v>
      </c>
      <c r="U5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5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5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5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5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v>
      </c>
      <c r="Z5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61</v>
      </c>
      <c r="AA5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-1450.1864530473508</v>
      </c>
      <c r="AB583" s="10">
        <f>_xlfn.RANK.EQ(Proj[[#This Row],[VOR]],Proj[VOR])</f>
        <v>736</v>
      </c>
      <c r="AC583" s="10">
        <f>INDEX(Std[],MATCH(Proj[[#This Row],[Player]],Std[Player],0),20)</f>
        <v>-715.55259873705222</v>
      </c>
      <c r="AD5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155.54999999999998</v>
      </c>
    </row>
    <row r="584" spans="1:30" x14ac:dyDescent="0.25">
      <c r="A584" t="s">
        <v>483</v>
      </c>
      <c r="B584">
        <v>24</v>
      </c>
      <c r="C584" t="s">
        <v>103</v>
      </c>
      <c r="D584" t="s">
        <v>20</v>
      </c>
      <c r="E584" s="9">
        <f>INDEX(Table1[],MATCH(Proj[[#This Row],[Player]],Table1[Player],0),5)</f>
        <v>10.388131336666101</v>
      </c>
      <c r="F584" s="9">
        <f>_xlfn.IFNA(INDEX(Table2[],MATCH(Proj[[#This Row],[Player]],Table2[Player],0),5),0)</f>
        <v>1.19</v>
      </c>
      <c r="G584" s="9">
        <f>_xlfn.IFNA(INDEX(Table3[],MATCH(Proj[[#This Row],[Player]],Table3[Player],0),5),0)</f>
        <v>0</v>
      </c>
      <c r="H584" s="10">
        <v>52</v>
      </c>
      <c r="I584">
        <v>52</v>
      </c>
      <c r="J584" s="9">
        <v>10.388131336666101</v>
      </c>
      <c r="K584" s="9">
        <v>1.19</v>
      </c>
      <c r="L584" s="9">
        <v>0</v>
      </c>
      <c r="M584" s="9">
        <f>Proj[[#This Row],[TOI ES]]+Proj[[#This Row],[TOI PP]]+Proj[[#This Row],[TOI PK]]</f>
        <v>11.5781313366661</v>
      </c>
      <c r="N5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84" s="10">
        <f>Proj[[#This Row],[Goals]]+Proj[[#This Row],[Assists]]</f>
        <v>16</v>
      </c>
      <c r="Q584" s="10">
        <f>ROUND(_xlfn.IFNA(INDEX(Table2[],MATCH(Proj[[#This Row],[Player]],Table2[Player],0),11)/60,IF(Proj[[#This Row],[Pos]] = "D", 'Per 60 PP'!$K$527,'Per 60 PP'!$K$526)/60)*Proj[[#This Row],[TOI PP]]*Proj[[#This Row],[GP]],0)</f>
        <v>2</v>
      </c>
      <c r="R584" s="10">
        <f>ROUND(_xlfn.IFNA(INDEX(Table2[],MATCH(Proj[[#This Row],[Player]],Table2[Player],0),7)/60,IF(Proj[[#This Row],[Pos]] = "D", 'Per 60 PP'!$G$527,'Per 60 PP'!$G$526)/60)*Proj[[#This Row],[TOI PP]]*Proj[[#This Row],[GP]],0)</f>
        <v>2</v>
      </c>
      <c r="S584" s="10">
        <f>Proj[[#This Row],[PPG]]+Proj[[#This Row],[PPA]]</f>
        <v>4</v>
      </c>
      <c r="T584">
        <f>ROUND((_xlfn.IFNA(INDEX(Table3[],MATCH(Proj[[#This Row],[Player]],Table3[Player],0),6)/60,IF(Proj[[#This Row],[Pos]] ="D", 'Per 60 PK'!$F$623, 'Per 60 PK'!$F$622)/60)+_xlfn.IFNA(INDEX(Table3[],MATCH(Proj[[#This Row],[Player]],Table3[Player],0),8)/60,IF(Proj[[#This Row],[Pos]] ="D", 'Per 60 PK'!$H$623, 'Per 60 PK'!$H$622)/60))*Proj[[#This Row],[TOI PK]]*Proj[[#This Row],[GP]],0)</f>
        <v>0</v>
      </c>
      <c r="U5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5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5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5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5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5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5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-979.14562515194098</v>
      </c>
      <c r="AB584" s="10">
        <f>_xlfn.RANK.EQ(Proj[[#This Row],[VOR]],Proj[VOR])</f>
        <v>655</v>
      </c>
      <c r="AC584" s="10">
        <f>INDEX(Std[],MATCH(Proj[[#This Row],[Player]],Std[Player],0),20)</f>
        <v>-532.60090076169206</v>
      </c>
      <c r="AD5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185.04999999999998</v>
      </c>
    </row>
    <row r="585" spans="1:30" x14ac:dyDescent="0.25">
      <c r="A585" t="s">
        <v>534</v>
      </c>
      <c r="B585">
        <v>26</v>
      </c>
      <c r="C585" t="s">
        <v>3</v>
      </c>
      <c r="D585" t="s">
        <v>7</v>
      </c>
      <c r="E585" s="9">
        <f>INDEX(Table1[],MATCH(Proj[[#This Row],[Player]],Table1[Player],0),5)</f>
        <v>15.034511365459799</v>
      </c>
      <c r="F585" s="9">
        <f>_xlfn.IFNA(INDEX(Table2[],MATCH(Proj[[#This Row],[Player]],Table2[Player],0),5),0)</f>
        <v>0</v>
      </c>
      <c r="G585" s="9">
        <f>_xlfn.IFNA(INDEX(Table3[],MATCH(Proj[[#This Row],[Player]],Table3[Player],0),5),0)</f>
        <v>1.42</v>
      </c>
      <c r="H585" s="10">
        <v>69</v>
      </c>
      <c r="I585">
        <v>69</v>
      </c>
      <c r="J585" s="9">
        <v>15.034511365459799</v>
      </c>
      <c r="K585" s="9">
        <v>0</v>
      </c>
      <c r="L585" s="9">
        <v>1.42</v>
      </c>
      <c r="M585" s="9">
        <f>Proj[[#This Row],[TOI ES]]+Proj[[#This Row],[TOI PP]]+Proj[[#This Row],[TOI PK]]</f>
        <v>16.454511365459801</v>
      </c>
      <c r="N5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85" s="10">
        <f>Proj[[#This Row],[Goals]]+Proj[[#This Row],[Assists]]</f>
        <v>16</v>
      </c>
      <c r="Q585" s="10">
        <f>ROUND(_xlfn.IFNA(INDEX(Table2[],MATCH(Proj[[#This Row],[Player]],Table2[Player],0),11)/60,IF(Proj[[#This Row],[Pos]] = "D", 'Per 60 PP'!$K$527,'Per 60 PP'!$K$526)/60)*Proj[[#This Row],[TOI PP]]*Proj[[#This Row],[GP]],0)</f>
        <v>0</v>
      </c>
      <c r="R585" s="10">
        <f>ROUND(_xlfn.IFNA(INDEX(Table2[],MATCH(Proj[[#This Row],[Player]],Table2[Player],0),7)/60,IF(Proj[[#This Row],[Pos]] = "D", 'Per 60 PP'!$G$527,'Per 60 PP'!$G$526)/60)*Proj[[#This Row],[TOI PP]]*Proj[[#This Row],[GP]],0)</f>
        <v>0</v>
      </c>
      <c r="S585" s="10">
        <f>Proj[[#This Row],[PPG]]+Proj[[#This Row],[PPA]]</f>
        <v>0</v>
      </c>
      <c r="T585">
        <f>ROUND((_xlfn.IFNA(INDEX(Table3[],MATCH(Proj[[#This Row],[Player]],Table3[Player],0),6)/60,IF(Proj[[#This Row],[Pos]] ="D", 'Per 60 PK'!$F$623, 'Per 60 PK'!$F$622)/60)+_xlfn.IFNA(INDEX(Table3[],MATCH(Proj[[#This Row],[Player]],Table3[Player],0),8)/60,IF(Proj[[#This Row],[Pos]] ="D", 'Per 60 PK'!$H$623, 'Per 60 PK'!$H$622)/60))*Proj[[#This Row],[TOI PK]]*Proj[[#This Row],[GP]],0)</f>
        <v>0</v>
      </c>
      <c r="U5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54</v>
      </c>
      <c r="V5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112</v>
      </c>
      <c r="W5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5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5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-522.28157424868652</v>
      </c>
      <c r="AB585" s="10">
        <f>_xlfn.RANK.EQ(Proj[[#This Row],[VOR]],Proj[VOR])</f>
        <v>437</v>
      </c>
      <c r="AC585" s="10">
        <f>INDEX(Std[],MATCH(Proj[[#This Row],[Player]],Std[Player],0),20)</f>
        <v>-414.91680652922201</v>
      </c>
      <c r="AD5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222.65000000000003</v>
      </c>
    </row>
    <row r="586" spans="1:30" x14ac:dyDescent="0.25">
      <c r="A586" t="s">
        <v>692</v>
      </c>
      <c r="B586">
        <v>30</v>
      </c>
      <c r="C586" t="s">
        <v>3</v>
      </c>
      <c r="D586" t="s">
        <v>2</v>
      </c>
      <c r="E586" s="9">
        <f>INDEX(Table1[],MATCH(Proj[[#This Row],[Player]],Table1[Player],0),5)</f>
        <v>15.4974271970726</v>
      </c>
      <c r="F586" s="9">
        <f>_xlfn.IFNA(INDEX(Table2[],MATCH(Proj[[#This Row],[Player]],Table2[Player],0),5),0)</f>
        <v>0</v>
      </c>
      <c r="G586" s="9">
        <f>_xlfn.IFNA(INDEX(Table3[],MATCH(Proj[[#This Row],[Player]],Table3[Player],0),5),0)</f>
        <v>0.99</v>
      </c>
      <c r="H586" s="10">
        <v>76</v>
      </c>
      <c r="I586">
        <v>76</v>
      </c>
      <c r="J586" s="9">
        <v>15.4974271970726</v>
      </c>
      <c r="K586" s="9">
        <v>0</v>
      </c>
      <c r="L586" s="9">
        <v>0.99</v>
      </c>
      <c r="M586" s="9">
        <f>Proj[[#This Row],[TOI ES]]+Proj[[#This Row],[TOI PP]]+Proj[[#This Row],[TOI PK]]</f>
        <v>16.487427197072599</v>
      </c>
      <c r="N5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86" s="10">
        <f>Proj[[#This Row],[Goals]]+Proj[[#This Row],[Assists]]</f>
        <v>16</v>
      </c>
      <c r="Q586" s="10">
        <f>ROUND(_xlfn.IFNA(INDEX(Table2[],MATCH(Proj[[#This Row],[Player]],Table2[Player],0),11)/60,IF(Proj[[#This Row],[Pos]] = "D", 'Per 60 PP'!$K$527,'Per 60 PP'!$K$526)/60)*Proj[[#This Row],[TOI PP]]*Proj[[#This Row],[GP]],0)</f>
        <v>0</v>
      </c>
      <c r="R586" s="10">
        <f>ROUND(_xlfn.IFNA(INDEX(Table2[],MATCH(Proj[[#This Row],[Player]],Table2[Player],0),7)/60,IF(Proj[[#This Row],[Pos]] = "D", 'Per 60 PP'!$G$527,'Per 60 PP'!$G$526)/60)*Proj[[#This Row],[TOI PP]]*Proj[[#This Row],[GP]],0)</f>
        <v>0</v>
      </c>
      <c r="S586" s="10">
        <f>Proj[[#This Row],[PPG]]+Proj[[#This Row],[PPA]]</f>
        <v>0</v>
      </c>
      <c r="T586">
        <f>ROUND((_xlfn.IFNA(INDEX(Table3[],MATCH(Proj[[#This Row],[Player]],Table3[Player],0),6)/60,IF(Proj[[#This Row],[Pos]] ="D", 'Per 60 PK'!$F$623, 'Per 60 PK'!$F$622)/60)+_xlfn.IFNA(INDEX(Table3[],MATCH(Proj[[#This Row],[Player]],Table3[Player],0),8)/60,IF(Proj[[#This Row],[Pos]] ="D", 'Per 60 PK'!$H$623, 'Per 60 PK'!$H$622)/60))*Proj[[#This Row],[TOI PK]]*Proj[[#This Row],[GP]],0)</f>
        <v>0</v>
      </c>
      <c r="U5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57</v>
      </c>
      <c r="V5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5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5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54</v>
      </c>
      <c r="AA5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-639.85306777469339</v>
      </c>
      <c r="AB586" s="10">
        <f>_xlfn.RANK.EQ(Proj[[#This Row],[VOR]],Proj[VOR])</f>
        <v>496</v>
      </c>
      <c r="AC586" s="10">
        <f>INDEX(Std[],MATCH(Proj[[#This Row],[Player]],Std[Player],0),20)</f>
        <v>-532.48830005522893</v>
      </c>
      <c r="AD5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204.34999999999997</v>
      </c>
    </row>
    <row r="587" spans="1:30" x14ac:dyDescent="0.25">
      <c r="A587" t="s">
        <v>622</v>
      </c>
      <c r="B587">
        <v>29</v>
      </c>
      <c r="C587" t="s">
        <v>74</v>
      </c>
      <c r="D587" t="s">
        <v>1101</v>
      </c>
      <c r="E587" s="9">
        <f>INDEX(Table1[],MATCH(Proj[[#This Row],[Player]],Table1[Player],0),5)</f>
        <v>11.039663114912599</v>
      </c>
      <c r="F587" s="9">
        <f>_xlfn.IFNA(INDEX(Table2[],MATCH(Proj[[#This Row],[Player]],Table2[Player],0),5),0)</f>
        <v>1.06</v>
      </c>
      <c r="G587" s="9">
        <f>_xlfn.IFNA(INDEX(Table3[],MATCH(Proj[[#This Row],[Player]],Table3[Player],0),5),0)</f>
        <v>0</v>
      </c>
      <c r="H587" s="10">
        <v>58</v>
      </c>
      <c r="I587">
        <v>58</v>
      </c>
      <c r="J587" s="9">
        <v>11.039663114912599</v>
      </c>
      <c r="K587" s="9">
        <v>1.06</v>
      </c>
      <c r="L587" s="9">
        <v>0</v>
      </c>
      <c r="M587" s="9">
        <f>Proj[[#This Row],[TOI ES]]+Proj[[#This Row],[TOI PP]]+Proj[[#This Row],[TOI PK]]</f>
        <v>12.0996631149126</v>
      </c>
      <c r="N5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5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87">
        <f>Proj[[#This Row],[Goals]]+Proj[[#This Row],[Assists]]</f>
        <v>16</v>
      </c>
      <c r="Q587" s="10">
        <f>ROUND(_xlfn.IFNA(INDEX(Table2[],MATCH(Proj[[#This Row],[Player]],Table2[Player],0),11)/60,IF(Proj[[#This Row],[Pos]] = "D", 'Per 60 PP'!$K$527,'Per 60 PP'!$K$526)/60)*Proj[[#This Row],[TOI PP]]*Proj[[#This Row],[GP]],0)</f>
        <v>1</v>
      </c>
      <c r="R587" s="10">
        <f>ROUND(_xlfn.IFNA(INDEX(Table2[],MATCH(Proj[[#This Row],[Player]],Table2[Player],0),7)/60,IF(Proj[[#This Row],[Pos]] = "D", 'Per 60 PP'!$G$527,'Per 60 PP'!$G$526)/60)*Proj[[#This Row],[TOI PP]]*Proj[[#This Row],[GP]],0)</f>
        <v>2</v>
      </c>
      <c r="S587" s="10">
        <f>Proj[[#This Row],[PPG]]+Proj[[#This Row],[PPA]]</f>
        <v>3</v>
      </c>
      <c r="T587">
        <f>ROUND((_xlfn.IFNA(INDEX(Table3[],MATCH(Proj[[#This Row],[Player]],Table3[Player],0),6)/60,IF(Proj[[#This Row],[Pos]] ="D", 'Per 60 PK'!$F$623, 'Per 60 PK'!$F$622)/60)+_xlfn.IFNA(INDEX(Table3[],MATCH(Proj[[#This Row],[Player]],Table3[Player],0),8)/60,IF(Proj[[#This Row],[Pos]] ="D", 'Per 60 PK'!$H$623, 'Per 60 PK'!$H$622)/60))*Proj[[#This Row],[TOI PK]]*Proj[[#This Row],[GP]],0)</f>
        <v>0</v>
      </c>
      <c r="U5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5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5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5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5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5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79</v>
      </c>
      <c r="AA5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-1345.4568615393353</v>
      </c>
      <c r="AB587" s="10">
        <f>_xlfn.RANK.EQ(Proj[[#This Row],[VOR]],Proj[VOR])</f>
        <v>720</v>
      </c>
      <c r="AC587" s="10">
        <f>INDEX(Std[],MATCH(Proj[[#This Row],[Player]],Std[Player],0),20)</f>
        <v>-610.82300722903665</v>
      </c>
      <c r="AD5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178.1</v>
      </c>
    </row>
    <row r="588" spans="1:30" x14ac:dyDescent="0.25">
      <c r="A588" t="s">
        <v>618</v>
      </c>
      <c r="B588">
        <v>34</v>
      </c>
      <c r="C588" t="s">
        <v>3</v>
      </c>
      <c r="D588" t="s">
        <v>154</v>
      </c>
      <c r="E588" s="9">
        <f>INDEX(Table1[],MATCH(Proj[[#This Row],[Player]],Table1[Player],0),5)</f>
        <v>16.383533999697399</v>
      </c>
      <c r="F588" s="9">
        <f>_xlfn.IFNA(INDEX(Table2[],MATCH(Proj[[#This Row],[Player]],Table2[Player],0),5),0)</f>
        <v>0</v>
      </c>
      <c r="G588" s="9">
        <f>_xlfn.IFNA(INDEX(Table3[],MATCH(Proj[[#This Row],[Player]],Table3[Player],0),5),0)</f>
        <v>2.85</v>
      </c>
      <c r="H588" s="10">
        <v>72</v>
      </c>
      <c r="I588">
        <v>72</v>
      </c>
      <c r="J588" s="9">
        <v>16.383533999697399</v>
      </c>
      <c r="K588" s="9">
        <v>0</v>
      </c>
      <c r="L588" s="9">
        <v>2.85</v>
      </c>
      <c r="M588" s="9">
        <f>Proj[[#This Row],[TOI ES]]+Proj[[#This Row],[TOI PP]]+Proj[[#This Row],[TOI PK]]</f>
        <v>19.2335339996974</v>
      </c>
      <c r="N5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88" s="10">
        <f>Proj[[#This Row],[Goals]]+Proj[[#This Row],[Assists]]</f>
        <v>16</v>
      </c>
      <c r="Q588" s="10">
        <f>ROUND(_xlfn.IFNA(INDEX(Table2[],MATCH(Proj[[#This Row],[Player]],Table2[Player],0),11)/60,IF(Proj[[#This Row],[Pos]] = "D", 'Per 60 PP'!$K$527,'Per 60 PP'!$K$526)/60)*Proj[[#This Row],[TOI PP]]*Proj[[#This Row],[GP]],0)</f>
        <v>0</v>
      </c>
      <c r="R588" s="10">
        <f>ROUND(_xlfn.IFNA(INDEX(Table2[],MATCH(Proj[[#This Row],[Player]],Table2[Player],0),7)/60,IF(Proj[[#This Row],[Pos]] = "D", 'Per 60 PP'!$G$527,'Per 60 PP'!$G$526)/60)*Proj[[#This Row],[TOI PP]]*Proj[[#This Row],[GP]],0)</f>
        <v>0</v>
      </c>
      <c r="S588" s="10">
        <f>Proj[[#This Row],[PPG]]+Proj[[#This Row],[PPA]]</f>
        <v>0</v>
      </c>
      <c r="T588">
        <f>ROUND((_xlfn.IFNA(INDEX(Table3[],MATCH(Proj[[#This Row],[Player]],Table3[Player],0),6)/60,IF(Proj[[#This Row],[Pos]] ="D", 'Per 60 PK'!$F$623, 'Per 60 PK'!$F$622)/60)+_xlfn.IFNA(INDEX(Table3[],MATCH(Proj[[#This Row],[Player]],Table3[Player],0),8)/60,IF(Proj[[#This Row],[Pos]] ="D", 'Per 60 PK'!$H$623, 'Per 60 PK'!$H$622)/60))*Proj[[#This Row],[TOI PK]]*Proj[[#This Row],[GP]],0)</f>
        <v>1</v>
      </c>
      <c r="U5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66</v>
      </c>
      <c r="V5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111</v>
      </c>
      <c r="W5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5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5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-448.66515206037923</v>
      </c>
      <c r="AB588" s="10">
        <f>_xlfn.RANK.EQ(Proj[[#This Row],[VOR]],Proj[VOR])</f>
        <v>393</v>
      </c>
      <c r="AC588" s="10">
        <f>INDEX(Std[],MATCH(Proj[[#This Row],[Player]],Std[Player],0),20)</f>
        <v>-341.30038434091477</v>
      </c>
      <c r="AD5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234.39999999999998</v>
      </c>
    </row>
    <row r="589" spans="1:30" x14ac:dyDescent="0.25">
      <c r="A589" t="s">
        <v>495</v>
      </c>
      <c r="B589">
        <v>35</v>
      </c>
      <c r="C589" t="s">
        <v>3</v>
      </c>
      <c r="D589" t="s">
        <v>1240</v>
      </c>
      <c r="E589" s="9">
        <f>INDEX(Table1[],MATCH(Proj[[#This Row],[Player]],Table1[Player],0),5)</f>
        <v>16.0073835037302</v>
      </c>
      <c r="F589" s="9">
        <f>_xlfn.IFNA(INDEX(Table2[],MATCH(Proj[[#This Row],[Player]],Table2[Player],0),5),0)</f>
        <v>0</v>
      </c>
      <c r="G589" s="9">
        <f>_xlfn.IFNA(INDEX(Table3[],MATCH(Proj[[#This Row],[Player]],Table3[Player],0),5),0)</f>
        <v>2.71</v>
      </c>
      <c r="H589" s="10">
        <v>81</v>
      </c>
      <c r="I589">
        <v>81</v>
      </c>
      <c r="J589" s="9">
        <v>16.0073835037302</v>
      </c>
      <c r="K589" s="9">
        <v>0</v>
      </c>
      <c r="L589" s="9">
        <v>2.71</v>
      </c>
      <c r="M589" s="9">
        <f>Proj[[#This Row],[TOI ES]]+Proj[[#This Row],[TOI PP]]+Proj[[#This Row],[TOI PK]]</f>
        <v>18.717383503730201</v>
      </c>
      <c r="N5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89">
        <f>Proj[[#This Row],[Goals]]+Proj[[#This Row],[Assists]]</f>
        <v>16</v>
      </c>
      <c r="Q589" s="10">
        <f>ROUND(_xlfn.IFNA(INDEX(Table2[],MATCH(Proj[[#This Row],[Player]],Table2[Player],0),11)/60,IF(Proj[[#This Row],[Pos]] = "D", 'Per 60 PP'!$K$527,'Per 60 PP'!$K$526)/60)*Proj[[#This Row],[TOI PP]]*Proj[[#This Row],[GP]],0)</f>
        <v>0</v>
      </c>
      <c r="R589" s="10">
        <f>ROUND(_xlfn.IFNA(INDEX(Table2[],MATCH(Proj[[#This Row],[Player]],Table2[Player],0),7)/60,IF(Proj[[#This Row],[Pos]] = "D", 'Per 60 PP'!$G$527,'Per 60 PP'!$G$526)/60)*Proj[[#This Row],[TOI PP]]*Proj[[#This Row],[GP]],0)</f>
        <v>0</v>
      </c>
      <c r="S589" s="10">
        <f>Proj[[#This Row],[PPG]]+Proj[[#This Row],[PPA]]</f>
        <v>0</v>
      </c>
      <c r="T589">
        <f>ROUND((_xlfn.IFNA(INDEX(Table3[],MATCH(Proj[[#This Row],[Player]],Table3[Player],0),6)/60,IF(Proj[[#This Row],[Pos]] ="D", 'Per 60 PK'!$F$623, 'Per 60 PK'!$F$622)/60)+_xlfn.IFNA(INDEX(Table3[],MATCH(Proj[[#This Row],[Player]],Table3[Player],0),8)/60,IF(Proj[[#This Row],[Pos]] ="D", 'Per 60 PK'!$H$623, 'Per 60 PK'!$H$622)/60))*Proj[[#This Row],[TOI PK]]*Proj[[#This Row],[GP]],0)</f>
        <v>0</v>
      </c>
      <c r="U5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5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155</v>
      </c>
      <c r="W5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73</v>
      </c>
      <c r="X5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78</v>
      </c>
      <c r="AA5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-171.87861582093575</v>
      </c>
      <c r="AB589" s="10">
        <f>_xlfn.RANK.EQ(Proj[[#This Row],[VOR]],Proj[VOR])</f>
        <v>233</v>
      </c>
      <c r="AC589" s="10">
        <f>INDEX(Std[],MATCH(Proj[[#This Row],[Player]],Std[Player],0),20)</f>
        <v>-64.513848101471254</v>
      </c>
      <c r="AD5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283.35000000000002</v>
      </c>
    </row>
    <row r="590" spans="1:30" x14ac:dyDescent="0.25">
      <c r="A590" t="s">
        <v>556</v>
      </c>
      <c r="B590">
        <v>29</v>
      </c>
      <c r="C590" t="s">
        <v>102</v>
      </c>
      <c r="D590" t="s">
        <v>2</v>
      </c>
      <c r="E590" s="9">
        <f>INDEX(Table1[],MATCH(Proj[[#This Row],[Player]],Table1[Player],0),5)</f>
        <v>10.367571618796299</v>
      </c>
      <c r="F590" s="9">
        <f>_xlfn.IFNA(INDEX(Table2[],MATCH(Proj[[#This Row],[Player]],Table2[Player],0),5),0)</f>
        <v>0</v>
      </c>
      <c r="G590" s="9">
        <f>_xlfn.IFNA(INDEX(Table3[],MATCH(Proj[[#This Row],[Player]],Table3[Player],0),5),0)</f>
        <v>2.16</v>
      </c>
      <c r="H590" s="10">
        <v>75</v>
      </c>
      <c r="I590">
        <v>75</v>
      </c>
      <c r="J590" s="9">
        <v>10.367571618796299</v>
      </c>
      <c r="K590" s="9">
        <v>0</v>
      </c>
      <c r="L590" s="9">
        <v>2.16</v>
      </c>
      <c r="M590" s="9">
        <f>Proj[[#This Row],[TOI ES]]+Proj[[#This Row],[TOI PP]]+Proj[[#This Row],[TOI PK]]</f>
        <v>12.5275716187963</v>
      </c>
      <c r="N5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590" s="10">
        <f>Proj[[#This Row],[Goals]]+Proj[[#This Row],[Assists]]</f>
        <v>16</v>
      </c>
      <c r="Q590" s="10">
        <f>ROUND(_xlfn.IFNA(INDEX(Table2[],MATCH(Proj[[#This Row],[Player]],Table2[Player],0),11)/60,IF(Proj[[#This Row],[Pos]] = "D", 'Per 60 PP'!$K$527,'Per 60 PP'!$K$526)/60)*Proj[[#This Row],[TOI PP]]*Proj[[#This Row],[GP]],0)</f>
        <v>0</v>
      </c>
      <c r="R590" s="10">
        <f>ROUND(_xlfn.IFNA(INDEX(Table2[],MATCH(Proj[[#This Row],[Player]],Table2[Player],0),7)/60,IF(Proj[[#This Row],[Pos]] = "D", 'Per 60 PP'!$G$527,'Per 60 PP'!$G$526)/60)*Proj[[#This Row],[TOI PP]]*Proj[[#This Row],[GP]],0)</f>
        <v>0</v>
      </c>
      <c r="S590" s="10">
        <f>Proj[[#This Row],[PPG]]+Proj[[#This Row],[PPA]]</f>
        <v>0</v>
      </c>
      <c r="T590">
        <f>ROUND((_xlfn.IFNA(INDEX(Table3[],MATCH(Proj[[#This Row],[Player]],Table3[Player],0),6)/60,IF(Proj[[#This Row],[Pos]] ="D", 'Per 60 PK'!$F$623, 'Per 60 PK'!$F$622)/60)+_xlfn.IFNA(INDEX(Table3[],MATCH(Proj[[#This Row],[Player]],Table3[Player],0),8)/60,IF(Proj[[#This Row],[Pos]] ="D", 'Per 60 PK'!$H$623, 'Per 60 PK'!$H$622)/60))*Proj[[#This Row],[TOI PK]]*Proj[[#This Row],[GP]],0)</f>
        <v>2</v>
      </c>
      <c r="U5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104</v>
      </c>
      <c r="V5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59</v>
      </c>
      <c r="W5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5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72</v>
      </c>
      <c r="Y5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75</v>
      </c>
      <c r="Z5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101</v>
      </c>
      <c r="AA5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-870.94523843774141</v>
      </c>
      <c r="AB590" s="10">
        <f>_xlfn.RANK.EQ(Proj[[#This Row],[VOR]],Proj[VOR])</f>
        <v>614</v>
      </c>
      <c r="AC590" s="10">
        <f>INDEX(Std[],MATCH(Proj[[#This Row],[Player]],Std[Player],0),20)</f>
        <v>-399.40051404749255</v>
      </c>
      <c r="AD5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241.9</v>
      </c>
    </row>
    <row r="591" spans="1:30" x14ac:dyDescent="0.25">
      <c r="A591" t="s">
        <v>424</v>
      </c>
      <c r="B591">
        <v>32</v>
      </c>
      <c r="C591" t="s">
        <v>3</v>
      </c>
      <c r="D591" t="s">
        <v>20</v>
      </c>
      <c r="E591" s="9">
        <f>INDEX(Table1[],MATCH(Proj[[#This Row],[Player]],Table1[Player],0),5)</f>
        <v>16.4422172108486</v>
      </c>
      <c r="F591" s="9">
        <f>_xlfn.IFNA(INDEX(Table2[],MATCH(Proj[[#This Row],[Player]],Table2[Player],0),5),0)</f>
        <v>0</v>
      </c>
      <c r="G591" s="9">
        <f>_xlfn.IFNA(INDEX(Table3[],MATCH(Proj[[#This Row],[Player]],Table3[Player],0),5),0)</f>
        <v>2.6</v>
      </c>
      <c r="H591" s="10">
        <v>78</v>
      </c>
      <c r="I591">
        <v>78</v>
      </c>
      <c r="J591" s="9">
        <v>16.4422172108486</v>
      </c>
      <c r="K591" s="9">
        <v>0</v>
      </c>
      <c r="L591" s="9">
        <v>2.6</v>
      </c>
      <c r="M591" s="9">
        <f>Proj[[#This Row],[TOI ES]]+Proj[[#This Row],[TOI PP]]+Proj[[#This Row],[TOI PK]]</f>
        <v>19.042217210848602</v>
      </c>
      <c r="N5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5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591">
        <f>Proj[[#This Row],[Goals]]+Proj[[#This Row],[Assists]]</f>
        <v>16</v>
      </c>
      <c r="Q591" s="10">
        <f>ROUND(_xlfn.IFNA(INDEX(Table2[],MATCH(Proj[[#This Row],[Player]],Table2[Player],0),11)/60,IF(Proj[[#This Row],[Pos]] = "D", 'Per 60 PP'!$K$527,'Per 60 PP'!$K$526)/60)*Proj[[#This Row],[TOI PP]]*Proj[[#This Row],[GP]],0)</f>
        <v>0</v>
      </c>
      <c r="R591" s="10">
        <f>ROUND(_xlfn.IFNA(INDEX(Table2[],MATCH(Proj[[#This Row],[Player]],Table2[Player],0),7)/60,IF(Proj[[#This Row],[Pos]] = "D", 'Per 60 PP'!$G$527,'Per 60 PP'!$G$526)/60)*Proj[[#This Row],[TOI PP]]*Proj[[#This Row],[GP]],0)</f>
        <v>0</v>
      </c>
      <c r="S591" s="10">
        <f>Proj[[#This Row],[PPG]]+Proj[[#This Row],[PPA]]</f>
        <v>0</v>
      </c>
      <c r="T591">
        <f>ROUND((_xlfn.IFNA(INDEX(Table3[],MATCH(Proj[[#This Row],[Player]],Table3[Player],0),6)/60,IF(Proj[[#This Row],[Pos]] ="D", 'Per 60 PK'!$F$623, 'Per 60 PK'!$F$622)/60)+_xlfn.IFNA(INDEX(Table3[],MATCH(Proj[[#This Row],[Player]],Table3[Player],0),8)/60,IF(Proj[[#This Row],[Pos]] ="D", 'Per 60 PK'!$H$623, 'Per 60 PK'!$H$622)/60))*Proj[[#This Row],[TOI PK]]*Proj[[#This Row],[GP]],0)</f>
        <v>0</v>
      </c>
      <c r="U5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106</v>
      </c>
      <c r="V5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179</v>
      </c>
      <c r="W5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63</v>
      </c>
      <c r="X5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81</v>
      </c>
      <c r="AA5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-115.19896053607125</v>
      </c>
      <c r="AB591" s="10">
        <f>_xlfn.RANK.EQ(Proj[[#This Row],[VOR]],Proj[VOR])</f>
        <v>206</v>
      </c>
      <c r="AC591" s="10">
        <f>INDEX(Std[],MATCH(Proj[[#This Row],[Player]],Std[Player],0),20)</f>
        <v>-7.8341928166067776</v>
      </c>
      <c r="AD5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308.45</v>
      </c>
    </row>
    <row r="592" spans="1:30" x14ac:dyDescent="0.25">
      <c r="A592" t="s">
        <v>1031</v>
      </c>
      <c r="B592">
        <v>28</v>
      </c>
      <c r="C592" t="s">
        <v>102</v>
      </c>
      <c r="D592" t="s">
        <v>31</v>
      </c>
      <c r="E592" s="9">
        <f>INDEX(Table1[],MATCH(Proj[[#This Row],[Player]],Table1[Player],0),5)</f>
        <v>8.8141181513471594</v>
      </c>
      <c r="F592" s="9">
        <f>_xlfn.IFNA(INDEX(Table2[],MATCH(Proj[[#This Row],[Player]],Table2[Player],0),5),0)</f>
        <v>0</v>
      </c>
      <c r="G592" s="9">
        <f>_xlfn.IFNA(INDEX(Table3[],MATCH(Proj[[#This Row],[Player]],Table3[Player],0),5),0)</f>
        <v>0.56999999999999995</v>
      </c>
      <c r="H592" s="10">
        <v>77</v>
      </c>
      <c r="I592">
        <v>77</v>
      </c>
      <c r="J592" s="9">
        <v>8.8141181513471594</v>
      </c>
      <c r="K592" s="9">
        <v>0</v>
      </c>
      <c r="L592" s="9">
        <v>0.56999999999999995</v>
      </c>
      <c r="M592" s="9">
        <f>Proj[[#This Row],[TOI ES]]+Proj[[#This Row],[TOI PP]]+Proj[[#This Row],[TOI PK]]</f>
        <v>9.3841181513471597</v>
      </c>
      <c r="N5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5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92" s="10">
        <f>Proj[[#This Row],[Goals]]+Proj[[#This Row],[Assists]]</f>
        <v>16</v>
      </c>
      <c r="Q592" s="10">
        <f>ROUND(_xlfn.IFNA(INDEX(Table2[],MATCH(Proj[[#This Row],[Player]],Table2[Player],0),11)/60,IF(Proj[[#This Row],[Pos]] = "D", 'Per 60 PP'!$K$527,'Per 60 PP'!$K$526)/60)*Proj[[#This Row],[TOI PP]]*Proj[[#This Row],[GP]],0)</f>
        <v>0</v>
      </c>
      <c r="R592" s="10">
        <f>ROUND(_xlfn.IFNA(INDEX(Table2[],MATCH(Proj[[#This Row],[Player]],Table2[Player],0),7)/60,IF(Proj[[#This Row],[Pos]] = "D", 'Per 60 PP'!$G$527,'Per 60 PP'!$G$526)/60)*Proj[[#This Row],[TOI PP]]*Proj[[#This Row],[GP]],0)</f>
        <v>0</v>
      </c>
      <c r="S592" s="10">
        <f>Proj[[#This Row],[PPG]]+Proj[[#This Row],[PPA]]</f>
        <v>0</v>
      </c>
      <c r="T592">
        <f>ROUND((_xlfn.IFNA(INDEX(Table3[],MATCH(Proj[[#This Row],[Player]],Table3[Player],0),6)/60,IF(Proj[[#This Row],[Pos]] ="D", 'Per 60 PK'!$F$623, 'Per 60 PK'!$F$622)/60)+_xlfn.IFNA(INDEX(Table3[],MATCH(Proj[[#This Row],[Player]],Table3[Player],0),8)/60,IF(Proj[[#This Row],[Pos]] ="D", 'Per 60 PK'!$H$623, 'Per 60 PK'!$H$622)/60))*Proj[[#This Row],[TOI PK]]*Proj[[#This Row],[GP]],0)</f>
        <v>0</v>
      </c>
      <c r="U5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116</v>
      </c>
      <c r="V5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5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97</v>
      </c>
      <c r="X5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v>
      </c>
      <c r="Y5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5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5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-623.9129635229765</v>
      </c>
      <c r="AB592" s="10">
        <f>_xlfn.RANK.EQ(Proj[[#This Row],[VOR]],Proj[VOR])</f>
        <v>490</v>
      </c>
      <c r="AC592" s="10">
        <f>INDEX(Std[],MATCH(Proj[[#This Row],[Player]],Std[Player],0),20)</f>
        <v>-152.36823913272767</v>
      </c>
      <c r="AD5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245.65</v>
      </c>
    </row>
    <row r="593" spans="1:30" x14ac:dyDescent="0.25">
      <c r="A593" t="s">
        <v>342</v>
      </c>
      <c r="B593">
        <v>30</v>
      </c>
      <c r="C593" t="s">
        <v>3</v>
      </c>
      <c r="D593" t="s">
        <v>17</v>
      </c>
      <c r="E593" s="9">
        <f>INDEX(Table1[],MATCH(Proj[[#This Row],[Player]],Table1[Player],0),5)</f>
        <v>17.098023990024402</v>
      </c>
      <c r="F593" s="9">
        <f>_xlfn.IFNA(INDEX(Table2[],MATCH(Proj[[#This Row],[Player]],Table2[Player],0),5),0)</f>
        <v>0</v>
      </c>
      <c r="G593" s="9">
        <f>_xlfn.IFNA(INDEX(Table3[],MATCH(Proj[[#This Row],[Player]],Table3[Player],0),5),0)</f>
        <v>2.4500000000000002</v>
      </c>
      <c r="H593" s="10">
        <v>75</v>
      </c>
      <c r="I593">
        <v>75</v>
      </c>
      <c r="J593" s="9">
        <v>17.098023990024402</v>
      </c>
      <c r="K593" s="9">
        <v>0</v>
      </c>
      <c r="L593" s="9">
        <v>2.4500000000000002</v>
      </c>
      <c r="M593" s="9">
        <f>Proj[[#This Row],[TOI ES]]+Proj[[#This Row],[TOI PP]]+Proj[[#This Row],[TOI PK]]</f>
        <v>19.548023990024401</v>
      </c>
      <c r="N5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93" s="10">
        <f>Proj[[#This Row],[Goals]]+Proj[[#This Row],[Assists]]</f>
        <v>16</v>
      </c>
      <c r="Q593" s="10">
        <f>ROUND(_xlfn.IFNA(INDEX(Table2[],MATCH(Proj[[#This Row],[Player]],Table2[Player],0),11)/60,IF(Proj[[#This Row],[Pos]] = "D", 'Per 60 PP'!$K$527,'Per 60 PP'!$K$526)/60)*Proj[[#This Row],[TOI PP]]*Proj[[#This Row],[GP]],0)</f>
        <v>0</v>
      </c>
      <c r="R593" s="10">
        <f>ROUND(_xlfn.IFNA(INDEX(Table2[],MATCH(Proj[[#This Row],[Player]],Table2[Player],0),7)/60,IF(Proj[[#This Row],[Pos]] = "D", 'Per 60 PP'!$G$527,'Per 60 PP'!$G$526)/60)*Proj[[#This Row],[TOI PP]]*Proj[[#This Row],[GP]],0)</f>
        <v>0</v>
      </c>
      <c r="S593" s="10">
        <f>Proj[[#This Row],[PPG]]+Proj[[#This Row],[PPA]]</f>
        <v>0</v>
      </c>
      <c r="T593">
        <f>ROUND((_xlfn.IFNA(INDEX(Table3[],MATCH(Proj[[#This Row],[Player]],Table3[Player],0),6)/60,IF(Proj[[#This Row],[Pos]] ="D", 'Per 60 PK'!$F$623, 'Per 60 PK'!$F$622)/60)+_xlfn.IFNA(INDEX(Table3[],MATCH(Proj[[#This Row],[Player]],Table3[Player],0),8)/60,IF(Proj[[#This Row],[Pos]] ="D", 'Per 60 PK'!$H$623, 'Per 60 PK'!$H$622)/60))*Proj[[#This Row],[TOI PK]]*Proj[[#This Row],[GP]],0)</f>
        <v>0</v>
      </c>
      <c r="U5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150</v>
      </c>
      <c r="V5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113</v>
      </c>
      <c r="W5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65</v>
      </c>
      <c r="X5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83</v>
      </c>
      <c r="AA5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-164.38114182651788</v>
      </c>
      <c r="AB593" s="10">
        <f>_xlfn.RANK.EQ(Proj[[#This Row],[VOR]],Proj[VOR])</f>
        <v>228</v>
      </c>
      <c r="AC593" s="10">
        <f>INDEX(Std[],MATCH(Proj[[#This Row],[Player]],Std[Player],0),20)</f>
        <v>-57.016374107053402</v>
      </c>
      <c r="AD5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299.55</v>
      </c>
    </row>
    <row r="594" spans="1:30" x14ac:dyDescent="0.25">
      <c r="A594" t="s">
        <v>555</v>
      </c>
      <c r="B594">
        <v>27</v>
      </c>
      <c r="C594" t="s">
        <v>103</v>
      </c>
      <c r="D594" t="s">
        <v>29</v>
      </c>
      <c r="E594" s="9">
        <f>INDEX(Table1[],MATCH(Proj[[#This Row],[Player]],Table1[Player],0),5)</f>
        <v>9.1364531155738202</v>
      </c>
      <c r="F594" s="9">
        <f>_xlfn.IFNA(INDEX(Table2[],MATCH(Proj[[#This Row],[Player]],Table2[Player],0),5),0)</f>
        <v>0</v>
      </c>
      <c r="G594" s="9">
        <f>_xlfn.IFNA(INDEX(Table3[],MATCH(Proj[[#This Row],[Player]],Table3[Player],0),5),0)</f>
        <v>1.63</v>
      </c>
      <c r="H594" s="10">
        <v>80</v>
      </c>
      <c r="I594">
        <v>80</v>
      </c>
      <c r="J594" s="9">
        <v>9.1364531155738202</v>
      </c>
      <c r="K594" s="9">
        <v>0</v>
      </c>
      <c r="L594" s="9">
        <v>1.63</v>
      </c>
      <c r="M594" s="9">
        <f>Proj[[#This Row],[TOI ES]]+Proj[[#This Row],[TOI PP]]+Proj[[#This Row],[TOI PK]]</f>
        <v>10.766453115573821</v>
      </c>
      <c r="N5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5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594">
        <f>Proj[[#This Row],[Goals]]+Proj[[#This Row],[Assists]]</f>
        <v>16</v>
      </c>
      <c r="Q594" s="10">
        <f>ROUND(_xlfn.IFNA(INDEX(Table2[],MATCH(Proj[[#This Row],[Player]],Table2[Player],0),11)/60,IF(Proj[[#This Row],[Pos]] = "D", 'Per 60 PP'!$K$527,'Per 60 PP'!$K$526)/60)*Proj[[#This Row],[TOI PP]]*Proj[[#This Row],[GP]],0)</f>
        <v>0</v>
      </c>
      <c r="R594" s="10">
        <f>ROUND(_xlfn.IFNA(INDEX(Table2[],MATCH(Proj[[#This Row],[Player]],Table2[Player],0),7)/60,IF(Proj[[#This Row],[Pos]] = "D", 'Per 60 PP'!$G$527,'Per 60 PP'!$G$526)/60)*Proj[[#This Row],[TOI PP]]*Proj[[#This Row],[GP]],0)</f>
        <v>0</v>
      </c>
      <c r="S594" s="10">
        <f>Proj[[#This Row],[PPG]]+Proj[[#This Row],[PPA]]</f>
        <v>0</v>
      </c>
      <c r="T594">
        <f>ROUND((_xlfn.IFNA(INDEX(Table3[],MATCH(Proj[[#This Row],[Player]],Table3[Player],0),6)/60,IF(Proj[[#This Row],[Pos]] ="D", 'Per 60 PK'!$F$623, 'Per 60 PK'!$F$622)/60)+_xlfn.IFNA(INDEX(Table3[],MATCH(Proj[[#This Row],[Player]],Table3[Player],0),8)/60,IF(Proj[[#This Row],[Pos]] ="D", 'Per 60 PK'!$H$623, 'Per 60 PK'!$H$622)/60))*Proj[[#This Row],[TOI PK]]*Proj[[#This Row],[GP]],0)</f>
        <v>2</v>
      </c>
      <c r="U5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189</v>
      </c>
      <c r="V5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5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81</v>
      </c>
      <c r="X5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5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5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96</v>
      </c>
      <c r="AA5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-499.38826428166033</v>
      </c>
      <c r="AB594" s="10">
        <f>_xlfn.RANK.EQ(Proj[[#This Row],[VOR]],Proj[VOR])</f>
        <v>422</v>
      </c>
      <c r="AC594" s="10">
        <f>INDEX(Std[],MATCH(Proj[[#This Row],[Player]],Std[Player],0),20)</f>
        <v>-52.84353989141146</v>
      </c>
      <c r="AD5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293.69999999999993</v>
      </c>
    </row>
    <row r="595" spans="1:30" x14ac:dyDescent="0.25">
      <c r="A595" t="s">
        <v>383</v>
      </c>
      <c r="B595">
        <v>27</v>
      </c>
      <c r="C595" t="s">
        <v>3</v>
      </c>
      <c r="D595" t="s">
        <v>153</v>
      </c>
      <c r="E595" s="9">
        <f>INDEX(Table1[],MATCH(Proj[[#This Row],[Player]],Table1[Player],0),5)</f>
        <v>16.284787766385399</v>
      </c>
      <c r="F595" s="9">
        <f>_xlfn.IFNA(INDEX(Table2[],MATCH(Proj[[#This Row],[Player]],Table2[Player],0),5),0)</f>
        <v>0</v>
      </c>
      <c r="G595" s="9">
        <f>_xlfn.IFNA(INDEX(Table3[],MATCH(Proj[[#This Row],[Player]],Table3[Player],0),5),0)</f>
        <v>2.85</v>
      </c>
      <c r="H595" s="10">
        <v>73</v>
      </c>
      <c r="I595">
        <v>73</v>
      </c>
      <c r="J595" s="9">
        <v>16.284787766385399</v>
      </c>
      <c r="K595" s="9">
        <v>0</v>
      </c>
      <c r="L595" s="9">
        <v>2.85</v>
      </c>
      <c r="M595" s="9">
        <f>Proj[[#This Row],[TOI ES]]+Proj[[#This Row],[TOI PP]]+Proj[[#This Row],[TOI PK]]</f>
        <v>19.134787766385401</v>
      </c>
      <c r="N5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5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14</v>
      </c>
      <c r="P595" s="10">
        <f>Proj[[#This Row],[Goals]]+Proj[[#This Row],[Assists]]</f>
        <v>16</v>
      </c>
      <c r="Q595" s="10">
        <f>ROUND(_xlfn.IFNA(INDEX(Table2[],MATCH(Proj[[#This Row],[Player]],Table2[Player],0),11)/60,IF(Proj[[#This Row],[Pos]] = "D", 'Per 60 PP'!$K$527,'Per 60 PP'!$K$526)/60)*Proj[[#This Row],[TOI PP]]*Proj[[#This Row],[GP]],0)</f>
        <v>0</v>
      </c>
      <c r="R595" s="10">
        <f>ROUND(_xlfn.IFNA(INDEX(Table2[],MATCH(Proj[[#This Row],[Player]],Table2[Player],0),7)/60,IF(Proj[[#This Row],[Pos]] = "D", 'Per 60 PP'!$G$527,'Per 60 PP'!$G$526)/60)*Proj[[#This Row],[TOI PP]]*Proj[[#This Row],[GP]],0)</f>
        <v>0</v>
      </c>
      <c r="S595" s="10">
        <f>Proj[[#This Row],[PPG]]+Proj[[#This Row],[PPA]]</f>
        <v>0</v>
      </c>
      <c r="T595">
        <f>ROUND((_xlfn.IFNA(INDEX(Table3[],MATCH(Proj[[#This Row],[Player]],Table3[Player],0),6)/60,IF(Proj[[#This Row],[Pos]] ="D", 'Per 60 PK'!$F$623, 'Per 60 PK'!$F$622)/60)+_xlfn.IFNA(INDEX(Table3[],MATCH(Proj[[#This Row],[Player]],Table3[Player],0),8)/60,IF(Proj[[#This Row],[Pos]] ="D", 'Per 60 PK'!$H$623, 'Per 60 PK'!$H$622)/60))*Proj[[#This Row],[TOI PK]]*Proj[[#This Row],[GP]],0)</f>
        <v>1</v>
      </c>
      <c r="U5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193</v>
      </c>
      <c r="V5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117</v>
      </c>
      <c r="W5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55</v>
      </c>
      <c r="X5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72</v>
      </c>
      <c r="AA5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-145.47360533245813</v>
      </c>
      <c r="AB595" s="10">
        <f>_xlfn.RANK.EQ(Proj[[#This Row],[VOR]],Proj[VOR])</f>
        <v>219</v>
      </c>
      <c r="AC595" s="10">
        <f>INDEX(Std[],MATCH(Proj[[#This Row],[Player]],Std[Player],0),20)</f>
        <v>-38.108837612993653</v>
      </c>
      <c r="AD5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314.5</v>
      </c>
    </row>
    <row r="596" spans="1:30" x14ac:dyDescent="0.25">
      <c r="A596" t="s">
        <v>627</v>
      </c>
      <c r="B596">
        <v>28</v>
      </c>
      <c r="C596" t="s">
        <v>102</v>
      </c>
      <c r="D596" t="s">
        <v>8</v>
      </c>
      <c r="E596" s="9">
        <f>INDEX(Table1[],MATCH(Proj[[#This Row],[Player]],Table1[Player],0),5)</f>
        <v>9.9057698163993901</v>
      </c>
      <c r="F596" s="9">
        <f>_xlfn.IFNA(INDEX(Table2[],MATCH(Proj[[#This Row],[Player]],Table2[Player],0),5),0)</f>
        <v>1.22</v>
      </c>
      <c r="G596" s="9">
        <f>_xlfn.IFNA(INDEX(Table3[],MATCH(Proj[[#This Row],[Player]],Table3[Player],0),5),0)</f>
        <v>0</v>
      </c>
      <c r="H596" s="10">
        <v>64</v>
      </c>
      <c r="I596">
        <v>64</v>
      </c>
      <c r="J596" s="9">
        <v>9.9057698163993901</v>
      </c>
      <c r="K596" s="9">
        <v>1.22</v>
      </c>
      <c r="L596" s="9">
        <v>0</v>
      </c>
      <c r="M596" s="9">
        <f>Proj[[#This Row],[TOI ES]]+Proj[[#This Row],[TOI PP]]+Proj[[#This Row],[TOI PK]]</f>
        <v>11.125769816399391</v>
      </c>
      <c r="N5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596" s="10">
        <f>Proj[[#This Row],[Goals]]+Proj[[#This Row],[Assists]]</f>
        <v>16</v>
      </c>
      <c r="Q596" s="10">
        <f>ROUND(_xlfn.IFNA(INDEX(Table2[],MATCH(Proj[[#This Row],[Player]],Table2[Player],0),11)/60,IF(Proj[[#This Row],[Pos]] = "D", 'Per 60 PP'!$K$527,'Per 60 PP'!$K$526)/60)*Proj[[#This Row],[TOI PP]]*Proj[[#This Row],[GP]],0)</f>
        <v>1</v>
      </c>
      <c r="R596" s="10">
        <f>ROUND(_xlfn.IFNA(INDEX(Table2[],MATCH(Proj[[#This Row],[Player]],Table2[Player],0),7)/60,IF(Proj[[#This Row],[Pos]] = "D", 'Per 60 PP'!$G$527,'Per 60 PP'!$G$526)/60)*Proj[[#This Row],[TOI PP]]*Proj[[#This Row],[GP]],0)</f>
        <v>3</v>
      </c>
      <c r="S596" s="10">
        <f>Proj[[#This Row],[PPG]]+Proj[[#This Row],[PPA]]</f>
        <v>4</v>
      </c>
      <c r="T596">
        <f>ROUND((_xlfn.IFNA(INDEX(Table3[],MATCH(Proj[[#This Row],[Player]],Table3[Player],0),6)/60,IF(Proj[[#This Row],[Pos]] ="D", 'Per 60 PK'!$F$623, 'Per 60 PK'!$F$622)/60)+_xlfn.IFNA(INDEX(Table3[],MATCH(Proj[[#This Row],[Player]],Table3[Player],0),8)/60,IF(Proj[[#This Row],[Pos]] ="D", 'Per 60 PK'!$H$623, 'Per 60 PK'!$H$622)/60))*Proj[[#This Row],[TOI PK]]*Proj[[#This Row],[GP]],0)</f>
        <v>0</v>
      </c>
      <c r="U5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205</v>
      </c>
      <c r="V5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5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5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5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v>
      </c>
      <c r="Z5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54</v>
      </c>
      <c r="AA5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-737.16626083744359</v>
      </c>
      <c r="AB596" s="10">
        <f>_xlfn.RANK.EQ(Proj[[#This Row],[VOR]],Proj[VOR])</f>
        <v>553</v>
      </c>
      <c r="AC596" s="10">
        <f>INDEX(Std[],MATCH(Proj[[#This Row],[Player]],Std[Player],0),20)</f>
        <v>-265.62153644719467</v>
      </c>
      <c r="AD5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260.59999999999997</v>
      </c>
    </row>
    <row r="597" spans="1:30" x14ac:dyDescent="0.25">
      <c r="A597" t="s">
        <v>1038</v>
      </c>
      <c r="B597">
        <v>29</v>
      </c>
      <c r="C597" t="s">
        <v>103</v>
      </c>
      <c r="D597" t="s">
        <v>20</v>
      </c>
      <c r="E597" s="9">
        <f>INDEX(Table1[],MATCH(Proj[[#This Row],[Player]],Table1[Player],0),5)</f>
        <v>11.9153887214497</v>
      </c>
      <c r="F597" s="9">
        <f>_xlfn.IFNA(INDEX(Table2[],MATCH(Proj[[#This Row],[Player]],Table2[Player],0),5),0)</f>
        <v>0</v>
      </c>
      <c r="G597" s="9">
        <f>_xlfn.IFNA(INDEX(Table3[],MATCH(Proj[[#This Row],[Player]],Table3[Player],0),5),0)</f>
        <v>0</v>
      </c>
      <c r="H597" s="10">
        <v>50</v>
      </c>
      <c r="I597">
        <v>50</v>
      </c>
      <c r="J597" s="9">
        <v>11.9153887214497</v>
      </c>
      <c r="K597" s="9">
        <v>0</v>
      </c>
      <c r="L597" s="9">
        <v>0</v>
      </c>
      <c r="M597" s="9">
        <f>Proj[[#This Row],[TOI ES]]+Proj[[#This Row],[TOI PP]]+Proj[[#This Row],[TOI PK]]</f>
        <v>11.9153887214497</v>
      </c>
      <c r="N5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5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597" s="10">
        <f>Proj[[#This Row],[Goals]]+Proj[[#This Row],[Assists]]</f>
        <v>15</v>
      </c>
      <c r="Q597" s="10">
        <f>ROUND(_xlfn.IFNA(INDEX(Table2[],MATCH(Proj[[#This Row],[Player]],Table2[Player],0),11)/60,IF(Proj[[#This Row],[Pos]] = "D", 'Per 60 PP'!$K$527,'Per 60 PP'!$K$526)/60)*Proj[[#This Row],[TOI PP]]*Proj[[#This Row],[GP]],0)</f>
        <v>0</v>
      </c>
      <c r="R597" s="10">
        <f>ROUND(_xlfn.IFNA(INDEX(Table2[],MATCH(Proj[[#This Row],[Player]],Table2[Player],0),7)/60,IF(Proj[[#This Row],[Pos]] = "D", 'Per 60 PP'!$G$527,'Per 60 PP'!$G$526)/60)*Proj[[#This Row],[TOI PP]]*Proj[[#This Row],[GP]],0)</f>
        <v>0</v>
      </c>
      <c r="S597" s="10">
        <f>Proj[[#This Row],[PPG]]+Proj[[#This Row],[PPA]]</f>
        <v>0</v>
      </c>
      <c r="T597">
        <f>ROUND((_xlfn.IFNA(INDEX(Table3[],MATCH(Proj[[#This Row],[Player]],Table3[Player],0),6)/60,IF(Proj[[#This Row],[Pos]] ="D", 'Per 60 PK'!$F$623, 'Per 60 PK'!$F$622)/60)+_xlfn.IFNA(INDEX(Table3[],MATCH(Proj[[#This Row],[Player]],Table3[Player],0),8)/60,IF(Proj[[#This Row],[Pos]] ="D", 'Per 60 PK'!$H$623, 'Per 60 PK'!$H$622)/60))*Proj[[#This Row],[TOI PK]]*Proj[[#This Row],[GP]],0)</f>
        <v>0</v>
      </c>
      <c r="U5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5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5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5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5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5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49</v>
      </c>
      <c r="AA5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-1247.8250616600951</v>
      </c>
      <c r="AB597" s="10">
        <f>_xlfn.RANK.EQ(Proj[[#This Row],[VOR]],Proj[VOR])</f>
        <v>705</v>
      </c>
      <c r="AC597" s="10">
        <f>INDEX(Std[],MATCH(Proj[[#This Row],[Player]],Std[Player],0),20)</f>
        <v>-801.2803372698462</v>
      </c>
      <c r="AD5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136.75</v>
      </c>
    </row>
    <row r="598" spans="1:30" x14ac:dyDescent="0.25">
      <c r="A598" t="s">
        <v>944</v>
      </c>
      <c r="B598">
        <v>24</v>
      </c>
      <c r="C598" t="s">
        <v>3</v>
      </c>
      <c r="D598" t="s">
        <v>23</v>
      </c>
      <c r="E598" s="9">
        <f>INDEX(Table1[],MATCH(Proj[[#This Row],[Player]],Table1[Player],0),5)</f>
        <v>15.957924516273801</v>
      </c>
      <c r="F598" s="9">
        <f>_xlfn.IFNA(INDEX(Table2[],MATCH(Proj[[#This Row],[Player]],Table2[Player],0),5),0)</f>
        <v>0</v>
      </c>
      <c r="G598" s="9">
        <f>_xlfn.IFNA(INDEX(Table3[],MATCH(Proj[[#This Row],[Player]],Table3[Player],0),5),0)</f>
        <v>1.56</v>
      </c>
      <c r="H598" s="10">
        <v>72</v>
      </c>
      <c r="I598">
        <v>72</v>
      </c>
      <c r="J598" s="9">
        <v>15.957924516273801</v>
      </c>
      <c r="K598" s="9">
        <v>0</v>
      </c>
      <c r="L598" s="9">
        <v>1.56</v>
      </c>
      <c r="M598" s="9">
        <f>Proj[[#This Row],[TOI ES]]+Proj[[#This Row],[TOI PP]]+Proj[[#This Row],[TOI PK]]</f>
        <v>17.517924516273801</v>
      </c>
      <c r="N5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5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598" s="10">
        <f>Proj[[#This Row],[Goals]]+Proj[[#This Row],[Assists]]</f>
        <v>15</v>
      </c>
      <c r="Q598" s="10">
        <f>ROUND(_xlfn.IFNA(INDEX(Table2[],MATCH(Proj[[#This Row],[Player]],Table2[Player],0),11)/60,IF(Proj[[#This Row],[Pos]] = "D", 'Per 60 PP'!$K$527,'Per 60 PP'!$K$526)/60)*Proj[[#This Row],[TOI PP]]*Proj[[#This Row],[GP]],0)</f>
        <v>0</v>
      </c>
      <c r="R598" s="10">
        <f>ROUND(_xlfn.IFNA(INDEX(Table2[],MATCH(Proj[[#This Row],[Player]],Table2[Player],0),7)/60,IF(Proj[[#This Row],[Pos]] = "D", 'Per 60 PP'!$G$527,'Per 60 PP'!$G$526)/60)*Proj[[#This Row],[TOI PP]]*Proj[[#This Row],[GP]],0)</f>
        <v>0</v>
      </c>
      <c r="S598" s="10">
        <f>Proj[[#This Row],[PPG]]+Proj[[#This Row],[PPA]]</f>
        <v>0</v>
      </c>
      <c r="T598">
        <f>ROUND((_xlfn.IFNA(INDEX(Table3[],MATCH(Proj[[#This Row],[Player]],Table3[Player],0),6)/60,IF(Proj[[#This Row],[Pos]] ="D", 'Per 60 PK'!$F$623, 'Per 60 PK'!$F$622)/60)+_xlfn.IFNA(INDEX(Table3[],MATCH(Proj[[#This Row],[Player]],Table3[Player],0),8)/60,IF(Proj[[#This Row],[Pos]] ="D", 'Per 60 PK'!$H$623, 'Per 60 PK'!$H$622)/60))*Proj[[#This Row],[TOI PK]]*Proj[[#This Row],[GP]],0)</f>
        <v>0</v>
      </c>
      <c r="U5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5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112</v>
      </c>
      <c r="W5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5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5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5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63</v>
      </c>
      <c r="AA5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-565.2861893432339</v>
      </c>
      <c r="AB598" s="10">
        <f>_xlfn.RANK.EQ(Proj[[#This Row],[VOR]],Proj[VOR])</f>
        <v>463</v>
      </c>
      <c r="AC598" s="10">
        <f>INDEX(Std[],MATCH(Proj[[#This Row],[Player]],Std[Player],0),20)</f>
        <v>-457.92142162376945</v>
      </c>
      <c r="AD5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206.05</v>
      </c>
    </row>
    <row r="599" spans="1:30" x14ac:dyDescent="0.25">
      <c r="A599" t="s">
        <v>766</v>
      </c>
      <c r="B599">
        <v>32</v>
      </c>
      <c r="C599" t="s">
        <v>102</v>
      </c>
      <c r="D599" t="s">
        <v>31</v>
      </c>
      <c r="E599" s="9">
        <f>INDEX(Table1[],MATCH(Proj[[#This Row],[Player]],Table1[Player],0),5)</f>
        <v>10.433658194821801</v>
      </c>
      <c r="F599" s="9">
        <f>_xlfn.IFNA(INDEX(Table2[],MATCH(Proj[[#This Row],[Player]],Table2[Player],0),5),0)</f>
        <v>0</v>
      </c>
      <c r="G599" s="9">
        <f>_xlfn.IFNA(INDEX(Table3[],MATCH(Proj[[#This Row],[Player]],Table3[Player],0),5),0)</f>
        <v>1.68</v>
      </c>
      <c r="H599" s="10">
        <v>73</v>
      </c>
      <c r="I599">
        <v>73</v>
      </c>
      <c r="J599" s="9">
        <v>10.433658194821801</v>
      </c>
      <c r="K599" s="9">
        <v>0</v>
      </c>
      <c r="L599" s="9">
        <v>1.68</v>
      </c>
      <c r="M599" s="9">
        <f>Proj[[#This Row],[TOI ES]]+Proj[[#This Row],[TOI PP]]+Proj[[#This Row],[TOI PK]]</f>
        <v>12.113658194821801</v>
      </c>
      <c r="N5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5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599">
        <f>Proj[[#This Row],[Goals]]+Proj[[#This Row],[Assists]]</f>
        <v>15</v>
      </c>
      <c r="Q599" s="10">
        <f>ROUND(_xlfn.IFNA(INDEX(Table2[],MATCH(Proj[[#This Row],[Player]],Table2[Player],0),11)/60,IF(Proj[[#This Row],[Pos]] = "D", 'Per 60 PP'!$K$527,'Per 60 PP'!$K$526)/60)*Proj[[#This Row],[TOI PP]]*Proj[[#This Row],[GP]],0)</f>
        <v>0</v>
      </c>
      <c r="R599" s="10">
        <f>ROUND(_xlfn.IFNA(INDEX(Table2[],MATCH(Proj[[#This Row],[Player]],Table2[Player],0),7)/60,IF(Proj[[#This Row],[Pos]] = "D", 'Per 60 PP'!$G$527,'Per 60 PP'!$G$526)/60)*Proj[[#This Row],[TOI PP]]*Proj[[#This Row],[GP]],0)</f>
        <v>0</v>
      </c>
      <c r="S599" s="10">
        <f>Proj[[#This Row],[PPG]]+Proj[[#This Row],[PPA]]</f>
        <v>0</v>
      </c>
      <c r="T599">
        <f>ROUND((_xlfn.IFNA(INDEX(Table3[],MATCH(Proj[[#This Row],[Player]],Table3[Player],0),6)/60,IF(Proj[[#This Row],[Pos]] ="D", 'Per 60 PK'!$F$623, 'Per 60 PK'!$F$622)/60)+_xlfn.IFNA(INDEX(Table3[],MATCH(Proj[[#This Row],[Player]],Table3[Player],0),8)/60,IF(Proj[[#This Row],[Pos]] ="D", 'Per 60 PK'!$H$623, 'Per 60 PK'!$H$622)/60))*Proj[[#This Row],[TOI PK]]*Proj[[#This Row],[GP]],0)</f>
        <v>1</v>
      </c>
      <c r="U5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67</v>
      </c>
      <c r="V5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5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34</v>
      </c>
      <c r="X5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270</v>
      </c>
      <c r="Y5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236</v>
      </c>
      <c r="Z5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73</v>
      </c>
      <c r="AA5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-889.95912945801638</v>
      </c>
      <c r="AB599" s="10">
        <f>_xlfn.RANK.EQ(Proj[[#This Row],[VOR]],Proj[VOR])</f>
        <v>621</v>
      </c>
      <c r="AC599" s="10">
        <f>INDEX(Std[],MATCH(Proj[[#This Row],[Player]],Std[Player],0),20)</f>
        <v>-418.41440506776746</v>
      </c>
      <c r="AD5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210.7</v>
      </c>
    </row>
    <row r="600" spans="1:30" x14ac:dyDescent="0.25">
      <c r="A600" t="s">
        <v>1223</v>
      </c>
      <c r="B600">
        <v>24</v>
      </c>
      <c r="C600" t="s">
        <v>3</v>
      </c>
      <c r="D600" t="s">
        <v>2</v>
      </c>
      <c r="E600" s="9">
        <f>INDEX(Table1[],MATCH(Proj[[#This Row],[Player]],Table1[Player],0),5)</f>
        <v>16.086468587003544</v>
      </c>
      <c r="F600" s="9">
        <f>_xlfn.IFNA(INDEX(Table2[],MATCH(Proj[[#This Row],[Player]],Table2[Player],0),5),0)</f>
        <v>0</v>
      </c>
      <c r="G600" s="9">
        <f>_xlfn.IFNA(INDEX(Table3[],MATCH(Proj[[#This Row],[Player]],Table3[Player],0),5),0)</f>
        <v>0</v>
      </c>
      <c r="H600" s="10">
        <v>64</v>
      </c>
      <c r="I600">
        <v>64</v>
      </c>
      <c r="J600" s="9">
        <v>16.086468587003544</v>
      </c>
      <c r="K600" s="9">
        <v>0</v>
      </c>
      <c r="L600" s="9">
        <v>0</v>
      </c>
      <c r="M600" s="9">
        <f>Proj[[#This Row],[TOI ES]]+Proj[[#This Row],[TOI PP]]+Proj[[#This Row],[TOI PK]]</f>
        <v>16.086468587003544</v>
      </c>
      <c r="N6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600" s="10">
        <f>Proj[[#This Row],[Goals]]+Proj[[#This Row],[Assists]]</f>
        <v>15</v>
      </c>
      <c r="Q600" s="10">
        <f>ROUND(_xlfn.IFNA(INDEX(Table2[],MATCH(Proj[[#This Row],[Player]],Table2[Player],0),11)/60,IF(Proj[[#This Row],[Pos]] = "D", 'Per 60 PP'!$K$527,'Per 60 PP'!$K$526)/60)*Proj[[#This Row],[TOI PP]]*Proj[[#This Row],[GP]],0)</f>
        <v>0</v>
      </c>
      <c r="R600" s="10">
        <f>ROUND(_xlfn.IFNA(INDEX(Table2[],MATCH(Proj[[#This Row],[Player]],Table2[Player],0),7)/60,IF(Proj[[#This Row],[Pos]] = "D", 'Per 60 PP'!$G$527,'Per 60 PP'!$G$526)/60)*Proj[[#This Row],[TOI PP]]*Proj[[#This Row],[GP]],0)</f>
        <v>0</v>
      </c>
      <c r="S600" s="10">
        <f>Proj[[#This Row],[PPG]]+Proj[[#This Row],[PPA]]</f>
        <v>0</v>
      </c>
      <c r="T600">
        <f>ROUND((_xlfn.IFNA(INDEX(Table3[],MATCH(Proj[[#This Row],[Player]],Table3[Player],0),6)/60,IF(Proj[[#This Row],[Pos]] ="D", 'Per 60 PK'!$F$623, 'Per 60 PK'!$F$622)/60)+_xlfn.IFNA(INDEX(Table3[],MATCH(Proj[[#This Row],[Player]],Table3[Player],0),8)/60,IF(Proj[[#This Row],[Pos]] ="D", 'Per 60 PK'!$H$623, 'Per 60 PK'!$H$622)/60))*Proj[[#This Row],[TOI PK]]*Proj[[#This Row],[GP]],0)</f>
        <v>0</v>
      </c>
      <c r="U6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6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82</v>
      </c>
      <c r="W6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6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6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-575.92235521097473</v>
      </c>
      <c r="AB600" s="10">
        <f>_xlfn.RANK.EQ(Proj[[#This Row],[VOR]],Proj[VOR])</f>
        <v>469</v>
      </c>
      <c r="AC600" s="10">
        <f>INDEX(Std[],MATCH(Proj[[#This Row],[Player]],Std[Player],0),20)</f>
        <v>-468.55758749151022</v>
      </c>
      <c r="AD6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208.09999999999997</v>
      </c>
    </row>
    <row r="601" spans="1:30" x14ac:dyDescent="0.25">
      <c r="A601" t="s">
        <v>673</v>
      </c>
      <c r="B601">
        <v>24</v>
      </c>
      <c r="C601" t="s">
        <v>74</v>
      </c>
      <c r="D601" t="s">
        <v>154</v>
      </c>
      <c r="E601" s="9">
        <f>INDEX(Table1[],MATCH(Proj[[#This Row],[Player]],Table1[Player],0),5)</f>
        <v>10.980831805075301</v>
      </c>
      <c r="F601" s="9">
        <f>_xlfn.IFNA(INDEX(Table2[],MATCH(Proj[[#This Row],[Player]],Table2[Player],0),5),0)</f>
        <v>0</v>
      </c>
      <c r="G601" s="9">
        <f>_xlfn.IFNA(INDEX(Table3[],MATCH(Proj[[#This Row],[Player]],Table3[Player],0),5),0)</f>
        <v>1.92</v>
      </c>
      <c r="H601" s="10">
        <v>59</v>
      </c>
      <c r="I601">
        <v>59</v>
      </c>
      <c r="J601" s="9">
        <v>10.980831805075301</v>
      </c>
      <c r="K601" s="9">
        <v>0</v>
      </c>
      <c r="L601" s="9">
        <v>1.92</v>
      </c>
      <c r="M601" s="9">
        <f>Proj[[#This Row],[TOI ES]]+Proj[[#This Row],[TOI PP]]+Proj[[#This Row],[TOI PK]]</f>
        <v>12.900831805075301</v>
      </c>
      <c r="N6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01">
        <f>Proj[[#This Row],[Goals]]+Proj[[#This Row],[Assists]]</f>
        <v>15</v>
      </c>
      <c r="Q601" s="10">
        <f>ROUND(_xlfn.IFNA(INDEX(Table2[],MATCH(Proj[[#This Row],[Player]],Table2[Player],0),11)/60,IF(Proj[[#This Row],[Pos]] = "D", 'Per 60 PP'!$K$527,'Per 60 PP'!$K$526)/60)*Proj[[#This Row],[TOI PP]]*Proj[[#This Row],[GP]],0)</f>
        <v>0</v>
      </c>
      <c r="R601" s="10">
        <f>ROUND(_xlfn.IFNA(INDEX(Table2[],MATCH(Proj[[#This Row],[Player]],Table2[Player],0),7)/60,IF(Proj[[#This Row],[Pos]] = "D", 'Per 60 PP'!$G$527,'Per 60 PP'!$G$526)/60)*Proj[[#This Row],[TOI PP]]*Proj[[#This Row],[GP]],0)</f>
        <v>0</v>
      </c>
      <c r="S601" s="10">
        <f>Proj[[#This Row],[PPG]]+Proj[[#This Row],[PPA]]</f>
        <v>0</v>
      </c>
      <c r="T601">
        <f>ROUND((_xlfn.IFNA(INDEX(Table3[],MATCH(Proj[[#This Row],[Player]],Table3[Player],0),6)/60,IF(Proj[[#This Row],[Pos]] ="D", 'Per 60 PK'!$F$623, 'Per 60 PK'!$F$622)/60)+_xlfn.IFNA(INDEX(Table3[],MATCH(Proj[[#This Row],[Player]],Table3[Player],0),8)/60,IF(Proj[[#This Row],[Pos]] ="D", 'Per 60 PK'!$H$623, 'Per 60 PK'!$H$622)/60))*Proj[[#This Row],[TOI PK]]*Proj[[#This Row],[GP]],0)</f>
        <v>1</v>
      </c>
      <c r="U6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80</v>
      </c>
      <c r="V6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6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6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113</v>
      </c>
      <c r="Y6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152</v>
      </c>
      <c r="Z6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6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-1245.8105396463375</v>
      </c>
      <c r="AB601" s="10">
        <f>_xlfn.RANK.EQ(Proj[[#This Row],[VOR]],Proj[VOR])</f>
        <v>704</v>
      </c>
      <c r="AC601" s="10">
        <f>INDEX(Std[],MATCH(Proj[[#This Row],[Player]],Std[Player],0),20)</f>
        <v>-511.17668533603887</v>
      </c>
      <c r="AD6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194.95</v>
      </c>
    </row>
    <row r="602" spans="1:30" x14ac:dyDescent="0.25">
      <c r="A602" t="s">
        <v>872</v>
      </c>
      <c r="B602">
        <v>30</v>
      </c>
      <c r="C602" t="s">
        <v>102</v>
      </c>
      <c r="D602" t="s">
        <v>1101</v>
      </c>
      <c r="E602" s="9">
        <f>INDEX(Table1[],MATCH(Proj[[#This Row],[Player]],Table1[Player],0),5)</f>
        <v>10.042373204639899</v>
      </c>
      <c r="F602" s="9">
        <f>_xlfn.IFNA(INDEX(Table2[],MATCH(Proj[[#This Row],[Player]],Table2[Player],0),5),0)</f>
        <v>0</v>
      </c>
      <c r="G602" s="9">
        <f>_xlfn.IFNA(INDEX(Table3[],MATCH(Proj[[#This Row],[Player]],Table3[Player],0),5),0)</f>
        <v>1.58</v>
      </c>
      <c r="H602" s="10">
        <v>72</v>
      </c>
      <c r="I602">
        <v>72</v>
      </c>
      <c r="J602" s="9">
        <v>10.042373204639899</v>
      </c>
      <c r="K602" s="9">
        <v>0</v>
      </c>
      <c r="L602" s="9">
        <v>1.58</v>
      </c>
      <c r="M602" s="9">
        <f>Proj[[#This Row],[TOI ES]]+Proj[[#This Row],[TOI PP]]+Proj[[#This Row],[TOI PK]]</f>
        <v>11.622373204639899</v>
      </c>
      <c r="N6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02" s="10">
        <f>Proj[[#This Row],[Goals]]+Proj[[#This Row],[Assists]]</f>
        <v>15</v>
      </c>
      <c r="Q602" s="10">
        <f>ROUND(_xlfn.IFNA(INDEX(Table2[],MATCH(Proj[[#This Row],[Player]],Table2[Player],0),11)/60,IF(Proj[[#This Row],[Pos]] = "D", 'Per 60 PP'!$K$527,'Per 60 PP'!$K$526)/60)*Proj[[#This Row],[TOI PP]]*Proj[[#This Row],[GP]],0)</f>
        <v>0</v>
      </c>
      <c r="R602" s="10">
        <f>ROUND(_xlfn.IFNA(INDEX(Table2[],MATCH(Proj[[#This Row],[Player]],Table2[Player],0),7)/60,IF(Proj[[#This Row],[Pos]] = "D", 'Per 60 PP'!$G$527,'Per 60 PP'!$G$526)/60)*Proj[[#This Row],[TOI PP]]*Proj[[#This Row],[GP]],0)</f>
        <v>0</v>
      </c>
      <c r="S602" s="10">
        <f>Proj[[#This Row],[PPG]]+Proj[[#This Row],[PPA]]</f>
        <v>0</v>
      </c>
      <c r="T602">
        <f>ROUND((_xlfn.IFNA(INDEX(Table3[],MATCH(Proj[[#This Row],[Player]],Table3[Player],0),6)/60,IF(Proj[[#This Row],[Pos]] ="D", 'Per 60 PK'!$F$623, 'Per 60 PK'!$F$622)/60)+_xlfn.IFNA(INDEX(Table3[],MATCH(Proj[[#This Row],[Player]],Table3[Player],0),8)/60,IF(Proj[[#This Row],[Pos]] ="D", 'Per 60 PK'!$H$623, 'Per 60 PK'!$H$622)/60))*Proj[[#This Row],[TOI PK]]*Proj[[#This Row],[GP]],0)</f>
        <v>1</v>
      </c>
      <c r="U6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84</v>
      </c>
      <c r="V6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6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6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18</v>
      </c>
      <c r="Y6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v>
      </c>
      <c r="Z6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6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-1064.0252482513699</v>
      </c>
      <c r="AB602" s="10">
        <f>_xlfn.RANK.EQ(Proj[[#This Row],[VOR]],Proj[VOR])</f>
        <v>674</v>
      </c>
      <c r="AC602" s="10">
        <f>INDEX(Std[],MATCH(Proj[[#This Row],[Player]],Std[Player],0),20)</f>
        <v>-592.48052386112101</v>
      </c>
      <c r="AD6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192.50000000000003</v>
      </c>
    </row>
    <row r="603" spans="1:30" x14ac:dyDescent="0.25">
      <c r="A603" t="s">
        <v>462</v>
      </c>
      <c r="B603">
        <v>27</v>
      </c>
      <c r="C603" t="s">
        <v>3</v>
      </c>
      <c r="D603" t="s">
        <v>156</v>
      </c>
      <c r="E603" s="9">
        <f>INDEX(Table1[],MATCH(Proj[[#This Row],[Player]],Table1[Player],0),5)</f>
        <v>17.401156541633199</v>
      </c>
      <c r="F603" s="9">
        <f>_xlfn.IFNA(INDEX(Table2[],MATCH(Proj[[#This Row],[Player]],Table2[Player],0),5),0)</f>
        <v>0</v>
      </c>
      <c r="G603" s="9">
        <f>_xlfn.IFNA(INDEX(Table3[],MATCH(Proj[[#This Row],[Player]],Table3[Player],0),5),0)</f>
        <v>1.96</v>
      </c>
      <c r="H603" s="10">
        <v>80</v>
      </c>
      <c r="I603">
        <v>80</v>
      </c>
      <c r="J603" s="9">
        <v>17.401156541633199</v>
      </c>
      <c r="K603" s="9">
        <v>0</v>
      </c>
      <c r="L603" s="9">
        <v>1.96</v>
      </c>
      <c r="M603" s="9">
        <f>Proj[[#This Row],[TOI ES]]+Proj[[#This Row],[TOI PP]]+Proj[[#This Row],[TOI PK]]</f>
        <v>19.3611565416332</v>
      </c>
      <c r="N6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603">
        <f>Proj[[#This Row],[Goals]]+Proj[[#This Row],[Assists]]</f>
        <v>15</v>
      </c>
      <c r="Q603" s="10">
        <f>ROUND(_xlfn.IFNA(INDEX(Table2[],MATCH(Proj[[#This Row],[Player]],Table2[Player],0),11)/60,IF(Proj[[#This Row],[Pos]] = "D", 'Per 60 PP'!$K$527,'Per 60 PP'!$K$526)/60)*Proj[[#This Row],[TOI PP]]*Proj[[#This Row],[GP]],0)</f>
        <v>0</v>
      </c>
      <c r="R603" s="10">
        <f>ROUND(_xlfn.IFNA(INDEX(Table2[],MATCH(Proj[[#This Row],[Player]],Table2[Player],0),7)/60,IF(Proj[[#This Row],[Pos]] = "D", 'Per 60 PP'!$G$527,'Per 60 PP'!$G$526)/60)*Proj[[#This Row],[TOI PP]]*Proj[[#This Row],[GP]],0)</f>
        <v>0</v>
      </c>
      <c r="S603" s="10">
        <f>Proj[[#This Row],[PPG]]+Proj[[#This Row],[PPA]]</f>
        <v>0</v>
      </c>
      <c r="T603">
        <f>ROUND((_xlfn.IFNA(INDEX(Table3[],MATCH(Proj[[#This Row],[Player]],Table3[Player],0),6)/60,IF(Proj[[#This Row],[Pos]] ="D", 'Per 60 PK'!$F$623, 'Per 60 PK'!$F$622)/60)+_xlfn.IFNA(INDEX(Table3[],MATCH(Proj[[#This Row],[Player]],Table3[Player],0),8)/60,IF(Proj[[#This Row],[Pos]] ="D", 'Per 60 PK'!$H$623, 'Per 60 PK'!$H$622)/60))*Proj[[#This Row],[TOI PK]]*Proj[[#This Row],[GP]],0)</f>
        <v>0</v>
      </c>
      <c r="U6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98</v>
      </c>
      <c r="V6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140</v>
      </c>
      <c r="W6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6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85</v>
      </c>
      <c r="AA6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-341.74078372187438</v>
      </c>
      <c r="AB603" s="10">
        <f>_xlfn.RANK.EQ(Proj[[#This Row],[VOR]],Proj[VOR])</f>
        <v>339</v>
      </c>
      <c r="AC603" s="10">
        <f>INDEX(Std[],MATCH(Proj[[#This Row],[Player]],Std[Player],0),20)</f>
        <v>-234.3760160024099</v>
      </c>
      <c r="AD6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267.15000000000003</v>
      </c>
    </row>
    <row r="604" spans="1:30" x14ac:dyDescent="0.25">
      <c r="A604" t="s">
        <v>825</v>
      </c>
      <c r="B604">
        <v>30</v>
      </c>
      <c r="C604" t="s">
        <v>102</v>
      </c>
      <c r="D604" t="s">
        <v>14</v>
      </c>
      <c r="E604" s="9">
        <f>INDEX(Table1[],MATCH(Proj[[#This Row],[Player]],Table1[Player],0),5)</f>
        <v>10.5370068607641</v>
      </c>
      <c r="F604" s="9">
        <f>_xlfn.IFNA(INDEX(Table2[],MATCH(Proj[[#This Row],[Player]],Table2[Player],0),5),0)</f>
        <v>0</v>
      </c>
      <c r="G604" s="9">
        <f>_xlfn.IFNA(INDEX(Table3[],MATCH(Proj[[#This Row],[Player]],Table3[Player],0),5),0)</f>
        <v>0.45</v>
      </c>
      <c r="H604" s="10">
        <v>58</v>
      </c>
      <c r="I604">
        <v>58</v>
      </c>
      <c r="J604" s="9">
        <v>10.5370068607641</v>
      </c>
      <c r="K604" s="9">
        <v>0</v>
      </c>
      <c r="L604" s="9">
        <v>0.45</v>
      </c>
      <c r="M604" s="9">
        <f>Proj[[#This Row],[TOI ES]]+Proj[[#This Row],[TOI PP]]+Proj[[#This Row],[TOI PK]]</f>
        <v>10.987006860764099</v>
      </c>
      <c r="N6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04" s="10">
        <f>Proj[[#This Row],[Goals]]+Proj[[#This Row],[Assists]]</f>
        <v>15</v>
      </c>
      <c r="Q604" s="10">
        <f>ROUND(_xlfn.IFNA(INDEX(Table2[],MATCH(Proj[[#This Row],[Player]],Table2[Player],0),11)/60,IF(Proj[[#This Row],[Pos]] = "D", 'Per 60 PP'!$K$527,'Per 60 PP'!$K$526)/60)*Proj[[#This Row],[TOI PP]]*Proj[[#This Row],[GP]],0)</f>
        <v>0</v>
      </c>
      <c r="R604" s="10">
        <f>ROUND(_xlfn.IFNA(INDEX(Table2[],MATCH(Proj[[#This Row],[Player]],Table2[Player],0),7)/60,IF(Proj[[#This Row],[Pos]] = "D", 'Per 60 PP'!$G$527,'Per 60 PP'!$G$526)/60)*Proj[[#This Row],[TOI PP]]*Proj[[#This Row],[GP]],0)</f>
        <v>0</v>
      </c>
      <c r="S604" s="10">
        <f>Proj[[#This Row],[PPG]]+Proj[[#This Row],[PPA]]</f>
        <v>0</v>
      </c>
      <c r="T604">
        <f>ROUND((_xlfn.IFNA(INDEX(Table3[],MATCH(Proj[[#This Row],[Player]],Table3[Player],0),6)/60,IF(Proj[[#This Row],[Pos]] ="D", 'Per 60 PK'!$F$623, 'Per 60 PK'!$F$622)/60)+_xlfn.IFNA(INDEX(Table3[],MATCH(Proj[[#This Row],[Player]],Table3[Player],0),8)/60,IF(Proj[[#This Row],[Pos]] ="D", 'Per 60 PK'!$H$623, 'Per 60 PK'!$H$622)/60))*Proj[[#This Row],[TOI PK]]*Proj[[#This Row],[GP]],0)</f>
        <v>0</v>
      </c>
      <c r="U6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111</v>
      </c>
      <c r="V6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42</v>
      </c>
      <c r="W6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6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v>
      </c>
      <c r="Y6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6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55</v>
      </c>
      <c r="AA6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-1005.3967382502055</v>
      </c>
      <c r="AB604" s="10">
        <f>_xlfn.RANK.EQ(Proj[[#This Row],[VOR]],Proj[VOR])</f>
        <v>660</v>
      </c>
      <c r="AC604" s="10">
        <f>INDEX(Std[],MATCH(Proj[[#This Row],[Player]],Std[Player],0),20)</f>
        <v>-533.85201385995663</v>
      </c>
      <c r="AD6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203.89999999999998</v>
      </c>
    </row>
    <row r="605" spans="1:30" x14ac:dyDescent="0.25">
      <c r="A605" t="s">
        <v>541</v>
      </c>
      <c r="B605">
        <v>28</v>
      </c>
      <c r="C605" t="s">
        <v>3</v>
      </c>
      <c r="D605" t="s">
        <v>12</v>
      </c>
      <c r="E605" s="9">
        <f>INDEX(Table1[],MATCH(Proj[[#This Row],[Player]],Table1[Player],0),5)</f>
        <v>16.6148861694722</v>
      </c>
      <c r="F605" s="9">
        <f>_xlfn.IFNA(INDEX(Table2[],MATCH(Proj[[#This Row],[Player]],Table2[Player],0),5),0)</f>
        <v>0</v>
      </c>
      <c r="G605" s="9">
        <f>_xlfn.IFNA(INDEX(Table3[],MATCH(Proj[[#This Row],[Player]],Table3[Player],0),5),0)</f>
        <v>3.11</v>
      </c>
      <c r="H605" s="10">
        <v>77</v>
      </c>
      <c r="I605">
        <v>77</v>
      </c>
      <c r="J605" s="9">
        <v>16.6148861694722</v>
      </c>
      <c r="K605" s="9">
        <v>0</v>
      </c>
      <c r="L605" s="9">
        <v>3.11</v>
      </c>
      <c r="M605" s="9">
        <f>Proj[[#This Row],[TOI ES]]+Proj[[#This Row],[TOI PP]]+Proj[[#This Row],[TOI PK]]</f>
        <v>19.7248861694722</v>
      </c>
      <c r="N6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605" s="10">
        <f>Proj[[#This Row],[Goals]]+Proj[[#This Row],[Assists]]</f>
        <v>15</v>
      </c>
      <c r="Q605" s="10">
        <f>ROUND(_xlfn.IFNA(INDEX(Table2[],MATCH(Proj[[#This Row],[Player]],Table2[Player],0),11)/60,IF(Proj[[#This Row],[Pos]] = "D", 'Per 60 PP'!$K$527,'Per 60 PP'!$K$526)/60)*Proj[[#This Row],[TOI PP]]*Proj[[#This Row],[GP]],0)</f>
        <v>0</v>
      </c>
      <c r="R605" s="10">
        <f>ROUND(_xlfn.IFNA(INDEX(Table2[],MATCH(Proj[[#This Row],[Player]],Table2[Player],0),7)/60,IF(Proj[[#This Row],[Pos]] = "D", 'Per 60 PP'!$G$527,'Per 60 PP'!$G$526)/60)*Proj[[#This Row],[TOI PP]]*Proj[[#This Row],[GP]],0)</f>
        <v>0</v>
      </c>
      <c r="S605" s="10">
        <f>Proj[[#This Row],[PPG]]+Proj[[#This Row],[PPA]]</f>
        <v>0</v>
      </c>
      <c r="T605">
        <f>ROUND((_xlfn.IFNA(INDEX(Table3[],MATCH(Proj[[#This Row],[Player]],Table3[Player],0),6)/60,IF(Proj[[#This Row],[Pos]] ="D", 'Per 60 PK'!$F$623, 'Per 60 PK'!$F$622)/60)+_xlfn.IFNA(INDEX(Table3[],MATCH(Proj[[#This Row],[Player]],Table3[Player],0),8)/60,IF(Proj[[#This Row],[Pos]] ="D", 'Per 60 PK'!$H$623, 'Per 60 PK'!$H$622)/60))*Proj[[#This Row],[TOI PK]]*Proj[[#This Row],[GP]],0)</f>
        <v>1</v>
      </c>
      <c r="U6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121</v>
      </c>
      <c r="V6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135</v>
      </c>
      <c r="W6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6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89</v>
      </c>
      <c r="AA6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-300.72097816245412</v>
      </c>
      <c r="AB605" s="10">
        <f>_xlfn.RANK.EQ(Proj[[#This Row],[VOR]],Proj[VOR])</f>
        <v>308</v>
      </c>
      <c r="AC605" s="10">
        <f>INDEX(Std[],MATCH(Proj[[#This Row],[Player]],Std[Player],0),20)</f>
        <v>-193.35621044298966</v>
      </c>
      <c r="AD6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282.05</v>
      </c>
    </row>
    <row r="606" spans="1:30" x14ac:dyDescent="0.25">
      <c r="A606" t="s">
        <v>915</v>
      </c>
      <c r="B606">
        <v>31</v>
      </c>
      <c r="C606" t="s">
        <v>3</v>
      </c>
      <c r="D606" t="s">
        <v>32</v>
      </c>
      <c r="E606" s="9">
        <f>INDEX(Table1[],MATCH(Proj[[#This Row],[Player]],Table1[Player],0),5)</f>
        <v>14.769456202284401</v>
      </c>
      <c r="F606" s="9">
        <f>_xlfn.IFNA(INDEX(Table2[],MATCH(Proj[[#This Row],[Player]],Table2[Player],0),5),0)</f>
        <v>0</v>
      </c>
      <c r="G606" s="9">
        <f>_xlfn.IFNA(INDEX(Table3[],MATCH(Proj[[#This Row],[Player]],Table3[Player],0),5),0)</f>
        <v>1.73</v>
      </c>
      <c r="H606" s="10">
        <v>81</v>
      </c>
      <c r="I606">
        <v>81</v>
      </c>
      <c r="J606" s="9">
        <v>14.769456202284401</v>
      </c>
      <c r="K606" s="9">
        <v>0</v>
      </c>
      <c r="L606" s="9">
        <v>1.73</v>
      </c>
      <c r="M606" s="9">
        <f>Proj[[#This Row],[TOI ES]]+Proj[[#This Row],[TOI PP]]+Proj[[#This Row],[TOI PK]]</f>
        <v>16.499456202284399</v>
      </c>
      <c r="N6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606" s="10">
        <f>Proj[[#This Row],[Goals]]+Proj[[#This Row],[Assists]]</f>
        <v>15</v>
      </c>
      <c r="Q606" s="10">
        <f>ROUND(_xlfn.IFNA(INDEX(Table2[],MATCH(Proj[[#This Row],[Player]],Table2[Player],0),11)/60,IF(Proj[[#This Row],[Pos]] = "D", 'Per 60 PP'!$K$527,'Per 60 PP'!$K$526)/60)*Proj[[#This Row],[TOI PP]]*Proj[[#This Row],[GP]],0)</f>
        <v>0</v>
      </c>
      <c r="R606" s="10">
        <f>ROUND(_xlfn.IFNA(INDEX(Table2[],MATCH(Proj[[#This Row],[Player]],Table2[Player],0),7)/60,IF(Proj[[#This Row],[Pos]] = "D", 'Per 60 PP'!$G$527,'Per 60 PP'!$G$526)/60)*Proj[[#This Row],[TOI PP]]*Proj[[#This Row],[GP]],0)</f>
        <v>0</v>
      </c>
      <c r="S606" s="10">
        <f>Proj[[#This Row],[PPG]]+Proj[[#This Row],[PPA]]</f>
        <v>0</v>
      </c>
      <c r="T606">
        <f>ROUND((_xlfn.IFNA(INDEX(Table3[],MATCH(Proj[[#This Row],[Player]],Table3[Player],0),6)/60,IF(Proj[[#This Row],[Pos]] ="D", 'Per 60 PK'!$F$623, 'Per 60 PK'!$F$622)/60)+_xlfn.IFNA(INDEX(Table3[],MATCH(Proj[[#This Row],[Player]],Table3[Player],0),8)/60,IF(Proj[[#This Row],[Pos]] ="D", 'Per 60 PK'!$H$623, 'Per 60 PK'!$H$622)/60))*Proj[[#This Row],[TOI PK]]*Proj[[#This Row],[GP]],0)</f>
        <v>3</v>
      </c>
      <c r="U6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132</v>
      </c>
      <c r="V6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203</v>
      </c>
      <c r="W6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67</v>
      </c>
      <c r="X6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97</v>
      </c>
      <c r="AA6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23.295391722976007</v>
      </c>
      <c r="AB606" s="10">
        <f>_xlfn.RANK.EQ(Proj[[#This Row],[VOR]],Proj[VOR])</f>
        <v>148</v>
      </c>
      <c r="AC606" s="10">
        <f>INDEX(Std[],MATCH(Proj[[#This Row],[Player]],Std[Player],0),20)</f>
        <v>130.66015944244049</v>
      </c>
      <c r="AD6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343.8</v>
      </c>
    </row>
    <row r="607" spans="1:30" x14ac:dyDescent="0.25">
      <c r="A607" t="s">
        <v>498</v>
      </c>
      <c r="B607">
        <v>24</v>
      </c>
      <c r="C607" t="s">
        <v>3</v>
      </c>
      <c r="D607" t="s">
        <v>4</v>
      </c>
      <c r="E607" s="9">
        <f>INDEX(Table1[],MATCH(Proj[[#This Row],[Player]],Table1[Player],0),5)</f>
        <v>17.7969900984702</v>
      </c>
      <c r="F607" s="9">
        <f>_xlfn.IFNA(INDEX(Table2[],MATCH(Proj[[#This Row],[Player]],Table2[Player],0),5),0)</f>
        <v>0</v>
      </c>
      <c r="G607" s="9">
        <f>_xlfn.IFNA(INDEX(Table3[],MATCH(Proj[[#This Row],[Player]],Table3[Player],0),5),0)</f>
        <v>2.79</v>
      </c>
      <c r="H607" s="10">
        <v>74</v>
      </c>
      <c r="I607">
        <v>74</v>
      </c>
      <c r="J607" s="9">
        <v>17.7969900984702</v>
      </c>
      <c r="K607" s="9">
        <v>0</v>
      </c>
      <c r="L607" s="9">
        <v>2.79</v>
      </c>
      <c r="M607" s="9">
        <f>Proj[[#This Row],[TOI ES]]+Proj[[#This Row],[TOI PP]]+Proj[[#This Row],[TOI PK]]</f>
        <v>20.586990098470199</v>
      </c>
      <c r="N6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607">
        <f>Proj[[#This Row],[Goals]]+Proj[[#This Row],[Assists]]</f>
        <v>15</v>
      </c>
      <c r="Q607" s="10">
        <f>ROUND(_xlfn.IFNA(INDEX(Table2[],MATCH(Proj[[#This Row],[Player]],Table2[Player],0),11)/60,IF(Proj[[#This Row],[Pos]] = "D", 'Per 60 PP'!$K$527,'Per 60 PP'!$K$526)/60)*Proj[[#This Row],[TOI PP]]*Proj[[#This Row],[GP]],0)</f>
        <v>0</v>
      </c>
      <c r="R607" s="10">
        <f>ROUND(_xlfn.IFNA(INDEX(Table2[],MATCH(Proj[[#This Row],[Player]],Table2[Player],0),7)/60,IF(Proj[[#This Row],[Pos]] = "D", 'Per 60 PP'!$G$527,'Per 60 PP'!$G$526)/60)*Proj[[#This Row],[TOI PP]]*Proj[[#This Row],[GP]],0)</f>
        <v>0</v>
      </c>
      <c r="S607" s="10">
        <f>Proj[[#This Row],[PPG]]+Proj[[#This Row],[PPA]]</f>
        <v>0</v>
      </c>
      <c r="T607">
        <f>ROUND((_xlfn.IFNA(INDEX(Table3[],MATCH(Proj[[#This Row],[Player]],Table3[Player],0),6)/60,IF(Proj[[#This Row],[Pos]] ="D", 'Per 60 PK'!$F$623, 'Per 60 PK'!$F$622)/60)+_xlfn.IFNA(INDEX(Table3[],MATCH(Proj[[#This Row],[Player]],Table3[Player],0),8)/60,IF(Proj[[#This Row],[Pos]] ="D", 'Per 60 PK'!$H$623, 'Per 60 PK'!$H$622)/60))*Proj[[#This Row],[TOI PK]]*Proj[[#This Row],[GP]],0)</f>
        <v>1</v>
      </c>
      <c r="U6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144</v>
      </c>
      <c r="V6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140</v>
      </c>
      <c r="W6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36</v>
      </c>
      <c r="X6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6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-271.42155081178896</v>
      </c>
      <c r="AB607" s="10">
        <f>_xlfn.RANK.EQ(Proj[[#This Row],[VOR]],Proj[VOR])</f>
        <v>291</v>
      </c>
      <c r="AC607" s="10">
        <f>INDEX(Std[],MATCH(Proj[[#This Row],[Player]],Std[Player],0),20)</f>
        <v>-164.05678309232445</v>
      </c>
      <c r="AD6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292.04999999999995</v>
      </c>
    </row>
    <row r="608" spans="1:30" x14ac:dyDescent="0.25">
      <c r="A608" t="s">
        <v>588</v>
      </c>
      <c r="B608">
        <v>28</v>
      </c>
      <c r="C608" t="s">
        <v>3</v>
      </c>
      <c r="D608" t="s">
        <v>31</v>
      </c>
      <c r="E608" s="9">
        <f>INDEX(Table1[],MATCH(Proj[[#This Row],[Player]],Table1[Player],0),5)</f>
        <v>17.2785174980738</v>
      </c>
      <c r="F608" s="9">
        <f>_xlfn.IFNA(INDEX(Table2[],MATCH(Proj[[#This Row],[Player]],Table2[Player],0),5),0)</f>
        <v>0</v>
      </c>
      <c r="G608" s="9">
        <f>_xlfn.IFNA(INDEX(Table3[],MATCH(Proj[[#This Row],[Player]],Table3[Player],0),5),0)</f>
        <v>2.27</v>
      </c>
      <c r="H608" s="10">
        <v>82</v>
      </c>
      <c r="I608">
        <v>82</v>
      </c>
      <c r="J608" s="9">
        <v>17.2785174980738</v>
      </c>
      <c r="K608" s="9">
        <v>0</v>
      </c>
      <c r="L608" s="9">
        <v>2.27</v>
      </c>
      <c r="M608" s="9">
        <f>Proj[[#This Row],[TOI ES]]+Proj[[#This Row],[TOI PP]]+Proj[[#This Row],[TOI PK]]</f>
        <v>19.548517498073799</v>
      </c>
      <c r="N6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12</v>
      </c>
      <c r="P608" s="10">
        <f>Proj[[#This Row],[Goals]]+Proj[[#This Row],[Assists]]</f>
        <v>15</v>
      </c>
      <c r="Q608" s="10">
        <f>ROUND(_xlfn.IFNA(INDEX(Table2[],MATCH(Proj[[#This Row],[Player]],Table2[Player],0),11)/60,IF(Proj[[#This Row],[Pos]] = "D", 'Per 60 PP'!$K$527,'Per 60 PP'!$K$526)/60)*Proj[[#This Row],[TOI PP]]*Proj[[#This Row],[GP]],0)</f>
        <v>0</v>
      </c>
      <c r="R608" s="10">
        <f>ROUND(_xlfn.IFNA(INDEX(Table2[],MATCH(Proj[[#This Row],[Player]],Table2[Player],0),7)/60,IF(Proj[[#This Row],[Pos]] = "D", 'Per 60 PP'!$G$527,'Per 60 PP'!$G$526)/60)*Proj[[#This Row],[TOI PP]]*Proj[[#This Row],[GP]],0)</f>
        <v>0</v>
      </c>
      <c r="S608" s="10">
        <f>Proj[[#This Row],[PPG]]+Proj[[#This Row],[PPA]]</f>
        <v>0</v>
      </c>
      <c r="T608">
        <f>ROUND((_xlfn.IFNA(INDEX(Table3[],MATCH(Proj[[#This Row],[Player]],Table3[Player],0),6)/60,IF(Proj[[#This Row],[Pos]] ="D", 'Per 60 PK'!$F$623, 'Per 60 PK'!$F$622)/60)+_xlfn.IFNA(INDEX(Table3[],MATCH(Proj[[#This Row],[Player]],Table3[Player],0),8)/60,IF(Proj[[#This Row],[Pos]] ="D", 'Per 60 PK'!$H$623, 'Per 60 PK'!$H$622)/60))*Proj[[#This Row],[TOI PK]]*Proj[[#This Row],[GP]],0)</f>
        <v>1</v>
      </c>
      <c r="U6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164</v>
      </c>
      <c r="V6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133</v>
      </c>
      <c r="W6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69</v>
      </c>
      <c r="X6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6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-88.977832289115241</v>
      </c>
      <c r="AB608" s="10">
        <f>_xlfn.RANK.EQ(Proj[[#This Row],[VOR]],Proj[VOR])</f>
        <v>196</v>
      </c>
      <c r="AC608" s="10">
        <f>INDEX(Std[],MATCH(Proj[[#This Row],[Player]],Std[Player],0),20)</f>
        <v>18.38693543034924</v>
      </c>
      <c r="AD6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315.3</v>
      </c>
    </row>
    <row r="609" spans="1:30" x14ac:dyDescent="0.25">
      <c r="A609" t="s">
        <v>925</v>
      </c>
      <c r="B609">
        <v>24</v>
      </c>
      <c r="C609" t="s">
        <v>3</v>
      </c>
      <c r="D609" t="s">
        <v>6</v>
      </c>
      <c r="E609" s="9">
        <f>INDEX(Table1[],MATCH(Proj[[#This Row],[Player]],Table1[Player],0),5)</f>
        <v>14.680726782262701</v>
      </c>
      <c r="F609" s="9">
        <f>_xlfn.IFNA(INDEX(Table2[],MATCH(Proj[[#This Row],[Player]],Table2[Player],0),5),0)</f>
        <v>0.25</v>
      </c>
      <c r="G609" s="9">
        <f>_xlfn.IFNA(INDEX(Table3[],MATCH(Proj[[#This Row],[Player]],Table3[Player],0),5),0)</f>
        <v>0.51</v>
      </c>
      <c r="H609" s="10">
        <v>66</v>
      </c>
      <c r="I609">
        <v>66</v>
      </c>
      <c r="J609" s="9">
        <v>14.680726782262701</v>
      </c>
      <c r="K609" s="9">
        <v>0.25</v>
      </c>
      <c r="L609" s="9">
        <v>0.51</v>
      </c>
      <c r="M609" s="9">
        <f>Proj[[#This Row],[TOI ES]]+Proj[[#This Row],[TOI PP]]+Proj[[#This Row],[TOI PK]]</f>
        <v>15.440726782262701</v>
      </c>
      <c r="N6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609" s="10">
        <f>Proj[[#This Row],[Goals]]+Proj[[#This Row],[Assists]]</f>
        <v>15</v>
      </c>
      <c r="Q609" s="10">
        <f>ROUND(_xlfn.IFNA(INDEX(Table2[],MATCH(Proj[[#This Row],[Player]],Table2[Player],0),11)/60,IF(Proj[[#This Row],[Pos]] = "D", 'Per 60 PP'!$K$527,'Per 60 PP'!$K$526)/60)*Proj[[#This Row],[TOI PP]]*Proj[[#This Row],[GP]],0)</f>
        <v>0</v>
      </c>
      <c r="R609" s="10">
        <f>ROUND(_xlfn.IFNA(INDEX(Table2[],MATCH(Proj[[#This Row],[Player]],Table2[Player],0),7)/60,IF(Proj[[#This Row],[Pos]] = "D", 'Per 60 PP'!$G$527,'Per 60 PP'!$G$526)/60)*Proj[[#This Row],[TOI PP]]*Proj[[#This Row],[GP]],0)</f>
        <v>0</v>
      </c>
      <c r="S609" s="10">
        <f>Proj[[#This Row],[PPG]]+Proj[[#This Row],[PPA]]</f>
        <v>0</v>
      </c>
      <c r="T609">
        <f>ROUND((_xlfn.IFNA(INDEX(Table3[],MATCH(Proj[[#This Row],[Player]],Table3[Player],0),6)/60,IF(Proj[[#This Row],[Pos]] ="D", 'Per 60 PK'!$F$623, 'Per 60 PK'!$F$622)/60)+_xlfn.IFNA(INDEX(Table3[],MATCH(Proj[[#This Row],[Player]],Table3[Player],0),8)/60,IF(Proj[[#This Row],[Pos]] ="D", 'Per 60 PK'!$H$623, 'Per 60 PK'!$H$622)/60))*Proj[[#This Row],[TOI PK]]*Proj[[#This Row],[GP]],0)</f>
        <v>0</v>
      </c>
      <c r="U6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168</v>
      </c>
      <c r="V6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75</v>
      </c>
      <c r="W6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100</v>
      </c>
      <c r="X6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82</v>
      </c>
      <c r="AA6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-71.738736617065229</v>
      </c>
      <c r="AB609" s="10">
        <f>_xlfn.RANK.EQ(Proj[[#This Row],[VOR]],Proj[VOR])</f>
        <v>190</v>
      </c>
      <c r="AC609" s="10">
        <f>INDEX(Std[],MATCH(Proj[[#This Row],[Player]],Std[Player],0),20)</f>
        <v>35.62603110239926</v>
      </c>
      <c r="AD6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295.55</v>
      </c>
    </row>
    <row r="610" spans="1:30" x14ac:dyDescent="0.25">
      <c r="A610" t="s">
        <v>569</v>
      </c>
      <c r="B610">
        <v>27</v>
      </c>
      <c r="C610" t="s">
        <v>103</v>
      </c>
      <c r="D610" t="s">
        <v>23</v>
      </c>
      <c r="E610" s="9">
        <f>INDEX(Table1[],MATCH(Proj[[#This Row],[Player]],Table1[Player],0),5)</f>
        <v>10.8389691371632</v>
      </c>
      <c r="F610" s="9">
        <f>_xlfn.IFNA(INDEX(Table2[],MATCH(Proj[[#This Row],[Player]],Table2[Player],0),5),0)</f>
        <v>0</v>
      </c>
      <c r="G610" s="9">
        <f>_xlfn.IFNA(INDEX(Table3[],MATCH(Proj[[#This Row],[Player]],Table3[Player],0),5),0)</f>
        <v>0.63</v>
      </c>
      <c r="H610" s="10">
        <v>63</v>
      </c>
      <c r="I610">
        <v>63</v>
      </c>
      <c r="J610" s="9">
        <v>10.8389691371632</v>
      </c>
      <c r="K610" s="9">
        <v>0</v>
      </c>
      <c r="L610" s="9">
        <v>0.63</v>
      </c>
      <c r="M610" s="9">
        <f>Proj[[#This Row],[TOI ES]]+Proj[[#This Row],[TOI PP]]+Proj[[#This Row],[TOI PK]]</f>
        <v>11.468969137163201</v>
      </c>
      <c r="N6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10">
        <f>Proj[[#This Row],[Goals]]+Proj[[#This Row],[Assists]]</f>
        <v>15</v>
      </c>
      <c r="Q610" s="10">
        <f>ROUND(_xlfn.IFNA(INDEX(Table2[],MATCH(Proj[[#This Row],[Player]],Table2[Player],0),11)/60,IF(Proj[[#This Row],[Pos]] = "D", 'Per 60 PP'!$K$527,'Per 60 PP'!$K$526)/60)*Proj[[#This Row],[TOI PP]]*Proj[[#This Row],[GP]],0)</f>
        <v>0</v>
      </c>
      <c r="R610" s="10">
        <f>ROUND(_xlfn.IFNA(INDEX(Table2[],MATCH(Proj[[#This Row],[Player]],Table2[Player],0),7)/60,IF(Proj[[#This Row],[Pos]] = "D", 'Per 60 PP'!$G$527,'Per 60 PP'!$G$526)/60)*Proj[[#This Row],[TOI PP]]*Proj[[#This Row],[GP]],0)</f>
        <v>0</v>
      </c>
      <c r="S610" s="10">
        <f>Proj[[#This Row],[PPG]]+Proj[[#This Row],[PPA]]</f>
        <v>0</v>
      </c>
      <c r="T610">
        <f>ROUND((_xlfn.IFNA(INDEX(Table3[],MATCH(Proj[[#This Row],[Player]],Table3[Player],0),6)/60,IF(Proj[[#This Row],[Pos]] ="D", 'Per 60 PK'!$F$623, 'Per 60 PK'!$F$622)/60)+_xlfn.IFNA(INDEX(Table3[],MATCH(Proj[[#This Row],[Player]],Table3[Player],0),8)/60,IF(Proj[[#This Row],[Pos]] ="D", 'Per 60 PK'!$H$623, 'Per 60 PK'!$H$622)/60))*Proj[[#This Row],[TOI PK]]*Proj[[#This Row],[GP]],0)</f>
        <v>0</v>
      </c>
      <c r="U6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169</v>
      </c>
      <c r="V6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6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76</v>
      </c>
      <c r="X6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6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21</v>
      </c>
      <c r="Z6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65</v>
      </c>
      <c r="AA6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-602.95694263830046</v>
      </c>
      <c r="AB610" s="10">
        <f>_xlfn.RANK.EQ(Proj[[#This Row],[VOR]],Proj[VOR])</f>
        <v>482</v>
      </c>
      <c r="AC610" s="10">
        <f>INDEX(Std[],MATCH(Proj[[#This Row],[Player]],Std[Player],0),20)</f>
        <v>-156.41221824805166</v>
      </c>
      <c r="AD6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264.34999999999997</v>
      </c>
    </row>
    <row r="611" spans="1:30" x14ac:dyDescent="0.25">
      <c r="A611" t="s">
        <v>621</v>
      </c>
      <c r="B611">
        <v>36</v>
      </c>
      <c r="C611" t="s">
        <v>74</v>
      </c>
      <c r="D611" t="s">
        <v>1101</v>
      </c>
      <c r="E611" s="9">
        <f>INDEX(Table1[],MATCH(Proj[[#This Row],[Player]],Table1[Player],0),5)</f>
        <v>10.6487995437208</v>
      </c>
      <c r="F611" s="9">
        <f>_xlfn.IFNA(INDEX(Table2[],MATCH(Proj[[#This Row],[Player]],Table2[Player],0),5),0)</f>
        <v>1.49</v>
      </c>
      <c r="G611" s="9">
        <f>_xlfn.IFNA(INDEX(Table3[],MATCH(Proj[[#This Row],[Player]],Table3[Player],0),5),0)</f>
        <v>2.09</v>
      </c>
      <c r="H611" s="10">
        <v>60</v>
      </c>
      <c r="I611">
        <v>60</v>
      </c>
      <c r="J611" s="9">
        <v>10.6487995437208</v>
      </c>
      <c r="K611" s="9">
        <v>1.49</v>
      </c>
      <c r="L611" s="9">
        <v>2.09</v>
      </c>
      <c r="M611" s="9">
        <f>Proj[[#This Row],[TOI ES]]+Proj[[#This Row],[TOI PP]]+Proj[[#This Row],[TOI PK]]</f>
        <v>14.2287995437208</v>
      </c>
      <c r="N6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11">
        <f>Proj[[#This Row],[Goals]]+Proj[[#This Row],[Assists]]</f>
        <v>14</v>
      </c>
      <c r="Q611" s="10">
        <f>ROUND(_xlfn.IFNA(INDEX(Table2[],MATCH(Proj[[#This Row],[Player]],Table2[Player],0),11)/60,IF(Proj[[#This Row],[Pos]] = "D", 'Per 60 PP'!$K$527,'Per 60 PP'!$K$526)/60)*Proj[[#This Row],[TOI PP]]*Proj[[#This Row],[GP]],0)</f>
        <v>1</v>
      </c>
      <c r="R611" s="10">
        <f>ROUND(_xlfn.IFNA(INDEX(Table2[],MATCH(Proj[[#This Row],[Player]],Table2[Player],0),7)/60,IF(Proj[[#This Row],[Pos]] = "D", 'Per 60 PP'!$G$527,'Per 60 PP'!$G$526)/60)*Proj[[#This Row],[TOI PP]]*Proj[[#This Row],[GP]],0)</f>
        <v>2</v>
      </c>
      <c r="S611" s="10">
        <f>Proj[[#This Row],[PPG]]+Proj[[#This Row],[PPA]]</f>
        <v>3</v>
      </c>
      <c r="T611">
        <f>ROUND((_xlfn.IFNA(INDEX(Table3[],MATCH(Proj[[#This Row],[Player]],Table3[Player],0),6)/60,IF(Proj[[#This Row],[Pos]] ="D", 'Per 60 PK'!$F$623, 'Per 60 PK'!$F$622)/60)+_xlfn.IFNA(INDEX(Table3[],MATCH(Proj[[#This Row],[Player]],Table3[Player],0),8)/60,IF(Proj[[#This Row],[Pos]] ="D", 'Per 60 PK'!$H$623, 'Per 60 PK'!$H$622)/60))*Proj[[#This Row],[TOI PK]]*Proj[[#This Row],[GP]],0)</f>
        <v>0</v>
      </c>
      <c r="U6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v>
      </c>
      <c r="V6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87</v>
      </c>
      <c r="W6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6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276</v>
      </c>
      <c r="Y6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271</v>
      </c>
      <c r="Z6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64</v>
      </c>
      <c r="AA6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-1210.5073208277336</v>
      </c>
      <c r="AB611" s="10">
        <f>_xlfn.RANK.EQ(Proj[[#This Row],[VOR]],Proj[VOR])</f>
        <v>698</v>
      </c>
      <c r="AC611" s="10">
        <f>INDEX(Std[],MATCH(Proj[[#This Row],[Player]],Std[Player],0),20)</f>
        <v>-475.87346651743508</v>
      </c>
      <c r="AD6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196.2</v>
      </c>
    </row>
    <row r="612" spans="1:30" x14ac:dyDescent="0.25">
      <c r="A612" t="s">
        <v>1022</v>
      </c>
      <c r="B612">
        <v>31</v>
      </c>
      <c r="C612" t="s">
        <v>3</v>
      </c>
      <c r="D612" t="s">
        <v>11</v>
      </c>
      <c r="E612" s="9">
        <f>INDEX(Table1[],MATCH(Proj[[#This Row],[Player]],Table1[Player],0),5)</f>
        <v>11.2663163599308</v>
      </c>
      <c r="F612" s="9">
        <f>_xlfn.IFNA(INDEX(Table2[],MATCH(Proj[[#This Row],[Player]],Table2[Player],0),5),0)</f>
        <v>1.39</v>
      </c>
      <c r="G612" s="9">
        <f>_xlfn.IFNA(INDEX(Table3[],MATCH(Proj[[#This Row],[Player]],Table3[Player],0),5),0)</f>
        <v>0</v>
      </c>
      <c r="H612" s="10">
        <v>64</v>
      </c>
      <c r="I612">
        <v>64</v>
      </c>
      <c r="J612" s="9">
        <v>11.2663163599308</v>
      </c>
      <c r="K612" s="9">
        <v>1.39</v>
      </c>
      <c r="L612" s="9">
        <v>0</v>
      </c>
      <c r="M612" s="9">
        <f>Proj[[#This Row],[TOI ES]]+Proj[[#This Row],[TOI PP]]+Proj[[#This Row],[TOI PK]]</f>
        <v>12.6563163599308</v>
      </c>
      <c r="N6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12">
        <f>Proj[[#This Row],[Goals]]+Proj[[#This Row],[Assists]]</f>
        <v>14</v>
      </c>
      <c r="Q612" s="10">
        <f>ROUND(_xlfn.IFNA(INDEX(Table2[],MATCH(Proj[[#This Row],[Player]],Table2[Player],0),11)/60,IF(Proj[[#This Row],[Pos]] = "D", 'Per 60 PP'!$K$527,'Per 60 PP'!$K$526)/60)*Proj[[#This Row],[TOI PP]]*Proj[[#This Row],[GP]],0)</f>
        <v>1</v>
      </c>
      <c r="R612" s="10">
        <f>ROUND(_xlfn.IFNA(INDEX(Table2[],MATCH(Proj[[#This Row],[Player]],Table2[Player],0),7)/60,IF(Proj[[#This Row],[Pos]] = "D", 'Per 60 PP'!$G$527,'Per 60 PP'!$G$526)/60)*Proj[[#This Row],[TOI PP]]*Proj[[#This Row],[GP]],0)</f>
        <v>4</v>
      </c>
      <c r="S612" s="10">
        <f>Proj[[#This Row],[PPG]]+Proj[[#This Row],[PPA]]</f>
        <v>5</v>
      </c>
      <c r="T612">
        <f>ROUND((_xlfn.IFNA(INDEX(Table3[],MATCH(Proj[[#This Row],[Player]],Table3[Player],0),6)/60,IF(Proj[[#This Row],[Pos]] ="D", 'Per 60 PK'!$F$623, 'Per 60 PK'!$F$622)/60)+_xlfn.IFNA(INDEX(Table3[],MATCH(Proj[[#This Row],[Player]],Table3[Player],0),8)/60,IF(Proj[[#This Row],[Pos]] ="D", 'Per 60 PK'!$H$623, 'Per 60 PK'!$H$622)/60))*Proj[[#This Row],[TOI PK]]*Proj[[#This Row],[GP]],0)</f>
        <v>0</v>
      </c>
      <c r="U6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6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6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6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6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-611.24196603975042</v>
      </c>
      <c r="AB612" s="10">
        <f>_xlfn.RANK.EQ(Proj[[#This Row],[VOR]],Proj[VOR])</f>
        <v>485</v>
      </c>
      <c r="AC612" s="10">
        <f>INDEX(Std[],MATCH(Proj[[#This Row],[Player]],Std[Player],0),20)</f>
        <v>-503.87719832028591</v>
      </c>
      <c r="AD6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191</v>
      </c>
    </row>
    <row r="613" spans="1:30" x14ac:dyDescent="0.25">
      <c r="A613" t="s">
        <v>1037</v>
      </c>
      <c r="B613">
        <v>24</v>
      </c>
      <c r="C613" t="s">
        <v>102</v>
      </c>
      <c r="D613" t="s">
        <v>28</v>
      </c>
      <c r="E613" s="9">
        <f>INDEX(Table1[],MATCH(Proj[[#This Row],[Player]],Table1[Player],0),5)</f>
        <v>10.9973020240308</v>
      </c>
      <c r="F613" s="9">
        <f>_xlfn.IFNA(INDEX(Table2[],MATCH(Proj[[#This Row],[Player]],Table2[Player],0),5),0)</f>
        <v>0</v>
      </c>
      <c r="G613" s="9">
        <f>_xlfn.IFNA(INDEX(Table3[],MATCH(Proj[[#This Row],[Player]],Table3[Player],0),5),0)</f>
        <v>0</v>
      </c>
      <c r="H613" s="10">
        <v>55</v>
      </c>
      <c r="I613">
        <v>55</v>
      </c>
      <c r="J613" s="9">
        <v>10.9973020240308</v>
      </c>
      <c r="K613" s="9">
        <v>0</v>
      </c>
      <c r="L613" s="9">
        <v>0</v>
      </c>
      <c r="M613" s="9">
        <f>Proj[[#This Row],[TOI ES]]+Proj[[#This Row],[TOI PP]]+Proj[[#This Row],[TOI PK]]</f>
        <v>10.9973020240308</v>
      </c>
      <c r="N6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13" s="10">
        <f>Proj[[#This Row],[Goals]]+Proj[[#This Row],[Assists]]</f>
        <v>14</v>
      </c>
      <c r="Q613" s="10">
        <f>ROUND(_xlfn.IFNA(INDEX(Table2[],MATCH(Proj[[#This Row],[Player]],Table2[Player],0),11)/60,IF(Proj[[#This Row],[Pos]] = "D", 'Per 60 PP'!$K$527,'Per 60 PP'!$K$526)/60)*Proj[[#This Row],[TOI PP]]*Proj[[#This Row],[GP]],0)</f>
        <v>0</v>
      </c>
      <c r="R613" s="10">
        <f>ROUND(_xlfn.IFNA(INDEX(Table2[],MATCH(Proj[[#This Row],[Player]],Table2[Player],0),7)/60,IF(Proj[[#This Row],[Pos]] = "D", 'Per 60 PP'!$G$527,'Per 60 PP'!$G$526)/60)*Proj[[#This Row],[TOI PP]]*Proj[[#This Row],[GP]],0)</f>
        <v>0</v>
      </c>
      <c r="S613" s="10">
        <f>Proj[[#This Row],[PPG]]+Proj[[#This Row],[PPA]]</f>
        <v>0</v>
      </c>
      <c r="T613">
        <f>ROUND((_xlfn.IFNA(INDEX(Table3[],MATCH(Proj[[#This Row],[Player]],Table3[Player],0),6)/60,IF(Proj[[#This Row],[Pos]] ="D", 'Per 60 PK'!$F$623, 'Per 60 PK'!$F$622)/60)+_xlfn.IFNA(INDEX(Table3[],MATCH(Proj[[#This Row],[Player]],Table3[Player],0),8)/60,IF(Proj[[#This Row],[Pos]] ="D", 'Per 60 PK'!$H$623, 'Per 60 PK'!$H$622)/60))*Proj[[#This Row],[TOI PK]]*Proj[[#This Row],[GP]],0)</f>
        <v>0</v>
      </c>
      <c r="U6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62</v>
      </c>
      <c r="V6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6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37</v>
      </c>
      <c r="Y6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v>
      </c>
      <c r="Z6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57</v>
      </c>
      <c r="AA6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-1164.286956340464</v>
      </c>
      <c r="AB613" s="10">
        <f>_xlfn.RANK.EQ(Proj[[#This Row],[VOR]],Proj[VOR])</f>
        <v>691</v>
      </c>
      <c r="AC613" s="10">
        <f>INDEX(Std[],MATCH(Proj[[#This Row],[Player]],Std[Player],0),20)</f>
        <v>-692.74223195021523</v>
      </c>
      <c r="AD6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157.74999999999997</v>
      </c>
    </row>
    <row r="614" spans="1:30" x14ac:dyDescent="0.25">
      <c r="A614" t="s">
        <v>795</v>
      </c>
      <c r="B614">
        <v>29</v>
      </c>
      <c r="C614" t="s">
        <v>74</v>
      </c>
      <c r="D614" t="s">
        <v>12</v>
      </c>
      <c r="E614" s="9">
        <f>INDEX(Table1[],MATCH(Proj[[#This Row],[Player]],Table1[Player],0),5)</f>
        <v>9.4831716139897395</v>
      </c>
      <c r="F614" s="9">
        <f>_xlfn.IFNA(INDEX(Table2[],MATCH(Proj[[#This Row],[Player]],Table2[Player],0),5),0)</f>
        <v>0</v>
      </c>
      <c r="G614" s="9">
        <f>_xlfn.IFNA(INDEX(Table3[],MATCH(Proj[[#This Row],[Player]],Table3[Player],0),5),0)</f>
        <v>0.63</v>
      </c>
      <c r="H614" s="10">
        <v>67</v>
      </c>
      <c r="I614">
        <v>67</v>
      </c>
      <c r="J614" s="9">
        <v>9.4831716139897395</v>
      </c>
      <c r="K614" s="9">
        <v>0</v>
      </c>
      <c r="L614" s="9">
        <v>0.63</v>
      </c>
      <c r="M614" s="9">
        <f>Proj[[#This Row],[TOI ES]]+Proj[[#This Row],[TOI PP]]+Proj[[#This Row],[TOI PK]]</f>
        <v>10.11317161398974</v>
      </c>
      <c r="N6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14" s="10">
        <f>Proj[[#This Row],[Goals]]+Proj[[#This Row],[Assists]]</f>
        <v>14</v>
      </c>
      <c r="Q614" s="10">
        <f>ROUND(_xlfn.IFNA(INDEX(Table2[],MATCH(Proj[[#This Row],[Player]],Table2[Player],0),11)/60,IF(Proj[[#This Row],[Pos]] = "D", 'Per 60 PP'!$K$527,'Per 60 PP'!$K$526)/60)*Proj[[#This Row],[TOI PP]]*Proj[[#This Row],[GP]],0)</f>
        <v>0</v>
      </c>
      <c r="R614" s="10">
        <f>ROUND(_xlfn.IFNA(INDEX(Table2[],MATCH(Proj[[#This Row],[Player]],Table2[Player],0),7)/60,IF(Proj[[#This Row],[Pos]] = "D", 'Per 60 PP'!$G$527,'Per 60 PP'!$G$526)/60)*Proj[[#This Row],[TOI PP]]*Proj[[#This Row],[GP]],0)</f>
        <v>0</v>
      </c>
      <c r="S614" s="10">
        <f>Proj[[#This Row],[PPG]]+Proj[[#This Row],[PPA]]</f>
        <v>0</v>
      </c>
      <c r="T614">
        <f>ROUND((_xlfn.IFNA(INDEX(Table3[],MATCH(Proj[[#This Row],[Player]],Table3[Player],0),6)/60,IF(Proj[[#This Row],[Pos]] ="D", 'Per 60 PK'!$F$623, 'Per 60 PK'!$F$622)/60)+_xlfn.IFNA(INDEX(Table3[],MATCH(Proj[[#This Row],[Player]],Table3[Player],0),8)/60,IF(Proj[[#This Row],[Pos]] ="D", 'Per 60 PK'!$H$623, 'Per 60 PK'!$H$622)/60))*Proj[[#This Row],[TOI PK]]*Proj[[#This Row],[GP]],0)</f>
        <v>0</v>
      </c>
      <c r="U6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6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6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6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62</v>
      </c>
      <c r="Y6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65</v>
      </c>
      <c r="Z6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6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-1306.9388094746314</v>
      </c>
      <c r="AB614" s="10">
        <f>_xlfn.RANK.EQ(Proj[[#This Row],[VOR]],Proj[VOR])</f>
        <v>714</v>
      </c>
      <c r="AC614" s="10">
        <f>INDEX(Std[],MATCH(Proj[[#This Row],[Player]],Std[Player],0),20)</f>
        <v>-572.30495516433268</v>
      </c>
      <c r="AD6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186.04999999999998</v>
      </c>
    </row>
    <row r="615" spans="1:30" x14ac:dyDescent="0.25">
      <c r="A615" t="s">
        <v>943</v>
      </c>
      <c r="B615">
        <v>27</v>
      </c>
      <c r="C615" t="s">
        <v>3</v>
      </c>
      <c r="D615" t="s">
        <v>156</v>
      </c>
      <c r="E615" s="9">
        <f>INDEX(Table1[],MATCH(Proj[[#This Row],[Player]],Table1[Player],0),5)</f>
        <v>14.442854160192001</v>
      </c>
      <c r="F615" s="9">
        <f>_xlfn.IFNA(INDEX(Table2[],MATCH(Proj[[#This Row],[Player]],Table2[Player],0),5),0)</f>
        <v>0</v>
      </c>
      <c r="G615" s="9">
        <f>_xlfn.IFNA(INDEX(Table3[],MATCH(Proj[[#This Row],[Player]],Table3[Player],0),5),0)</f>
        <v>2.19</v>
      </c>
      <c r="H615" s="10">
        <v>71</v>
      </c>
      <c r="I615">
        <v>71</v>
      </c>
      <c r="J615" s="9">
        <v>14.442854160192001</v>
      </c>
      <c r="K615" s="9">
        <v>0</v>
      </c>
      <c r="L615" s="9">
        <v>2.19</v>
      </c>
      <c r="M615" s="9">
        <f>Proj[[#This Row],[TOI ES]]+Proj[[#This Row],[TOI PP]]+Proj[[#This Row],[TOI PK]]</f>
        <v>16.632854160192</v>
      </c>
      <c r="N6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15" s="10">
        <f>Proj[[#This Row],[Goals]]+Proj[[#This Row],[Assists]]</f>
        <v>14</v>
      </c>
      <c r="Q615" s="10">
        <f>ROUND(_xlfn.IFNA(INDEX(Table2[],MATCH(Proj[[#This Row],[Player]],Table2[Player],0),11)/60,IF(Proj[[#This Row],[Pos]] = "D", 'Per 60 PP'!$K$527,'Per 60 PP'!$K$526)/60)*Proj[[#This Row],[TOI PP]]*Proj[[#This Row],[GP]],0)</f>
        <v>0</v>
      </c>
      <c r="R615" s="10">
        <f>ROUND(_xlfn.IFNA(INDEX(Table2[],MATCH(Proj[[#This Row],[Player]],Table2[Player],0),7)/60,IF(Proj[[#This Row],[Pos]] = "D", 'Per 60 PP'!$G$527,'Per 60 PP'!$G$526)/60)*Proj[[#This Row],[TOI PP]]*Proj[[#This Row],[GP]],0)</f>
        <v>0</v>
      </c>
      <c r="S615" s="10">
        <f>Proj[[#This Row],[PPG]]+Proj[[#This Row],[PPA]]</f>
        <v>0</v>
      </c>
      <c r="T615">
        <f>ROUND((_xlfn.IFNA(INDEX(Table3[],MATCH(Proj[[#This Row],[Player]],Table3[Player],0),6)/60,IF(Proj[[#This Row],[Pos]] ="D", 'Per 60 PK'!$F$623, 'Per 60 PK'!$F$622)/60)+_xlfn.IFNA(INDEX(Table3[],MATCH(Proj[[#This Row],[Player]],Table3[Player],0),8)/60,IF(Proj[[#This Row],[Pos]] ="D", 'Per 60 PK'!$H$623, 'Per 60 PK'!$H$622)/60))*Proj[[#This Row],[TOI PK]]*Proj[[#This Row],[GP]],0)</f>
        <v>0</v>
      </c>
      <c r="U6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6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93</v>
      </c>
      <c r="W6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42</v>
      </c>
      <c r="X6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63</v>
      </c>
      <c r="AA6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-519.99438271253757</v>
      </c>
      <c r="AB615" s="10">
        <f>_xlfn.RANK.EQ(Proj[[#This Row],[VOR]],Proj[VOR])</f>
        <v>435</v>
      </c>
      <c r="AC615" s="10">
        <f>INDEX(Std[],MATCH(Proj[[#This Row],[Player]],Std[Player],0),20)</f>
        <v>-412.62961499307312</v>
      </c>
      <c r="AD6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214.85000000000002</v>
      </c>
    </row>
    <row r="616" spans="1:30" x14ac:dyDescent="0.25">
      <c r="A616" t="s">
        <v>956</v>
      </c>
      <c r="B616">
        <v>26</v>
      </c>
      <c r="C616" t="s">
        <v>3</v>
      </c>
      <c r="D616" t="s">
        <v>7</v>
      </c>
      <c r="E616" s="9">
        <f>INDEX(Table1[],MATCH(Proj[[#This Row],[Player]],Table1[Player],0),5)</f>
        <v>15.9900833311989</v>
      </c>
      <c r="F616" s="9">
        <f>_xlfn.IFNA(INDEX(Table2[],MATCH(Proj[[#This Row],[Player]],Table2[Player],0),5),0)</f>
        <v>1.45</v>
      </c>
      <c r="G616" s="9">
        <f>_xlfn.IFNA(INDEX(Table3[],MATCH(Proj[[#This Row],[Player]],Table3[Player],0),5),0)</f>
        <v>1.2</v>
      </c>
      <c r="H616" s="10">
        <v>45</v>
      </c>
      <c r="I616">
        <v>45</v>
      </c>
      <c r="J616" s="9">
        <v>15.9900833311989</v>
      </c>
      <c r="K616" s="9">
        <v>1.45</v>
      </c>
      <c r="L616" s="9">
        <v>1.2</v>
      </c>
      <c r="M616" s="9">
        <f>Proj[[#This Row],[TOI ES]]+Proj[[#This Row],[TOI PP]]+Proj[[#This Row],[TOI PK]]</f>
        <v>18.640083331198898</v>
      </c>
      <c r="N6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16" s="10">
        <f>Proj[[#This Row],[Goals]]+Proj[[#This Row],[Assists]]</f>
        <v>14</v>
      </c>
      <c r="Q616" s="10">
        <f>ROUND(_xlfn.IFNA(INDEX(Table2[],MATCH(Proj[[#This Row],[Player]],Table2[Player],0),11)/60,IF(Proj[[#This Row],[Pos]] = "D", 'Per 60 PP'!$K$527,'Per 60 PP'!$K$526)/60)*Proj[[#This Row],[TOI PP]]*Proj[[#This Row],[GP]],0)</f>
        <v>1</v>
      </c>
      <c r="R616" s="10">
        <f>ROUND(_xlfn.IFNA(INDEX(Table2[],MATCH(Proj[[#This Row],[Player]],Table2[Player],0),7)/60,IF(Proj[[#This Row],[Pos]] = "D", 'Per 60 PP'!$G$527,'Per 60 PP'!$G$526)/60)*Proj[[#This Row],[TOI PP]]*Proj[[#This Row],[GP]],0)</f>
        <v>4</v>
      </c>
      <c r="S616" s="10">
        <f>Proj[[#This Row],[PPG]]+Proj[[#This Row],[PPA]]</f>
        <v>5</v>
      </c>
      <c r="T616">
        <f>ROUND((_xlfn.IFNA(INDEX(Table3[],MATCH(Proj[[#This Row],[Player]],Table3[Player],0),6)/60,IF(Proj[[#This Row],[Pos]] ="D", 'Per 60 PK'!$F$623, 'Per 60 PK'!$F$622)/60)+_xlfn.IFNA(INDEX(Table3[],MATCH(Proj[[#This Row],[Player]],Table3[Player],0),8)/60,IF(Proj[[#This Row],[Pos]] ="D", 'Per 60 PK'!$H$623, 'Per 60 PK'!$H$622)/60))*Proj[[#This Row],[TOI PK]]*Proj[[#This Row],[GP]],0)</f>
        <v>0</v>
      </c>
      <c r="U6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6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66</v>
      </c>
      <c r="W6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6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54</v>
      </c>
      <c r="AA6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-658.48904983356294</v>
      </c>
      <c r="AB616" s="10">
        <f>_xlfn.RANK.EQ(Proj[[#This Row],[VOR]],Proj[VOR])</f>
        <v>502</v>
      </c>
      <c r="AC616" s="10">
        <f>INDEX(Std[],MATCH(Proj[[#This Row],[Player]],Std[Player],0),20)</f>
        <v>-551.12428211409849</v>
      </c>
      <c r="AD6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189.1</v>
      </c>
    </row>
    <row r="617" spans="1:30" x14ac:dyDescent="0.25">
      <c r="A617" t="s">
        <v>1145</v>
      </c>
      <c r="B617">
        <v>25</v>
      </c>
      <c r="C617" t="s">
        <v>74</v>
      </c>
      <c r="D617" t="s">
        <v>20</v>
      </c>
      <c r="E617" s="9">
        <f>INDEX(Table1[],MATCH(Proj[[#This Row],[Player]],Table1[Player],0),5)</f>
        <v>10.650135896474101</v>
      </c>
      <c r="F617" s="9">
        <f>_xlfn.IFNA(INDEX(Table2[],MATCH(Proj[[#This Row],[Player]],Table2[Player],0),5),0)</f>
        <v>0</v>
      </c>
      <c r="G617" s="9">
        <f>_xlfn.IFNA(INDEX(Table3[],MATCH(Proj[[#This Row],[Player]],Table3[Player],0),5),0)</f>
        <v>0</v>
      </c>
      <c r="H617" s="10">
        <v>50</v>
      </c>
      <c r="I617">
        <v>50</v>
      </c>
      <c r="J617" s="9">
        <v>10.650135896474101</v>
      </c>
      <c r="K617" s="9">
        <v>0</v>
      </c>
      <c r="L617" s="9">
        <v>0</v>
      </c>
      <c r="M617" s="9">
        <f>Proj[[#This Row],[TOI ES]]+Proj[[#This Row],[TOI PP]]+Proj[[#This Row],[TOI PK]]</f>
        <v>10.650135896474101</v>
      </c>
      <c r="N6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17" s="10">
        <f>Proj[[#This Row],[Goals]]+Proj[[#This Row],[Assists]]</f>
        <v>14</v>
      </c>
      <c r="Q617" s="10">
        <f>ROUND(_xlfn.IFNA(INDEX(Table2[],MATCH(Proj[[#This Row],[Player]],Table2[Player],0),11)/60,IF(Proj[[#This Row],[Pos]] = "D", 'Per 60 PP'!$K$527,'Per 60 PP'!$K$526)/60)*Proj[[#This Row],[TOI PP]]*Proj[[#This Row],[GP]],0)</f>
        <v>0</v>
      </c>
      <c r="R617" s="10">
        <f>ROUND(_xlfn.IFNA(INDEX(Table2[],MATCH(Proj[[#This Row],[Player]],Table2[Player],0),7)/60,IF(Proj[[#This Row],[Pos]] = "D", 'Per 60 PP'!$G$527,'Per 60 PP'!$G$526)/60)*Proj[[#This Row],[TOI PP]]*Proj[[#This Row],[GP]],0)</f>
        <v>0</v>
      </c>
      <c r="S617" s="10">
        <f>Proj[[#This Row],[PPG]]+Proj[[#This Row],[PPA]]</f>
        <v>0</v>
      </c>
      <c r="T617">
        <f>ROUND((_xlfn.IFNA(INDEX(Table3[],MATCH(Proj[[#This Row],[Player]],Table3[Player],0),6)/60,IF(Proj[[#This Row],[Pos]] ="D", 'Per 60 PK'!$F$623, 'Per 60 PK'!$F$622)/60)+_xlfn.IFNA(INDEX(Table3[],MATCH(Proj[[#This Row],[Player]],Table3[Player],0),8)/60,IF(Proj[[#This Row],[Pos]] ="D", 'Per 60 PK'!$H$623, 'Per 60 PK'!$H$622)/60))*Proj[[#This Row],[TOI PK]]*Proj[[#This Row],[GP]],0)</f>
        <v>0</v>
      </c>
      <c r="U6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6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v>
      </c>
      <c r="W6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144</v>
      </c>
      <c r="Y6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189</v>
      </c>
      <c r="Z6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45</v>
      </c>
      <c r="AA6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-1361.4592279398753</v>
      </c>
      <c r="AB617" s="10">
        <f>_xlfn.RANK.EQ(Proj[[#This Row],[VOR]],Proj[VOR])</f>
        <v>722</v>
      </c>
      <c r="AC617" s="10">
        <f>INDEX(Std[],MATCH(Proj[[#This Row],[Player]],Std[Player],0),20)</f>
        <v>-626.82537362957669</v>
      </c>
      <c r="AD6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172.7</v>
      </c>
    </row>
    <row r="618" spans="1:30" x14ac:dyDescent="0.25">
      <c r="A618" t="s">
        <v>573</v>
      </c>
      <c r="B618">
        <v>32</v>
      </c>
      <c r="C618" t="s">
        <v>3</v>
      </c>
      <c r="D618" t="s">
        <v>9</v>
      </c>
      <c r="E618" s="9">
        <f>INDEX(Table1[],MATCH(Proj[[#This Row],[Player]],Table1[Player],0),5)</f>
        <v>14.7515414318861</v>
      </c>
      <c r="F618" s="9">
        <f>_xlfn.IFNA(INDEX(Table2[],MATCH(Proj[[#This Row],[Player]],Table2[Player],0),5),0)</f>
        <v>0</v>
      </c>
      <c r="G618" s="9">
        <f>_xlfn.IFNA(INDEX(Table3[],MATCH(Proj[[#This Row],[Player]],Table3[Player],0),5),0)</f>
        <v>0.78</v>
      </c>
      <c r="H618" s="10">
        <v>65</v>
      </c>
      <c r="I618">
        <v>65</v>
      </c>
      <c r="J618" s="9">
        <v>14.7515414318861</v>
      </c>
      <c r="K618" s="9">
        <v>0</v>
      </c>
      <c r="L618" s="9">
        <v>0.78</v>
      </c>
      <c r="M618" s="9">
        <f>Proj[[#This Row],[TOI ES]]+Proj[[#This Row],[TOI PP]]+Proj[[#This Row],[TOI PK]]</f>
        <v>15.531541431886099</v>
      </c>
      <c r="N6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18" s="10">
        <f>Proj[[#This Row],[Goals]]+Proj[[#This Row],[Assists]]</f>
        <v>14</v>
      </c>
      <c r="Q618" s="10">
        <f>ROUND(_xlfn.IFNA(INDEX(Table2[],MATCH(Proj[[#This Row],[Player]],Table2[Player],0),11)/60,IF(Proj[[#This Row],[Pos]] = "D", 'Per 60 PP'!$K$527,'Per 60 PP'!$K$526)/60)*Proj[[#This Row],[TOI PP]]*Proj[[#This Row],[GP]],0)</f>
        <v>0</v>
      </c>
      <c r="R618" s="10">
        <f>ROUND(_xlfn.IFNA(INDEX(Table2[],MATCH(Proj[[#This Row],[Player]],Table2[Player],0),7)/60,IF(Proj[[#This Row],[Pos]] = "D", 'Per 60 PP'!$G$527,'Per 60 PP'!$G$526)/60)*Proj[[#This Row],[TOI PP]]*Proj[[#This Row],[GP]],0)</f>
        <v>0</v>
      </c>
      <c r="S618" s="10">
        <f>Proj[[#This Row],[PPG]]+Proj[[#This Row],[PPA]]</f>
        <v>0</v>
      </c>
      <c r="T618">
        <f>ROUND((_xlfn.IFNA(INDEX(Table3[],MATCH(Proj[[#This Row],[Player]],Table3[Player],0),6)/60,IF(Proj[[#This Row],[Pos]] ="D", 'Per 60 PK'!$F$623, 'Per 60 PK'!$F$622)/60)+_xlfn.IFNA(INDEX(Table3[],MATCH(Proj[[#This Row],[Player]],Table3[Player],0),8)/60,IF(Proj[[#This Row],[Pos]] ="D", 'Per 60 PK'!$H$623, 'Per 60 PK'!$H$622)/60))*Proj[[#This Row],[TOI PK]]*Proj[[#This Row],[GP]],0)</f>
        <v>0</v>
      </c>
      <c r="U6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101</v>
      </c>
      <c r="V6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62</v>
      </c>
      <c r="W6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6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81</v>
      </c>
      <c r="AA6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-562.03327161675315</v>
      </c>
      <c r="AB618" s="10">
        <f>_xlfn.RANK.EQ(Proj[[#This Row],[VOR]],Proj[VOR])</f>
        <v>459</v>
      </c>
      <c r="AC618" s="10">
        <f>INDEX(Std[],MATCH(Proj[[#This Row],[Player]],Std[Player],0),20)</f>
        <v>-454.6685038972887</v>
      </c>
      <c r="AD6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215.6</v>
      </c>
    </row>
    <row r="619" spans="1:30" x14ac:dyDescent="0.25">
      <c r="A619" t="s">
        <v>932</v>
      </c>
      <c r="B619">
        <v>28</v>
      </c>
      <c r="C619" t="s">
        <v>3</v>
      </c>
      <c r="D619" t="s">
        <v>10</v>
      </c>
      <c r="E619" s="9">
        <f>INDEX(Table1[],MATCH(Proj[[#This Row],[Player]],Table1[Player],0),5)</f>
        <v>14.127129110913501</v>
      </c>
      <c r="F619" s="9">
        <f>_xlfn.IFNA(INDEX(Table2[],MATCH(Proj[[#This Row],[Player]],Table2[Player],0),5),0)</f>
        <v>0</v>
      </c>
      <c r="G619" s="9">
        <f>_xlfn.IFNA(INDEX(Table3[],MATCH(Proj[[#This Row],[Player]],Table3[Player],0),5),0)</f>
        <v>1.42</v>
      </c>
      <c r="H619" s="10">
        <v>60</v>
      </c>
      <c r="I619">
        <v>60</v>
      </c>
      <c r="J619" s="9">
        <v>14.127129110913501</v>
      </c>
      <c r="K619" s="9">
        <v>0</v>
      </c>
      <c r="L619" s="9">
        <v>1.42</v>
      </c>
      <c r="M619" s="9">
        <f>Proj[[#This Row],[TOI ES]]+Proj[[#This Row],[TOI PP]]+Proj[[#This Row],[TOI PK]]</f>
        <v>15.547129110913501</v>
      </c>
      <c r="N6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19" s="10">
        <f>Proj[[#This Row],[Goals]]+Proj[[#This Row],[Assists]]</f>
        <v>14</v>
      </c>
      <c r="Q619" s="10">
        <f>ROUND(_xlfn.IFNA(INDEX(Table2[],MATCH(Proj[[#This Row],[Player]],Table2[Player],0),11)/60,IF(Proj[[#This Row],[Pos]] = "D", 'Per 60 PP'!$K$527,'Per 60 PP'!$K$526)/60)*Proj[[#This Row],[TOI PP]]*Proj[[#This Row],[GP]],0)</f>
        <v>0</v>
      </c>
      <c r="R619" s="10">
        <f>ROUND(_xlfn.IFNA(INDEX(Table2[],MATCH(Proj[[#This Row],[Player]],Table2[Player],0),7)/60,IF(Proj[[#This Row],[Pos]] = "D", 'Per 60 PP'!$G$527,'Per 60 PP'!$G$526)/60)*Proj[[#This Row],[TOI PP]]*Proj[[#This Row],[GP]],0)</f>
        <v>0</v>
      </c>
      <c r="S619" s="10">
        <f>Proj[[#This Row],[PPG]]+Proj[[#This Row],[PPA]]</f>
        <v>0</v>
      </c>
      <c r="T619">
        <f>ROUND((_xlfn.IFNA(INDEX(Table3[],MATCH(Proj[[#This Row],[Player]],Table3[Player],0),6)/60,IF(Proj[[#This Row],[Pos]] ="D", 'Per 60 PK'!$F$623, 'Per 60 PK'!$F$622)/60)+_xlfn.IFNA(INDEX(Table3[],MATCH(Proj[[#This Row],[Player]],Table3[Player],0),8)/60,IF(Proj[[#This Row],[Pos]] ="D", 'Per 60 PK'!$H$623, 'Per 60 PK'!$H$622)/60))*Proj[[#This Row],[TOI PK]]*Proj[[#This Row],[GP]],0)</f>
        <v>1</v>
      </c>
      <c r="U6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104</v>
      </c>
      <c r="V6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6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64</v>
      </c>
      <c r="X6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6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-412.56998880219646</v>
      </c>
      <c r="AB619" s="10">
        <f>_xlfn.RANK.EQ(Proj[[#This Row],[VOR]],Proj[VOR])</f>
        <v>379</v>
      </c>
      <c r="AC619" s="10">
        <f>INDEX(Std[],MATCH(Proj[[#This Row],[Player]],Std[Player],0),20)</f>
        <v>-305.20522108273201</v>
      </c>
      <c r="AD6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227.29999999999998</v>
      </c>
    </row>
    <row r="620" spans="1:30" x14ac:dyDescent="0.25">
      <c r="A620" t="s">
        <v>966</v>
      </c>
      <c r="B620">
        <v>28</v>
      </c>
      <c r="C620" t="s">
        <v>3</v>
      </c>
      <c r="D620" t="s">
        <v>8</v>
      </c>
      <c r="E620" s="9">
        <f>INDEX(Table1[],MATCH(Proj[[#This Row],[Player]],Table1[Player],0),5)</f>
        <v>14.25</v>
      </c>
      <c r="F620" s="9">
        <f>_xlfn.IFNA(INDEX(Table2[],MATCH(Proj[[#This Row],[Player]],Table2[Player],0),5),0)</f>
        <v>0</v>
      </c>
      <c r="G620" s="9">
        <f>_xlfn.IFNA(INDEX(Table3[],MATCH(Proj[[#This Row],[Player]],Table3[Player],0),5),0)</f>
        <v>2.08</v>
      </c>
      <c r="H620" s="10">
        <v>76</v>
      </c>
      <c r="I620">
        <v>76</v>
      </c>
      <c r="J620" s="9">
        <v>14.25</v>
      </c>
      <c r="K620" s="9">
        <v>0</v>
      </c>
      <c r="L620" s="9">
        <v>2.08</v>
      </c>
      <c r="M620" s="9">
        <f>Proj[[#This Row],[TOI ES]]+Proj[[#This Row],[TOI PP]]+Proj[[#This Row],[TOI PK]]</f>
        <v>16.329999999999998</v>
      </c>
      <c r="N6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6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13</v>
      </c>
      <c r="P620">
        <f>Proj[[#This Row],[Goals]]+Proj[[#This Row],[Assists]]</f>
        <v>14</v>
      </c>
      <c r="Q620" s="10">
        <f>ROUND(_xlfn.IFNA(INDEX(Table2[],MATCH(Proj[[#This Row],[Player]],Table2[Player],0),11)/60,IF(Proj[[#This Row],[Pos]] = "D", 'Per 60 PP'!$K$527,'Per 60 PP'!$K$526)/60)*Proj[[#This Row],[TOI PP]]*Proj[[#This Row],[GP]],0)</f>
        <v>0</v>
      </c>
      <c r="R620" s="10">
        <f>ROUND(_xlfn.IFNA(INDEX(Table2[],MATCH(Proj[[#This Row],[Player]],Table2[Player],0),7)/60,IF(Proj[[#This Row],[Pos]] = "D", 'Per 60 PP'!$G$527,'Per 60 PP'!$G$526)/60)*Proj[[#This Row],[TOI PP]]*Proj[[#This Row],[GP]],0)</f>
        <v>0</v>
      </c>
      <c r="S620" s="10">
        <f>Proj[[#This Row],[PPG]]+Proj[[#This Row],[PPA]]</f>
        <v>0</v>
      </c>
      <c r="T620">
        <f>ROUND((_xlfn.IFNA(INDEX(Table3[],MATCH(Proj[[#This Row],[Player]],Table3[Player],0),6)/60,IF(Proj[[#This Row],[Pos]] ="D", 'Per 60 PK'!$F$623, 'Per 60 PK'!$F$622)/60)+_xlfn.IFNA(INDEX(Table3[],MATCH(Proj[[#This Row],[Player]],Table3[Player],0),8)/60,IF(Proj[[#This Row],[Pos]] ="D", 'Per 60 PK'!$H$623, 'Per 60 PK'!$H$622)/60))*Proj[[#This Row],[TOI PK]]*Proj[[#This Row],[GP]],0)</f>
        <v>1</v>
      </c>
      <c r="U6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6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123</v>
      </c>
      <c r="W6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60</v>
      </c>
      <c r="X6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6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-323.57165001766032</v>
      </c>
      <c r="AB620" s="10">
        <f>_xlfn.RANK.EQ(Proj[[#This Row],[VOR]],Proj[VOR])</f>
        <v>325</v>
      </c>
      <c r="AC620" s="10">
        <f>INDEX(Std[],MATCH(Proj[[#This Row],[Player]],Std[Player],0),20)</f>
        <v>-216.20688229819586</v>
      </c>
      <c r="AD6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252.25</v>
      </c>
    </row>
    <row r="621" spans="1:30" x14ac:dyDescent="0.25">
      <c r="A621" t="s">
        <v>469</v>
      </c>
      <c r="B621">
        <v>30</v>
      </c>
      <c r="C621" t="s">
        <v>3</v>
      </c>
      <c r="D621" t="s">
        <v>8</v>
      </c>
      <c r="E621" s="9">
        <f>INDEX(Table1[],MATCH(Proj[[#This Row],[Player]],Table1[Player],0),5)</f>
        <v>15.2052548491236</v>
      </c>
      <c r="F621" s="9">
        <f>_xlfn.IFNA(INDEX(Table2[],MATCH(Proj[[#This Row],[Player]],Table2[Player],0),5),0)</f>
        <v>0</v>
      </c>
      <c r="G621" s="9">
        <f>_xlfn.IFNA(INDEX(Table3[],MATCH(Proj[[#This Row],[Player]],Table3[Player],0),5),0)</f>
        <v>1.78</v>
      </c>
      <c r="H621" s="10">
        <v>78</v>
      </c>
      <c r="I621">
        <v>78</v>
      </c>
      <c r="J621" s="9">
        <v>15.2052548491236</v>
      </c>
      <c r="K621" s="9">
        <v>0</v>
      </c>
      <c r="L621" s="9">
        <v>1.78</v>
      </c>
      <c r="M621" s="9">
        <f>Proj[[#This Row],[TOI ES]]+Proj[[#This Row],[TOI PP]]+Proj[[#This Row],[TOI PK]]</f>
        <v>16.985254849123599</v>
      </c>
      <c r="N6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21">
        <f>Proj[[#This Row],[Goals]]+Proj[[#This Row],[Assists]]</f>
        <v>14</v>
      </c>
      <c r="Q621" s="10">
        <f>ROUND(_xlfn.IFNA(INDEX(Table2[],MATCH(Proj[[#This Row],[Player]],Table2[Player],0),11)/60,IF(Proj[[#This Row],[Pos]] = "D", 'Per 60 PP'!$K$527,'Per 60 PP'!$K$526)/60)*Proj[[#This Row],[TOI PP]]*Proj[[#This Row],[GP]],0)</f>
        <v>0</v>
      </c>
      <c r="R621" s="10">
        <f>ROUND(_xlfn.IFNA(INDEX(Table2[],MATCH(Proj[[#This Row],[Player]],Table2[Player],0),7)/60,IF(Proj[[#This Row],[Pos]] = "D", 'Per 60 PP'!$G$527,'Per 60 PP'!$G$526)/60)*Proj[[#This Row],[TOI PP]]*Proj[[#This Row],[GP]],0)</f>
        <v>0</v>
      </c>
      <c r="S621" s="10">
        <f>Proj[[#This Row],[PPG]]+Proj[[#This Row],[PPA]]</f>
        <v>0</v>
      </c>
      <c r="T621">
        <f>ROUND((_xlfn.IFNA(INDEX(Table3[],MATCH(Proj[[#This Row],[Player]],Table3[Player],0),6)/60,IF(Proj[[#This Row],[Pos]] ="D", 'Per 60 PK'!$F$623, 'Per 60 PK'!$F$622)/60)+_xlfn.IFNA(INDEX(Table3[],MATCH(Proj[[#This Row],[Player]],Table3[Player],0),8)/60,IF(Proj[[#This Row],[Pos]] ="D", 'Per 60 PK'!$H$623, 'Per 60 PK'!$H$622)/60))*Proj[[#This Row],[TOI PK]]*Proj[[#This Row],[GP]],0)</f>
        <v>1</v>
      </c>
      <c r="U6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119</v>
      </c>
      <c r="V6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116</v>
      </c>
      <c r="W6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6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6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-340.50628066121828</v>
      </c>
      <c r="AB621" s="10">
        <f>_xlfn.RANK.EQ(Proj[[#This Row],[VOR]],Proj[VOR])</f>
        <v>336</v>
      </c>
      <c r="AC621" s="10">
        <f>INDEX(Std[],MATCH(Proj[[#This Row],[Player]],Std[Player],0),20)</f>
        <v>-233.14151294175383</v>
      </c>
      <c r="AD6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260.09999999999997</v>
      </c>
    </row>
    <row r="622" spans="1:30" x14ac:dyDescent="0.25">
      <c r="A622" t="s">
        <v>1039</v>
      </c>
      <c r="B622">
        <v>24</v>
      </c>
      <c r="C622" t="s">
        <v>74</v>
      </c>
      <c r="D622" t="s">
        <v>18</v>
      </c>
      <c r="E622" s="9">
        <f>INDEX(Table1[],MATCH(Proj[[#This Row],[Player]],Table1[Player],0),5)</f>
        <v>9.7481135441925506</v>
      </c>
      <c r="F622" s="9">
        <f>_xlfn.IFNA(INDEX(Table2[],MATCH(Proj[[#This Row],[Player]],Table2[Player],0),5),0)</f>
        <v>0</v>
      </c>
      <c r="G622" s="9">
        <f>_xlfn.IFNA(INDEX(Table3[],MATCH(Proj[[#This Row],[Player]],Table3[Player],0),5),0)</f>
        <v>0</v>
      </c>
      <c r="H622" s="10">
        <v>64</v>
      </c>
      <c r="I622">
        <v>64</v>
      </c>
      <c r="J622" s="9">
        <v>9.7481135441925506</v>
      </c>
      <c r="K622" s="9">
        <v>0</v>
      </c>
      <c r="L622" s="9">
        <v>0</v>
      </c>
      <c r="M622" s="9">
        <f>Proj[[#This Row],[TOI ES]]+Proj[[#This Row],[TOI PP]]+Proj[[#This Row],[TOI PK]]</f>
        <v>9.7481135441925506</v>
      </c>
      <c r="N6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22" s="10">
        <f>Proj[[#This Row],[Goals]]+Proj[[#This Row],[Assists]]</f>
        <v>14</v>
      </c>
      <c r="Q622" s="10">
        <f>ROUND(_xlfn.IFNA(INDEX(Table2[],MATCH(Proj[[#This Row],[Player]],Table2[Player],0),11)/60,IF(Proj[[#This Row],[Pos]] = "D", 'Per 60 PP'!$K$527,'Per 60 PP'!$K$526)/60)*Proj[[#This Row],[TOI PP]]*Proj[[#This Row],[GP]],0)</f>
        <v>0</v>
      </c>
      <c r="R622" s="10">
        <f>ROUND(_xlfn.IFNA(INDEX(Table2[],MATCH(Proj[[#This Row],[Player]],Table2[Player],0),7)/60,IF(Proj[[#This Row],[Pos]] = "D", 'Per 60 PP'!$G$527,'Per 60 PP'!$G$526)/60)*Proj[[#This Row],[TOI PP]]*Proj[[#This Row],[GP]],0)</f>
        <v>0</v>
      </c>
      <c r="S622" s="10">
        <f>Proj[[#This Row],[PPG]]+Proj[[#This Row],[PPA]]</f>
        <v>0</v>
      </c>
      <c r="T622">
        <f>ROUND((_xlfn.IFNA(INDEX(Table3[],MATCH(Proj[[#This Row],[Player]],Table3[Player],0),6)/60,IF(Proj[[#This Row],[Pos]] ="D", 'Per 60 PK'!$F$623, 'Per 60 PK'!$F$622)/60)+_xlfn.IFNA(INDEX(Table3[],MATCH(Proj[[#This Row],[Player]],Table3[Player],0),8)/60,IF(Proj[[#This Row],[Pos]] ="D", 'Per 60 PK'!$H$623, 'Per 60 PK'!$H$622)/60))*Proj[[#This Row],[TOI PK]]*Proj[[#This Row],[GP]],0)</f>
        <v>0</v>
      </c>
      <c r="U6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146</v>
      </c>
      <c r="V6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24</v>
      </c>
      <c r="W6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33</v>
      </c>
      <c r="X6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v>
      </c>
      <c r="Y6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19</v>
      </c>
      <c r="Z6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6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-1226.0543596417881</v>
      </c>
      <c r="AB622" s="10">
        <f>_xlfn.RANK.EQ(Proj[[#This Row],[VOR]],Proj[VOR])</f>
        <v>700</v>
      </c>
      <c r="AC622" s="10">
        <f>INDEX(Std[],MATCH(Proj[[#This Row],[Player]],Std[Player],0),20)</f>
        <v>-491.42050533148955</v>
      </c>
      <c r="AD6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207.29999999999998</v>
      </c>
    </row>
    <row r="623" spans="1:30" x14ac:dyDescent="0.25">
      <c r="A623" t="s">
        <v>493</v>
      </c>
      <c r="B623">
        <v>30</v>
      </c>
      <c r="C623" t="s">
        <v>102</v>
      </c>
      <c r="D623" t="s">
        <v>22</v>
      </c>
      <c r="E623" s="9">
        <f>INDEX(Table1[],MATCH(Proj[[#This Row],[Player]],Table1[Player],0),5)</f>
        <v>9.4397137787878709</v>
      </c>
      <c r="F623" s="9">
        <f>_xlfn.IFNA(INDEX(Table2[],MATCH(Proj[[#This Row],[Player]],Table2[Player],0),5),0)</f>
        <v>0</v>
      </c>
      <c r="G623" s="9">
        <f>_xlfn.IFNA(INDEX(Table3[],MATCH(Proj[[#This Row],[Player]],Table3[Player],0),5),0)</f>
        <v>0.39</v>
      </c>
      <c r="H623" s="10">
        <v>79</v>
      </c>
      <c r="I623">
        <v>79</v>
      </c>
      <c r="J623" s="9">
        <v>9.4397137787878709</v>
      </c>
      <c r="K623" s="9">
        <v>0</v>
      </c>
      <c r="L623" s="9">
        <v>0.39</v>
      </c>
      <c r="M623" s="9">
        <f>Proj[[#This Row],[TOI ES]]+Proj[[#This Row],[TOI PP]]+Proj[[#This Row],[TOI PK]]</f>
        <v>9.8297137787878714</v>
      </c>
      <c r="N6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8</v>
      </c>
      <c r="O6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23">
        <f>Proj[[#This Row],[Goals]]+Proj[[#This Row],[Assists]]</f>
        <v>14</v>
      </c>
      <c r="Q623" s="10">
        <f>ROUND(_xlfn.IFNA(INDEX(Table2[],MATCH(Proj[[#This Row],[Player]],Table2[Player],0),11)/60,IF(Proj[[#This Row],[Pos]] = "D", 'Per 60 PP'!$K$527,'Per 60 PP'!$K$526)/60)*Proj[[#This Row],[TOI PP]]*Proj[[#This Row],[GP]],0)</f>
        <v>0</v>
      </c>
      <c r="R623" s="10">
        <f>ROUND(_xlfn.IFNA(INDEX(Table2[],MATCH(Proj[[#This Row],[Player]],Table2[Player],0),7)/60,IF(Proj[[#This Row],[Pos]] = "D", 'Per 60 PP'!$G$527,'Per 60 PP'!$G$526)/60)*Proj[[#This Row],[TOI PP]]*Proj[[#This Row],[GP]],0)</f>
        <v>0</v>
      </c>
      <c r="S623" s="10">
        <f>Proj[[#This Row],[PPG]]+Proj[[#This Row],[PPA]]</f>
        <v>0</v>
      </c>
      <c r="T623">
        <f>ROUND((_xlfn.IFNA(INDEX(Table3[],MATCH(Proj[[#This Row],[Player]],Table3[Player],0),6)/60,IF(Proj[[#This Row],[Pos]] ="D", 'Per 60 PK'!$F$623, 'Per 60 PK'!$F$622)/60)+_xlfn.IFNA(INDEX(Table3[],MATCH(Proj[[#This Row],[Player]],Table3[Player],0),8)/60,IF(Proj[[#This Row],[Pos]] ="D", 'Per 60 PK'!$H$623, 'Per 60 PK'!$H$622)/60))*Proj[[#This Row],[TOI PK]]*Proj[[#This Row],[GP]],0)</f>
        <v>0</v>
      </c>
      <c r="U6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156</v>
      </c>
      <c r="V6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6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87</v>
      </c>
      <c r="X6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6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6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88</v>
      </c>
      <c r="AA6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-627.39460242600182</v>
      </c>
      <c r="AB623" s="10">
        <f>_xlfn.RANK.EQ(Proj[[#This Row],[VOR]],Proj[VOR])</f>
        <v>491</v>
      </c>
      <c r="AC623" s="10">
        <f>INDEX(Std[],MATCH(Proj[[#This Row],[Player]],Std[Player],0),20)</f>
        <v>-155.84987803575294</v>
      </c>
      <c r="AD6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256.10000000000002</v>
      </c>
    </row>
    <row r="624" spans="1:30" x14ac:dyDescent="0.25">
      <c r="A624" t="s">
        <v>338</v>
      </c>
      <c r="B624">
        <v>31</v>
      </c>
      <c r="C624" t="s">
        <v>3</v>
      </c>
      <c r="D624" t="s">
        <v>21</v>
      </c>
      <c r="E624" s="9">
        <f>INDEX(Table1[],MATCH(Proj[[#This Row],[Player]],Table1[Player],0),5)</f>
        <v>17.254933380292901</v>
      </c>
      <c r="F624" s="9">
        <f>_xlfn.IFNA(INDEX(Table2[],MATCH(Proj[[#This Row],[Player]],Table2[Player],0),5),0)</f>
        <v>0</v>
      </c>
      <c r="G624" s="9">
        <f>_xlfn.IFNA(INDEX(Table3[],MATCH(Proj[[#This Row],[Player]],Table3[Player],0),5),0)</f>
        <v>2.33</v>
      </c>
      <c r="H624" s="10">
        <v>80</v>
      </c>
      <c r="I624">
        <v>80</v>
      </c>
      <c r="J624" s="9">
        <v>17.254933380292901</v>
      </c>
      <c r="K624" s="9">
        <v>0</v>
      </c>
      <c r="L624" s="9">
        <v>2.33</v>
      </c>
      <c r="M624" s="9">
        <f>Proj[[#This Row],[TOI ES]]+Proj[[#This Row],[TOI PP]]+Proj[[#This Row],[TOI PK]]</f>
        <v>19.584933380292902</v>
      </c>
      <c r="N6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24" s="10">
        <f>Proj[[#This Row],[Goals]]+Proj[[#This Row],[Assists]]</f>
        <v>14</v>
      </c>
      <c r="Q624" s="10">
        <f>ROUND(_xlfn.IFNA(INDEX(Table2[],MATCH(Proj[[#This Row],[Player]],Table2[Player],0),11)/60,IF(Proj[[#This Row],[Pos]] = "D", 'Per 60 PP'!$K$527,'Per 60 PP'!$K$526)/60)*Proj[[#This Row],[TOI PP]]*Proj[[#This Row],[GP]],0)</f>
        <v>0</v>
      </c>
      <c r="R624" s="10">
        <f>ROUND(_xlfn.IFNA(INDEX(Table2[],MATCH(Proj[[#This Row],[Player]],Table2[Player],0),7)/60,IF(Proj[[#This Row],[Pos]] = "D", 'Per 60 PP'!$G$527,'Per 60 PP'!$G$526)/60)*Proj[[#This Row],[TOI PP]]*Proj[[#This Row],[GP]],0)</f>
        <v>0</v>
      </c>
      <c r="S624" s="10">
        <f>Proj[[#This Row],[PPG]]+Proj[[#This Row],[PPA]]</f>
        <v>0</v>
      </c>
      <c r="T624">
        <f>ROUND((_xlfn.IFNA(INDEX(Table3[],MATCH(Proj[[#This Row],[Player]],Table3[Player],0),6)/60,IF(Proj[[#This Row],[Pos]] ="D", 'Per 60 PK'!$F$623, 'Per 60 PK'!$F$622)/60)+_xlfn.IFNA(INDEX(Table3[],MATCH(Proj[[#This Row],[Player]],Table3[Player],0),8)/60,IF(Proj[[#This Row],[Pos]] ="D", 'Per 60 PK'!$H$623, 'Per 60 PK'!$H$622)/60))*Proj[[#This Row],[TOI PK]]*Proj[[#This Row],[GP]],0)</f>
        <v>1</v>
      </c>
      <c r="U6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166</v>
      </c>
      <c r="V6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189</v>
      </c>
      <c r="W6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64</v>
      </c>
      <c r="X6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6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15.814862314602024</v>
      </c>
      <c r="AB624" s="10">
        <f>_xlfn.RANK.EQ(Proj[[#This Row],[VOR]],Proj[VOR])</f>
        <v>152</v>
      </c>
      <c r="AC624" s="10">
        <f>INDEX(Std[],MATCH(Proj[[#This Row],[Player]],Std[Player],0),20)</f>
        <v>123.17963003406651</v>
      </c>
      <c r="AD6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346.1</v>
      </c>
    </row>
    <row r="625" spans="1:30" x14ac:dyDescent="0.25">
      <c r="A625" t="s">
        <v>468</v>
      </c>
      <c r="B625">
        <v>32</v>
      </c>
      <c r="C625" t="s">
        <v>3</v>
      </c>
      <c r="D625" t="s">
        <v>30</v>
      </c>
      <c r="E625" s="9">
        <f>INDEX(Table1[],MATCH(Proj[[#This Row],[Player]],Table1[Player],0),5)</f>
        <v>15.25</v>
      </c>
      <c r="F625" s="9">
        <f>_xlfn.IFNA(INDEX(Table2[],MATCH(Proj[[#This Row],[Player]],Table2[Player],0),5),0)</f>
        <v>0</v>
      </c>
      <c r="G625" s="9">
        <f>_xlfn.IFNA(INDEX(Table3[],MATCH(Proj[[#This Row],[Player]],Table3[Player],0),5),0)</f>
        <v>3.25</v>
      </c>
      <c r="H625" s="10">
        <v>74</v>
      </c>
      <c r="I625">
        <v>74</v>
      </c>
      <c r="J625" s="9">
        <v>15.25</v>
      </c>
      <c r="K625" s="9">
        <v>0</v>
      </c>
      <c r="L625" s="9">
        <v>3.25</v>
      </c>
      <c r="M625" s="9">
        <f>Proj[[#This Row],[TOI ES]]+Proj[[#This Row],[TOI PP]]+Proj[[#This Row],[TOI PK]]</f>
        <v>18.5</v>
      </c>
      <c r="N6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25" s="10">
        <f>Proj[[#This Row],[Goals]]+Proj[[#This Row],[Assists]]</f>
        <v>14</v>
      </c>
      <c r="Q625" s="10">
        <f>ROUND(_xlfn.IFNA(INDEX(Table2[],MATCH(Proj[[#This Row],[Player]],Table2[Player],0),11)/60,IF(Proj[[#This Row],[Pos]] = "D", 'Per 60 PP'!$K$527,'Per 60 PP'!$K$526)/60)*Proj[[#This Row],[TOI PP]]*Proj[[#This Row],[GP]],0)</f>
        <v>0</v>
      </c>
      <c r="R625" s="10">
        <f>ROUND(_xlfn.IFNA(INDEX(Table2[],MATCH(Proj[[#This Row],[Player]],Table2[Player],0),7)/60,IF(Proj[[#This Row],[Pos]] = "D", 'Per 60 PP'!$G$527,'Per 60 PP'!$G$526)/60)*Proj[[#This Row],[TOI PP]]*Proj[[#This Row],[GP]],0)</f>
        <v>0</v>
      </c>
      <c r="S625" s="10">
        <f>Proj[[#This Row],[PPG]]+Proj[[#This Row],[PPA]]</f>
        <v>0</v>
      </c>
      <c r="T625">
        <f>ROUND((_xlfn.IFNA(INDEX(Table3[],MATCH(Proj[[#This Row],[Player]],Table3[Player],0),6)/60,IF(Proj[[#This Row],[Pos]] ="D", 'Per 60 PK'!$F$623, 'Per 60 PK'!$F$622)/60)+_xlfn.IFNA(INDEX(Table3[],MATCH(Proj[[#This Row],[Player]],Table3[Player],0),8)/60,IF(Proj[[#This Row],[Pos]] ="D", 'Per 60 PK'!$H$623, 'Per 60 PK'!$H$622)/60))*Proj[[#This Row],[TOI PK]]*Proj[[#This Row],[GP]],0)</f>
        <v>1</v>
      </c>
      <c r="U6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209</v>
      </c>
      <c r="V6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120</v>
      </c>
      <c r="W6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6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6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-150.52643235963427</v>
      </c>
      <c r="AB625" s="10">
        <f>_xlfn.RANK.EQ(Proj[[#This Row],[VOR]],Proj[VOR])</f>
        <v>221</v>
      </c>
      <c r="AC625" s="10">
        <f>INDEX(Std[],MATCH(Proj[[#This Row],[Player]],Std[Player],0),20)</f>
        <v>-43.161664640169803</v>
      </c>
      <c r="AD6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317.39999999999998</v>
      </c>
    </row>
    <row r="626" spans="1:30" x14ac:dyDescent="0.25">
      <c r="A626" t="s">
        <v>623</v>
      </c>
      <c r="B626">
        <v>23</v>
      </c>
      <c r="C626" t="s">
        <v>103</v>
      </c>
      <c r="D626" t="s">
        <v>16</v>
      </c>
      <c r="E626" s="9">
        <f>INDEX(Table1[],MATCH(Proj[[#This Row],[Player]],Table1[Player],0),5)</f>
        <v>10.5802535751384</v>
      </c>
      <c r="F626" s="9">
        <f>_xlfn.IFNA(INDEX(Table2[],MATCH(Proj[[#This Row],[Player]],Table2[Player],0),5),0)</f>
        <v>0</v>
      </c>
      <c r="G626" s="9">
        <f>_xlfn.IFNA(INDEX(Table3[],MATCH(Proj[[#This Row],[Player]],Table3[Player],0),5),0)</f>
        <v>0</v>
      </c>
      <c r="H626" s="10">
        <v>74</v>
      </c>
      <c r="I626">
        <v>74</v>
      </c>
      <c r="J626" s="9">
        <v>10.5802535751384</v>
      </c>
      <c r="K626" s="9">
        <v>0</v>
      </c>
      <c r="L626" s="9">
        <v>0</v>
      </c>
      <c r="M626" s="9">
        <f>Proj[[#This Row],[TOI ES]]+Proj[[#This Row],[TOI PP]]+Proj[[#This Row],[TOI PK]]</f>
        <v>10.5802535751384</v>
      </c>
      <c r="N6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26" s="10">
        <f>Proj[[#This Row],[Goals]]+Proj[[#This Row],[Assists]]</f>
        <v>14</v>
      </c>
      <c r="Q626" s="10">
        <f>ROUND(_xlfn.IFNA(INDEX(Table2[],MATCH(Proj[[#This Row],[Player]],Table2[Player],0),11)/60,IF(Proj[[#This Row],[Pos]] = "D", 'Per 60 PP'!$K$527,'Per 60 PP'!$K$526)/60)*Proj[[#This Row],[TOI PP]]*Proj[[#This Row],[GP]],0)</f>
        <v>0</v>
      </c>
      <c r="R626" s="10">
        <f>ROUND(_xlfn.IFNA(INDEX(Table2[],MATCH(Proj[[#This Row],[Player]],Table2[Player],0),7)/60,IF(Proj[[#This Row],[Pos]] = "D", 'Per 60 PP'!$G$527,'Per 60 PP'!$G$526)/60)*Proj[[#This Row],[TOI PP]]*Proj[[#This Row],[GP]],0)</f>
        <v>0</v>
      </c>
      <c r="S626" s="10">
        <f>Proj[[#This Row],[PPG]]+Proj[[#This Row],[PPA]]</f>
        <v>0</v>
      </c>
      <c r="T626">
        <f>ROUND((_xlfn.IFNA(INDEX(Table3[],MATCH(Proj[[#This Row],[Player]],Table3[Player],0),6)/60,IF(Proj[[#This Row],[Pos]] ="D", 'Per 60 PK'!$F$623, 'Per 60 PK'!$F$622)/60)+_xlfn.IFNA(INDEX(Table3[],MATCH(Proj[[#This Row],[Player]],Table3[Player],0),8)/60,IF(Proj[[#This Row],[Pos]] ="D", 'Per 60 PK'!$H$623, 'Per 60 PK'!$H$622)/60))*Proj[[#This Row],[TOI PK]]*Proj[[#This Row],[GP]],0)</f>
        <v>0</v>
      </c>
      <c r="U6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216</v>
      </c>
      <c r="V6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6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6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6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6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6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-801.83474692688787</v>
      </c>
      <c r="AB626" s="10">
        <f>_xlfn.RANK.EQ(Proj[[#This Row],[VOR]],Proj[VOR])</f>
        <v>589</v>
      </c>
      <c r="AC626" s="10">
        <f>INDEX(Std[],MATCH(Proj[[#This Row],[Player]],Std[Player],0),20)</f>
        <v>-355.29002253663896</v>
      </c>
      <c r="AD6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258.04999999999995</v>
      </c>
    </row>
    <row r="627" spans="1:30" x14ac:dyDescent="0.25">
      <c r="A627" t="s">
        <v>357</v>
      </c>
      <c r="B627">
        <v>35</v>
      </c>
      <c r="C627" t="s">
        <v>3</v>
      </c>
      <c r="D627" t="s">
        <v>7</v>
      </c>
      <c r="E627" s="9">
        <f>INDEX(Table1[],MATCH(Proj[[#This Row],[Player]],Table1[Player],0),5)</f>
        <v>13.7926744392168</v>
      </c>
      <c r="F627" s="9">
        <f>_xlfn.IFNA(INDEX(Table2[],MATCH(Proj[[#This Row],[Player]],Table2[Player],0),5),0)</f>
        <v>0</v>
      </c>
      <c r="G627" s="9">
        <f>_xlfn.IFNA(INDEX(Table3[],MATCH(Proj[[#This Row],[Player]],Table3[Player],0),5),0)</f>
        <v>1.59</v>
      </c>
      <c r="H627" s="10">
        <v>70</v>
      </c>
      <c r="I627">
        <v>70</v>
      </c>
      <c r="J627" s="9">
        <v>13.7926744392168</v>
      </c>
      <c r="K627" s="9">
        <v>0</v>
      </c>
      <c r="L627" s="9">
        <v>1.59</v>
      </c>
      <c r="M627" s="9">
        <f>Proj[[#This Row],[TOI ES]]+Proj[[#This Row],[TOI PP]]+Proj[[#This Row],[TOI PK]]</f>
        <v>15.3826744392168</v>
      </c>
      <c r="N6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627">
        <f>Proj[[#This Row],[Goals]]+Proj[[#This Row],[Assists]]</f>
        <v>14</v>
      </c>
      <c r="Q627" s="10">
        <f>ROUND(_xlfn.IFNA(INDEX(Table2[],MATCH(Proj[[#This Row],[Player]],Table2[Player],0),11)/60,IF(Proj[[#This Row],[Pos]] = "D", 'Per 60 PP'!$K$527,'Per 60 PP'!$K$526)/60)*Proj[[#This Row],[TOI PP]]*Proj[[#This Row],[GP]],0)</f>
        <v>0</v>
      </c>
      <c r="R627" s="10">
        <f>ROUND(_xlfn.IFNA(INDEX(Table2[],MATCH(Proj[[#This Row],[Player]],Table2[Player],0),7)/60,IF(Proj[[#This Row],[Pos]] = "D", 'Per 60 PP'!$G$527,'Per 60 PP'!$G$526)/60)*Proj[[#This Row],[TOI PP]]*Proj[[#This Row],[GP]],0)</f>
        <v>0</v>
      </c>
      <c r="S627" s="10">
        <f>Proj[[#This Row],[PPG]]+Proj[[#This Row],[PPA]]</f>
        <v>0</v>
      </c>
      <c r="T627">
        <f>ROUND((_xlfn.IFNA(INDEX(Table3[],MATCH(Proj[[#This Row],[Player]],Table3[Player],0),6)/60,IF(Proj[[#This Row],[Pos]] ="D", 'Per 60 PK'!$F$623, 'Per 60 PK'!$F$622)/60)+_xlfn.IFNA(INDEX(Table3[],MATCH(Proj[[#This Row],[Player]],Table3[Player],0),8)/60,IF(Proj[[#This Row],[Pos]] ="D", 'Per 60 PK'!$H$623, 'Per 60 PK'!$H$622)/60))*Proj[[#This Row],[TOI PK]]*Proj[[#This Row],[GP]],0)</f>
        <v>1</v>
      </c>
      <c r="U6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223</v>
      </c>
      <c r="V6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94</v>
      </c>
      <c r="W6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6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81</v>
      </c>
      <c r="AA6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-138.0703385125604</v>
      </c>
      <c r="AB627" s="10">
        <f>_xlfn.RANK.EQ(Proj[[#This Row],[VOR]],Proj[VOR])</f>
        <v>216</v>
      </c>
      <c r="AC627" s="10">
        <f>INDEX(Std[],MATCH(Proj[[#This Row],[Player]],Std[Player],0),20)</f>
        <v>-30.705570793095905</v>
      </c>
      <c r="AD6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316.75</v>
      </c>
    </row>
    <row r="628" spans="1:30" x14ac:dyDescent="0.25">
      <c r="A628" t="s">
        <v>721</v>
      </c>
      <c r="B628">
        <v>37</v>
      </c>
      <c r="C628" t="s">
        <v>3</v>
      </c>
      <c r="D628" t="s">
        <v>154</v>
      </c>
      <c r="E628" s="9">
        <f>INDEX(Table1[],MATCH(Proj[[#This Row],[Player]],Table1[Player],0),5)</f>
        <v>14.745831723830801</v>
      </c>
      <c r="F628" s="9">
        <f>_xlfn.IFNA(INDEX(Table2[],MATCH(Proj[[#This Row],[Player]],Table2[Player],0),5),0)</f>
        <v>0</v>
      </c>
      <c r="G628" s="9">
        <f>_xlfn.IFNA(INDEX(Table3[],MATCH(Proj[[#This Row],[Player]],Table3[Player],0),5),0)</f>
        <v>1.83</v>
      </c>
      <c r="H628" s="10">
        <v>63</v>
      </c>
      <c r="I628">
        <v>63</v>
      </c>
      <c r="J628" s="9">
        <v>14.745831723830801</v>
      </c>
      <c r="K628" s="9">
        <v>0</v>
      </c>
      <c r="L628" s="9">
        <v>1.83</v>
      </c>
      <c r="M628" s="9">
        <f>Proj[[#This Row],[TOI ES]]+Proj[[#This Row],[TOI PP]]+Proj[[#This Row],[TOI PK]]</f>
        <v>16.575831723830802</v>
      </c>
      <c r="N6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28">
        <f>Proj[[#This Row],[Goals]]+Proj[[#This Row],[Assists]]</f>
        <v>13</v>
      </c>
      <c r="Q628" s="10">
        <f>ROUND(_xlfn.IFNA(INDEX(Table2[],MATCH(Proj[[#This Row],[Player]],Table2[Player],0),11)/60,IF(Proj[[#This Row],[Pos]] = "D", 'Per 60 PP'!$K$527,'Per 60 PP'!$K$526)/60)*Proj[[#This Row],[TOI PP]]*Proj[[#This Row],[GP]],0)</f>
        <v>0</v>
      </c>
      <c r="R628" s="10">
        <f>ROUND(_xlfn.IFNA(INDEX(Table2[],MATCH(Proj[[#This Row],[Player]],Table2[Player],0),7)/60,IF(Proj[[#This Row],[Pos]] = "D", 'Per 60 PP'!$G$527,'Per 60 PP'!$G$526)/60)*Proj[[#This Row],[TOI PP]]*Proj[[#This Row],[GP]],0)</f>
        <v>0</v>
      </c>
      <c r="S628" s="10">
        <f>Proj[[#This Row],[PPG]]+Proj[[#This Row],[PPA]]</f>
        <v>0</v>
      </c>
      <c r="T628">
        <f>ROUND((_xlfn.IFNA(INDEX(Table3[],MATCH(Proj[[#This Row],[Player]],Table3[Player],0),6)/60,IF(Proj[[#This Row],[Pos]] ="D", 'Per 60 PK'!$F$623, 'Per 60 PK'!$F$622)/60)+_xlfn.IFNA(INDEX(Table3[],MATCH(Proj[[#This Row],[Player]],Table3[Player],0),8)/60,IF(Proj[[#This Row],[Pos]] ="D", 'Per 60 PK'!$H$623, 'Per 60 PK'!$H$622)/60))*Proj[[#This Row],[TOI PK]]*Proj[[#This Row],[GP]],0)</f>
        <v>0</v>
      </c>
      <c r="U6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35</v>
      </c>
      <c r="V6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6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6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66</v>
      </c>
      <c r="AA6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-663.86929392912816</v>
      </c>
      <c r="AB628" s="10">
        <f>_xlfn.RANK.EQ(Proj[[#This Row],[VOR]],Proj[VOR])</f>
        <v>510</v>
      </c>
      <c r="AC628" s="10">
        <f>INDEX(Std[],MATCH(Proj[[#This Row],[Player]],Std[Player],0),20)</f>
        <v>-556.50452620966371</v>
      </c>
      <c r="AD6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188.45</v>
      </c>
    </row>
    <row r="629" spans="1:30" x14ac:dyDescent="0.25">
      <c r="A629" t="s">
        <v>981</v>
      </c>
      <c r="B629">
        <v>26</v>
      </c>
      <c r="C629" t="s">
        <v>3</v>
      </c>
      <c r="D629" t="s">
        <v>4</v>
      </c>
      <c r="E629" s="9">
        <f>INDEX(Table1[],MATCH(Proj[[#This Row],[Player]],Table1[Player],0),5)</f>
        <v>15.299460933696301</v>
      </c>
      <c r="F629" s="9">
        <f>_xlfn.IFNA(INDEX(Table2[],MATCH(Proj[[#This Row],[Player]],Table2[Player],0),5),0)</f>
        <v>0</v>
      </c>
      <c r="G629" s="9">
        <f>_xlfn.IFNA(INDEX(Table3[],MATCH(Proj[[#This Row],[Player]],Table3[Player],0),5),0)</f>
        <v>0</v>
      </c>
      <c r="H629" s="10">
        <v>64</v>
      </c>
      <c r="I629">
        <v>64</v>
      </c>
      <c r="J629" s="9">
        <v>15.299460933696301</v>
      </c>
      <c r="K629" s="9">
        <v>0</v>
      </c>
      <c r="L629" s="9">
        <v>0</v>
      </c>
      <c r="M629" s="9">
        <f>Proj[[#This Row],[TOI ES]]+Proj[[#This Row],[TOI PP]]+Proj[[#This Row],[TOI PK]]</f>
        <v>15.299460933696301</v>
      </c>
      <c r="N6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629">
        <f>Proj[[#This Row],[Goals]]+Proj[[#This Row],[Assists]]</f>
        <v>13</v>
      </c>
      <c r="Q629" s="10">
        <f>ROUND(_xlfn.IFNA(INDEX(Table2[],MATCH(Proj[[#This Row],[Player]],Table2[Player],0),11)/60,IF(Proj[[#This Row],[Pos]] = "D", 'Per 60 PP'!$K$527,'Per 60 PP'!$K$526)/60)*Proj[[#This Row],[TOI PP]]*Proj[[#This Row],[GP]],0)</f>
        <v>0</v>
      </c>
      <c r="R629" s="10">
        <f>ROUND(_xlfn.IFNA(INDEX(Table2[],MATCH(Proj[[#This Row],[Player]],Table2[Player],0),7)/60,IF(Proj[[#This Row],[Pos]] = "D", 'Per 60 PP'!$G$527,'Per 60 PP'!$G$526)/60)*Proj[[#This Row],[TOI PP]]*Proj[[#This Row],[GP]],0)</f>
        <v>0</v>
      </c>
      <c r="S629" s="10">
        <f>Proj[[#This Row],[PPG]]+Proj[[#This Row],[PPA]]</f>
        <v>0</v>
      </c>
      <c r="T629">
        <f>ROUND((_xlfn.IFNA(INDEX(Table3[],MATCH(Proj[[#This Row],[Player]],Table3[Player],0),6)/60,IF(Proj[[#This Row],[Pos]] ="D", 'Per 60 PK'!$F$623, 'Per 60 PK'!$F$622)/60)+_xlfn.IFNA(INDEX(Table3[],MATCH(Proj[[#This Row],[Player]],Table3[Player],0),8)/60,IF(Proj[[#This Row],[Pos]] ="D", 'Per 60 PK'!$H$623, 'Per 60 PK'!$H$622)/60))*Proj[[#This Row],[TOI PK]]*Proj[[#This Row],[GP]],0)</f>
        <v>0</v>
      </c>
      <c r="U6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38</v>
      </c>
      <c r="V6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6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6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49</v>
      </c>
      <c r="AA6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-712.51616509774362</v>
      </c>
      <c r="AB629" s="10">
        <f>_xlfn.RANK.EQ(Proj[[#This Row],[VOR]],Proj[VOR])</f>
        <v>534</v>
      </c>
      <c r="AC629" s="10">
        <f>INDEX(Std[],MATCH(Proj[[#This Row],[Player]],Std[Player],0),20)</f>
        <v>-605.15139737827917</v>
      </c>
      <c r="AD6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157.04999999999998</v>
      </c>
    </row>
    <row r="630" spans="1:30" x14ac:dyDescent="0.25">
      <c r="A630" t="s">
        <v>788</v>
      </c>
      <c r="B630">
        <v>39</v>
      </c>
      <c r="C630" t="s">
        <v>102</v>
      </c>
      <c r="D630" t="s">
        <v>1101</v>
      </c>
      <c r="E630" s="9">
        <f>INDEX(Table1[],MATCH(Proj[[#This Row],[Player]],Table1[Player],0),5)</f>
        <v>8.3887266721383202</v>
      </c>
      <c r="F630" s="9">
        <f>_xlfn.IFNA(INDEX(Table2[],MATCH(Proj[[#This Row],[Player]],Table2[Player],0),5),0)</f>
        <v>0</v>
      </c>
      <c r="G630" s="9">
        <f>_xlfn.IFNA(INDEX(Table3[],MATCH(Proj[[#This Row],[Player]],Table3[Player],0),5),0)</f>
        <v>1.96</v>
      </c>
      <c r="H630" s="10">
        <v>67</v>
      </c>
      <c r="I630">
        <v>67</v>
      </c>
      <c r="J630" s="9">
        <v>8.3887266721383202</v>
      </c>
      <c r="K630" s="9">
        <v>0</v>
      </c>
      <c r="L630" s="9">
        <v>1.96</v>
      </c>
      <c r="M630" s="9">
        <f>Proj[[#This Row],[TOI ES]]+Proj[[#This Row],[TOI PP]]+Proj[[#This Row],[TOI PK]]</f>
        <v>10.348726672138319</v>
      </c>
      <c r="N6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30">
        <f>Proj[[#This Row],[Goals]]+Proj[[#This Row],[Assists]]</f>
        <v>13</v>
      </c>
      <c r="Q630" s="10">
        <f>ROUND(_xlfn.IFNA(INDEX(Table2[],MATCH(Proj[[#This Row],[Player]],Table2[Player],0),11)/60,IF(Proj[[#This Row],[Pos]] = "D", 'Per 60 PP'!$K$527,'Per 60 PP'!$K$526)/60)*Proj[[#This Row],[TOI PP]]*Proj[[#This Row],[GP]],0)</f>
        <v>0</v>
      </c>
      <c r="R630" s="10">
        <f>ROUND(_xlfn.IFNA(INDEX(Table2[],MATCH(Proj[[#This Row],[Player]],Table2[Player],0),7)/60,IF(Proj[[#This Row],[Pos]] = "D", 'Per 60 PP'!$G$527,'Per 60 PP'!$G$526)/60)*Proj[[#This Row],[TOI PP]]*Proj[[#This Row],[GP]],0)</f>
        <v>0</v>
      </c>
      <c r="S630" s="10">
        <f>Proj[[#This Row],[PPG]]+Proj[[#This Row],[PPA]]</f>
        <v>0</v>
      </c>
      <c r="T630">
        <f>ROUND((_xlfn.IFNA(INDEX(Table3[],MATCH(Proj[[#This Row],[Player]],Table3[Player],0),6)/60,IF(Proj[[#This Row],[Pos]] ="D", 'Per 60 PK'!$F$623, 'Per 60 PK'!$F$622)/60)+_xlfn.IFNA(INDEX(Table3[],MATCH(Proj[[#This Row],[Player]],Table3[Player],0),8)/60,IF(Proj[[#This Row],[Pos]] ="D", 'Per 60 PK'!$H$623, 'Per 60 PK'!$H$622)/60))*Proj[[#This Row],[TOI PK]]*Proj[[#This Row],[GP]],0)</f>
        <v>2</v>
      </c>
      <c r="U6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6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6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284</v>
      </c>
      <c r="Y6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256</v>
      </c>
      <c r="Z6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53</v>
      </c>
      <c r="AA6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-1063.7448355829783</v>
      </c>
      <c r="AB630" s="10">
        <f>_xlfn.RANK.EQ(Proj[[#This Row],[VOR]],Proj[VOR])</f>
        <v>673</v>
      </c>
      <c r="AC630" s="10">
        <f>INDEX(Std[],MATCH(Proj[[#This Row],[Player]],Std[Player],0),20)</f>
        <v>-592.20011119272954</v>
      </c>
      <c r="AD6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170.8</v>
      </c>
    </row>
    <row r="631" spans="1:30" x14ac:dyDescent="0.25">
      <c r="A631" t="s">
        <v>642</v>
      </c>
      <c r="B631">
        <v>26</v>
      </c>
      <c r="C631" t="s">
        <v>3</v>
      </c>
      <c r="D631" t="s">
        <v>5</v>
      </c>
      <c r="E631" s="9">
        <f>INDEX(Table1[],MATCH(Proj[[#This Row],[Player]],Table1[Player],0),5)</f>
        <v>15.588735553760101</v>
      </c>
      <c r="F631" s="9">
        <f>_xlfn.IFNA(INDEX(Table2[],MATCH(Proj[[#This Row],[Player]],Table2[Player],0),5),0)</f>
        <v>0</v>
      </c>
      <c r="G631" s="9">
        <f>_xlfn.IFNA(INDEX(Table3[],MATCH(Proj[[#This Row],[Player]],Table3[Player],0),5),0)</f>
        <v>1.89</v>
      </c>
      <c r="H631" s="10">
        <v>74</v>
      </c>
      <c r="I631">
        <v>74</v>
      </c>
      <c r="J631" s="9">
        <v>15.588735553760101</v>
      </c>
      <c r="K631" s="9">
        <v>0</v>
      </c>
      <c r="L631" s="9">
        <v>1.89</v>
      </c>
      <c r="M631" s="9">
        <f>Proj[[#This Row],[TOI ES]]+Proj[[#This Row],[TOI PP]]+Proj[[#This Row],[TOI PK]]</f>
        <v>17.478735553760099</v>
      </c>
      <c r="N6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631" s="10">
        <f>Proj[[#This Row],[Goals]]+Proj[[#This Row],[Assists]]</f>
        <v>13</v>
      </c>
      <c r="Q631" s="10">
        <f>ROUND(_xlfn.IFNA(INDEX(Table2[],MATCH(Proj[[#This Row],[Player]],Table2[Player],0),11)/60,IF(Proj[[#This Row],[Pos]] = "D", 'Per 60 PP'!$K$527,'Per 60 PP'!$K$526)/60)*Proj[[#This Row],[TOI PP]]*Proj[[#This Row],[GP]],0)</f>
        <v>0</v>
      </c>
      <c r="R631" s="10">
        <f>ROUND(_xlfn.IFNA(INDEX(Table2[],MATCH(Proj[[#This Row],[Player]],Table2[Player],0),7)/60,IF(Proj[[#This Row],[Pos]] = "D", 'Per 60 PP'!$G$527,'Per 60 PP'!$G$526)/60)*Proj[[#This Row],[TOI PP]]*Proj[[#This Row],[GP]],0)</f>
        <v>0</v>
      </c>
      <c r="S631" s="10">
        <f>Proj[[#This Row],[PPG]]+Proj[[#This Row],[PPA]]</f>
        <v>0</v>
      </c>
      <c r="T631">
        <f>ROUND((_xlfn.IFNA(INDEX(Table3[],MATCH(Proj[[#This Row],[Player]],Table3[Player],0),6)/60,IF(Proj[[#This Row],[Pos]] ="D", 'Per 60 PK'!$F$623, 'Per 60 PK'!$F$622)/60)+_xlfn.IFNA(INDEX(Table3[],MATCH(Proj[[#This Row],[Player]],Table3[Player],0),8)/60,IF(Proj[[#This Row],[Pos]] ="D", 'Per 60 PK'!$H$623, 'Per 60 PK'!$H$622)/60))*Proj[[#This Row],[TOI PK]]*Proj[[#This Row],[GP]],0)</f>
        <v>1</v>
      </c>
      <c r="U6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6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97</v>
      </c>
      <c r="W6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6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74</v>
      </c>
      <c r="AA6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-639.24113380668643</v>
      </c>
      <c r="AB631" s="10">
        <f>_xlfn.RANK.EQ(Proj[[#This Row],[VOR]],Proj[VOR])</f>
        <v>495</v>
      </c>
      <c r="AC631" s="10">
        <f>INDEX(Std[],MATCH(Proj[[#This Row],[Player]],Std[Player],0),20)</f>
        <v>-531.87636608722198</v>
      </c>
      <c r="AD6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197.95</v>
      </c>
    </row>
    <row r="632" spans="1:30" x14ac:dyDescent="0.25">
      <c r="A632" t="s">
        <v>1046</v>
      </c>
      <c r="B632">
        <v>27</v>
      </c>
      <c r="C632" t="s">
        <v>103</v>
      </c>
      <c r="D632" t="s">
        <v>22</v>
      </c>
      <c r="E632" s="9">
        <f>INDEX(Table1[],MATCH(Proj[[#This Row],[Player]],Table1[Player],0),5)</f>
        <v>8.74724976289599</v>
      </c>
      <c r="F632" s="9">
        <f>_xlfn.IFNA(INDEX(Table2[],MATCH(Proj[[#This Row],[Player]],Table2[Player],0),5),0)</f>
        <v>0</v>
      </c>
      <c r="G632" s="9">
        <f>_xlfn.IFNA(INDEX(Table3[],MATCH(Proj[[#This Row],[Player]],Table3[Player],0),5),0)</f>
        <v>0</v>
      </c>
      <c r="H632" s="10">
        <v>52</v>
      </c>
      <c r="I632">
        <v>52</v>
      </c>
      <c r="J632" s="9">
        <v>8.74724976289599</v>
      </c>
      <c r="K632" s="9">
        <v>0</v>
      </c>
      <c r="L632" s="9">
        <v>0</v>
      </c>
      <c r="M632" s="9">
        <f>Proj[[#This Row],[TOI ES]]+Proj[[#This Row],[TOI PP]]+Proj[[#This Row],[TOI PK]]</f>
        <v>8.74724976289599</v>
      </c>
      <c r="N6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32" s="10">
        <f>Proj[[#This Row],[Goals]]+Proj[[#This Row],[Assists]]</f>
        <v>13</v>
      </c>
      <c r="Q632" s="10">
        <f>ROUND(_xlfn.IFNA(INDEX(Table2[],MATCH(Proj[[#This Row],[Player]],Table2[Player],0),11)/60,IF(Proj[[#This Row],[Pos]] = "D", 'Per 60 PP'!$K$527,'Per 60 PP'!$K$526)/60)*Proj[[#This Row],[TOI PP]]*Proj[[#This Row],[GP]],0)</f>
        <v>0</v>
      </c>
      <c r="R632" s="10">
        <f>ROUND(_xlfn.IFNA(INDEX(Table2[],MATCH(Proj[[#This Row],[Player]],Table2[Player],0),7)/60,IF(Proj[[#This Row],[Pos]] = "D", 'Per 60 PP'!$G$527,'Per 60 PP'!$G$526)/60)*Proj[[#This Row],[TOI PP]]*Proj[[#This Row],[GP]],0)</f>
        <v>0</v>
      </c>
      <c r="S632" s="10">
        <f>Proj[[#This Row],[PPG]]+Proj[[#This Row],[PPA]]</f>
        <v>0</v>
      </c>
      <c r="T632">
        <f>ROUND((_xlfn.IFNA(INDEX(Table3[],MATCH(Proj[[#This Row],[Player]],Table3[Player],0),6)/60,IF(Proj[[#This Row],[Pos]] ="D", 'Per 60 PK'!$F$623, 'Per 60 PK'!$F$622)/60)+_xlfn.IFNA(INDEX(Table3[],MATCH(Proj[[#This Row],[Player]],Table3[Player],0),8)/60,IF(Proj[[#This Row],[Pos]] ="D", 'Per 60 PK'!$H$623, 'Per 60 PK'!$H$622)/60))*Proj[[#This Row],[TOI PK]]*Proj[[#This Row],[GP]],0)</f>
        <v>0</v>
      </c>
      <c r="U6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6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v>
      </c>
      <c r="W6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6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6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6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53</v>
      </c>
      <c r="AA6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-1203.3275189596359</v>
      </c>
      <c r="AB632" s="10">
        <f>_xlfn.RANK.EQ(Proj[[#This Row],[VOR]],Proj[VOR])</f>
        <v>697</v>
      </c>
      <c r="AC632" s="10">
        <f>INDEX(Std[],MATCH(Proj[[#This Row],[Player]],Std[Player],0),20)</f>
        <v>-756.78279456938697</v>
      </c>
      <c r="AD6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150.05000000000001</v>
      </c>
    </row>
    <row r="633" spans="1:30" x14ac:dyDescent="0.25">
      <c r="A633" t="s">
        <v>803</v>
      </c>
      <c r="B633">
        <v>28</v>
      </c>
      <c r="C633" t="s">
        <v>74</v>
      </c>
      <c r="D633" t="s">
        <v>1101</v>
      </c>
      <c r="E633" s="9">
        <f>INDEX(Table1[],MATCH(Proj[[#This Row],[Player]],Table1[Player],0),5)</f>
        <v>8.7344680176886502</v>
      </c>
      <c r="F633" s="9">
        <f>_xlfn.IFNA(INDEX(Table2[],MATCH(Proj[[#This Row],[Player]],Table2[Player],0),5),0)</f>
        <v>1.23</v>
      </c>
      <c r="G633" s="9">
        <f>_xlfn.IFNA(INDEX(Table3[],MATCH(Proj[[#This Row],[Player]],Table3[Player],0),5),0)</f>
        <v>0.73</v>
      </c>
      <c r="H633" s="10">
        <v>55</v>
      </c>
      <c r="I633">
        <v>55</v>
      </c>
      <c r="J633" s="9">
        <v>8.7344680176886502</v>
      </c>
      <c r="K633" s="9">
        <v>1.23</v>
      </c>
      <c r="L633" s="9">
        <v>0.73</v>
      </c>
      <c r="M633" s="9">
        <f>Proj[[#This Row],[TOI ES]]+Proj[[#This Row],[TOI PP]]+Proj[[#This Row],[TOI PK]]</f>
        <v>10.694468017688651</v>
      </c>
      <c r="N6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33" s="10">
        <f>Proj[[#This Row],[Goals]]+Proj[[#This Row],[Assists]]</f>
        <v>13</v>
      </c>
      <c r="Q633" s="10">
        <f>ROUND(_xlfn.IFNA(INDEX(Table2[],MATCH(Proj[[#This Row],[Player]],Table2[Player],0),11)/60,IF(Proj[[#This Row],[Pos]] = "D", 'Per 60 PP'!$K$527,'Per 60 PP'!$K$526)/60)*Proj[[#This Row],[TOI PP]]*Proj[[#This Row],[GP]],0)</f>
        <v>2</v>
      </c>
      <c r="R633" s="10">
        <f>ROUND(_xlfn.IFNA(INDEX(Table2[],MATCH(Proj[[#This Row],[Player]],Table2[Player],0),7)/60,IF(Proj[[#This Row],[Pos]] = "D", 'Per 60 PP'!$G$527,'Per 60 PP'!$G$526)/60)*Proj[[#This Row],[TOI PP]]*Proj[[#This Row],[GP]],0)</f>
        <v>3</v>
      </c>
      <c r="S633" s="10">
        <f>Proj[[#This Row],[PPG]]+Proj[[#This Row],[PPA]]</f>
        <v>5</v>
      </c>
      <c r="T633">
        <f>ROUND((_xlfn.IFNA(INDEX(Table3[],MATCH(Proj[[#This Row],[Player]],Table3[Player],0),6)/60,IF(Proj[[#This Row],[Pos]] ="D", 'Per 60 PK'!$F$623, 'Per 60 PK'!$F$622)/60)+_xlfn.IFNA(INDEX(Table3[],MATCH(Proj[[#This Row],[Player]],Table3[Player],0),8)/60,IF(Proj[[#This Row],[Pos]] ="D", 'Per 60 PK'!$H$623, 'Per 60 PK'!$H$622)/60))*Proj[[#This Row],[TOI PK]]*Proj[[#This Row],[GP]],0)</f>
        <v>0</v>
      </c>
      <c r="U6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85</v>
      </c>
      <c r="V6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6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6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113</v>
      </c>
      <c r="Y6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115</v>
      </c>
      <c r="Z6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6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-1328.4222053094932</v>
      </c>
      <c r="AB633" s="10">
        <f>_xlfn.RANK.EQ(Proj[[#This Row],[VOR]],Proj[VOR])</f>
        <v>719</v>
      </c>
      <c r="AC633" s="10">
        <f>INDEX(Std[],MATCH(Proj[[#This Row],[Player]],Std[Player],0),20)</f>
        <v>-593.78835099919468</v>
      </c>
      <c r="AD6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179.05</v>
      </c>
    </row>
    <row r="634" spans="1:30" x14ac:dyDescent="0.25">
      <c r="A634" t="s">
        <v>1130</v>
      </c>
      <c r="B634">
        <v>20</v>
      </c>
      <c r="C634" t="s">
        <v>102</v>
      </c>
      <c r="D634" t="s">
        <v>29</v>
      </c>
      <c r="E634" s="9">
        <f>INDEX(Table1[],MATCH(Proj[[#This Row],[Player]],Table1[Player],0),5)</f>
        <v>11.890792344586499</v>
      </c>
      <c r="F634" s="9">
        <f>_xlfn.IFNA(INDEX(Table2[],MATCH(Proj[[#This Row],[Player]],Table2[Player],0),5),0)</f>
        <v>0</v>
      </c>
      <c r="G634" s="9">
        <f>_xlfn.IFNA(INDEX(Table3[],MATCH(Proj[[#This Row],[Player]],Table3[Player],0),5),0)</f>
        <v>0</v>
      </c>
      <c r="H634" s="10">
        <v>42</v>
      </c>
      <c r="I634">
        <v>42</v>
      </c>
      <c r="J634" s="9">
        <v>11.890792344586499</v>
      </c>
      <c r="K634" s="9">
        <v>0</v>
      </c>
      <c r="L634" s="9">
        <v>0</v>
      </c>
      <c r="M634" s="9">
        <f>Proj[[#This Row],[TOI ES]]+Proj[[#This Row],[TOI PP]]+Proj[[#This Row],[TOI PK]]</f>
        <v>11.890792344586499</v>
      </c>
      <c r="N6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34">
        <f>Proj[[#This Row],[Goals]]+Proj[[#This Row],[Assists]]</f>
        <v>13</v>
      </c>
      <c r="Q634" s="10">
        <f>ROUND(_xlfn.IFNA(INDEX(Table2[],MATCH(Proj[[#This Row],[Player]],Table2[Player],0),11)/60,IF(Proj[[#This Row],[Pos]] = "D", 'Per 60 PP'!$K$527,'Per 60 PP'!$K$526)/60)*Proj[[#This Row],[TOI PP]]*Proj[[#This Row],[GP]],0)</f>
        <v>0</v>
      </c>
      <c r="R634" s="10">
        <f>ROUND(_xlfn.IFNA(INDEX(Table2[],MATCH(Proj[[#This Row],[Player]],Table2[Player],0),7)/60,IF(Proj[[#This Row],[Pos]] = "D", 'Per 60 PP'!$G$527,'Per 60 PP'!$G$526)/60)*Proj[[#This Row],[TOI PP]]*Proj[[#This Row],[GP]],0)</f>
        <v>0</v>
      </c>
      <c r="S634" s="10">
        <f>Proj[[#This Row],[PPG]]+Proj[[#This Row],[PPA]]</f>
        <v>0</v>
      </c>
      <c r="T634">
        <f>ROUND((_xlfn.IFNA(INDEX(Table3[],MATCH(Proj[[#This Row],[Player]],Table3[Player],0),6)/60,IF(Proj[[#This Row],[Pos]] ="D", 'Per 60 PK'!$F$623, 'Per 60 PK'!$F$622)/60)+_xlfn.IFNA(INDEX(Table3[],MATCH(Proj[[#This Row],[Player]],Table3[Player],0),8)/60,IF(Proj[[#This Row],[Pos]] ="D", 'Per 60 PK'!$H$623, 'Per 60 PK'!$H$622)/60))*Proj[[#This Row],[TOI PK]]*Proj[[#This Row],[GP]],0)</f>
        <v>0</v>
      </c>
      <c r="U6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86</v>
      </c>
      <c r="V6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v>
      </c>
      <c r="W6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6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v>
      </c>
      <c r="Y6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6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61</v>
      </c>
      <c r="AA6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-1177.8912138134065</v>
      </c>
      <c r="AB634" s="10">
        <f>_xlfn.RANK.EQ(Proj[[#This Row],[VOR]],Proj[VOR])</f>
        <v>694</v>
      </c>
      <c r="AC634" s="10">
        <f>INDEX(Std[],MATCH(Proj[[#This Row],[Player]],Std[Player],0),20)</f>
        <v>-706.34648942315766</v>
      </c>
      <c r="AD6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161.54999999999998</v>
      </c>
    </row>
    <row r="635" spans="1:30" x14ac:dyDescent="0.25">
      <c r="A635" t="s">
        <v>583</v>
      </c>
      <c r="B635">
        <v>35</v>
      </c>
      <c r="C635" t="s">
        <v>3</v>
      </c>
      <c r="D635" t="s">
        <v>17</v>
      </c>
      <c r="E635" s="9">
        <f>INDEX(Table1[],MATCH(Proj[[#This Row],[Player]],Table1[Player],0),5)</f>
        <v>13.445864897902601</v>
      </c>
      <c r="F635" s="9">
        <f>_xlfn.IFNA(INDEX(Table2[],MATCH(Proj[[#This Row],[Player]],Table2[Player],0),5),0)</f>
        <v>0</v>
      </c>
      <c r="G635" s="9">
        <f>_xlfn.IFNA(INDEX(Table3[],MATCH(Proj[[#This Row],[Player]],Table3[Player],0),5),0)</f>
        <v>2.4900000000000002</v>
      </c>
      <c r="H635" s="10">
        <v>72</v>
      </c>
      <c r="I635">
        <v>72</v>
      </c>
      <c r="J635" s="9">
        <v>13.445864897902601</v>
      </c>
      <c r="K635" s="9">
        <v>0</v>
      </c>
      <c r="L635" s="9">
        <v>2.4900000000000002</v>
      </c>
      <c r="M635" s="9">
        <f>Proj[[#This Row],[TOI ES]]+Proj[[#This Row],[TOI PP]]+Proj[[#This Row],[TOI PK]]</f>
        <v>15.935864897902601</v>
      </c>
      <c r="N6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35">
        <f>Proj[[#This Row],[Goals]]+Proj[[#This Row],[Assists]]</f>
        <v>13</v>
      </c>
      <c r="Q635" s="10">
        <f>ROUND(_xlfn.IFNA(INDEX(Table2[],MATCH(Proj[[#This Row],[Player]],Table2[Player],0),11)/60,IF(Proj[[#This Row],[Pos]] = "D", 'Per 60 PP'!$K$527,'Per 60 PP'!$K$526)/60)*Proj[[#This Row],[TOI PP]]*Proj[[#This Row],[GP]],0)</f>
        <v>0</v>
      </c>
      <c r="R635" s="10">
        <f>ROUND(_xlfn.IFNA(INDEX(Table2[],MATCH(Proj[[#This Row],[Player]],Table2[Player],0),7)/60,IF(Proj[[#This Row],[Pos]] = "D", 'Per 60 PP'!$G$527,'Per 60 PP'!$G$526)/60)*Proj[[#This Row],[TOI PP]]*Proj[[#This Row],[GP]],0)</f>
        <v>0</v>
      </c>
      <c r="S635" s="10">
        <f>Proj[[#This Row],[PPG]]+Proj[[#This Row],[PPA]]</f>
        <v>0</v>
      </c>
      <c r="T635">
        <f>ROUND((_xlfn.IFNA(INDEX(Table3[],MATCH(Proj[[#This Row],[Player]],Table3[Player],0),6)/60,IF(Proj[[#This Row],[Pos]] ="D", 'Per 60 PK'!$F$623, 'Per 60 PK'!$F$622)/60)+_xlfn.IFNA(INDEX(Table3[],MATCH(Proj[[#This Row],[Player]],Table3[Player],0),8)/60,IF(Proj[[#This Row],[Pos]] ="D", 'Per 60 PK'!$H$623, 'Per 60 PK'!$H$622)/60))*Proj[[#This Row],[TOI PK]]*Proj[[#This Row],[GP]],0)</f>
        <v>1</v>
      </c>
      <c r="U6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107</v>
      </c>
      <c r="V6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106</v>
      </c>
      <c r="W6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62</v>
      </c>
      <c r="X6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6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-338.65344002559323</v>
      </c>
      <c r="AB635" s="10">
        <f>_xlfn.RANK.EQ(Proj[[#This Row],[VOR]],Proj[VOR])</f>
        <v>335</v>
      </c>
      <c r="AC635" s="10">
        <f>INDEX(Std[],MATCH(Proj[[#This Row],[Player]],Std[Player],0),20)</f>
        <v>-231.28867230612875</v>
      </c>
      <c r="AD6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247.85</v>
      </c>
    </row>
    <row r="636" spans="1:30" x14ac:dyDescent="0.25">
      <c r="A636" t="s">
        <v>1155</v>
      </c>
      <c r="B636">
        <v>27</v>
      </c>
      <c r="C636" t="s">
        <v>103</v>
      </c>
      <c r="D636" t="s">
        <v>153</v>
      </c>
      <c r="E636" s="9">
        <f>INDEX(Table1[],MATCH(Proj[[#This Row],[Player]],Table1[Player],0),5)</f>
        <v>11.457723307415501</v>
      </c>
      <c r="F636" s="9">
        <f>_xlfn.IFNA(INDEX(Table2[],MATCH(Proj[[#This Row],[Player]],Table2[Player],0),5),0)</f>
        <v>0</v>
      </c>
      <c r="G636" s="9">
        <f>_xlfn.IFNA(INDEX(Table3[],MATCH(Proj[[#This Row],[Player]],Table3[Player],0),5),0)</f>
        <v>0</v>
      </c>
      <c r="H636" s="10">
        <v>49</v>
      </c>
      <c r="I636">
        <v>49</v>
      </c>
      <c r="J636" s="9">
        <v>11.457723307415501</v>
      </c>
      <c r="K636" s="9">
        <v>0</v>
      </c>
      <c r="L636" s="9">
        <v>0</v>
      </c>
      <c r="M636" s="9">
        <f>Proj[[#This Row],[TOI ES]]+Proj[[#This Row],[TOI PP]]+Proj[[#This Row],[TOI PK]]</f>
        <v>11.457723307415501</v>
      </c>
      <c r="N6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36">
        <f>Proj[[#This Row],[Goals]]+Proj[[#This Row],[Assists]]</f>
        <v>13</v>
      </c>
      <c r="Q636" s="10">
        <f>ROUND(_xlfn.IFNA(INDEX(Table2[],MATCH(Proj[[#This Row],[Player]],Table2[Player],0),11)/60,IF(Proj[[#This Row],[Pos]] = "D", 'Per 60 PP'!$K$527,'Per 60 PP'!$K$526)/60)*Proj[[#This Row],[TOI PP]]*Proj[[#This Row],[GP]],0)</f>
        <v>0</v>
      </c>
      <c r="R636" s="10">
        <f>ROUND(_xlfn.IFNA(INDEX(Table2[],MATCH(Proj[[#This Row],[Player]],Table2[Player],0),7)/60,IF(Proj[[#This Row],[Pos]] = "D", 'Per 60 PP'!$G$527,'Per 60 PP'!$G$526)/60)*Proj[[#This Row],[TOI PP]]*Proj[[#This Row],[GP]],0)</f>
        <v>0</v>
      </c>
      <c r="S636" s="10">
        <f>Proj[[#This Row],[PPG]]+Proj[[#This Row],[PPA]]</f>
        <v>0</v>
      </c>
      <c r="T636">
        <f>ROUND((_xlfn.IFNA(INDEX(Table3[],MATCH(Proj[[#This Row],[Player]],Table3[Player],0),6)/60,IF(Proj[[#This Row],[Pos]] ="D", 'Per 60 PK'!$F$623, 'Per 60 PK'!$F$622)/60)+_xlfn.IFNA(INDEX(Table3[],MATCH(Proj[[#This Row],[Player]],Table3[Player],0),8)/60,IF(Proj[[#This Row],[Pos]] ="D", 'Per 60 PK'!$H$623, 'Per 60 PK'!$H$622)/60))*Proj[[#This Row],[TOI PK]]*Proj[[#This Row],[GP]],0)</f>
        <v>0</v>
      </c>
      <c r="U6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126</v>
      </c>
      <c r="V6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28</v>
      </c>
      <c r="W6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6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22</v>
      </c>
      <c r="Y6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27</v>
      </c>
      <c r="Z6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6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-1074.1507513161316</v>
      </c>
      <c r="AB636" s="10">
        <f>_xlfn.RANK.EQ(Proj[[#This Row],[VOR]],Proj[VOR])</f>
        <v>677</v>
      </c>
      <c r="AC636" s="10">
        <f>INDEX(Std[],MATCH(Proj[[#This Row],[Player]],Std[Player],0),20)</f>
        <v>-627.6060269258827</v>
      </c>
      <c r="AD6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185.65</v>
      </c>
    </row>
    <row r="637" spans="1:30" x14ac:dyDescent="0.25">
      <c r="A637" t="s">
        <v>1184</v>
      </c>
      <c r="B637">
        <v>23</v>
      </c>
      <c r="C637" t="s">
        <v>3</v>
      </c>
      <c r="D637" t="s">
        <v>6</v>
      </c>
      <c r="E637" s="9">
        <f>INDEX(Table1[],MATCH(Proj[[#This Row],[Player]],Table1[Player],0),5)</f>
        <v>15.7505517158981</v>
      </c>
      <c r="F637" s="9">
        <f>_xlfn.IFNA(INDEX(Table2[],MATCH(Proj[[#This Row],[Player]],Table2[Player],0),5),0)</f>
        <v>0</v>
      </c>
      <c r="G637" s="9">
        <f>_xlfn.IFNA(INDEX(Table3[],MATCH(Proj[[#This Row],[Player]],Table3[Player],0),5),0)</f>
        <v>0.59</v>
      </c>
      <c r="H637" s="10">
        <v>66</v>
      </c>
      <c r="I637">
        <v>66</v>
      </c>
      <c r="J637" s="9">
        <v>15.7505517158981</v>
      </c>
      <c r="K637" s="9">
        <v>0</v>
      </c>
      <c r="L637" s="9">
        <v>0.59</v>
      </c>
      <c r="M637" s="9">
        <f>Proj[[#This Row],[TOI ES]]+Proj[[#This Row],[TOI PP]]+Proj[[#This Row],[TOI PK]]</f>
        <v>16.340551715898101</v>
      </c>
      <c r="N6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37" s="10">
        <f>Proj[[#This Row],[Goals]]+Proj[[#This Row],[Assists]]</f>
        <v>13</v>
      </c>
      <c r="Q637" s="10">
        <f>ROUND(_xlfn.IFNA(INDEX(Table2[],MATCH(Proj[[#This Row],[Player]],Table2[Player],0),11)/60,IF(Proj[[#This Row],[Pos]] = "D", 'Per 60 PP'!$K$527,'Per 60 PP'!$K$526)/60)*Proj[[#This Row],[TOI PP]]*Proj[[#This Row],[GP]],0)</f>
        <v>0</v>
      </c>
      <c r="R637" s="10">
        <f>ROUND(_xlfn.IFNA(INDEX(Table2[],MATCH(Proj[[#This Row],[Player]],Table2[Player],0),7)/60,IF(Proj[[#This Row],[Pos]] = "D", 'Per 60 PP'!$G$527,'Per 60 PP'!$G$526)/60)*Proj[[#This Row],[TOI PP]]*Proj[[#This Row],[GP]],0)</f>
        <v>0</v>
      </c>
      <c r="S637" s="10">
        <f>Proj[[#This Row],[PPG]]+Proj[[#This Row],[PPA]]</f>
        <v>0</v>
      </c>
      <c r="T637">
        <f>ROUND((_xlfn.IFNA(INDEX(Table3[],MATCH(Proj[[#This Row],[Player]],Table3[Player],0),6)/60,IF(Proj[[#This Row],[Pos]] ="D", 'Per 60 PK'!$F$623, 'Per 60 PK'!$F$622)/60)+_xlfn.IFNA(INDEX(Table3[],MATCH(Proj[[#This Row],[Player]],Table3[Player],0),8)/60,IF(Proj[[#This Row],[Pos]] ="D", 'Per 60 PK'!$H$623, 'Per 60 PK'!$H$622)/60))*Proj[[#This Row],[TOI PK]]*Proj[[#This Row],[GP]],0)</f>
        <v>0</v>
      </c>
      <c r="U6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131</v>
      </c>
      <c r="V6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6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6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6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-463.94714593852461</v>
      </c>
      <c r="AB637" s="10">
        <f>_xlfn.RANK.EQ(Proj[[#This Row],[VOR]],Proj[VOR])</f>
        <v>407</v>
      </c>
      <c r="AC637" s="10">
        <f>INDEX(Std[],MATCH(Proj[[#This Row],[Player]],Std[Player],0),20)</f>
        <v>-356.5823782190601</v>
      </c>
      <c r="AD6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229.6</v>
      </c>
    </row>
    <row r="638" spans="1:30" x14ac:dyDescent="0.25">
      <c r="A638" t="s">
        <v>951</v>
      </c>
      <c r="B638">
        <v>25</v>
      </c>
      <c r="C638" t="s">
        <v>74</v>
      </c>
      <c r="D638" t="s">
        <v>12</v>
      </c>
      <c r="E638" s="9">
        <f>INDEX(Table1[],MATCH(Proj[[#This Row],[Player]],Table1[Player],0),5)</f>
        <v>7.9829096097833396</v>
      </c>
      <c r="F638" s="9">
        <f>_xlfn.IFNA(INDEX(Table2[],MATCH(Proj[[#This Row],[Player]],Table2[Player],0),5),0)</f>
        <v>0</v>
      </c>
      <c r="G638" s="9">
        <f>_xlfn.IFNA(INDEX(Table3[],MATCH(Proj[[#This Row],[Player]],Table3[Player],0),5),0)</f>
        <v>0.61</v>
      </c>
      <c r="H638" s="10">
        <v>75</v>
      </c>
      <c r="I638">
        <v>75</v>
      </c>
      <c r="J638" s="9">
        <v>7.9829096097833396</v>
      </c>
      <c r="K638" s="9">
        <v>0</v>
      </c>
      <c r="L638" s="9">
        <v>0.61</v>
      </c>
      <c r="M638" s="9">
        <f>Proj[[#This Row],[TOI ES]]+Proj[[#This Row],[TOI PP]]+Proj[[#This Row],[TOI PK]]</f>
        <v>8.5929096097833391</v>
      </c>
      <c r="N6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38" s="10">
        <f>Proj[[#This Row],[Goals]]+Proj[[#This Row],[Assists]]</f>
        <v>13</v>
      </c>
      <c r="Q638" s="10">
        <f>ROUND(_xlfn.IFNA(INDEX(Table2[],MATCH(Proj[[#This Row],[Player]],Table2[Player],0),11)/60,IF(Proj[[#This Row],[Pos]] = "D", 'Per 60 PP'!$K$527,'Per 60 PP'!$K$526)/60)*Proj[[#This Row],[TOI PP]]*Proj[[#This Row],[GP]],0)</f>
        <v>0</v>
      </c>
      <c r="R638" s="10">
        <f>ROUND(_xlfn.IFNA(INDEX(Table2[],MATCH(Proj[[#This Row],[Player]],Table2[Player],0),7)/60,IF(Proj[[#This Row],[Pos]] = "D", 'Per 60 PP'!$G$527,'Per 60 PP'!$G$526)/60)*Proj[[#This Row],[TOI PP]]*Proj[[#This Row],[GP]],0)</f>
        <v>0</v>
      </c>
      <c r="S638" s="10">
        <f>Proj[[#This Row],[PPG]]+Proj[[#This Row],[PPA]]</f>
        <v>0</v>
      </c>
      <c r="T638">
        <f>ROUND((_xlfn.IFNA(INDEX(Table3[],MATCH(Proj[[#This Row],[Player]],Table3[Player],0),6)/60,IF(Proj[[#This Row],[Pos]] ="D", 'Per 60 PK'!$F$623, 'Per 60 PK'!$F$622)/60)+_xlfn.IFNA(INDEX(Table3[],MATCH(Proj[[#This Row],[Player]],Table3[Player],0),8)/60,IF(Proj[[#This Row],[Pos]] ="D", 'Per 60 PK'!$H$623, 'Per 60 PK'!$H$622)/60))*Proj[[#This Row],[TOI PK]]*Proj[[#This Row],[GP]],0)</f>
        <v>0</v>
      </c>
      <c r="U6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140</v>
      </c>
      <c r="V6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40</v>
      </c>
      <c r="W6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96</v>
      </c>
      <c r="X6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285</v>
      </c>
      <c r="Y6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246</v>
      </c>
      <c r="Z6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6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-725.98021061419547</v>
      </c>
      <c r="AB638" s="10">
        <f>_xlfn.RANK.EQ(Proj[[#This Row],[VOR]],Proj[VOR])</f>
        <v>541</v>
      </c>
      <c r="AC638" s="10">
        <f>INDEX(Std[],MATCH(Proj[[#This Row],[Player]],Std[Player],0),20)</f>
        <v>8.6536436961031526</v>
      </c>
      <c r="AD6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276.89999999999998</v>
      </c>
    </row>
    <row r="639" spans="1:30" x14ac:dyDescent="0.25">
      <c r="A639" t="s">
        <v>582</v>
      </c>
      <c r="B639">
        <v>29</v>
      </c>
      <c r="C639" t="s">
        <v>3</v>
      </c>
      <c r="D639" t="s">
        <v>28</v>
      </c>
      <c r="E639" s="9">
        <f>INDEX(Table1[],MATCH(Proj[[#This Row],[Player]],Table1[Player],0),5)</f>
        <v>14.86819114497</v>
      </c>
      <c r="F639" s="9">
        <f>_xlfn.IFNA(INDEX(Table2[],MATCH(Proj[[#This Row],[Player]],Table2[Player],0),5),0)</f>
        <v>0</v>
      </c>
      <c r="G639" s="9">
        <f>_xlfn.IFNA(INDEX(Table3[],MATCH(Proj[[#This Row],[Player]],Table3[Player],0),5),0)</f>
        <v>1.1599999999999999</v>
      </c>
      <c r="H639" s="10">
        <v>72</v>
      </c>
      <c r="I639">
        <v>72</v>
      </c>
      <c r="J639" s="9">
        <v>14.86819114497</v>
      </c>
      <c r="K639" s="9">
        <v>0</v>
      </c>
      <c r="L639" s="9">
        <v>1.1599999999999999</v>
      </c>
      <c r="M639" s="9">
        <f>Proj[[#This Row],[TOI ES]]+Proj[[#This Row],[TOI PP]]+Proj[[#This Row],[TOI PK]]</f>
        <v>16.028191144969998</v>
      </c>
      <c r="N6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39" s="10">
        <f>Proj[[#This Row],[Goals]]+Proj[[#This Row],[Assists]]</f>
        <v>13</v>
      </c>
      <c r="Q639" s="10">
        <f>ROUND(_xlfn.IFNA(INDEX(Table2[],MATCH(Proj[[#This Row],[Player]],Table2[Player],0),11)/60,IF(Proj[[#This Row],[Pos]] = "D", 'Per 60 PP'!$K$527,'Per 60 PP'!$K$526)/60)*Proj[[#This Row],[TOI PP]]*Proj[[#This Row],[GP]],0)</f>
        <v>0</v>
      </c>
      <c r="R639" s="10">
        <f>ROUND(_xlfn.IFNA(INDEX(Table2[],MATCH(Proj[[#This Row],[Player]],Table2[Player],0),7)/60,IF(Proj[[#This Row],[Pos]] = "D", 'Per 60 PP'!$G$527,'Per 60 PP'!$G$526)/60)*Proj[[#This Row],[TOI PP]]*Proj[[#This Row],[GP]],0)</f>
        <v>0</v>
      </c>
      <c r="S639" s="10">
        <f>Proj[[#This Row],[PPG]]+Proj[[#This Row],[PPA]]</f>
        <v>0</v>
      </c>
      <c r="T639">
        <f>ROUND((_xlfn.IFNA(INDEX(Table3[],MATCH(Proj[[#This Row],[Player]],Table3[Player],0),6)/60,IF(Proj[[#This Row],[Pos]] ="D", 'Per 60 PK'!$F$623, 'Per 60 PK'!$F$622)/60)+_xlfn.IFNA(INDEX(Table3[],MATCH(Proj[[#This Row],[Player]],Table3[Player],0),8)/60,IF(Proj[[#This Row],[Pos]] ="D", 'Per 60 PK'!$H$623, 'Per 60 PK'!$H$622)/60))*Proj[[#This Row],[TOI PK]]*Proj[[#This Row],[GP]],0)</f>
        <v>0</v>
      </c>
      <c r="U6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163</v>
      </c>
      <c r="V6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6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6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70</v>
      </c>
      <c r="AA6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-305.39020875724486</v>
      </c>
      <c r="AB639" s="10">
        <f>_xlfn.RANK.EQ(Proj[[#This Row],[VOR]],Proj[VOR])</f>
        <v>312</v>
      </c>
      <c r="AC639" s="10">
        <f>INDEX(Std[],MATCH(Proj[[#This Row],[Player]],Std[Player],0),20)</f>
        <v>-198.02544103778038</v>
      </c>
      <c r="AD6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275.2</v>
      </c>
    </row>
    <row r="640" spans="1:30" x14ac:dyDescent="0.25">
      <c r="A640" t="s">
        <v>816</v>
      </c>
      <c r="B640">
        <v>26</v>
      </c>
      <c r="C640" t="s">
        <v>102</v>
      </c>
      <c r="D640" t="s">
        <v>6</v>
      </c>
      <c r="E640" s="9">
        <f>INDEX(Table1[],MATCH(Proj[[#This Row],[Player]],Table1[Player],0),5)</f>
        <v>7.9117948043050301</v>
      </c>
      <c r="F640" s="9">
        <f>_xlfn.IFNA(INDEX(Table2[],MATCH(Proj[[#This Row],[Player]],Table2[Player],0),5),0)</f>
        <v>0</v>
      </c>
      <c r="G640" s="9">
        <f>_xlfn.IFNA(INDEX(Table3[],MATCH(Proj[[#This Row],[Player]],Table3[Player],0),5),0)</f>
        <v>0.64</v>
      </c>
      <c r="H640" s="10">
        <v>69</v>
      </c>
      <c r="I640">
        <v>69</v>
      </c>
      <c r="J640" s="9">
        <v>7.9117948043050301</v>
      </c>
      <c r="K640" s="9">
        <v>0</v>
      </c>
      <c r="L640" s="9">
        <v>0.64</v>
      </c>
      <c r="M640" s="9">
        <f>Proj[[#This Row],[TOI ES]]+Proj[[#This Row],[TOI PP]]+Proj[[#This Row],[TOI PK]]</f>
        <v>8.5517948043050307</v>
      </c>
      <c r="N6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40" s="10">
        <f>Proj[[#This Row],[Goals]]+Proj[[#This Row],[Assists]]</f>
        <v>13</v>
      </c>
      <c r="Q640" s="10">
        <f>ROUND(_xlfn.IFNA(INDEX(Table2[],MATCH(Proj[[#This Row],[Player]],Table2[Player],0),11)/60,IF(Proj[[#This Row],[Pos]] = "D", 'Per 60 PP'!$K$527,'Per 60 PP'!$K$526)/60)*Proj[[#This Row],[TOI PP]]*Proj[[#This Row],[GP]],0)</f>
        <v>0</v>
      </c>
      <c r="R640" s="10">
        <f>ROUND(_xlfn.IFNA(INDEX(Table2[],MATCH(Proj[[#This Row],[Player]],Table2[Player],0),7)/60,IF(Proj[[#This Row],[Pos]] = "D", 'Per 60 PP'!$G$527,'Per 60 PP'!$G$526)/60)*Proj[[#This Row],[TOI PP]]*Proj[[#This Row],[GP]],0)</f>
        <v>0</v>
      </c>
      <c r="S640" s="10">
        <f>Proj[[#This Row],[PPG]]+Proj[[#This Row],[PPA]]</f>
        <v>0</v>
      </c>
      <c r="T640">
        <f>ROUND((_xlfn.IFNA(INDEX(Table3[],MATCH(Proj[[#This Row],[Player]],Table3[Player],0),6)/60,IF(Proj[[#This Row],[Pos]] ="D", 'Per 60 PK'!$F$623, 'Per 60 PK'!$F$622)/60)+_xlfn.IFNA(INDEX(Table3[],MATCH(Proj[[#This Row],[Player]],Table3[Player],0),8)/60,IF(Proj[[#This Row],[Pos]] ="D", 'Per 60 PK'!$H$623, 'Per 60 PK'!$H$622)/60))*Proj[[#This Row],[TOI PK]]*Proj[[#This Row],[GP]],0)</f>
        <v>0</v>
      </c>
      <c r="U6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239</v>
      </c>
      <c r="V6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6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85</v>
      </c>
      <c r="X6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v>
      </c>
      <c r="Y6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17</v>
      </c>
      <c r="Z6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59</v>
      </c>
      <c r="AA6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-521.36697498335457</v>
      </c>
      <c r="AB640" s="10">
        <f>_xlfn.RANK.EQ(Proj[[#This Row],[VOR]],Proj[VOR])</f>
        <v>436</v>
      </c>
      <c r="AC640" s="10">
        <f>INDEX(Std[],MATCH(Proj[[#This Row],[Player]],Std[Player],0),20)</f>
        <v>-49.822250593105721</v>
      </c>
      <c r="AD6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288.39999999999998</v>
      </c>
    </row>
    <row r="641" spans="1:30" x14ac:dyDescent="0.25">
      <c r="A641" s="191" t="s">
        <v>379</v>
      </c>
      <c r="B641">
        <v>27</v>
      </c>
      <c r="C641" t="s">
        <v>3</v>
      </c>
      <c r="D641" t="s">
        <v>7</v>
      </c>
      <c r="E641" s="9">
        <f>INDEX(Table1[],MATCH(Proj[[#This Row],[Player]],Table1[Player],0),5)</f>
        <v>15.9689184058391</v>
      </c>
      <c r="F641" s="9">
        <f>_xlfn.IFNA(INDEX(Table2[],MATCH(Proj[[#This Row],[Player]],Table2[Player],0),5),0)</f>
        <v>0</v>
      </c>
      <c r="G641" s="9">
        <f>_xlfn.IFNA(INDEX(Table3[],MATCH(Proj[[#This Row],[Player]],Table3[Player],0),5),0)</f>
        <v>2.36</v>
      </c>
      <c r="H641" s="10">
        <v>78</v>
      </c>
      <c r="I641">
        <v>78</v>
      </c>
      <c r="J641" s="9">
        <v>15.9689184058391</v>
      </c>
      <c r="K641" s="9">
        <v>0</v>
      </c>
      <c r="L641" s="9">
        <v>2.36</v>
      </c>
      <c r="M641" s="9">
        <f>Proj[[#This Row],[TOI ES]]+Proj[[#This Row],[TOI PP]]+Proj[[#This Row],[TOI PK]]</f>
        <v>18.328918405839101</v>
      </c>
      <c r="N6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41" s="10">
        <f>Proj[[#This Row],[Goals]]+Proj[[#This Row],[Assists]]</f>
        <v>13</v>
      </c>
      <c r="Q641" s="10">
        <f>ROUND(_xlfn.IFNA(INDEX(Table2[],MATCH(Proj[[#This Row],[Player]],Table2[Player],0),11)/60,IF(Proj[[#This Row],[Pos]] = "D", 'Per 60 PP'!$K$527,'Per 60 PP'!$K$526)/60)*Proj[[#This Row],[TOI PP]]*Proj[[#This Row],[GP]],0)</f>
        <v>0</v>
      </c>
      <c r="R641" s="10">
        <f>ROUND(_xlfn.IFNA(INDEX(Table2[],MATCH(Proj[[#This Row],[Player]],Table2[Player],0),7)/60,IF(Proj[[#This Row],[Pos]] = "D", 'Per 60 PP'!$G$527,'Per 60 PP'!$G$526)/60)*Proj[[#This Row],[TOI PP]]*Proj[[#This Row],[GP]],0)</f>
        <v>0</v>
      </c>
      <c r="S641" s="10">
        <f>Proj[[#This Row],[PPG]]+Proj[[#This Row],[PPA]]</f>
        <v>0</v>
      </c>
      <c r="T641">
        <f>ROUND((_xlfn.IFNA(INDEX(Table3[],MATCH(Proj[[#This Row],[Player]],Table3[Player],0),6)/60,IF(Proj[[#This Row],[Pos]] ="D", 'Per 60 PK'!$F$623, 'Per 60 PK'!$F$622)/60)+_xlfn.IFNA(INDEX(Table3[],MATCH(Proj[[#This Row],[Player]],Table3[Player],0),8)/60,IF(Proj[[#This Row],[Pos]] ="D", 'Per 60 PK'!$H$623, 'Per 60 PK'!$H$622)/60))*Proj[[#This Row],[TOI PK]]*Proj[[#This Row],[GP]],0)</f>
        <v>1</v>
      </c>
      <c r="U6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319</v>
      </c>
      <c r="V6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107</v>
      </c>
      <c r="W6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84</v>
      </c>
      <c r="X6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93</v>
      </c>
      <c r="AA6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214.20900697124986</v>
      </c>
      <c r="AB641" s="10">
        <f>_xlfn.RANK.EQ(Proj[[#This Row],[VOR]],Proj[VOR])</f>
        <v>100</v>
      </c>
      <c r="AC641" s="10">
        <f>INDEX(Std[],MATCH(Proj[[#This Row],[Player]],Std[Player],0),20)</f>
        <v>321.57377469071434</v>
      </c>
      <c r="AD6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395.95</v>
      </c>
    </row>
    <row r="642" spans="1:30" x14ac:dyDescent="0.25">
      <c r="A642" t="s">
        <v>743</v>
      </c>
      <c r="B642">
        <v>30</v>
      </c>
      <c r="C642" t="s">
        <v>74</v>
      </c>
      <c r="D642" t="s">
        <v>7</v>
      </c>
      <c r="E642" s="9">
        <f>INDEX(Table1[],MATCH(Proj[[#This Row],[Player]],Table1[Player],0),5)</f>
        <v>12.3836484295401</v>
      </c>
      <c r="F642" s="9">
        <f>_xlfn.IFNA(INDEX(Table2[],MATCH(Proj[[#This Row],[Player]],Table2[Player],0),5),0)</f>
        <v>0</v>
      </c>
      <c r="G642" s="9">
        <f>_xlfn.IFNA(INDEX(Table3[],MATCH(Proj[[#This Row],[Player]],Table3[Player],0),5),0)</f>
        <v>0</v>
      </c>
      <c r="H642" s="10">
        <v>33</v>
      </c>
      <c r="I642">
        <v>33</v>
      </c>
      <c r="J642" s="9">
        <v>12.3836484295401</v>
      </c>
      <c r="K642" s="9">
        <v>0</v>
      </c>
      <c r="L642" s="9">
        <v>0</v>
      </c>
      <c r="M642" s="9">
        <f>Proj[[#This Row],[TOI ES]]+Proj[[#This Row],[TOI PP]]+Proj[[#This Row],[TOI PK]]</f>
        <v>12.3836484295401</v>
      </c>
      <c r="N6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42" s="10">
        <f>Proj[[#This Row],[Goals]]+Proj[[#This Row],[Assists]]</f>
        <v>12</v>
      </c>
      <c r="Q642" s="10">
        <f>ROUND(_xlfn.IFNA(INDEX(Table2[],MATCH(Proj[[#This Row],[Player]],Table2[Player],0),11)/60,IF(Proj[[#This Row],[Pos]] = "D", 'Per 60 PP'!$K$527,'Per 60 PP'!$K$526)/60)*Proj[[#This Row],[TOI PP]]*Proj[[#This Row],[GP]],0)</f>
        <v>0</v>
      </c>
      <c r="R642" s="10">
        <f>ROUND(_xlfn.IFNA(INDEX(Table2[],MATCH(Proj[[#This Row],[Player]],Table2[Player],0),7)/60,IF(Proj[[#This Row],[Pos]] = "D", 'Per 60 PP'!$G$527,'Per 60 PP'!$G$526)/60)*Proj[[#This Row],[TOI PP]]*Proj[[#This Row],[GP]],0)</f>
        <v>0</v>
      </c>
      <c r="S642" s="10">
        <f>Proj[[#This Row],[PPG]]+Proj[[#This Row],[PPA]]</f>
        <v>0</v>
      </c>
      <c r="T642">
        <f>ROUND((_xlfn.IFNA(INDEX(Table3[],MATCH(Proj[[#This Row],[Player]],Table3[Player],0),6)/60,IF(Proj[[#This Row],[Pos]] ="D", 'Per 60 PK'!$F$623, 'Per 60 PK'!$F$622)/60)+_xlfn.IFNA(INDEX(Table3[],MATCH(Proj[[#This Row],[Player]],Table3[Player],0),8)/60,IF(Proj[[#This Row],[Pos]] ="D", 'Per 60 PK'!$H$623, 'Per 60 PK'!$H$622)/60))*Proj[[#This Row],[TOI PK]]*Proj[[#This Row],[GP]],0)</f>
        <v>0</v>
      </c>
      <c r="U6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v>
      </c>
      <c r="V6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v>
      </c>
      <c r="W6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6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6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6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44</v>
      </c>
      <c r="AA6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-1676.6197423441627</v>
      </c>
      <c r="AB642" s="10">
        <f>_xlfn.RANK.EQ(Proj[[#This Row],[VOR]],Proj[VOR])</f>
        <v>755</v>
      </c>
      <c r="AC642" s="10">
        <f>INDEX(Std[],MATCH(Proj[[#This Row],[Player]],Std[Player],0),20)</f>
        <v>-941.98588803386406</v>
      </c>
      <c r="AD6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92.399999999999991</v>
      </c>
    </row>
    <row r="643" spans="1:30" x14ac:dyDescent="0.25">
      <c r="A643" t="s">
        <v>962</v>
      </c>
      <c r="B643">
        <v>25</v>
      </c>
      <c r="C643" t="s">
        <v>3</v>
      </c>
      <c r="D643" t="s">
        <v>7</v>
      </c>
      <c r="E643" s="9">
        <f>INDEX(Table1[],MATCH(Proj[[#This Row],[Player]],Table1[Player],0),5)</f>
        <v>14.9148120797896</v>
      </c>
      <c r="F643" s="9">
        <f>_xlfn.IFNA(INDEX(Table2[],MATCH(Proj[[#This Row],[Player]],Table2[Player],0),5),0)</f>
        <v>0</v>
      </c>
      <c r="G643" s="9">
        <f>_xlfn.IFNA(INDEX(Table3[],MATCH(Proj[[#This Row],[Player]],Table3[Player],0),5),0)</f>
        <v>1.72</v>
      </c>
      <c r="H643" s="10">
        <v>42</v>
      </c>
      <c r="I643">
        <v>42</v>
      </c>
      <c r="J643" s="9">
        <v>14.9148120797896</v>
      </c>
      <c r="K643" s="9">
        <v>0</v>
      </c>
      <c r="L643" s="9">
        <v>1.72</v>
      </c>
      <c r="M643" s="9">
        <f>Proj[[#This Row],[TOI ES]]+Proj[[#This Row],[TOI PP]]+Proj[[#This Row],[TOI PK]]</f>
        <v>16.634812079789601</v>
      </c>
      <c r="N6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43" s="10">
        <f>Proj[[#This Row],[Goals]]+Proj[[#This Row],[Assists]]</f>
        <v>12</v>
      </c>
      <c r="Q643" s="10">
        <f>ROUND(_xlfn.IFNA(INDEX(Table2[],MATCH(Proj[[#This Row],[Player]],Table2[Player],0),11)/60,IF(Proj[[#This Row],[Pos]] = "D", 'Per 60 PP'!$K$527,'Per 60 PP'!$K$526)/60)*Proj[[#This Row],[TOI PP]]*Proj[[#This Row],[GP]],0)</f>
        <v>0</v>
      </c>
      <c r="R643" s="10">
        <f>ROUND(_xlfn.IFNA(INDEX(Table2[],MATCH(Proj[[#This Row],[Player]],Table2[Player],0),7)/60,IF(Proj[[#This Row],[Pos]] = "D", 'Per 60 PP'!$G$527,'Per 60 PP'!$G$526)/60)*Proj[[#This Row],[TOI PP]]*Proj[[#This Row],[GP]],0)</f>
        <v>0</v>
      </c>
      <c r="S643" s="10">
        <f>Proj[[#This Row],[PPG]]+Proj[[#This Row],[PPA]]</f>
        <v>0</v>
      </c>
      <c r="T643">
        <f>ROUND((_xlfn.IFNA(INDEX(Table3[],MATCH(Proj[[#This Row],[Player]],Table3[Player],0),6)/60,IF(Proj[[#This Row],[Pos]] ="D", 'Per 60 PK'!$F$623, 'Per 60 PK'!$F$622)/60)+_xlfn.IFNA(INDEX(Table3[],MATCH(Proj[[#This Row],[Player]],Table3[Player],0),8)/60,IF(Proj[[#This Row],[Pos]] ="D", 'Per 60 PK'!$H$623, 'Per 60 PK'!$H$622)/60))*Proj[[#This Row],[TOI PK]]*Proj[[#This Row],[GP]],0)</f>
        <v>1</v>
      </c>
      <c r="U6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v>
      </c>
      <c r="V6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6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6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6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-895.0248952964115</v>
      </c>
      <c r="AB643" s="10">
        <f>_xlfn.RANK.EQ(Proj[[#This Row],[VOR]],Proj[VOR])</f>
        <v>623</v>
      </c>
      <c r="AC643" s="10">
        <f>INDEX(Std[],MATCH(Proj[[#This Row],[Player]],Std[Player],0),20)</f>
        <v>-787.66012757694705</v>
      </c>
      <c r="AD6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127.65</v>
      </c>
    </row>
    <row r="644" spans="1:30" x14ac:dyDescent="0.25">
      <c r="A644" t="s">
        <v>1156</v>
      </c>
      <c r="B644">
        <v>25</v>
      </c>
      <c r="C644" t="s">
        <v>103</v>
      </c>
      <c r="D644" t="s">
        <v>1241</v>
      </c>
      <c r="E644" s="9">
        <f>INDEX(Table1[],MATCH(Proj[[#This Row],[Player]],Table1[Player],0),5)</f>
        <v>10.7290618348141</v>
      </c>
      <c r="F644" s="9">
        <f>_xlfn.IFNA(INDEX(Table2[],MATCH(Proj[[#This Row],[Player]],Table2[Player],0),5),0)</f>
        <v>0</v>
      </c>
      <c r="G644" s="9">
        <f>_xlfn.IFNA(INDEX(Table3[],MATCH(Proj[[#This Row],[Player]],Table3[Player],0),5),0)</f>
        <v>0</v>
      </c>
      <c r="H644" s="10">
        <v>40</v>
      </c>
      <c r="I644">
        <v>40</v>
      </c>
      <c r="J644" s="9">
        <v>10.7290618348141</v>
      </c>
      <c r="K644" s="9">
        <v>0</v>
      </c>
      <c r="L644" s="9">
        <v>0</v>
      </c>
      <c r="M644" s="9">
        <f>Proj[[#This Row],[TOI ES]]+Proj[[#This Row],[TOI PP]]+Proj[[#This Row],[TOI PK]]</f>
        <v>10.7290618348141</v>
      </c>
      <c r="N6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44">
        <f>Proj[[#This Row],[Goals]]+Proj[[#This Row],[Assists]]</f>
        <v>12</v>
      </c>
      <c r="Q644" s="10">
        <f>ROUND(_xlfn.IFNA(INDEX(Table2[],MATCH(Proj[[#This Row],[Player]],Table2[Player],0),11)/60,IF(Proj[[#This Row],[Pos]] = "D", 'Per 60 PP'!$K$527,'Per 60 PP'!$K$526)/60)*Proj[[#This Row],[TOI PP]]*Proj[[#This Row],[GP]],0)</f>
        <v>0</v>
      </c>
      <c r="R644" s="10">
        <f>ROUND(_xlfn.IFNA(INDEX(Table2[],MATCH(Proj[[#This Row],[Player]],Table2[Player],0),7)/60,IF(Proj[[#This Row],[Pos]] = "D", 'Per 60 PP'!$G$527,'Per 60 PP'!$G$526)/60)*Proj[[#This Row],[TOI PP]]*Proj[[#This Row],[GP]],0)</f>
        <v>0</v>
      </c>
      <c r="S644" s="10">
        <f>Proj[[#This Row],[PPG]]+Proj[[#This Row],[PPA]]</f>
        <v>0</v>
      </c>
      <c r="T644">
        <f>ROUND((_xlfn.IFNA(INDEX(Table3[],MATCH(Proj[[#This Row],[Player]],Table3[Player],0),6)/60,IF(Proj[[#This Row],[Pos]] ="D", 'Per 60 PK'!$F$623, 'Per 60 PK'!$F$622)/60)+_xlfn.IFNA(INDEX(Table3[],MATCH(Proj[[#This Row],[Player]],Table3[Player],0),8)/60,IF(Proj[[#This Row],[Pos]] ="D", 'Per 60 PK'!$H$623, 'Per 60 PK'!$H$622)/60))*Proj[[#This Row],[TOI PK]]*Proj[[#This Row],[GP]],0)</f>
        <v>0</v>
      </c>
      <c r="U6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6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v>
      </c>
      <c r="W6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6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v>
      </c>
      <c r="Y6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31</v>
      </c>
      <c r="Z6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65</v>
      </c>
      <c r="AA6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-1277.7630922011799</v>
      </c>
      <c r="AB644" s="10">
        <f>_xlfn.RANK.EQ(Proj[[#This Row],[VOR]],Proj[VOR])</f>
        <v>707</v>
      </c>
      <c r="AC644" s="10">
        <f>INDEX(Std[],MATCH(Proj[[#This Row],[Player]],Std[Player],0),20)</f>
        <v>-831.218367810931</v>
      </c>
      <c r="AD6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118.85000000000002</v>
      </c>
    </row>
    <row r="645" spans="1:30" x14ac:dyDescent="0.25">
      <c r="A645" t="s">
        <v>781</v>
      </c>
      <c r="B645">
        <v>30</v>
      </c>
      <c r="C645" t="s">
        <v>74</v>
      </c>
      <c r="D645" t="s">
        <v>1101</v>
      </c>
      <c r="E645" s="9">
        <f>INDEX(Table1[],MATCH(Proj[[#This Row],[Player]],Table1[Player],0),5)</f>
        <v>8.7478015021474302</v>
      </c>
      <c r="F645" s="9">
        <f>_xlfn.IFNA(INDEX(Table2[],MATCH(Proj[[#This Row],[Player]],Table2[Player],0),5),0)</f>
        <v>0</v>
      </c>
      <c r="G645" s="9">
        <f>_xlfn.IFNA(INDEX(Table3[],MATCH(Proj[[#This Row],[Player]],Table3[Player],0),5),0)</f>
        <v>0.85</v>
      </c>
      <c r="H645" s="10">
        <v>60</v>
      </c>
      <c r="I645">
        <v>60</v>
      </c>
      <c r="J645" s="9">
        <v>8.7478015021474302</v>
      </c>
      <c r="K645" s="9">
        <v>0</v>
      </c>
      <c r="L645" s="9">
        <v>0.85</v>
      </c>
      <c r="M645" s="9">
        <f>Proj[[#This Row],[TOI ES]]+Proj[[#This Row],[TOI PP]]+Proj[[#This Row],[TOI PK]]</f>
        <v>9.5978015021474299</v>
      </c>
      <c r="N6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45">
        <f>Proj[[#This Row],[Goals]]+Proj[[#This Row],[Assists]]</f>
        <v>12</v>
      </c>
      <c r="Q645" s="10">
        <f>ROUND(_xlfn.IFNA(INDEX(Table2[],MATCH(Proj[[#This Row],[Player]],Table2[Player],0),11)/60,IF(Proj[[#This Row],[Pos]] = "D", 'Per 60 PP'!$K$527,'Per 60 PP'!$K$526)/60)*Proj[[#This Row],[TOI PP]]*Proj[[#This Row],[GP]],0)</f>
        <v>0</v>
      </c>
      <c r="R645" s="10">
        <f>ROUND(_xlfn.IFNA(INDEX(Table2[],MATCH(Proj[[#This Row],[Player]],Table2[Player],0),7)/60,IF(Proj[[#This Row],[Pos]] = "D", 'Per 60 PP'!$G$527,'Per 60 PP'!$G$526)/60)*Proj[[#This Row],[TOI PP]]*Proj[[#This Row],[GP]],0)</f>
        <v>0</v>
      </c>
      <c r="S645" s="10">
        <f>Proj[[#This Row],[PPG]]+Proj[[#This Row],[PPA]]</f>
        <v>0</v>
      </c>
      <c r="T645">
        <f>ROUND((_xlfn.IFNA(INDEX(Table3[],MATCH(Proj[[#This Row],[Player]],Table3[Player],0),6)/60,IF(Proj[[#This Row],[Pos]] ="D", 'Per 60 PK'!$F$623, 'Per 60 PK'!$F$622)/60)+_xlfn.IFNA(INDEX(Table3[],MATCH(Proj[[#This Row],[Player]],Table3[Player],0),8)/60,IF(Proj[[#This Row],[Pos]] ="D", 'Per 60 PK'!$H$623, 'Per 60 PK'!$H$622)/60))*Proj[[#This Row],[TOI PK]]*Proj[[#This Row],[GP]],0)</f>
        <v>0</v>
      </c>
      <c r="U6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23</v>
      </c>
      <c r="V6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6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6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141</v>
      </c>
      <c r="Y6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120</v>
      </c>
      <c r="Z6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32</v>
      </c>
      <c r="AA6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-1538.7913423675625</v>
      </c>
      <c r="AB645" s="10">
        <f>_xlfn.RANK.EQ(Proj[[#This Row],[VOR]],Proj[VOR])</f>
        <v>745</v>
      </c>
      <c r="AC645" s="10">
        <f>INDEX(Std[],MATCH(Proj[[#This Row],[Player]],Std[Player],0),20)</f>
        <v>-804.15748805726389</v>
      </c>
      <c r="AD6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119.69999999999999</v>
      </c>
    </row>
    <row r="646" spans="1:30" x14ac:dyDescent="0.25">
      <c r="A646" t="s">
        <v>968</v>
      </c>
      <c r="B646">
        <v>22</v>
      </c>
      <c r="C646" t="s">
        <v>3</v>
      </c>
      <c r="D646" t="s">
        <v>21</v>
      </c>
      <c r="E646" s="9">
        <f>INDEX(Table1[],MATCH(Proj[[#This Row],[Player]],Table1[Player],0),5)</f>
        <v>15.7520229287392</v>
      </c>
      <c r="F646" s="9">
        <f>_xlfn.IFNA(INDEX(Table2[],MATCH(Proj[[#This Row],[Player]],Table2[Player],0),5),0)</f>
        <v>0</v>
      </c>
      <c r="G646" s="9">
        <f>_xlfn.IFNA(INDEX(Table3[],MATCH(Proj[[#This Row],[Player]],Table3[Player],0),5),0)</f>
        <v>1.73</v>
      </c>
      <c r="H646" s="10">
        <v>46</v>
      </c>
      <c r="I646">
        <v>46</v>
      </c>
      <c r="J646" s="9">
        <v>15.7520229287392</v>
      </c>
      <c r="K646" s="9">
        <v>0</v>
      </c>
      <c r="L646" s="9">
        <v>1.73</v>
      </c>
      <c r="M646" s="9">
        <f>Proj[[#This Row],[TOI ES]]+Proj[[#This Row],[TOI PP]]+Proj[[#This Row],[TOI PK]]</f>
        <v>17.482022928739198</v>
      </c>
      <c r="N6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46" s="10">
        <f>Proj[[#This Row],[Goals]]+Proj[[#This Row],[Assists]]</f>
        <v>12</v>
      </c>
      <c r="Q646" s="10">
        <f>ROUND(_xlfn.IFNA(INDEX(Table2[],MATCH(Proj[[#This Row],[Player]],Table2[Player],0),11)/60,IF(Proj[[#This Row],[Pos]] = "D", 'Per 60 PP'!$K$527,'Per 60 PP'!$K$526)/60)*Proj[[#This Row],[TOI PP]]*Proj[[#This Row],[GP]],0)</f>
        <v>0</v>
      </c>
      <c r="R646" s="10">
        <f>ROUND(_xlfn.IFNA(INDEX(Table2[],MATCH(Proj[[#This Row],[Player]],Table2[Player],0),7)/60,IF(Proj[[#This Row],[Pos]] = "D", 'Per 60 PP'!$G$527,'Per 60 PP'!$G$526)/60)*Proj[[#This Row],[TOI PP]]*Proj[[#This Row],[GP]],0)</f>
        <v>0</v>
      </c>
      <c r="S646" s="10">
        <f>Proj[[#This Row],[PPG]]+Proj[[#This Row],[PPA]]</f>
        <v>0</v>
      </c>
      <c r="T646">
        <f>ROUND((_xlfn.IFNA(INDEX(Table3[],MATCH(Proj[[#This Row],[Player]],Table3[Player],0),6)/60,IF(Proj[[#This Row],[Pos]] ="D", 'Per 60 PK'!$F$623, 'Per 60 PK'!$F$622)/60)+_xlfn.IFNA(INDEX(Table3[],MATCH(Proj[[#This Row],[Player]],Table3[Player],0),8)/60,IF(Proj[[#This Row],[Pos]] ="D", 'Per 60 PK'!$H$623, 'Per 60 PK'!$H$622)/60))*Proj[[#This Row],[TOI PK]]*Proj[[#This Row],[GP]],0)</f>
        <v>0</v>
      </c>
      <c r="U6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6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6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6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45</v>
      </c>
      <c r="AA6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-805.67507927531619</v>
      </c>
      <c r="AB646" s="10">
        <f>_xlfn.RANK.EQ(Proj[[#This Row],[VOR]],Proj[VOR])</f>
        <v>593</v>
      </c>
      <c r="AC646" s="10">
        <f>INDEX(Std[],MATCH(Proj[[#This Row],[Player]],Std[Player],0),20)</f>
        <v>-698.31031155585174</v>
      </c>
      <c r="AD6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144.6</v>
      </c>
    </row>
    <row r="647" spans="1:30" x14ac:dyDescent="0.25">
      <c r="A647" t="s">
        <v>1153</v>
      </c>
      <c r="B647">
        <v>32</v>
      </c>
      <c r="C647" t="s">
        <v>74</v>
      </c>
      <c r="D647" t="s">
        <v>29</v>
      </c>
      <c r="E647" s="9">
        <f>INDEX(Table1[],MATCH(Proj[[#This Row],[Player]],Table1[Player],0),5)</f>
        <v>11.097125536439201</v>
      </c>
      <c r="F647" s="9">
        <f>_xlfn.IFNA(INDEX(Table2[],MATCH(Proj[[#This Row],[Player]],Table2[Player],0),5),0)</f>
        <v>0</v>
      </c>
      <c r="G647" s="9">
        <f>_xlfn.IFNA(INDEX(Table3[],MATCH(Proj[[#This Row],[Player]],Table3[Player],0),5),0)</f>
        <v>0</v>
      </c>
      <c r="H647" s="10">
        <v>45</v>
      </c>
      <c r="I647">
        <v>45</v>
      </c>
      <c r="J647" s="9">
        <v>11.097125536439201</v>
      </c>
      <c r="K647" s="9">
        <v>0</v>
      </c>
      <c r="L647" s="9">
        <v>0</v>
      </c>
      <c r="M647" s="9">
        <f>Proj[[#This Row],[TOI ES]]+Proj[[#This Row],[TOI PP]]+Proj[[#This Row],[TOI PK]]</f>
        <v>11.097125536439201</v>
      </c>
      <c r="N6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47">
        <f>Proj[[#This Row],[Goals]]+Proj[[#This Row],[Assists]]</f>
        <v>12</v>
      </c>
      <c r="Q647" s="10">
        <f>ROUND(_xlfn.IFNA(INDEX(Table2[],MATCH(Proj[[#This Row],[Player]],Table2[Player],0),11)/60,IF(Proj[[#This Row],[Pos]] = "D", 'Per 60 PP'!$K$527,'Per 60 PP'!$K$526)/60)*Proj[[#This Row],[TOI PP]]*Proj[[#This Row],[GP]],0)</f>
        <v>0</v>
      </c>
      <c r="R647" s="10">
        <f>ROUND(_xlfn.IFNA(INDEX(Table2[],MATCH(Proj[[#This Row],[Player]],Table2[Player],0),7)/60,IF(Proj[[#This Row],[Pos]] = "D", 'Per 60 PP'!$G$527,'Per 60 PP'!$G$526)/60)*Proj[[#This Row],[TOI PP]]*Proj[[#This Row],[GP]],0)</f>
        <v>0</v>
      </c>
      <c r="S647" s="10">
        <f>Proj[[#This Row],[PPG]]+Proj[[#This Row],[PPA]]</f>
        <v>0</v>
      </c>
      <c r="T647">
        <f>ROUND((_xlfn.IFNA(INDEX(Table3[],MATCH(Proj[[#This Row],[Player]],Table3[Player],0),6)/60,IF(Proj[[#This Row],[Pos]] ="D", 'Per 60 PK'!$F$623, 'Per 60 PK'!$F$622)/60)+_xlfn.IFNA(INDEX(Table3[],MATCH(Proj[[#This Row],[Player]],Table3[Player],0),8)/60,IF(Proj[[#This Row],[Pos]] ="D", 'Per 60 PK'!$H$623, 'Per 60 PK'!$H$622)/60))*Proj[[#This Row],[TOI PK]]*Proj[[#This Row],[GP]],0)</f>
        <v>0</v>
      </c>
      <c r="U6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6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v>
      </c>
      <c r="W6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6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93</v>
      </c>
      <c r="Y6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110</v>
      </c>
      <c r="Z6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45</v>
      </c>
      <c r="AA6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-1562.2403227124203</v>
      </c>
      <c r="AB647" s="10">
        <f>_xlfn.RANK.EQ(Proj[[#This Row],[VOR]],Proj[VOR])</f>
        <v>747</v>
      </c>
      <c r="AC647" s="10">
        <f>INDEX(Std[],MATCH(Proj[[#This Row],[Player]],Std[Player],0),20)</f>
        <v>-827.60646840212166</v>
      </c>
      <c r="AD6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122.5</v>
      </c>
    </row>
    <row r="648" spans="1:30" x14ac:dyDescent="0.25">
      <c r="A648" t="s">
        <v>675</v>
      </c>
      <c r="B648">
        <v>26</v>
      </c>
      <c r="C648" t="s">
        <v>3</v>
      </c>
      <c r="D648" t="s">
        <v>9</v>
      </c>
      <c r="E648" s="9">
        <f>INDEX(Table1[],MATCH(Proj[[#This Row],[Player]],Table1[Player],0),5)</f>
        <v>12.4589282194656</v>
      </c>
      <c r="F648" s="9">
        <f>_xlfn.IFNA(INDEX(Table2[],MATCH(Proj[[#This Row],[Player]],Table2[Player],0),5),0)</f>
        <v>0</v>
      </c>
      <c r="G648" s="9">
        <f>_xlfn.IFNA(INDEX(Table3[],MATCH(Proj[[#This Row],[Player]],Table3[Player],0),5),0)</f>
        <v>0</v>
      </c>
      <c r="H648" s="10">
        <v>58</v>
      </c>
      <c r="I648">
        <v>58</v>
      </c>
      <c r="J648" s="9">
        <v>12.4589282194656</v>
      </c>
      <c r="K648" s="9">
        <v>0</v>
      </c>
      <c r="L648" s="9">
        <v>0</v>
      </c>
      <c r="M648" s="9">
        <f>Proj[[#This Row],[TOI ES]]+Proj[[#This Row],[TOI PP]]+Proj[[#This Row],[TOI PK]]</f>
        <v>12.4589282194656</v>
      </c>
      <c r="N6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48" s="10">
        <f>Proj[[#This Row],[Goals]]+Proj[[#This Row],[Assists]]</f>
        <v>12</v>
      </c>
      <c r="Q648" s="10">
        <f>ROUND(_xlfn.IFNA(INDEX(Table2[],MATCH(Proj[[#This Row],[Player]],Table2[Player],0),11)/60,IF(Proj[[#This Row],[Pos]] = "D", 'Per 60 PP'!$K$527,'Per 60 PP'!$K$526)/60)*Proj[[#This Row],[TOI PP]]*Proj[[#This Row],[GP]],0)</f>
        <v>0</v>
      </c>
      <c r="R648" s="10">
        <f>ROUND(_xlfn.IFNA(INDEX(Table2[],MATCH(Proj[[#This Row],[Player]],Table2[Player],0),7)/60,IF(Proj[[#This Row],[Pos]] = "D", 'Per 60 PP'!$G$527,'Per 60 PP'!$G$526)/60)*Proj[[#This Row],[TOI PP]]*Proj[[#This Row],[GP]],0)</f>
        <v>0</v>
      </c>
      <c r="S648" s="10">
        <f>Proj[[#This Row],[PPG]]+Proj[[#This Row],[PPA]]</f>
        <v>0</v>
      </c>
      <c r="T648">
        <f>ROUND((_xlfn.IFNA(INDEX(Table3[],MATCH(Proj[[#This Row],[Player]],Table3[Player],0),6)/60,IF(Proj[[#This Row],[Pos]] ="D", 'Per 60 PK'!$F$623, 'Per 60 PK'!$F$622)/60)+_xlfn.IFNA(INDEX(Table3[],MATCH(Proj[[#This Row],[Player]],Table3[Player],0),8)/60,IF(Proj[[#This Row],[Pos]] ="D", 'Per 60 PK'!$H$623, 'Per 60 PK'!$H$622)/60))*Proj[[#This Row],[TOI PK]]*Proj[[#This Row],[GP]],0)</f>
        <v>0</v>
      </c>
      <c r="U6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38</v>
      </c>
      <c r="V6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49</v>
      </c>
      <c r="W6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6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6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-840.21799191284174</v>
      </c>
      <c r="AB648" s="10">
        <f>_xlfn.RANK.EQ(Proj[[#This Row],[VOR]],Proj[VOR])</f>
        <v>609</v>
      </c>
      <c r="AC648" s="10">
        <f>INDEX(Std[],MATCH(Proj[[#This Row],[Player]],Std[Player],0),20)</f>
        <v>-732.85322419337729</v>
      </c>
      <c r="AD6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147.19999999999999</v>
      </c>
    </row>
    <row r="649" spans="1:30" x14ac:dyDescent="0.25">
      <c r="A649" t="s">
        <v>659</v>
      </c>
      <c r="B649">
        <v>32</v>
      </c>
      <c r="C649" t="s">
        <v>3</v>
      </c>
      <c r="D649" t="s">
        <v>18</v>
      </c>
      <c r="E649" s="9">
        <f>INDEX(Table1[],MATCH(Proj[[#This Row],[Player]],Table1[Player],0),5)</f>
        <v>12.6446918817979</v>
      </c>
      <c r="F649" s="9">
        <f>_xlfn.IFNA(INDEX(Table2[],MATCH(Proj[[#This Row],[Player]],Table2[Player],0),5),0)</f>
        <v>0</v>
      </c>
      <c r="G649" s="9">
        <f>_xlfn.IFNA(INDEX(Table3[],MATCH(Proj[[#This Row],[Player]],Table3[Player],0),5),0)</f>
        <v>0.57999999999999996</v>
      </c>
      <c r="H649" s="10">
        <v>72</v>
      </c>
      <c r="I649">
        <v>72</v>
      </c>
      <c r="J649" s="9">
        <v>12.6446918817979</v>
      </c>
      <c r="K649" s="9">
        <v>0</v>
      </c>
      <c r="L649" s="9">
        <v>0.57999999999999996</v>
      </c>
      <c r="M649" s="9">
        <f>Proj[[#This Row],[TOI ES]]+Proj[[#This Row],[TOI PP]]+Proj[[#This Row],[TOI PK]]</f>
        <v>13.2246918817979</v>
      </c>
      <c r="N6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49">
        <f>Proj[[#This Row],[Goals]]+Proj[[#This Row],[Assists]]</f>
        <v>12</v>
      </c>
      <c r="Q649" s="10">
        <f>ROUND(_xlfn.IFNA(INDEX(Table2[],MATCH(Proj[[#This Row],[Player]],Table2[Player],0),11)/60,IF(Proj[[#This Row],[Pos]] = "D", 'Per 60 PP'!$K$527,'Per 60 PP'!$K$526)/60)*Proj[[#This Row],[TOI PP]]*Proj[[#This Row],[GP]],0)</f>
        <v>0</v>
      </c>
      <c r="R649" s="10">
        <f>ROUND(_xlfn.IFNA(INDEX(Table2[],MATCH(Proj[[#This Row],[Player]],Table2[Player],0),7)/60,IF(Proj[[#This Row],[Pos]] = "D", 'Per 60 PP'!$G$527,'Per 60 PP'!$G$526)/60)*Proj[[#This Row],[TOI PP]]*Proj[[#This Row],[GP]],0)</f>
        <v>0</v>
      </c>
      <c r="S649" s="10">
        <f>Proj[[#This Row],[PPG]]+Proj[[#This Row],[PPA]]</f>
        <v>0</v>
      </c>
      <c r="T649">
        <f>ROUND((_xlfn.IFNA(INDEX(Table3[],MATCH(Proj[[#This Row],[Player]],Table3[Player],0),6)/60,IF(Proj[[#This Row],[Pos]] ="D", 'Per 60 PK'!$F$623, 'Per 60 PK'!$F$622)/60)+_xlfn.IFNA(INDEX(Table3[],MATCH(Proj[[#This Row],[Player]],Table3[Player],0),8)/60,IF(Proj[[#This Row],[Pos]] ="D", 'Per 60 PK'!$H$623, 'Per 60 PK'!$H$622)/60))*Proj[[#This Row],[TOI PK]]*Proj[[#This Row],[GP]],0)</f>
        <v>0</v>
      </c>
      <c r="U6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6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79</v>
      </c>
      <c r="W6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30</v>
      </c>
      <c r="X6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45</v>
      </c>
      <c r="AA6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-734.00454469064903</v>
      </c>
      <c r="AB649" s="10">
        <f>_xlfn.RANK.EQ(Proj[[#This Row],[VOR]],Proj[VOR])</f>
        <v>552</v>
      </c>
      <c r="AC649" s="10">
        <f>INDEX(Std[],MATCH(Proj[[#This Row],[Player]],Std[Player],0),20)</f>
        <v>-626.63977697118457</v>
      </c>
      <c r="AD6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161.25</v>
      </c>
    </row>
    <row r="650" spans="1:30" x14ac:dyDescent="0.25">
      <c r="A650" t="s">
        <v>934</v>
      </c>
      <c r="B650">
        <v>24</v>
      </c>
      <c r="C650" t="s">
        <v>74</v>
      </c>
      <c r="D650" t="s">
        <v>9</v>
      </c>
      <c r="E650" s="9">
        <f>INDEX(Table1[],MATCH(Proj[[#This Row],[Player]],Table1[Player],0),5)</f>
        <v>8.8292579124003492</v>
      </c>
      <c r="F650" s="9">
        <f>_xlfn.IFNA(INDEX(Table2[],MATCH(Proj[[#This Row],[Player]],Table2[Player],0),5),0)</f>
        <v>0</v>
      </c>
      <c r="G650" s="9">
        <f>_xlfn.IFNA(INDEX(Table3[],MATCH(Proj[[#This Row],[Player]],Table3[Player],0),5),0)</f>
        <v>1.01</v>
      </c>
      <c r="H650" s="10">
        <v>64</v>
      </c>
      <c r="I650">
        <v>64</v>
      </c>
      <c r="J650" s="9">
        <v>8.8292579124003492</v>
      </c>
      <c r="K650" s="9">
        <v>0</v>
      </c>
      <c r="L650" s="9">
        <v>1.01</v>
      </c>
      <c r="M650" s="9">
        <f>Proj[[#This Row],[TOI ES]]+Proj[[#This Row],[TOI PP]]+Proj[[#This Row],[TOI PK]]</f>
        <v>9.839257912400349</v>
      </c>
      <c r="N6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50" s="10">
        <f>Proj[[#This Row],[Goals]]+Proj[[#This Row],[Assists]]</f>
        <v>12</v>
      </c>
      <c r="Q650" s="10">
        <f>ROUND(_xlfn.IFNA(INDEX(Table2[],MATCH(Proj[[#This Row],[Player]],Table2[Player],0),11)/60,IF(Proj[[#This Row],[Pos]] = "D", 'Per 60 PP'!$K$527,'Per 60 PP'!$K$526)/60)*Proj[[#This Row],[TOI PP]]*Proj[[#This Row],[GP]],0)</f>
        <v>0</v>
      </c>
      <c r="R650" s="10">
        <f>ROUND(_xlfn.IFNA(INDEX(Table2[],MATCH(Proj[[#This Row],[Player]],Table2[Player],0),7)/60,IF(Proj[[#This Row],[Pos]] = "D", 'Per 60 PP'!$G$527,'Per 60 PP'!$G$526)/60)*Proj[[#This Row],[TOI PP]]*Proj[[#This Row],[GP]],0)</f>
        <v>0</v>
      </c>
      <c r="S650" s="10">
        <f>Proj[[#This Row],[PPG]]+Proj[[#This Row],[PPA]]</f>
        <v>0</v>
      </c>
      <c r="T650">
        <f>ROUND((_xlfn.IFNA(INDEX(Table3[],MATCH(Proj[[#This Row],[Player]],Table3[Player],0),6)/60,IF(Proj[[#This Row],[Pos]] ="D", 'Per 60 PK'!$F$623, 'Per 60 PK'!$F$622)/60)+_xlfn.IFNA(INDEX(Table3[],MATCH(Proj[[#This Row],[Player]],Table3[Player],0),8)/60,IF(Proj[[#This Row],[Pos]] ="D", 'Per 60 PK'!$H$623, 'Per 60 PK'!$H$622)/60))*Proj[[#This Row],[TOI PK]]*Proj[[#This Row],[GP]],0)</f>
        <v>0</v>
      </c>
      <c r="U6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43</v>
      </c>
      <c r="V6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6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v>
      </c>
      <c r="X6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164</v>
      </c>
      <c r="Y6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144</v>
      </c>
      <c r="Z6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52</v>
      </c>
      <c r="AA6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-1474.0043136932925</v>
      </c>
      <c r="AB650" s="10">
        <f>_xlfn.RANK.EQ(Proj[[#This Row],[VOR]],Proj[VOR])</f>
        <v>739</v>
      </c>
      <c r="AC650" s="10">
        <f>INDEX(Std[],MATCH(Proj[[#This Row],[Player]],Std[Player],0),20)</f>
        <v>-739.37045938299389</v>
      </c>
      <c r="AD6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146.4</v>
      </c>
    </row>
    <row r="651" spans="1:30" x14ac:dyDescent="0.25">
      <c r="A651" t="s">
        <v>1059</v>
      </c>
      <c r="B651">
        <v>26</v>
      </c>
      <c r="C651" t="s">
        <v>3</v>
      </c>
      <c r="D651" t="s">
        <v>21</v>
      </c>
      <c r="E651" s="9">
        <f>INDEX(Table1[],MATCH(Proj[[#This Row],[Player]],Table1[Player],0),5)</f>
        <v>15.6394597121191</v>
      </c>
      <c r="F651" s="9">
        <f>_xlfn.IFNA(INDEX(Table2[],MATCH(Proj[[#This Row],[Player]],Table2[Player],0),5),0)</f>
        <v>0</v>
      </c>
      <c r="G651" s="9">
        <f>_xlfn.IFNA(INDEX(Table3[],MATCH(Proj[[#This Row],[Player]],Table3[Player],0),5),0)</f>
        <v>0</v>
      </c>
      <c r="H651" s="10">
        <v>55</v>
      </c>
      <c r="I651">
        <v>55</v>
      </c>
      <c r="J651" s="9">
        <v>15.6394597121191</v>
      </c>
      <c r="K651" s="9">
        <v>0</v>
      </c>
      <c r="L651" s="9">
        <v>0</v>
      </c>
      <c r="M651" s="9">
        <f>Proj[[#This Row],[TOI ES]]+Proj[[#This Row],[TOI PP]]+Proj[[#This Row],[TOI PK]]</f>
        <v>15.6394597121191</v>
      </c>
      <c r="N6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51">
        <f>Proj[[#This Row],[Goals]]+Proj[[#This Row],[Assists]]</f>
        <v>12</v>
      </c>
      <c r="Q651" s="10">
        <f>ROUND(_xlfn.IFNA(INDEX(Table2[],MATCH(Proj[[#This Row],[Player]],Table2[Player],0),11)/60,IF(Proj[[#This Row],[Pos]] = "D", 'Per 60 PP'!$K$527,'Per 60 PP'!$K$526)/60)*Proj[[#This Row],[TOI PP]]*Proj[[#This Row],[GP]],0)</f>
        <v>0</v>
      </c>
      <c r="R651" s="10">
        <f>ROUND(_xlfn.IFNA(INDEX(Table2[],MATCH(Proj[[#This Row],[Player]],Table2[Player],0),7)/60,IF(Proj[[#This Row],[Pos]] = "D", 'Per 60 PP'!$G$527,'Per 60 PP'!$G$526)/60)*Proj[[#This Row],[TOI PP]]*Proj[[#This Row],[GP]],0)</f>
        <v>0</v>
      </c>
      <c r="S651" s="10">
        <f>Proj[[#This Row],[PPG]]+Proj[[#This Row],[PPA]]</f>
        <v>0</v>
      </c>
      <c r="T651">
        <f>ROUND((_xlfn.IFNA(INDEX(Table3[],MATCH(Proj[[#This Row],[Player]],Table3[Player],0),6)/60,IF(Proj[[#This Row],[Pos]] ="D", 'Per 60 PK'!$F$623, 'Per 60 PK'!$F$622)/60)+_xlfn.IFNA(INDEX(Table3[],MATCH(Proj[[#This Row],[Player]],Table3[Player],0),8)/60,IF(Proj[[#This Row],[Pos]] ="D", 'Per 60 PK'!$H$623, 'Per 60 PK'!$H$622)/60))*Proj[[#This Row],[TOI PK]]*Proj[[#This Row],[GP]],0)</f>
        <v>0</v>
      </c>
      <c r="U6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46</v>
      </c>
      <c r="V6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70</v>
      </c>
      <c r="W6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6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58</v>
      </c>
      <c r="AA6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-756.70262081841452</v>
      </c>
      <c r="AB651" s="10">
        <f>_xlfn.RANK.EQ(Proj[[#This Row],[VOR]],Proj[VOR])</f>
        <v>560</v>
      </c>
      <c r="AC651" s="10">
        <f>INDEX(Std[],MATCH(Proj[[#This Row],[Player]],Std[Player],0),20)</f>
        <v>-649.33785309895006</v>
      </c>
      <c r="AD6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162.54999999999998</v>
      </c>
    </row>
    <row r="652" spans="1:30" x14ac:dyDescent="0.25">
      <c r="A652" t="s">
        <v>748</v>
      </c>
      <c r="B652">
        <v>26</v>
      </c>
      <c r="C652" t="s">
        <v>74</v>
      </c>
      <c r="D652" t="s">
        <v>34</v>
      </c>
      <c r="E652" s="9">
        <f>INDEX(Table1[],MATCH(Proj[[#This Row],[Player]],Table1[Player],0),5)</f>
        <v>10.242514134042301</v>
      </c>
      <c r="F652" s="9">
        <f>_xlfn.IFNA(INDEX(Table2[],MATCH(Proj[[#This Row],[Player]],Table2[Player],0),5),0)</f>
        <v>0</v>
      </c>
      <c r="G652" s="9">
        <f>_xlfn.IFNA(INDEX(Table3[],MATCH(Proj[[#This Row],[Player]],Table3[Player],0),5),0)</f>
        <v>0.8</v>
      </c>
      <c r="H652" s="10">
        <v>58</v>
      </c>
      <c r="I652">
        <v>58</v>
      </c>
      <c r="J652" s="9">
        <v>10.242514134042301</v>
      </c>
      <c r="K652" s="9">
        <v>0</v>
      </c>
      <c r="L652" s="9">
        <v>0.8</v>
      </c>
      <c r="M652" s="9">
        <f>Proj[[#This Row],[TOI ES]]+Proj[[#This Row],[TOI PP]]+Proj[[#This Row],[TOI PK]]</f>
        <v>11.042514134042301</v>
      </c>
      <c r="N6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52" s="10">
        <f>Proj[[#This Row],[Goals]]+Proj[[#This Row],[Assists]]</f>
        <v>12</v>
      </c>
      <c r="Q652" s="10">
        <f>ROUND(_xlfn.IFNA(INDEX(Table2[],MATCH(Proj[[#This Row],[Player]],Table2[Player],0),11)/60,IF(Proj[[#This Row],[Pos]] = "D", 'Per 60 PP'!$K$527,'Per 60 PP'!$K$526)/60)*Proj[[#This Row],[TOI PP]]*Proj[[#This Row],[GP]],0)</f>
        <v>0</v>
      </c>
      <c r="R652" s="10">
        <f>ROUND(_xlfn.IFNA(INDEX(Table2[],MATCH(Proj[[#This Row],[Player]],Table2[Player],0),7)/60,IF(Proj[[#This Row],[Pos]] = "D", 'Per 60 PP'!$G$527,'Per 60 PP'!$G$526)/60)*Proj[[#This Row],[TOI PP]]*Proj[[#This Row],[GP]],0)</f>
        <v>0</v>
      </c>
      <c r="S652" s="10">
        <f>Proj[[#This Row],[PPG]]+Proj[[#This Row],[PPA]]</f>
        <v>0</v>
      </c>
      <c r="T652">
        <f>ROUND((_xlfn.IFNA(INDEX(Table3[],MATCH(Proj[[#This Row],[Player]],Table3[Player],0),6)/60,IF(Proj[[#This Row],[Pos]] ="D", 'Per 60 PK'!$F$623, 'Per 60 PK'!$F$622)/60)+_xlfn.IFNA(INDEX(Table3[],MATCH(Proj[[#This Row],[Player]],Table3[Player],0),8)/60,IF(Proj[[#This Row],[Pos]] ="D", 'Per 60 PK'!$H$623, 'Per 60 PK'!$H$622)/60))*Proj[[#This Row],[TOI PK]]*Proj[[#This Row],[GP]],0)</f>
        <v>0</v>
      </c>
      <c r="U6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6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6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117</v>
      </c>
      <c r="Y6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162</v>
      </c>
      <c r="Z6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65</v>
      </c>
      <c r="AA6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-1414.7246104170167</v>
      </c>
      <c r="AB652" s="10">
        <f>_xlfn.RANK.EQ(Proj[[#This Row],[VOR]],Proj[VOR])</f>
        <v>730</v>
      </c>
      <c r="AC652" s="10">
        <f>INDEX(Std[],MATCH(Proj[[#This Row],[Player]],Std[Player],0),20)</f>
        <v>-680.09075610671823</v>
      </c>
      <c r="AD6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155.24999999999997</v>
      </c>
    </row>
    <row r="653" spans="1:30" x14ac:dyDescent="0.25">
      <c r="A653" t="s">
        <v>690</v>
      </c>
      <c r="B653">
        <v>26</v>
      </c>
      <c r="C653" t="s">
        <v>3</v>
      </c>
      <c r="D653" t="s">
        <v>5</v>
      </c>
      <c r="E653" s="9">
        <f>INDEX(Table1[],MATCH(Proj[[#This Row],[Player]],Table1[Player],0),5)</f>
        <v>14.4702719816718</v>
      </c>
      <c r="F653" s="9">
        <f>_xlfn.IFNA(INDEX(Table2[],MATCH(Proj[[#This Row],[Player]],Table2[Player],0),5),0)</f>
        <v>0</v>
      </c>
      <c r="G653" s="9">
        <f>_xlfn.IFNA(INDEX(Table3[],MATCH(Proj[[#This Row],[Player]],Table3[Player],0),5),0)</f>
        <v>0</v>
      </c>
      <c r="H653" s="10">
        <v>57</v>
      </c>
      <c r="I653">
        <v>57</v>
      </c>
      <c r="J653" s="9">
        <v>14.4702719816718</v>
      </c>
      <c r="K653" s="9">
        <v>0</v>
      </c>
      <c r="L653" s="9">
        <v>0</v>
      </c>
      <c r="M653" s="9">
        <f>Proj[[#This Row],[TOI ES]]+Proj[[#This Row],[TOI PP]]+Proj[[#This Row],[TOI PK]]</f>
        <v>14.4702719816718</v>
      </c>
      <c r="N6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53" s="10">
        <f>Proj[[#This Row],[Goals]]+Proj[[#This Row],[Assists]]</f>
        <v>12</v>
      </c>
      <c r="Q653" s="10">
        <f>ROUND(_xlfn.IFNA(INDEX(Table2[],MATCH(Proj[[#This Row],[Player]],Table2[Player],0),11)/60,IF(Proj[[#This Row],[Pos]] = "D", 'Per 60 PP'!$K$527,'Per 60 PP'!$K$526)/60)*Proj[[#This Row],[TOI PP]]*Proj[[#This Row],[GP]],0)</f>
        <v>0</v>
      </c>
      <c r="R653" s="10">
        <f>ROUND(_xlfn.IFNA(INDEX(Table2[],MATCH(Proj[[#This Row],[Player]],Table2[Player],0),7)/60,IF(Proj[[#This Row],[Pos]] = "D", 'Per 60 PP'!$G$527,'Per 60 PP'!$G$526)/60)*Proj[[#This Row],[TOI PP]]*Proj[[#This Row],[GP]],0)</f>
        <v>0</v>
      </c>
      <c r="S653" s="10">
        <f>Proj[[#This Row],[PPG]]+Proj[[#This Row],[PPA]]</f>
        <v>0</v>
      </c>
      <c r="T653">
        <f>ROUND((_xlfn.IFNA(INDEX(Table3[],MATCH(Proj[[#This Row],[Player]],Table3[Player],0),6)/60,IF(Proj[[#This Row],[Pos]] ="D", 'Per 60 PK'!$F$623, 'Per 60 PK'!$F$622)/60)+_xlfn.IFNA(INDEX(Table3[],MATCH(Proj[[#This Row],[Player]],Table3[Player],0),8)/60,IF(Proj[[#This Row],[Pos]] ="D", 'Per 60 PK'!$H$623, 'Per 60 PK'!$H$622)/60))*Proj[[#This Row],[TOI PK]]*Proj[[#This Row],[GP]],0)</f>
        <v>0</v>
      </c>
      <c r="U6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51</v>
      </c>
      <c r="V6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6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6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34</v>
      </c>
      <c r="AA6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-782.04017189392289</v>
      </c>
      <c r="AB653" s="10">
        <f>_xlfn.RANK.EQ(Proj[[#This Row],[VOR]],Proj[VOR])</f>
        <v>576</v>
      </c>
      <c r="AC653" s="10">
        <f>INDEX(Std[],MATCH(Proj[[#This Row],[Player]],Std[Player],0),20)</f>
        <v>-674.67540417445844</v>
      </c>
      <c r="AD6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150.9</v>
      </c>
    </row>
    <row r="654" spans="1:30" x14ac:dyDescent="0.25">
      <c r="A654" t="s">
        <v>706</v>
      </c>
      <c r="B654">
        <v>27</v>
      </c>
      <c r="C654" t="s">
        <v>3</v>
      </c>
      <c r="D654" t="s">
        <v>155</v>
      </c>
      <c r="E654" s="9">
        <f>INDEX(Table1[],MATCH(Proj[[#This Row],[Player]],Table1[Player],0),5)</f>
        <v>12.6537108244666</v>
      </c>
      <c r="F654" s="9">
        <f>_xlfn.IFNA(INDEX(Table2[],MATCH(Proj[[#This Row],[Player]],Table2[Player],0),5),0)</f>
        <v>1.54</v>
      </c>
      <c r="G654" s="9">
        <f>_xlfn.IFNA(INDEX(Table3[],MATCH(Proj[[#This Row],[Player]],Table3[Player],0),5),0)</f>
        <v>0.62</v>
      </c>
      <c r="H654" s="10">
        <v>47</v>
      </c>
      <c r="I654">
        <v>47</v>
      </c>
      <c r="J654" s="9">
        <v>12.6537108244666</v>
      </c>
      <c r="K654" s="9">
        <v>1.54</v>
      </c>
      <c r="L654" s="9">
        <v>0.62</v>
      </c>
      <c r="M654" s="9">
        <f>Proj[[#This Row],[TOI ES]]+Proj[[#This Row],[TOI PP]]+Proj[[#This Row],[TOI PK]]</f>
        <v>14.813710824466598</v>
      </c>
      <c r="N6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54" s="10">
        <f>Proj[[#This Row],[Goals]]+Proj[[#This Row],[Assists]]</f>
        <v>12</v>
      </c>
      <c r="Q654" s="10">
        <f>ROUND(_xlfn.IFNA(INDEX(Table2[],MATCH(Proj[[#This Row],[Player]],Table2[Player],0),11)/60,IF(Proj[[#This Row],[Pos]] = "D", 'Per 60 PP'!$K$527,'Per 60 PP'!$K$526)/60)*Proj[[#This Row],[TOI PP]]*Proj[[#This Row],[GP]],0)</f>
        <v>1</v>
      </c>
      <c r="R654" s="10">
        <f>ROUND(_xlfn.IFNA(INDEX(Table2[],MATCH(Proj[[#This Row],[Player]],Table2[Player],0),7)/60,IF(Proj[[#This Row],[Pos]] = "D", 'Per 60 PP'!$G$527,'Per 60 PP'!$G$526)/60)*Proj[[#This Row],[TOI PP]]*Proj[[#This Row],[GP]],0)</f>
        <v>3</v>
      </c>
      <c r="S654" s="10">
        <f>Proj[[#This Row],[PPG]]+Proj[[#This Row],[PPA]]</f>
        <v>4</v>
      </c>
      <c r="T654">
        <f>ROUND((_xlfn.IFNA(INDEX(Table3[],MATCH(Proj[[#This Row],[Player]],Table3[Player],0),6)/60,IF(Proj[[#This Row],[Pos]] ="D", 'Per 60 PK'!$F$623, 'Per 60 PK'!$F$622)/60)+_xlfn.IFNA(INDEX(Table3[],MATCH(Proj[[#This Row],[Player]],Table3[Player],0),8)/60,IF(Proj[[#This Row],[Pos]] ="D", 'Per 60 PK'!$H$623, 'Per 60 PK'!$H$622)/60))*Proj[[#This Row],[TOI PK]]*Proj[[#This Row],[GP]],0)</f>
        <v>0</v>
      </c>
      <c r="U6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6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6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6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45</v>
      </c>
      <c r="AA6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-773.79448907812662</v>
      </c>
      <c r="AB654" s="10">
        <f>_xlfn.RANK.EQ(Proj[[#This Row],[VOR]],Proj[VOR])</f>
        <v>570</v>
      </c>
      <c r="AC654" s="10">
        <f>INDEX(Std[],MATCH(Proj[[#This Row],[Player]],Std[Player],0),20)</f>
        <v>-666.42972135866216</v>
      </c>
      <c r="AD6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154.39999999999998</v>
      </c>
    </row>
    <row r="655" spans="1:30" x14ac:dyDescent="0.25">
      <c r="A655" t="s">
        <v>1060</v>
      </c>
      <c r="B655">
        <v>24</v>
      </c>
      <c r="C655" t="s">
        <v>3</v>
      </c>
      <c r="D655" t="s">
        <v>15</v>
      </c>
      <c r="E655" s="9">
        <f>INDEX(Table1[],MATCH(Proj[[#This Row],[Player]],Table1[Player],0),5)</f>
        <v>14.525054336922</v>
      </c>
      <c r="F655" s="9">
        <f>_xlfn.IFNA(INDEX(Table2[],MATCH(Proj[[#This Row],[Player]],Table2[Player],0),5),0)</f>
        <v>0</v>
      </c>
      <c r="G655" s="9">
        <f>_xlfn.IFNA(INDEX(Table3[],MATCH(Proj[[#This Row],[Player]],Table3[Player],0),5),0)</f>
        <v>1.46</v>
      </c>
      <c r="H655" s="10">
        <v>72</v>
      </c>
      <c r="I655">
        <v>72</v>
      </c>
      <c r="J655" s="9">
        <v>14.525054336922</v>
      </c>
      <c r="K655" s="9">
        <v>0</v>
      </c>
      <c r="L655" s="9">
        <v>1.46</v>
      </c>
      <c r="M655" s="9">
        <f>Proj[[#This Row],[TOI ES]]+Proj[[#This Row],[TOI PP]]+Proj[[#This Row],[TOI PK]]</f>
        <v>15.985054336922001</v>
      </c>
      <c r="N6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55" s="10">
        <f>Proj[[#This Row],[Goals]]+Proj[[#This Row],[Assists]]</f>
        <v>12</v>
      </c>
      <c r="Q655" s="10">
        <f>ROUND(_xlfn.IFNA(INDEX(Table2[],MATCH(Proj[[#This Row],[Player]],Table2[Player],0),11)/60,IF(Proj[[#This Row],[Pos]] = "D", 'Per 60 PP'!$K$527,'Per 60 PP'!$K$526)/60)*Proj[[#This Row],[TOI PP]]*Proj[[#This Row],[GP]],0)</f>
        <v>0</v>
      </c>
      <c r="R655" s="10">
        <f>ROUND(_xlfn.IFNA(INDEX(Table2[],MATCH(Proj[[#This Row],[Player]],Table2[Player],0),7)/60,IF(Proj[[#This Row],[Pos]] = "D", 'Per 60 PP'!$G$527,'Per 60 PP'!$G$526)/60)*Proj[[#This Row],[TOI PP]]*Proj[[#This Row],[GP]],0)</f>
        <v>0</v>
      </c>
      <c r="S655" s="10">
        <f>Proj[[#This Row],[PPG]]+Proj[[#This Row],[PPA]]</f>
        <v>0</v>
      </c>
      <c r="T655">
        <f>ROUND((_xlfn.IFNA(INDEX(Table3[],MATCH(Proj[[#This Row],[Player]],Table3[Player],0),6)/60,IF(Proj[[#This Row],[Pos]] ="D", 'Per 60 PK'!$F$623, 'Per 60 PK'!$F$622)/60)+_xlfn.IFNA(INDEX(Table3[],MATCH(Proj[[#This Row],[Player]],Table3[Player],0),8)/60,IF(Proj[[#This Row],[Pos]] ="D", 'Per 60 PK'!$H$623, 'Per 60 PK'!$H$622)/60))*Proj[[#This Row],[TOI PK]]*Proj[[#This Row],[GP]],0)</f>
        <v>1</v>
      </c>
      <c r="U6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63</v>
      </c>
      <c r="V6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134</v>
      </c>
      <c r="W6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6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63</v>
      </c>
      <c r="AA6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-525.17950888222674</v>
      </c>
      <c r="AB655" s="10">
        <f>_xlfn.RANK.EQ(Proj[[#This Row],[VOR]],Proj[VOR])</f>
        <v>439</v>
      </c>
      <c r="AC655" s="10">
        <f>INDEX(Std[],MATCH(Proj[[#This Row],[Player]],Std[Player],0),20)</f>
        <v>-417.81474116276229</v>
      </c>
      <c r="AD6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217.25</v>
      </c>
    </row>
    <row r="656" spans="1:30" x14ac:dyDescent="0.25">
      <c r="A656" t="s">
        <v>740</v>
      </c>
      <c r="B656">
        <v>34</v>
      </c>
      <c r="C656" t="s">
        <v>74</v>
      </c>
      <c r="D656" t="s">
        <v>1101</v>
      </c>
      <c r="E656" s="9">
        <f>INDEX(Table1[],MATCH(Proj[[#This Row],[Player]],Table1[Player],0),5)</f>
        <v>9.5762406692875803</v>
      </c>
      <c r="F656" s="9">
        <f>_xlfn.IFNA(INDEX(Table2[],MATCH(Proj[[#This Row],[Player]],Table2[Player],0),5),0)</f>
        <v>0</v>
      </c>
      <c r="G656" s="9">
        <f>_xlfn.IFNA(INDEX(Table3[],MATCH(Proj[[#This Row],[Player]],Table3[Player],0),5),0)</f>
        <v>1.35</v>
      </c>
      <c r="H656" s="10">
        <v>69</v>
      </c>
      <c r="I656">
        <v>69</v>
      </c>
      <c r="J656" s="9">
        <v>9.5762406692875803</v>
      </c>
      <c r="K656" s="9">
        <v>0</v>
      </c>
      <c r="L656" s="9">
        <v>1.35</v>
      </c>
      <c r="M656" s="9">
        <f>Proj[[#This Row],[TOI ES]]+Proj[[#This Row],[TOI PP]]+Proj[[#This Row],[TOI PK]]</f>
        <v>10.92624066928758</v>
      </c>
      <c r="N6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56" s="10">
        <f>Proj[[#This Row],[Goals]]+Proj[[#This Row],[Assists]]</f>
        <v>12</v>
      </c>
      <c r="Q656" s="10">
        <f>ROUND(_xlfn.IFNA(INDEX(Table2[],MATCH(Proj[[#This Row],[Player]],Table2[Player],0),11)/60,IF(Proj[[#This Row],[Pos]] = "D", 'Per 60 PP'!$K$527,'Per 60 PP'!$K$526)/60)*Proj[[#This Row],[TOI PP]]*Proj[[#This Row],[GP]],0)</f>
        <v>0</v>
      </c>
      <c r="R656" s="10">
        <f>ROUND(_xlfn.IFNA(INDEX(Table2[],MATCH(Proj[[#This Row],[Player]],Table2[Player],0),7)/60,IF(Proj[[#This Row],[Pos]] = "D", 'Per 60 PP'!$G$527,'Per 60 PP'!$G$526)/60)*Proj[[#This Row],[TOI PP]]*Proj[[#This Row],[GP]],0)</f>
        <v>0</v>
      </c>
      <c r="S656" s="10">
        <f>Proj[[#This Row],[PPG]]+Proj[[#This Row],[PPA]]</f>
        <v>0</v>
      </c>
      <c r="T656">
        <f>ROUND((_xlfn.IFNA(INDEX(Table3[],MATCH(Proj[[#This Row],[Player]],Table3[Player],0),6)/60,IF(Proj[[#This Row],[Pos]] ="D", 'Per 60 PK'!$F$623, 'Per 60 PK'!$F$622)/60)+_xlfn.IFNA(INDEX(Table3[],MATCH(Proj[[#This Row],[Player]],Table3[Player],0),8)/60,IF(Proj[[#This Row],[Pos]] ="D", 'Per 60 PK'!$H$623, 'Per 60 PK'!$H$622)/60))*Proj[[#This Row],[TOI PK]]*Proj[[#This Row],[GP]],0)</f>
        <v>0</v>
      </c>
      <c r="U6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71</v>
      </c>
      <c r="V6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38</v>
      </c>
      <c r="W6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6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240</v>
      </c>
      <c r="Y6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252</v>
      </c>
      <c r="Z6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60</v>
      </c>
      <c r="AA6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-1263.1108751795532</v>
      </c>
      <c r="AB656" s="10">
        <f>_xlfn.RANK.EQ(Proj[[#This Row],[VOR]],Proj[VOR])</f>
        <v>706</v>
      </c>
      <c r="AC656" s="10">
        <f>INDEX(Std[],MATCH(Proj[[#This Row],[Player]],Std[Player],0),20)</f>
        <v>-528.47702086925472</v>
      </c>
      <c r="AD6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186.65</v>
      </c>
    </row>
    <row r="657" spans="1:30" x14ac:dyDescent="0.25">
      <c r="A657" t="s">
        <v>405</v>
      </c>
      <c r="B657">
        <v>34</v>
      </c>
      <c r="C657" t="s">
        <v>3</v>
      </c>
      <c r="D657" t="s">
        <v>15</v>
      </c>
      <c r="E657" s="9">
        <f>INDEX(Table1[],MATCH(Proj[[#This Row],[Player]],Table1[Player],0),5)</f>
        <v>13.585602430403901</v>
      </c>
      <c r="F657" s="9">
        <f>_xlfn.IFNA(INDEX(Table2[],MATCH(Proj[[#This Row],[Player]],Table2[Player],0),5),0)</f>
        <v>0</v>
      </c>
      <c r="G657" s="9">
        <f>_xlfn.IFNA(INDEX(Table3[],MATCH(Proj[[#This Row],[Player]],Table3[Player],0),5),0)</f>
        <v>1.89</v>
      </c>
      <c r="H657" s="10">
        <v>69</v>
      </c>
      <c r="I657">
        <v>69</v>
      </c>
      <c r="J657" s="9">
        <v>13.585602430403901</v>
      </c>
      <c r="K657" s="9">
        <v>0</v>
      </c>
      <c r="L657" s="9">
        <v>1.89</v>
      </c>
      <c r="M657" s="9">
        <f>Proj[[#This Row],[TOI ES]]+Proj[[#This Row],[TOI PP]]+Proj[[#This Row],[TOI PK]]</f>
        <v>15.475602430403901</v>
      </c>
      <c r="N65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5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57" s="10">
        <f>Proj[[#This Row],[Goals]]+Proj[[#This Row],[Assists]]</f>
        <v>12</v>
      </c>
      <c r="Q657" s="10">
        <f>ROUND(_xlfn.IFNA(INDEX(Table2[],MATCH(Proj[[#This Row],[Player]],Table2[Player],0),11)/60,IF(Proj[[#This Row],[Pos]] = "D", 'Per 60 PP'!$K$527,'Per 60 PP'!$K$526)/60)*Proj[[#This Row],[TOI PP]]*Proj[[#This Row],[GP]],0)</f>
        <v>0</v>
      </c>
      <c r="R657" s="10">
        <f>ROUND(_xlfn.IFNA(INDEX(Table2[],MATCH(Proj[[#This Row],[Player]],Table2[Player],0),7)/60,IF(Proj[[#This Row],[Pos]] = "D", 'Per 60 PP'!$G$527,'Per 60 PP'!$G$526)/60)*Proj[[#This Row],[TOI PP]]*Proj[[#This Row],[GP]],0)</f>
        <v>0</v>
      </c>
      <c r="S657" s="10">
        <f>Proj[[#This Row],[PPG]]+Proj[[#This Row],[PPA]]</f>
        <v>0</v>
      </c>
      <c r="T657">
        <f>ROUND((_xlfn.IFNA(INDEX(Table3[],MATCH(Proj[[#This Row],[Player]],Table3[Player],0),6)/60,IF(Proj[[#This Row],[Pos]] ="D", 'Per 60 PK'!$F$623, 'Per 60 PK'!$F$622)/60)+_xlfn.IFNA(INDEX(Table3[],MATCH(Proj[[#This Row],[Player]],Table3[Player],0),8)/60,IF(Proj[[#This Row],[Pos]] ="D", 'Per 60 PK'!$H$623, 'Per 60 PK'!$H$622)/60))*Proj[[#This Row],[TOI PK]]*Proj[[#This Row],[GP]],0)</f>
        <v>1</v>
      </c>
      <c r="U65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65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117</v>
      </c>
      <c r="W65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45</v>
      </c>
      <c r="X65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5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5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84</v>
      </c>
      <c r="AA65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-452.64399053778993</v>
      </c>
      <c r="AB657" s="10">
        <f>_xlfn.RANK.EQ(Proj[[#This Row],[VOR]],Proj[VOR])</f>
        <v>394</v>
      </c>
      <c r="AC657" s="10">
        <f>INDEX(Std[],MATCH(Proj[[#This Row],[Player]],Std[Player],0),20)</f>
        <v>-345.27922281832548</v>
      </c>
      <c r="AD65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228.14999999999998</v>
      </c>
    </row>
    <row r="658" spans="1:30" x14ac:dyDescent="0.25">
      <c r="A658" t="s">
        <v>1062</v>
      </c>
      <c r="B658">
        <v>24</v>
      </c>
      <c r="C658" t="s">
        <v>3</v>
      </c>
      <c r="D658" t="s">
        <v>28</v>
      </c>
      <c r="E658" s="9">
        <f>INDEX(Table1[],MATCH(Proj[[#This Row],[Player]],Table1[Player],0),5)</f>
        <v>16.126436555582501</v>
      </c>
      <c r="F658" s="9">
        <f>_xlfn.IFNA(INDEX(Table2[],MATCH(Proj[[#This Row],[Player]],Table2[Player],0),5),0)</f>
        <v>0</v>
      </c>
      <c r="G658" s="9">
        <f>_xlfn.IFNA(INDEX(Table3[],MATCH(Proj[[#This Row],[Player]],Table3[Player],0),5),0)</f>
        <v>0</v>
      </c>
      <c r="H658" s="10">
        <v>48</v>
      </c>
      <c r="I658">
        <v>48</v>
      </c>
      <c r="J658" s="9">
        <v>16.126436555582501</v>
      </c>
      <c r="K658" s="9">
        <v>0</v>
      </c>
      <c r="L658" s="9">
        <v>0</v>
      </c>
      <c r="M658" s="9">
        <f>Proj[[#This Row],[TOI ES]]+Proj[[#This Row],[TOI PP]]+Proj[[#This Row],[TOI PK]]</f>
        <v>16.126436555582501</v>
      </c>
      <c r="N65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5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58" s="10">
        <f>Proj[[#This Row],[Goals]]+Proj[[#This Row],[Assists]]</f>
        <v>12</v>
      </c>
      <c r="Q658" s="10">
        <f>ROUND(_xlfn.IFNA(INDEX(Table2[],MATCH(Proj[[#This Row],[Player]],Table2[Player],0),11)/60,IF(Proj[[#This Row],[Pos]] = "D", 'Per 60 PP'!$K$527,'Per 60 PP'!$K$526)/60)*Proj[[#This Row],[TOI PP]]*Proj[[#This Row],[GP]],0)</f>
        <v>0</v>
      </c>
      <c r="R658" s="10">
        <f>ROUND(_xlfn.IFNA(INDEX(Table2[],MATCH(Proj[[#This Row],[Player]],Table2[Player],0),7)/60,IF(Proj[[#This Row],[Pos]] = "D", 'Per 60 PP'!$G$527,'Per 60 PP'!$G$526)/60)*Proj[[#This Row],[TOI PP]]*Proj[[#This Row],[GP]],0)</f>
        <v>0</v>
      </c>
      <c r="S658" s="10">
        <f>Proj[[#This Row],[PPG]]+Proj[[#This Row],[PPA]]</f>
        <v>0</v>
      </c>
      <c r="T658">
        <f>ROUND((_xlfn.IFNA(INDEX(Table3[],MATCH(Proj[[#This Row],[Player]],Table3[Player],0),6)/60,IF(Proj[[#This Row],[Pos]] ="D", 'Per 60 PK'!$F$623, 'Per 60 PK'!$F$622)/60)+_xlfn.IFNA(INDEX(Table3[],MATCH(Proj[[#This Row],[Player]],Table3[Player],0),8)/60,IF(Proj[[#This Row],[Pos]] ="D", 'Per 60 PK'!$H$623, 'Per 60 PK'!$H$622)/60))*Proj[[#This Row],[TOI PK]]*Proj[[#This Row],[GP]],0)</f>
        <v>0</v>
      </c>
      <c r="U65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65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54</v>
      </c>
      <c r="W65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65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5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5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58</v>
      </c>
      <c r="AA65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-788.45717650087806</v>
      </c>
      <c r="AB658" s="10">
        <f>_xlfn.RANK.EQ(Proj[[#This Row],[VOR]],Proj[VOR])</f>
        <v>580</v>
      </c>
      <c r="AC658" s="10">
        <f>INDEX(Std[],MATCH(Proj[[#This Row],[Player]],Std[Player],0),20)</f>
        <v>-681.09240878141361</v>
      </c>
      <c r="AD65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163.69999999999999</v>
      </c>
    </row>
    <row r="659" spans="1:30" x14ac:dyDescent="0.25">
      <c r="A659" t="s">
        <v>465</v>
      </c>
      <c r="B659">
        <v>26</v>
      </c>
      <c r="C659" t="s">
        <v>103</v>
      </c>
      <c r="D659" t="s">
        <v>25</v>
      </c>
      <c r="E659" s="9">
        <f>INDEX(Table1[],MATCH(Proj[[#This Row],[Player]],Table1[Player],0),5)</f>
        <v>9.8856258847627796</v>
      </c>
      <c r="F659" s="9">
        <f>_xlfn.IFNA(INDEX(Table2[],MATCH(Proj[[#This Row],[Player]],Table2[Player],0),5),0)</f>
        <v>0.97</v>
      </c>
      <c r="G659" s="9">
        <f>_xlfn.IFNA(INDEX(Table3[],MATCH(Proj[[#This Row],[Player]],Table3[Player],0),5),0)</f>
        <v>0</v>
      </c>
      <c r="H659" s="10">
        <v>46</v>
      </c>
      <c r="I659">
        <v>46</v>
      </c>
      <c r="J659" s="9">
        <v>9.8856258847627796</v>
      </c>
      <c r="K659" s="9">
        <v>0.97</v>
      </c>
      <c r="L659" s="9">
        <v>0</v>
      </c>
      <c r="M659" s="9">
        <f>Proj[[#This Row],[TOI ES]]+Proj[[#This Row],[TOI PP]]+Proj[[#This Row],[TOI PK]]</f>
        <v>10.85562588476278</v>
      </c>
      <c r="N65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5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659">
        <f>Proj[[#This Row],[Goals]]+Proj[[#This Row],[Assists]]</f>
        <v>12</v>
      </c>
      <c r="Q659" s="10">
        <f>ROUND(_xlfn.IFNA(INDEX(Table2[],MATCH(Proj[[#This Row],[Player]],Table2[Player],0),11)/60,IF(Proj[[#This Row],[Pos]] = "D", 'Per 60 PP'!$K$527,'Per 60 PP'!$K$526)/60)*Proj[[#This Row],[TOI PP]]*Proj[[#This Row],[GP]],0)</f>
        <v>1</v>
      </c>
      <c r="R659" s="10">
        <f>ROUND(_xlfn.IFNA(INDEX(Table2[],MATCH(Proj[[#This Row],[Player]],Table2[Player],0),7)/60,IF(Proj[[#This Row],[Pos]] = "D", 'Per 60 PP'!$G$527,'Per 60 PP'!$G$526)/60)*Proj[[#This Row],[TOI PP]]*Proj[[#This Row],[GP]],0)</f>
        <v>1</v>
      </c>
      <c r="S659" s="10">
        <f>Proj[[#This Row],[PPG]]+Proj[[#This Row],[PPA]]</f>
        <v>2</v>
      </c>
      <c r="T659">
        <f>ROUND((_xlfn.IFNA(INDEX(Table3[],MATCH(Proj[[#This Row],[Player]],Table3[Player],0),6)/60,IF(Proj[[#This Row],[Pos]] ="D", 'Per 60 PK'!$F$623, 'Per 60 PK'!$F$622)/60)+_xlfn.IFNA(INDEX(Table3[],MATCH(Proj[[#This Row],[Player]],Table3[Player],0),8)/60,IF(Proj[[#This Row],[Pos]] ="D", 'Per 60 PK'!$H$623, 'Per 60 PK'!$H$622)/60))*Proj[[#This Row],[TOI PK]]*Proj[[#This Row],[GP]],0)</f>
        <v>0</v>
      </c>
      <c r="U65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65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v>
      </c>
      <c r="W65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v>
      </c>
      <c r="X65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65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65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72</v>
      </c>
      <c r="AA65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-1141.0148779009221</v>
      </c>
      <c r="AB659" s="10">
        <f>_xlfn.RANK.EQ(Proj[[#This Row],[VOR]],Proj[VOR])</f>
        <v>689</v>
      </c>
      <c r="AC659" s="10">
        <f>INDEX(Std[],MATCH(Proj[[#This Row],[Player]],Std[Player],0),20)</f>
        <v>-694.47015351067319</v>
      </c>
      <c r="AD65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159.55000000000001</v>
      </c>
    </row>
    <row r="660" spans="1:30" x14ac:dyDescent="0.25">
      <c r="A660" t="s">
        <v>661</v>
      </c>
      <c r="B660">
        <v>30</v>
      </c>
      <c r="C660" t="s">
        <v>3</v>
      </c>
      <c r="D660" t="s">
        <v>16</v>
      </c>
      <c r="E660" s="9">
        <f>INDEX(Table1[],MATCH(Proj[[#This Row],[Player]],Table1[Player],0),5)</f>
        <v>15.8601883286192</v>
      </c>
      <c r="F660" s="9">
        <f>_xlfn.IFNA(INDEX(Table2[],MATCH(Proj[[#This Row],[Player]],Table2[Player],0),5),0)</f>
        <v>0</v>
      </c>
      <c r="G660" s="9">
        <f>_xlfn.IFNA(INDEX(Table3[],MATCH(Proj[[#This Row],[Player]],Table3[Player],0),5),0)</f>
        <v>2.0099999999999998</v>
      </c>
      <c r="H660" s="10">
        <v>72</v>
      </c>
      <c r="I660">
        <v>72</v>
      </c>
      <c r="J660" s="9">
        <v>15.8601883286192</v>
      </c>
      <c r="K660" s="9">
        <v>0</v>
      </c>
      <c r="L660" s="9">
        <v>2.0099999999999998</v>
      </c>
      <c r="M660" s="9">
        <f>Proj[[#This Row],[TOI ES]]+Proj[[#This Row],[TOI PP]]+Proj[[#This Row],[TOI PK]]</f>
        <v>17.8701883286192</v>
      </c>
      <c r="N66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6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60">
        <f>Proj[[#This Row],[Goals]]+Proj[[#This Row],[Assists]]</f>
        <v>12</v>
      </c>
      <c r="Q660" s="10">
        <f>ROUND(_xlfn.IFNA(INDEX(Table2[],MATCH(Proj[[#This Row],[Player]],Table2[Player],0),11)/60,IF(Proj[[#This Row],[Pos]] = "D", 'Per 60 PP'!$K$527,'Per 60 PP'!$K$526)/60)*Proj[[#This Row],[TOI PP]]*Proj[[#This Row],[GP]],0)</f>
        <v>0</v>
      </c>
      <c r="R660" s="10">
        <f>ROUND(_xlfn.IFNA(INDEX(Table2[],MATCH(Proj[[#This Row],[Player]],Table2[Player],0),7)/60,IF(Proj[[#This Row],[Pos]] = "D", 'Per 60 PP'!$G$527,'Per 60 PP'!$G$526)/60)*Proj[[#This Row],[TOI PP]]*Proj[[#This Row],[GP]],0)</f>
        <v>0</v>
      </c>
      <c r="S660" s="10">
        <f>Proj[[#This Row],[PPG]]+Proj[[#This Row],[PPA]]</f>
        <v>0</v>
      </c>
      <c r="T660">
        <f>ROUND((_xlfn.IFNA(INDEX(Table3[],MATCH(Proj[[#This Row],[Player]],Table3[Player],0),6)/60,IF(Proj[[#This Row],[Pos]] ="D", 'Per 60 PK'!$F$623, 'Per 60 PK'!$F$622)/60)+_xlfn.IFNA(INDEX(Table3[],MATCH(Proj[[#This Row],[Player]],Table3[Player],0),8)/60,IF(Proj[[#This Row],[Pos]] ="D", 'Per 60 PK'!$H$623, 'Per 60 PK'!$H$622)/60))*Proj[[#This Row],[TOI PK]]*Proj[[#This Row],[GP]],0)</f>
        <v>0</v>
      </c>
      <c r="U66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66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106</v>
      </c>
      <c r="W66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39</v>
      </c>
      <c r="X66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66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-505.83070458745772</v>
      </c>
      <c r="AB660" s="10">
        <f>_xlfn.RANK.EQ(Proj[[#This Row],[VOR]],Proj[VOR])</f>
        <v>426</v>
      </c>
      <c r="AC660" s="10">
        <f>INDEX(Std[],MATCH(Proj[[#This Row],[Player]],Std[Player],0),20)</f>
        <v>-398.46593686799326</v>
      </c>
      <c r="AD66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219.25</v>
      </c>
    </row>
    <row r="661" spans="1:30" x14ac:dyDescent="0.25">
      <c r="A661" t="s">
        <v>826</v>
      </c>
      <c r="B661">
        <v>30</v>
      </c>
      <c r="C661" t="s">
        <v>74</v>
      </c>
      <c r="D661" t="s">
        <v>18</v>
      </c>
      <c r="E661" s="9">
        <f>INDEX(Table1[],MATCH(Proj[[#This Row],[Player]],Table1[Player],0),5)</f>
        <v>11.014360781417199</v>
      </c>
      <c r="F661" s="9">
        <f>_xlfn.IFNA(INDEX(Table2[],MATCH(Proj[[#This Row],[Player]],Table2[Player],0),5),0)</f>
        <v>0</v>
      </c>
      <c r="G661" s="9">
        <f>_xlfn.IFNA(INDEX(Table3[],MATCH(Proj[[#This Row],[Player]],Table3[Player],0),5),0)</f>
        <v>0.82</v>
      </c>
      <c r="H661" s="10">
        <v>44</v>
      </c>
      <c r="I661">
        <v>44</v>
      </c>
      <c r="J661" s="9">
        <v>11.014360781417199</v>
      </c>
      <c r="K661" s="9">
        <v>0</v>
      </c>
      <c r="L661" s="9">
        <v>0.82</v>
      </c>
      <c r="M661" s="9">
        <f>Proj[[#This Row],[TOI ES]]+Proj[[#This Row],[TOI PP]]+Proj[[#This Row],[TOI PK]]</f>
        <v>11.8343607814172</v>
      </c>
      <c r="N66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6</v>
      </c>
      <c r="O66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61" s="10">
        <f>Proj[[#This Row],[Goals]]+Proj[[#This Row],[Assists]]</f>
        <v>12</v>
      </c>
      <c r="Q661" s="10">
        <f>ROUND(_xlfn.IFNA(INDEX(Table2[],MATCH(Proj[[#This Row],[Player]],Table2[Player],0),11)/60,IF(Proj[[#This Row],[Pos]] = "D", 'Per 60 PP'!$K$527,'Per 60 PP'!$K$526)/60)*Proj[[#This Row],[TOI PP]]*Proj[[#This Row],[GP]],0)</f>
        <v>0</v>
      </c>
      <c r="R661" s="10">
        <f>ROUND(_xlfn.IFNA(INDEX(Table2[],MATCH(Proj[[#This Row],[Player]],Table2[Player],0),7)/60,IF(Proj[[#This Row],[Pos]] = "D", 'Per 60 PP'!$G$527,'Per 60 PP'!$G$526)/60)*Proj[[#This Row],[TOI PP]]*Proj[[#This Row],[GP]],0)</f>
        <v>0</v>
      </c>
      <c r="S661" s="10">
        <f>Proj[[#This Row],[PPG]]+Proj[[#This Row],[PPA]]</f>
        <v>0</v>
      </c>
      <c r="T661">
        <f>ROUND((_xlfn.IFNA(INDEX(Table3[],MATCH(Proj[[#This Row],[Player]],Table3[Player],0),6)/60,IF(Proj[[#This Row],[Pos]] ="D", 'Per 60 PK'!$F$623, 'Per 60 PK'!$F$622)/60)+_xlfn.IFNA(INDEX(Table3[],MATCH(Proj[[#This Row],[Player]],Table3[Player],0),8)/60,IF(Proj[[#This Row],[Pos]] ="D", 'Per 60 PK'!$H$623, 'Per 60 PK'!$H$622)/60))*Proj[[#This Row],[TOI PK]]*Proj[[#This Row],[GP]],0)</f>
        <v>0</v>
      </c>
      <c r="U66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66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66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6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155</v>
      </c>
      <c r="Y66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136</v>
      </c>
      <c r="Z66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58</v>
      </c>
      <c r="AA66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-1364.6995865499562</v>
      </c>
      <c r="AB661" s="10">
        <f>_xlfn.RANK.EQ(Proj[[#This Row],[VOR]],Proj[VOR])</f>
        <v>723</v>
      </c>
      <c r="AC661" s="10">
        <f>INDEX(Std[],MATCH(Proj[[#This Row],[Player]],Std[Player],0),20)</f>
        <v>-630.06573223965745</v>
      </c>
      <c r="AD66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169.4</v>
      </c>
    </row>
    <row r="662" spans="1:30" x14ac:dyDescent="0.25">
      <c r="A662" t="s">
        <v>799</v>
      </c>
      <c r="B662">
        <v>27</v>
      </c>
      <c r="C662" t="s">
        <v>103</v>
      </c>
      <c r="D662" t="s">
        <v>20</v>
      </c>
      <c r="E662" s="9">
        <f>INDEX(Table1[],MATCH(Proj[[#This Row],[Player]],Table1[Player],0),5)</f>
        <v>9.9058420323152898</v>
      </c>
      <c r="F662" s="9">
        <f>_xlfn.IFNA(INDEX(Table2[],MATCH(Proj[[#This Row],[Player]],Table2[Player],0),5),0)</f>
        <v>0</v>
      </c>
      <c r="G662" s="9">
        <f>_xlfn.IFNA(INDEX(Table3[],MATCH(Proj[[#This Row],[Player]],Table3[Player],0),5),0)</f>
        <v>0</v>
      </c>
      <c r="H662" s="10">
        <v>46</v>
      </c>
      <c r="I662">
        <v>46</v>
      </c>
      <c r="J662" s="9">
        <v>9.9058420323152898</v>
      </c>
      <c r="K662" s="9">
        <v>0</v>
      </c>
      <c r="L662" s="9">
        <v>0</v>
      </c>
      <c r="M662" s="9">
        <f>Proj[[#This Row],[TOI ES]]+Proj[[#This Row],[TOI PP]]+Proj[[#This Row],[TOI PK]]</f>
        <v>9.9058420323152898</v>
      </c>
      <c r="N66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6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662" s="10">
        <f>Proj[[#This Row],[Goals]]+Proj[[#This Row],[Assists]]</f>
        <v>12</v>
      </c>
      <c r="Q662" s="10">
        <f>ROUND(_xlfn.IFNA(INDEX(Table2[],MATCH(Proj[[#This Row],[Player]],Table2[Player],0),11)/60,IF(Proj[[#This Row],[Pos]] = "D", 'Per 60 PP'!$K$527,'Per 60 PP'!$K$526)/60)*Proj[[#This Row],[TOI PP]]*Proj[[#This Row],[GP]],0)</f>
        <v>0</v>
      </c>
      <c r="R662" s="10">
        <f>ROUND(_xlfn.IFNA(INDEX(Table2[],MATCH(Proj[[#This Row],[Player]],Table2[Player],0),7)/60,IF(Proj[[#This Row],[Pos]] = "D", 'Per 60 PP'!$G$527,'Per 60 PP'!$G$526)/60)*Proj[[#This Row],[TOI PP]]*Proj[[#This Row],[GP]],0)</f>
        <v>0</v>
      </c>
      <c r="S662" s="10">
        <f>Proj[[#This Row],[PPG]]+Proj[[#This Row],[PPA]]</f>
        <v>0</v>
      </c>
      <c r="T662">
        <f>ROUND((_xlfn.IFNA(INDEX(Table3[],MATCH(Proj[[#This Row],[Player]],Table3[Player],0),6)/60,IF(Proj[[#This Row],[Pos]] ="D", 'Per 60 PK'!$F$623, 'Per 60 PK'!$F$622)/60)+_xlfn.IFNA(INDEX(Table3[],MATCH(Proj[[#This Row],[Player]],Table3[Player],0),8)/60,IF(Proj[[#This Row],[Pos]] ="D", 'Per 60 PK'!$H$623, 'Per 60 PK'!$H$622)/60))*Proj[[#This Row],[TOI PK]]*Proj[[#This Row],[GP]],0)</f>
        <v>0</v>
      </c>
      <c r="U66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93</v>
      </c>
      <c r="V66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66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66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66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v>
      </c>
      <c r="Z66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52</v>
      </c>
      <c r="AA66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-1176.7369703118673</v>
      </c>
      <c r="AB662" s="10">
        <f>_xlfn.RANK.EQ(Proj[[#This Row],[VOR]],Proj[VOR])</f>
        <v>693</v>
      </c>
      <c r="AC662" s="10">
        <f>INDEX(Std[],MATCH(Proj[[#This Row],[Player]],Std[Player],0),20)</f>
        <v>-730.19224592161845</v>
      </c>
      <c r="AD66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158.55000000000001</v>
      </c>
    </row>
    <row r="663" spans="1:30" x14ac:dyDescent="0.25">
      <c r="A663" t="s">
        <v>874</v>
      </c>
      <c r="B663">
        <v>33</v>
      </c>
      <c r="C663" t="s">
        <v>3</v>
      </c>
      <c r="D663" t="s">
        <v>11</v>
      </c>
      <c r="E663" s="9">
        <f>INDEX(Table1[],MATCH(Proj[[#This Row],[Player]],Table1[Player],0),5)</f>
        <v>14.4662755750035</v>
      </c>
      <c r="F663" s="9">
        <f>_xlfn.IFNA(INDEX(Table2[],MATCH(Proj[[#This Row],[Player]],Table2[Player],0),5),0)</f>
        <v>0</v>
      </c>
      <c r="G663" s="9">
        <f>_xlfn.IFNA(INDEX(Table3[],MATCH(Proj[[#This Row],[Player]],Table3[Player],0),5),0)</f>
        <v>1.61</v>
      </c>
      <c r="H663" s="10">
        <v>66</v>
      </c>
      <c r="I663">
        <v>66</v>
      </c>
      <c r="J663" s="9">
        <v>14.4662755750035</v>
      </c>
      <c r="K663" s="9">
        <v>0</v>
      </c>
      <c r="L663" s="9">
        <v>1.61</v>
      </c>
      <c r="M663" s="9">
        <f>Proj[[#This Row],[TOI ES]]+Proj[[#This Row],[TOI PP]]+Proj[[#This Row],[TOI PK]]</f>
        <v>16.0762755750035</v>
      </c>
      <c r="N66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6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63" s="10">
        <f>Proj[[#This Row],[Goals]]+Proj[[#This Row],[Assists]]</f>
        <v>12</v>
      </c>
      <c r="Q663" s="10">
        <f>ROUND(_xlfn.IFNA(INDEX(Table2[],MATCH(Proj[[#This Row],[Player]],Table2[Player],0),11)/60,IF(Proj[[#This Row],[Pos]] = "D", 'Per 60 PP'!$K$527,'Per 60 PP'!$K$526)/60)*Proj[[#This Row],[TOI PP]]*Proj[[#This Row],[GP]],0)</f>
        <v>0</v>
      </c>
      <c r="R663" s="10">
        <f>ROUND(_xlfn.IFNA(INDEX(Table2[],MATCH(Proj[[#This Row],[Player]],Table2[Player],0),7)/60,IF(Proj[[#This Row],[Pos]] = "D", 'Per 60 PP'!$G$527,'Per 60 PP'!$G$526)/60)*Proj[[#This Row],[TOI PP]]*Proj[[#This Row],[GP]],0)</f>
        <v>0</v>
      </c>
      <c r="S663" s="10">
        <f>Proj[[#This Row],[PPG]]+Proj[[#This Row],[PPA]]</f>
        <v>0</v>
      </c>
      <c r="T663">
        <f>ROUND((_xlfn.IFNA(INDEX(Table3[],MATCH(Proj[[#This Row],[Player]],Table3[Player],0),6)/60,IF(Proj[[#This Row],[Pos]] ="D", 'Per 60 PK'!$F$623, 'Per 60 PK'!$F$622)/60)+_xlfn.IFNA(INDEX(Table3[],MATCH(Proj[[#This Row],[Player]],Table3[Player],0),8)/60,IF(Proj[[#This Row],[Pos]] ="D", 'Per 60 PK'!$H$623, 'Per 60 PK'!$H$622)/60))*Proj[[#This Row],[TOI PK]]*Proj[[#This Row],[GP]],0)</f>
        <v>0</v>
      </c>
      <c r="U66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99</v>
      </c>
      <c r="V66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96</v>
      </c>
      <c r="W66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66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66</v>
      </c>
      <c r="AA66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-562.03756046344643</v>
      </c>
      <c r="AB663" s="10">
        <f>_xlfn.RANK.EQ(Proj[[#This Row],[VOR]],Proj[VOR])</f>
        <v>460</v>
      </c>
      <c r="AC663" s="10">
        <f>INDEX(Std[],MATCH(Proj[[#This Row],[Player]],Std[Player],0),20)</f>
        <v>-454.67279274398197</v>
      </c>
      <c r="AD66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215.55</v>
      </c>
    </row>
    <row r="664" spans="1:30" x14ac:dyDescent="0.25">
      <c r="A664" t="s">
        <v>360</v>
      </c>
      <c r="B664">
        <v>31</v>
      </c>
      <c r="C664" t="s">
        <v>3</v>
      </c>
      <c r="D664" t="s">
        <v>155</v>
      </c>
      <c r="E664" s="9">
        <f>INDEX(Table1[],MATCH(Proj[[#This Row],[Player]],Table1[Player],0),5)</f>
        <v>15.110158065070401</v>
      </c>
      <c r="F664" s="9">
        <f>_xlfn.IFNA(INDEX(Table2[],MATCH(Proj[[#This Row],[Player]],Table2[Player],0),5),0)</f>
        <v>0</v>
      </c>
      <c r="G664" s="9">
        <f>_xlfn.IFNA(INDEX(Table3[],MATCH(Proj[[#This Row],[Player]],Table3[Player],0),5),0)</f>
        <v>2.11</v>
      </c>
      <c r="H664" s="10">
        <v>73</v>
      </c>
      <c r="I664">
        <v>73</v>
      </c>
      <c r="J664" s="9">
        <v>15.110158065070401</v>
      </c>
      <c r="K664" s="9">
        <v>0</v>
      </c>
      <c r="L664" s="9">
        <v>2.11</v>
      </c>
      <c r="M664" s="9">
        <f>Proj[[#This Row],[TOI ES]]+Proj[[#This Row],[TOI PP]]+Proj[[#This Row],[TOI PK]]</f>
        <v>17.2201580650704</v>
      </c>
      <c r="N66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6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64" s="10">
        <f>Proj[[#This Row],[Goals]]+Proj[[#This Row],[Assists]]</f>
        <v>12</v>
      </c>
      <c r="Q664" s="10">
        <f>ROUND(_xlfn.IFNA(INDEX(Table2[],MATCH(Proj[[#This Row],[Player]],Table2[Player],0),11)/60,IF(Proj[[#This Row],[Pos]] = "D", 'Per 60 PP'!$K$527,'Per 60 PP'!$K$526)/60)*Proj[[#This Row],[TOI PP]]*Proj[[#This Row],[GP]],0)</f>
        <v>0</v>
      </c>
      <c r="R664" s="10">
        <f>ROUND(_xlfn.IFNA(INDEX(Table2[],MATCH(Proj[[#This Row],[Player]],Table2[Player],0),7)/60,IF(Proj[[#This Row],[Pos]] = "D", 'Per 60 PP'!$G$527,'Per 60 PP'!$G$526)/60)*Proj[[#This Row],[TOI PP]]*Proj[[#This Row],[GP]],0)</f>
        <v>0</v>
      </c>
      <c r="S664" s="10">
        <f>Proj[[#This Row],[PPG]]+Proj[[#This Row],[PPA]]</f>
        <v>0</v>
      </c>
      <c r="T664">
        <f>ROUND((_xlfn.IFNA(INDEX(Table3[],MATCH(Proj[[#This Row],[Player]],Table3[Player],0),6)/60,IF(Proj[[#This Row],[Pos]] ="D", 'Per 60 PK'!$F$623, 'Per 60 PK'!$F$622)/60)+_xlfn.IFNA(INDEX(Table3[],MATCH(Proj[[#This Row],[Player]],Table3[Player],0),8)/60,IF(Proj[[#This Row],[Pos]] ="D", 'Per 60 PK'!$H$623, 'Per 60 PK'!$H$622)/60))*Proj[[#This Row],[TOI PK]]*Proj[[#This Row],[GP]],0)</f>
        <v>1</v>
      </c>
      <c r="U66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104</v>
      </c>
      <c r="V66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121</v>
      </c>
      <c r="W66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58</v>
      </c>
      <c r="X66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69</v>
      </c>
      <c r="AA66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-345.16877691358627</v>
      </c>
      <c r="AB664" s="10">
        <f>_xlfn.RANK.EQ(Proj[[#This Row],[VOR]],Proj[VOR])</f>
        <v>341</v>
      </c>
      <c r="AC664" s="10">
        <f>INDEX(Std[],MATCH(Proj[[#This Row],[Player]],Std[Player],0),20)</f>
        <v>-237.80400919412176</v>
      </c>
      <c r="AD66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247.45</v>
      </c>
    </row>
    <row r="665" spans="1:30" x14ac:dyDescent="0.25">
      <c r="A665" t="s">
        <v>553</v>
      </c>
      <c r="B665">
        <v>32</v>
      </c>
      <c r="C665" t="s">
        <v>3</v>
      </c>
      <c r="D665" t="s">
        <v>8</v>
      </c>
      <c r="E665" s="9">
        <f>INDEX(Table1[],MATCH(Proj[[#This Row],[Player]],Table1[Player],0),5)</f>
        <v>14.7793624096531</v>
      </c>
      <c r="F665" s="9">
        <f>_xlfn.IFNA(INDEX(Table2[],MATCH(Proj[[#This Row],[Player]],Table2[Player],0),5),0)</f>
        <v>0</v>
      </c>
      <c r="G665" s="9">
        <f>_xlfn.IFNA(INDEX(Table3[],MATCH(Proj[[#This Row],[Player]],Table3[Player],0),5),0)</f>
        <v>3.02</v>
      </c>
      <c r="H665" s="10">
        <v>70</v>
      </c>
      <c r="I665">
        <v>70</v>
      </c>
      <c r="J665" s="9">
        <v>14.7793624096531</v>
      </c>
      <c r="K665" s="9">
        <v>0</v>
      </c>
      <c r="L665" s="9">
        <v>3.02</v>
      </c>
      <c r="M665" s="9">
        <f>Proj[[#This Row],[TOI ES]]+Proj[[#This Row],[TOI PP]]+Proj[[#This Row],[TOI PK]]</f>
        <v>17.799362409653099</v>
      </c>
      <c r="N66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6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65">
        <f>Proj[[#This Row],[Goals]]+Proj[[#This Row],[Assists]]</f>
        <v>12</v>
      </c>
      <c r="Q665" s="10">
        <f>ROUND(_xlfn.IFNA(INDEX(Table2[],MATCH(Proj[[#This Row],[Player]],Table2[Player],0),11)/60,IF(Proj[[#This Row],[Pos]] = "D", 'Per 60 PP'!$K$527,'Per 60 PP'!$K$526)/60)*Proj[[#This Row],[TOI PP]]*Proj[[#This Row],[GP]],0)</f>
        <v>0</v>
      </c>
      <c r="R665" s="10">
        <f>ROUND(_xlfn.IFNA(INDEX(Table2[],MATCH(Proj[[#This Row],[Player]],Table2[Player],0),7)/60,IF(Proj[[#This Row],[Pos]] = "D", 'Per 60 PP'!$G$527,'Per 60 PP'!$G$526)/60)*Proj[[#This Row],[TOI PP]]*Proj[[#This Row],[GP]],0)</f>
        <v>0</v>
      </c>
      <c r="S665" s="10">
        <f>Proj[[#This Row],[PPG]]+Proj[[#This Row],[PPA]]</f>
        <v>0</v>
      </c>
      <c r="T665">
        <f>ROUND((_xlfn.IFNA(INDEX(Table3[],MATCH(Proj[[#This Row],[Player]],Table3[Player],0),6)/60,IF(Proj[[#This Row],[Pos]] ="D", 'Per 60 PK'!$F$623, 'Per 60 PK'!$F$622)/60)+_xlfn.IFNA(INDEX(Table3[],MATCH(Proj[[#This Row],[Player]],Table3[Player],0),8)/60,IF(Proj[[#This Row],[Pos]] ="D", 'Per 60 PK'!$H$623, 'Per 60 PK'!$H$622)/60))*Proj[[#This Row],[TOI PK]]*Proj[[#This Row],[GP]],0)</f>
        <v>1</v>
      </c>
      <c r="U66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113</v>
      </c>
      <c r="V66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123</v>
      </c>
      <c r="W66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37</v>
      </c>
      <c r="X66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48</v>
      </c>
      <c r="AA66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-457.98705985541096</v>
      </c>
      <c r="AB665" s="10">
        <f>_xlfn.RANK.EQ(Proj[[#This Row],[VOR]],Proj[VOR])</f>
        <v>400</v>
      </c>
      <c r="AC665" s="10">
        <f>INDEX(Std[],MATCH(Proj[[#This Row],[Player]],Std[Player],0),20)</f>
        <v>-350.62229213594651</v>
      </c>
      <c r="AD66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233.90000000000003</v>
      </c>
    </row>
    <row r="666" spans="1:30" x14ac:dyDescent="0.25">
      <c r="A666" t="s">
        <v>537</v>
      </c>
      <c r="B666">
        <v>34</v>
      </c>
      <c r="C666" t="s">
        <v>3</v>
      </c>
      <c r="D666" t="s">
        <v>18</v>
      </c>
      <c r="E666" s="9">
        <f>INDEX(Table1[],MATCH(Proj[[#This Row],[Player]],Table1[Player],0),5)</f>
        <v>16.033714356221001</v>
      </c>
      <c r="F666" s="9">
        <f>_xlfn.IFNA(INDEX(Table2[],MATCH(Proj[[#This Row],[Player]],Table2[Player],0),5),0)</f>
        <v>0</v>
      </c>
      <c r="G666" s="9">
        <f>_xlfn.IFNA(INDEX(Table3[],MATCH(Proj[[#This Row],[Player]],Table3[Player],0),5),0)</f>
        <v>1.31</v>
      </c>
      <c r="H666" s="10">
        <v>70</v>
      </c>
      <c r="I666">
        <v>70</v>
      </c>
      <c r="J666" s="9">
        <v>16.033714356221001</v>
      </c>
      <c r="K666" s="9">
        <v>0</v>
      </c>
      <c r="L666" s="9">
        <v>1.31</v>
      </c>
      <c r="M666" s="9">
        <f>Proj[[#This Row],[TOI ES]]+Proj[[#This Row],[TOI PP]]+Proj[[#This Row],[TOI PK]]</f>
        <v>17.343714356221</v>
      </c>
      <c r="N66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6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66">
        <f>Proj[[#This Row],[Goals]]+Proj[[#This Row],[Assists]]</f>
        <v>12</v>
      </c>
      <c r="Q666" s="10">
        <f>ROUND(_xlfn.IFNA(INDEX(Table2[],MATCH(Proj[[#This Row],[Player]],Table2[Player],0),11)/60,IF(Proj[[#This Row],[Pos]] = "D", 'Per 60 PP'!$K$527,'Per 60 PP'!$K$526)/60)*Proj[[#This Row],[TOI PP]]*Proj[[#This Row],[GP]],0)</f>
        <v>0</v>
      </c>
      <c r="R666" s="10">
        <f>ROUND(_xlfn.IFNA(INDEX(Table2[],MATCH(Proj[[#This Row],[Player]],Table2[Player],0),7)/60,IF(Proj[[#This Row],[Pos]] = "D", 'Per 60 PP'!$G$527,'Per 60 PP'!$G$526)/60)*Proj[[#This Row],[TOI PP]]*Proj[[#This Row],[GP]],0)</f>
        <v>0</v>
      </c>
      <c r="S666" s="10">
        <f>Proj[[#This Row],[PPG]]+Proj[[#This Row],[PPA]]</f>
        <v>0</v>
      </c>
      <c r="T666">
        <f>ROUND((_xlfn.IFNA(INDEX(Table3[],MATCH(Proj[[#This Row],[Player]],Table3[Player],0),6)/60,IF(Proj[[#This Row],[Pos]] ="D", 'Per 60 PK'!$F$623, 'Per 60 PK'!$F$622)/60)+_xlfn.IFNA(INDEX(Table3[],MATCH(Proj[[#This Row],[Player]],Table3[Player],0),8)/60,IF(Proj[[#This Row],[Pos]] ="D", 'Per 60 PK'!$H$623, 'Per 60 PK'!$H$622)/60))*Proj[[#This Row],[TOI PK]]*Proj[[#This Row],[GP]],0)</f>
        <v>1</v>
      </c>
      <c r="U66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66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89</v>
      </c>
      <c r="W66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68</v>
      </c>
      <c r="X66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86</v>
      </c>
      <c r="AA66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-320.15478013184338</v>
      </c>
      <c r="AB666" s="10">
        <f>_xlfn.RANK.EQ(Proj[[#This Row],[VOR]],Proj[VOR])</f>
        <v>324</v>
      </c>
      <c r="AC666" s="10">
        <f>INDEX(Std[],MATCH(Proj[[#This Row],[Player]],Std[Player],0),20)</f>
        <v>-212.7900124123789</v>
      </c>
      <c r="AD66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248.55</v>
      </c>
    </row>
    <row r="667" spans="1:30" x14ac:dyDescent="0.25">
      <c r="A667" t="s">
        <v>1185</v>
      </c>
      <c r="B667">
        <v>24</v>
      </c>
      <c r="C667" t="s">
        <v>3</v>
      </c>
      <c r="D667" t="s">
        <v>25</v>
      </c>
      <c r="E667" s="9">
        <f>INDEX(Table1[],MATCH(Proj[[#This Row],[Player]],Table1[Player],0),5)</f>
        <v>12.564115133851599</v>
      </c>
      <c r="F667" s="9">
        <f>_xlfn.IFNA(INDEX(Table2[],MATCH(Proj[[#This Row],[Player]],Table2[Player],0),5),0)</f>
        <v>0</v>
      </c>
      <c r="G667" s="9">
        <f>_xlfn.IFNA(INDEX(Table3[],MATCH(Proj[[#This Row],[Player]],Table3[Player],0),5),0)</f>
        <v>0.92</v>
      </c>
      <c r="H667" s="10">
        <v>64</v>
      </c>
      <c r="I667">
        <v>64</v>
      </c>
      <c r="J667" s="9">
        <v>12.564115133851599</v>
      </c>
      <c r="K667" s="9">
        <v>0</v>
      </c>
      <c r="L667" s="9">
        <v>0.92</v>
      </c>
      <c r="M667" s="9">
        <f>Proj[[#This Row],[TOI ES]]+Proj[[#This Row],[TOI PP]]+Proj[[#This Row],[TOI PK]]</f>
        <v>13.484115133851599</v>
      </c>
      <c r="N66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6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67">
        <f>Proj[[#This Row],[Goals]]+Proj[[#This Row],[Assists]]</f>
        <v>12</v>
      </c>
      <c r="Q667" s="10">
        <f>ROUND(_xlfn.IFNA(INDEX(Table2[],MATCH(Proj[[#This Row],[Player]],Table2[Player],0),11)/60,IF(Proj[[#This Row],[Pos]] = "D", 'Per 60 PP'!$K$527,'Per 60 PP'!$K$526)/60)*Proj[[#This Row],[TOI PP]]*Proj[[#This Row],[GP]],0)</f>
        <v>0</v>
      </c>
      <c r="R667" s="10">
        <f>ROUND(_xlfn.IFNA(INDEX(Table2[],MATCH(Proj[[#This Row],[Player]],Table2[Player],0),7)/60,IF(Proj[[#This Row],[Pos]] = "D", 'Per 60 PP'!$G$527,'Per 60 PP'!$G$526)/60)*Proj[[#This Row],[TOI PP]]*Proj[[#This Row],[GP]],0)</f>
        <v>0</v>
      </c>
      <c r="S667" s="10">
        <f>Proj[[#This Row],[PPG]]+Proj[[#This Row],[PPA]]</f>
        <v>0</v>
      </c>
      <c r="T667">
        <f>ROUND((_xlfn.IFNA(INDEX(Table3[],MATCH(Proj[[#This Row],[Player]],Table3[Player],0),6)/60,IF(Proj[[#This Row],[Pos]] ="D", 'Per 60 PK'!$F$623, 'Per 60 PK'!$F$622)/60)+_xlfn.IFNA(INDEX(Table3[],MATCH(Proj[[#This Row],[Player]],Table3[Player],0),8)/60,IF(Proj[[#This Row],[Pos]] ="D", 'Per 60 PK'!$H$623, 'Per 60 PK'!$H$622)/60))*Proj[[#This Row],[TOI PK]]*Proj[[#This Row],[GP]],0)</f>
        <v>0</v>
      </c>
      <c r="U66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119</v>
      </c>
      <c r="V66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72</v>
      </c>
      <c r="W66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61</v>
      </c>
      <c r="X66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56</v>
      </c>
      <c r="AA66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-433.86950299879425</v>
      </c>
      <c r="AB667" s="10">
        <f>_xlfn.RANK.EQ(Proj[[#This Row],[VOR]],Proj[VOR])</f>
        <v>387</v>
      </c>
      <c r="AC667" s="10">
        <f>INDEX(Std[],MATCH(Proj[[#This Row],[Player]],Std[Player],0),20)</f>
        <v>-326.50473527932979</v>
      </c>
      <c r="AD66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222.99999999999997</v>
      </c>
    </row>
    <row r="668" spans="1:30" x14ac:dyDescent="0.25">
      <c r="A668" t="s">
        <v>570</v>
      </c>
      <c r="B668">
        <v>30</v>
      </c>
      <c r="C668" t="s">
        <v>3</v>
      </c>
      <c r="D668" t="s">
        <v>17</v>
      </c>
      <c r="E668" s="9">
        <f>INDEX(Table1[],MATCH(Proj[[#This Row],[Player]],Table1[Player],0),5)</f>
        <v>14.2352110183508</v>
      </c>
      <c r="F668" s="9">
        <f>_xlfn.IFNA(INDEX(Table2[],MATCH(Proj[[#This Row],[Player]],Table2[Player],0),5),0)</f>
        <v>0</v>
      </c>
      <c r="G668" s="9">
        <f>_xlfn.IFNA(INDEX(Table3[],MATCH(Proj[[#This Row],[Player]],Table3[Player],0),5),0)</f>
        <v>2.54</v>
      </c>
      <c r="H668" s="10">
        <v>74</v>
      </c>
      <c r="I668">
        <v>74</v>
      </c>
      <c r="J668" s="9">
        <v>14.2352110183508</v>
      </c>
      <c r="K668" s="9">
        <v>0</v>
      </c>
      <c r="L668" s="9">
        <v>2.54</v>
      </c>
      <c r="M668" s="9">
        <f>Proj[[#This Row],[TOI ES]]+Proj[[#This Row],[TOI PP]]+Proj[[#This Row],[TOI PK]]</f>
        <v>16.775211018350799</v>
      </c>
      <c r="N66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66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11</v>
      </c>
      <c r="P668">
        <f>Proj[[#This Row],[Goals]]+Proj[[#This Row],[Assists]]</f>
        <v>12</v>
      </c>
      <c r="Q668" s="10">
        <f>ROUND(_xlfn.IFNA(INDEX(Table2[],MATCH(Proj[[#This Row],[Player]],Table2[Player],0),11)/60,IF(Proj[[#This Row],[Pos]] = "D", 'Per 60 PP'!$K$527,'Per 60 PP'!$K$526)/60)*Proj[[#This Row],[TOI PP]]*Proj[[#This Row],[GP]],0)</f>
        <v>0</v>
      </c>
      <c r="R668" s="10">
        <f>ROUND(_xlfn.IFNA(INDEX(Table2[],MATCH(Proj[[#This Row],[Player]],Table2[Player],0),7)/60,IF(Proj[[#This Row],[Pos]] = "D", 'Per 60 PP'!$G$527,'Per 60 PP'!$G$526)/60)*Proj[[#This Row],[TOI PP]]*Proj[[#This Row],[GP]],0)</f>
        <v>0</v>
      </c>
      <c r="S668" s="10">
        <f>Proj[[#This Row],[PPG]]+Proj[[#This Row],[PPA]]</f>
        <v>0</v>
      </c>
      <c r="T668">
        <f>ROUND((_xlfn.IFNA(INDEX(Table3[],MATCH(Proj[[#This Row],[Player]],Table3[Player],0),6)/60,IF(Proj[[#This Row],[Pos]] ="D", 'Per 60 PK'!$F$623, 'Per 60 PK'!$F$622)/60)+_xlfn.IFNA(INDEX(Table3[],MATCH(Proj[[#This Row],[Player]],Table3[Player],0),8)/60,IF(Proj[[#This Row],[Pos]] ="D", 'Per 60 PK'!$H$623, 'Per 60 PK'!$H$622)/60))*Proj[[#This Row],[TOI PK]]*Proj[[#This Row],[GP]],0)</f>
        <v>1</v>
      </c>
      <c r="U66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146</v>
      </c>
      <c r="V66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139</v>
      </c>
      <c r="W66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66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6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6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66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-305.7729348830203</v>
      </c>
      <c r="AB668" s="10">
        <f>_xlfn.RANK.EQ(Proj[[#This Row],[VOR]],Proj[VOR])</f>
        <v>313</v>
      </c>
      <c r="AC668" s="10">
        <f>INDEX(Std[],MATCH(Proj[[#This Row],[Player]],Std[Player],0),20)</f>
        <v>-198.40816716355585</v>
      </c>
      <c r="AD66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266.35000000000002</v>
      </c>
    </row>
    <row r="669" spans="1:30" x14ac:dyDescent="0.25">
      <c r="A669" t="s">
        <v>617</v>
      </c>
      <c r="B669">
        <v>30</v>
      </c>
      <c r="C669" t="s">
        <v>74</v>
      </c>
      <c r="D669" t="s">
        <v>1240</v>
      </c>
      <c r="E669" s="9">
        <f>INDEX(Table1[],MATCH(Proj[[#This Row],[Player]],Table1[Player],0),5)</f>
        <v>9.6470574538818301</v>
      </c>
      <c r="F669" s="9">
        <f>_xlfn.IFNA(INDEX(Table2[],MATCH(Proj[[#This Row],[Player]],Table2[Player],0),5),0)</f>
        <v>0</v>
      </c>
      <c r="G669" s="9">
        <f>_xlfn.IFNA(INDEX(Table3[],MATCH(Proj[[#This Row],[Player]],Table3[Player],0),5),0)</f>
        <v>0.47</v>
      </c>
      <c r="H669" s="10">
        <v>73</v>
      </c>
      <c r="I669">
        <v>73</v>
      </c>
      <c r="J669" s="9">
        <v>9.6470574538818301</v>
      </c>
      <c r="K669" s="9">
        <v>0</v>
      </c>
      <c r="L669" s="9">
        <v>0.47</v>
      </c>
      <c r="M669" s="9">
        <f>Proj[[#This Row],[TOI ES]]+Proj[[#This Row],[TOI PP]]+Proj[[#This Row],[TOI PK]]</f>
        <v>10.117057453881831</v>
      </c>
      <c r="N66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6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69">
        <f>Proj[[#This Row],[Goals]]+Proj[[#This Row],[Assists]]</f>
        <v>12</v>
      </c>
      <c r="Q669" s="10">
        <f>ROUND(_xlfn.IFNA(INDEX(Table2[],MATCH(Proj[[#This Row],[Player]],Table2[Player],0),11)/60,IF(Proj[[#This Row],[Pos]] = "D", 'Per 60 PP'!$K$527,'Per 60 PP'!$K$526)/60)*Proj[[#This Row],[TOI PP]]*Proj[[#This Row],[GP]],0)</f>
        <v>0</v>
      </c>
      <c r="R669" s="10">
        <f>ROUND(_xlfn.IFNA(INDEX(Table2[],MATCH(Proj[[#This Row],[Player]],Table2[Player],0),7)/60,IF(Proj[[#This Row],[Pos]] = "D", 'Per 60 PP'!$G$527,'Per 60 PP'!$G$526)/60)*Proj[[#This Row],[TOI PP]]*Proj[[#This Row],[GP]],0)</f>
        <v>0</v>
      </c>
      <c r="S669" s="10">
        <f>Proj[[#This Row],[PPG]]+Proj[[#This Row],[PPA]]</f>
        <v>0</v>
      </c>
      <c r="T669">
        <f>ROUND((_xlfn.IFNA(INDEX(Table3[],MATCH(Proj[[#This Row],[Player]],Table3[Player],0),6)/60,IF(Proj[[#This Row],[Pos]] ="D", 'Per 60 PK'!$F$623, 'Per 60 PK'!$F$622)/60)+_xlfn.IFNA(INDEX(Table3[],MATCH(Proj[[#This Row],[Player]],Table3[Player],0),8)/60,IF(Proj[[#This Row],[Pos]] ="D", 'Per 60 PK'!$H$623, 'Per 60 PK'!$H$622)/60))*Proj[[#This Row],[TOI PK]]*Proj[[#This Row],[GP]],0)</f>
        <v>0</v>
      </c>
      <c r="U66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218</v>
      </c>
      <c r="V66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66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156</v>
      </c>
      <c r="X66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v>
      </c>
      <c r="Y66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24</v>
      </c>
      <c r="Z66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66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-501.31024766900873</v>
      </c>
      <c r="AB669" s="10">
        <f>_xlfn.RANK.EQ(Proj[[#This Row],[VOR]],Proj[VOR])</f>
        <v>423</v>
      </c>
      <c r="AC669" s="10">
        <f>INDEX(Std[],MATCH(Proj[[#This Row],[Player]],Std[Player],0),20)</f>
        <v>233.3236066412899</v>
      </c>
      <c r="AD66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301.75</v>
      </c>
    </row>
    <row r="670" spans="1:30" x14ac:dyDescent="0.25">
      <c r="A670" t="s">
        <v>1154</v>
      </c>
      <c r="B670">
        <v>23</v>
      </c>
      <c r="C670" t="s">
        <v>102</v>
      </c>
      <c r="D670" t="s">
        <v>23</v>
      </c>
      <c r="E670" s="9">
        <f>INDEX(Table1[],MATCH(Proj[[#This Row],[Player]],Table1[Player],0),5)</f>
        <v>12.123308011712799</v>
      </c>
      <c r="F670" s="9">
        <f>_xlfn.IFNA(INDEX(Table2[],MATCH(Proj[[#This Row],[Player]],Table2[Player],0),5),0)</f>
        <v>0</v>
      </c>
      <c r="G670" s="9">
        <f>_xlfn.IFNA(INDEX(Table3[],MATCH(Proj[[#This Row],[Player]],Table3[Player],0),5),0)</f>
        <v>1.32</v>
      </c>
      <c r="H670" s="10">
        <v>40</v>
      </c>
      <c r="I670">
        <v>40</v>
      </c>
      <c r="J670" s="9">
        <v>12.123308011712799</v>
      </c>
      <c r="K670" s="9">
        <v>0</v>
      </c>
      <c r="L670" s="9">
        <v>1.32</v>
      </c>
      <c r="M670" s="9">
        <f>Proj[[#This Row],[TOI ES]]+Proj[[#This Row],[TOI PP]]+Proj[[#This Row],[TOI PK]]</f>
        <v>13.4433080117128</v>
      </c>
      <c r="N67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7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70" s="10">
        <f>Proj[[#This Row],[Goals]]+Proj[[#This Row],[Assists]]</f>
        <v>11</v>
      </c>
      <c r="Q670" s="10">
        <f>ROUND(_xlfn.IFNA(INDEX(Table2[],MATCH(Proj[[#This Row],[Player]],Table2[Player],0),11)/60,IF(Proj[[#This Row],[Pos]] = "D", 'Per 60 PP'!$K$527,'Per 60 PP'!$K$526)/60)*Proj[[#This Row],[TOI PP]]*Proj[[#This Row],[GP]],0)</f>
        <v>0</v>
      </c>
      <c r="R670" s="10">
        <f>ROUND(_xlfn.IFNA(INDEX(Table2[],MATCH(Proj[[#This Row],[Player]],Table2[Player],0),7)/60,IF(Proj[[#This Row],[Pos]] = "D", 'Per 60 PP'!$G$527,'Per 60 PP'!$G$526)/60)*Proj[[#This Row],[TOI PP]]*Proj[[#This Row],[GP]],0)</f>
        <v>0</v>
      </c>
      <c r="S670" s="10">
        <f>Proj[[#This Row],[PPG]]+Proj[[#This Row],[PPA]]</f>
        <v>0</v>
      </c>
      <c r="T670">
        <f>ROUND((_xlfn.IFNA(INDEX(Table3[],MATCH(Proj[[#This Row],[Player]],Table3[Player],0),6)/60,IF(Proj[[#This Row],[Pos]] ="D", 'Per 60 PK'!$F$623, 'Per 60 PK'!$F$622)/60)+_xlfn.IFNA(INDEX(Table3[],MATCH(Proj[[#This Row],[Player]],Table3[Player],0),8)/60,IF(Proj[[#This Row],[Pos]] ="D", 'Per 60 PK'!$H$623, 'Per 60 PK'!$H$622)/60))*Proj[[#This Row],[TOI PK]]*Proj[[#This Row],[GP]],0)</f>
        <v>0</v>
      </c>
      <c r="U67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30</v>
      </c>
      <c r="V67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33</v>
      </c>
      <c r="W67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67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31</v>
      </c>
      <c r="Y67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35</v>
      </c>
      <c r="Z67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55</v>
      </c>
      <c r="AA67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-1300.3530738343431</v>
      </c>
      <c r="AB670" s="10">
        <f>_xlfn.RANK.EQ(Proj[[#This Row],[VOR]],Proj[VOR])</f>
        <v>712</v>
      </c>
      <c r="AC670" s="10">
        <f>INDEX(Std[],MATCH(Proj[[#This Row],[Player]],Std[Player],0),20)</f>
        <v>-828.80834944409423</v>
      </c>
      <c r="AD67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123.74999999999999</v>
      </c>
    </row>
    <row r="671" spans="1:30" x14ac:dyDescent="0.25">
      <c r="A671" t="s">
        <v>1203</v>
      </c>
      <c r="B671">
        <v>26</v>
      </c>
      <c r="C671" t="s">
        <v>3</v>
      </c>
      <c r="D671" t="s">
        <v>11</v>
      </c>
      <c r="E671" s="9">
        <f>INDEX(Table1[],MATCH(Proj[[#This Row],[Player]],Table1[Player],0),5)</f>
        <v>14.5741306851109</v>
      </c>
      <c r="F671" s="9">
        <f>_xlfn.IFNA(INDEX(Table2[],MATCH(Proj[[#This Row],[Player]],Table2[Player],0),5),0)</f>
        <v>0</v>
      </c>
      <c r="G671" s="9">
        <f>_xlfn.IFNA(INDEX(Table3[],MATCH(Proj[[#This Row],[Player]],Table3[Player],0),5),0)</f>
        <v>0</v>
      </c>
      <c r="H671" s="10">
        <v>44</v>
      </c>
      <c r="I671">
        <v>44</v>
      </c>
      <c r="J671" s="9">
        <v>14.5741306851109</v>
      </c>
      <c r="K671" s="9">
        <v>0</v>
      </c>
      <c r="L671" s="9">
        <v>0</v>
      </c>
      <c r="M671" s="9">
        <f>Proj[[#This Row],[TOI ES]]+Proj[[#This Row],[TOI PP]]+Proj[[#This Row],[TOI PK]]</f>
        <v>14.5741306851109</v>
      </c>
      <c r="N67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7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71">
        <f>Proj[[#This Row],[Goals]]+Proj[[#This Row],[Assists]]</f>
        <v>11</v>
      </c>
      <c r="Q671" s="10">
        <f>ROUND(_xlfn.IFNA(INDEX(Table2[],MATCH(Proj[[#This Row],[Player]],Table2[Player],0),11)/60,IF(Proj[[#This Row],[Pos]] = "D", 'Per 60 PP'!$K$527,'Per 60 PP'!$K$526)/60)*Proj[[#This Row],[TOI PP]]*Proj[[#This Row],[GP]],0)</f>
        <v>0</v>
      </c>
      <c r="R671" s="10">
        <f>ROUND(_xlfn.IFNA(INDEX(Table2[],MATCH(Proj[[#This Row],[Player]],Table2[Player],0),7)/60,IF(Proj[[#This Row],[Pos]] = "D", 'Per 60 PP'!$G$527,'Per 60 PP'!$G$526)/60)*Proj[[#This Row],[TOI PP]]*Proj[[#This Row],[GP]],0)</f>
        <v>0</v>
      </c>
      <c r="S671" s="10">
        <f>Proj[[#This Row],[PPG]]+Proj[[#This Row],[PPA]]</f>
        <v>0</v>
      </c>
      <c r="T671">
        <f>ROUND((_xlfn.IFNA(INDEX(Table3[],MATCH(Proj[[#This Row],[Player]],Table3[Player],0),6)/60,IF(Proj[[#This Row],[Pos]] ="D", 'Per 60 PK'!$F$623, 'Per 60 PK'!$F$622)/60)+_xlfn.IFNA(INDEX(Table3[],MATCH(Proj[[#This Row],[Player]],Table3[Player],0),8)/60,IF(Proj[[#This Row],[Pos]] ="D", 'Per 60 PK'!$H$623, 'Per 60 PK'!$H$622)/60))*Proj[[#This Row],[TOI PK]]*Proj[[#This Row],[GP]],0)</f>
        <v>0</v>
      </c>
      <c r="U67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31</v>
      </c>
      <c r="V67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67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67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7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7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51</v>
      </c>
      <c r="AA67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-888.30156116775538</v>
      </c>
      <c r="AB671" s="10">
        <f>_xlfn.RANK.EQ(Proj[[#This Row],[VOR]],Proj[VOR])</f>
        <v>620</v>
      </c>
      <c r="AC671" s="10">
        <f>INDEX(Std[],MATCH(Proj[[#This Row],[Player]],Std[Player],0),20)</f>
        <v>-780.93679344829093</v>
      </c>
      <c r="AD67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130.19999999999999</v>
      </c>
    </row>
    <row r="672" spans="1:30" x14ac:dyDescent="0.25">
      <c r="A672" t="s">
        <v>958</v>
      </c>
      <c r="B672">
        <v>24</v>
      </c>
      <c r="C672" t="s">
        <v>74</v>
      </c>
      <c r="D672" t="s">
        <v>8</v>
      </c>
      <c r="E672" s="9">
        <f>INDEX(Table1[],MATCH(Proj[[#This Row],[Player]],Table1[Player],0),5)</f>
        <v>9.4236523590171597</v>
      </c>
      <c r="F672" s="9">
        <f>_xlfn.IFNA(INDEX(Table2[],MATCH(Proj[[#This Row],[Player]],Table2[Player],0),5),0)</f>
        <v>0</v>
      </c>
      <c r="G672" s="9">
        <f>_xlfn.IFNA(INDEX(Table3[],MATCH(Proj[[#This Row],[Player]],Table3[Player],0),5),0)</f>
        <v>1.39</v>
      </c>
      <c r="H672" s="10">
        <v>58</v>
      </c>
      <c r="I672">
        <v>58</v>
      </c>
      <c r="J672" s="9">
        <v>9.4236523590171597</v>
      </c>
      <c r="K672" s="9">
        <v>0</v>
      </c>
      <c r="L672" s="9">
        <v>1.39</v>
      </c>
      <c r="M672" s="9">
        <f>Proj[[#This Row],[TOI ES]]+Proj[[#This Row],[TOI PP]]+Proj[[#This Row],[TOI PK]]</f>
        <v>10.81365235901716</v>
      </c>
      <c r="N67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7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72" s="10">
        <f>Proj[[#This Row],[Goals]]+Proj[[#This Row],[Assists]]</f>
        <v>11</v>
      </c>
      <c r="Q672" s="10">
        <f>ROUND(_xlfn.IFNA(INDEX(Table2[],MATCH(Proj[[#This Row],[Player]],Table2[Player],0),11)/60,IF(Proj[[#This Row],[Pos]] = "D", 'Per 60 PP'!$K$527,'Per 60 PP'!$K$526)/60)*Proj[[#This Row],[TOI PP]]*Proj[[#This Row],[GP]],0)</f>
        <v>0</v>
      </c>
      <c r="R672" s="10">
        <f>ROUND(_xlfn.IFNA(INDEX(Table2[],MATCH(Proj[[#This Row],[Player]],Table2[Player],0),7)/60,IF(Proj[[#This Row],[Pos]] = "D", 'Per 60 PP'!$G$527,'Per 60 PP'!$G$526)/60)*Proj[[#This Row],[TOI PP]]*Proj[[#This Row],[GP]],0)</f>
        <v>0</v>
      </c>
      <c r="S672" s="10">
        <f>Proj[[#This Row],[PPG]]+Proj[[#This Row],[PPA]]</f>
        <v>0</v>
      </c>
      <c r="T672">
        <f>ROUND((_xlfn.IFNA(INDEX(Table3[],MATCH(Proj[[#This Row],[Player]],Table3[Player],0),6)/60,IF(Proj[[#This Row],[Pos]] ="D", 'Per 60 PK'!$F$623, 'Per 60 PK'!$F$622)/60)+_xlfn.IFNA(INDEX(Table3[],MATCH(Proj[[#This Row],[Player]],Table3[Player],0),8)/60,IF(Proj[[#This Row],[Pos]] ="D", 'Per 60 PK'!$H$623, 'Per 60 PK'!$H$622)/60))*Proj[[#This Row],[TOI PK]]*Proj[[#This Row],[GP]],0)</f>
        <v>1</v>
      </c>
      <c r="U67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67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67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67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108</v>
      </c>
      <c r="Y67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139</v>
      </c>
      <c r="Z67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38</v>
      </c>
      <c r="AA67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-1509.6417244245611</v>
      </c>
      <c r="AB672" s="10">
        <f>_xlfn.RANK.EQ(Proj[[#This Row],[VOR]],Proj[VOR])</f>
        <v>742</v>
      </c>
      <c r="AC672" s="10">
        <f>INDEX(Std[],MATCH(Proj[[#This Row],[Player]],Std[Player],0),20)</f>
        <v>-775.00787011426246</v>
      </c>
      <c r="AD67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130.35</v>
      </c>
    </row>
    <row r="673" spans="1:30" x14ac:dyDescent="0.25">
      <c r="A673" t="s">
        <v>1146</v>
      </c>
      <c r="B673">
        <v>22</v>
      </c>
      <c r="C673" t="s">
        <v>102</v>
      </c>
      <c r="D673" t="s">
        <v>21</v>
      </c>
      <c r="E673" s="9">
        <f>INDEX(Table1[],MATCH(Proj[[#This Row],[Player]],Table1[Player],0),5)</f>
        <v>11.443553586277901</v>
      </c>
      <c r="F673" s="9">
        <f>_xlfn.IFNA(INDEX(Table2[],MATCH(Proj[[#This Row],[Player]],Table2[Player],0),5),0)</f>
        <v>0</v>
      </c>
      <c r="G673" s="9">
        <f>_xlfn.IFNA(INDEX(Table3[],MATCH(Proj[[#This Row],[Player]],Table3[Player],0),5),0)</f>
        <v>0</v>
      </c>
      <c r="H673" s="10">
        <v>39</v>
      </c>
      <c r="I673">
        <v>39</v>
      </c>
      <c r="J673" s="9">
        <v>11.443553586277901</v>
      </c>
      <c r="K673" s="9">
        <v>0</v>
      </c>
      <c r="L673" s="9">
        <v>0</v>
      </c>
      <c r="M673" s="9">
        <f>Proj[[#This Row],[TOI ES]]+Proj[[#This Row],[TOI PP]]+Proj[[#This Row],[TOI PK]]</f>
        <v>11.443553586277901</v>
      </c>
      <c r="N67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7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73" s="10">
        <f>Proj[[#This Row],[Goals]]+Proj[[#This Row],[Assists]]</f>
        <v>11</v>
      </c>
      <c r="Q673" s="10">
        <f>ROUND(_xlfn.IFNA(INDEX(Table2[],MATCH(Proj[[#This Row],[Player]],Table2[Player],0),11)/60,IF(Proj[[#This Row],[Pos]] = "D", 'Per 60 PP'!$K$527,'Per 60 PP'!$K$526)/60)*Proj[[#This Row],[TOI PP]]*Proj[[#This Row],[GP]],0)</f>
        <v>0</v>
      </c>
      <c r="R673" s="10">
        <f>ROUND(_xlfn.IFNA(INDEX(Table2[],MATCH(Proj[[#This Row],[Player]],Table2[Player],0),7)/60,IF(Proj[[#This Row],[Pos]] = "D", 'Per 60 PP'!$G$527,'Per 60 PP'!$G$526)/60)*Proj[[#This Row],[TOI PP]]*Proj[[#This Row],[GP]],0)</f>
        <v>0</v>
      </c>
      <c r="S673" s="10">
        <f>Proj[[#This Row],[PPG]]+Proj[[#This Row],[PPA]]</f>
        <v>0</v>
      </c>
      <c r="T673">
        <f>ROUND((_xlfn.IFNA(INDEX(Table3[],MATCH(Proj[[#This Row],[Player]],Table3[Player],0),6)/60,IF(Proj[[#This Row],[Pos]] ="D", 'Per 60 PK'!$F$623, 'Per 60 PK'!$F$622)/60)+_xlfn.IFNA(INDEX(Table3[],MATCH(Proj[[#This Row],[Player]],Table3[Player],0),8)/60,IF(Proj[[#This Row],[Pos]] ="D", 'Per 60 PK'!$H$623, 'Per 60 PK'!$H$622)/60))*Proj[[#This Row],[TOI PK]]*Proj[[#This Row],[GP]],0)</f>
        <v>0</v>
      </c>
      <c r="U67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67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67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67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28</v>
      </c>
      <c r="Y67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32</v>
      </c>
      <c r="Z67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38</v>
      </c>
      <c r="AA67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-1322.0819913547127</v>
      </c>
      <c r="AB673" s="10">
        <f>_xlfn.RANK.EQ(Proj[[#This Row],[VOR]],Proj[VOR])</f>
        <v>718</v>
      </c>
      <c r="AC673" s="10">
        <f>INDEX(Std[],MATCH(Proj[[#This Row],[Player]],Std[Player],0),20)</f>
        <v>-850.53726696446392</v>
      </c>
      <c r="AD67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113.94999999999999</v>
      </c>
    </row>
    <row r="674" spans="1:30" x14ac:dyDescent="0.25">
      <c r="A674" t="s">
        <v>1149</v>
      </c>
      <c r="B674">
        <v>22</v>
      </c>
      <c r="C674" t="s">
        <v>74</v>
      </c>
      <c r="D674" t="s">
        <v>18</v>
      </c>
      <c r="E674" s="9">
        <f>INDEX(Table1[],MATCH(Proj[[#This Row],[Player]],Table1[Player],0),5)</f>
        <v>11.864286848777899</v>
      </c>
      <c r="F674" s="9">
        <f>_xlfn.IFNA(INDEX(Table2[],MATCH(Proj[[#This Row],[Player]],Table2[Player],0),5),0)</f>
        <v>0</v>
      </c>
      <c r="G674" s="9">
        <f>_xlfn.IFNA(INDEX(Table3[],MATCH(Proj[[#This Row],[Player]],Table3[Player],0),5),0)</f>
        <v>1.28</v>
      </c>
      <c r="H674" s="10">
        <v>39</v>
      </c>
      <c r="I674">
        <v>39</v>
      </c>
      <c r="J674" s="9">
        <v>11.864286848777899</v>
      </c>
      <c r="K674" s="9">
        <v>0</v>
      </c>
      <c r="L674" s="9">
        <v>1.28</v>
      </c>
      <c r="M674" s="9">
        <f>Proj[[#This Row],[TOI ES]]+Proj[[#This Row],[TOI PP]]+Proj[[#This Row],[TOI PK]]</f>
        <v>13.144286848777899</v>
      </c>
      <c r="N67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7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74" s="10">
        <f>Proj[[#This Row],[Goals]]+Proj[[#This Row],[Assists]]</f>
        <v>11</v>
      </c>
      <c r="Q674" s="10">
        <f>ROUND(_xlfn.IFNA(INDEX(Table2[],MATCH(Proj[[#This Row],[Player]],Table2[Player],0),11)/60,IF(Proj[[#This Row],[Pos]] = "D", 'Per 60 PP'!$K$527,'Per 60 PP'!$K$526)/60)*Proj[[#This Row],[TOI PP]]*Proj[[#This Row],[GP]],0)</f>
        <v>0</v>
      </c>
      <c r="R674" s="10">
        <f>ROUND(_xlfn.IFNA(INDEX(Table2[],MATCH(Proj[[#This Row],[Player]],Table2[Player],0),7)/60,IF(Proj[[#This Row],[Pos]] = "D", 'Per 60 PP'!$G$527,'Per 60 PP'!$G$526)/60)*Proj[[#This Row],[TOI PP]]*Proj[[#This Row],[GP]],0)</f>
        <v>0</v>
      </c>
      <c r="S674" s="10">
        <f>Proj[[#This Row],[PPG]]+Proj[[#This Row],[PPA]]</f>
        <v>0</v>
      </c>
      <c r="T674">
        <f>ROUND((_xlfn.IFNA(INDEX(Table3[],MATCH(Proj[[#This Row],[Player]],Table3[Player],0),6)/60,IF(Proj[[#This Row],[Pos]] ="D", 'Per 60 PK'!$F$623, 'Per 60 PK'!$F$622)/60)+_xlfn.IFNA(INDEX(Table3[],MATCH(Proj[[#This Row],[Player]],Table3[Player],0),8)/60,IF(Proj[[#This Row],[Pos]] ="D", 'Per 60 PK'!$H$623, 'Per 60 PK'!$H$622)/60))*Proj[[#This Row],[TOI PK]]*Proj[[#This Row],[GP]],0)</f>
        <v>0</v>
      </c>
      <c r="U67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42</v>
      </c>
      <c r="V67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67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67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101</v>
      </c>
      <c r="Y67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105</v>
      </c>
      <c r="Z67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23</v>
      </c>
      <c r="AA67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-1541.5356670186584</v>
      </c>
      <c r="AB674" s="10">
        <f>_xlfn.RANK.EQ(Proj[[#This Row],[VOR]],Proj[VOR])</f>
        <v>746</v>
      </c>
      <c r="AC674" s="10">
        <f>INDEX(Std[],MATCH(Proj[[#This Row],[Player]],Std[Player],0),20)</f>
        <v>-806.90181270835967</v>
      </c>
      <c r="AD67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117.70000000000002</v>
      </c>
    </row>
    <row r="675" spans="1:30" x14ac:dyDescent="0.25">
      <c r="A675" t="s">
        <v>1176</v>
      </c>
      <c r="B675">
        <v>31</v>
      </c>
      <c r="C675" t="s">
        <v>3</v>
      </c>
      <c r="D675" t="s">
        <v>30</v>
      </c>
      <c r="E675" s="9">
        <f>INDEX(Table1[],MATCH(Proj[[#This Row],[Player]],Table1[Player],0),5)</f>
        <v>13.7392649558396</v>
      </c>
      <c r="F675" s="9">
        <f>_xlfn.IFNA(INDEX(Table2[],MATCH(Proj[[#This Row],[Player]],Table2[Player],0),5),0)</f>
        <v>0</v>
      </c>
      <c r="G675" s="9">
        <f>_xlfn.IFNA(INDEX(Table3[],MATCH(Proj[[#This Row],[Player]],Table3[Player],0),5),0)</f>
        <v>0.98</v>
      </c>
      <c r="H675" s="10">
        <v>60</v>
      </c>
      <c r="I675">
        <v>60</v>
      </c>
      <c r="J675" s="9">
        <v>13.7392649558396</v>
      </c>
      <c r="K675" s="9">
        <v>0</v>
      </c>
      <c r="L675" s="9">
        <v>0.98</v>
      </c>
      <c r="M675" s="9">
        <f>Proj[[#This Row],[TOI ES]]+Proj[[#This Row],[TOI PP]]+Proj[[#This Row],[TOI PK]]</f>
        <v>14.7192649558396</v>
      </c>
      <c r="N67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7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75" s="10">
        <f>Proj[[#This Row],[Goals]]+Proj[[#This Row],[Assists]]</f>
        <v>11</v>
      </c>
      <c r="Q675" s="10">
        <f>ROUND(_xlfn.IFNA(INDEX(Table2[],MATCH(Proj[[#This Row],[Player]],Table2[Player],0),11)/60,IF(Proj[[#This Row],[Pos]] = "D", 'Per 60 PP'!$K$527,'Per 60 PP'!$K$526)/60)*Proj[[#This Row],[TOI PP]]*Proj[[#This Row],[GP]],0)</f>
        <v>0</v>
      </c>
      <c r="R675" s="10">
        <f>ROUND(_xlfn.IFNA(INDEX(Table2[],MATCH(Proj[[#This Row],[Player]],Table2[Player],0),7)/60,IF(Proj[[#This Row],[Pos]] = "D", 'Per 60 PP'!$G$527,'Per 60 PP'!$G$526)/60)*Proj[[#This Row],[TOI PP]]*Proj[[#This Row],[GP]],0)</f>
        <v>0</v>
      </c>
      <c r="S675" s="10">
        <f>Proj[[#This Row],[PPG]]+Proj[[#This Row],[PPA]]</f>
        <v>0</v>
      </c>
      <c r="T675">
        <f>ROUND((_xlfn.IFNA(INDEX(Table3[],MATCH(Proj[[#This Row],[Player]],Table3[Player],0),6)/60,IF(Proj[[#This Row],[Pos]] ="D", 'Per 60 PK'!$F$623, 'Per 60 PK'!$F$622)/60)+_xlfn.IFNA(INDEX(Table3[],MATCH(Proj[[#This Row],[Player]],Table3[Player],0),8)/60,IF(Proj[[#This Row],[Pos]] ="D", 'Per 60 PK'!$H$623, 'Per 60 PK'!$H$622)/60))*Proj[[#This Row],[TOI PK]]*Proj[[#This Row],[GP]],0)</f>
        <v>0</v>
      </c>
      <c r="U67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67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77</v>
      </c>
      <c r="W67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38</v>
      </c>
      <c r="X67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7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7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58</v>
      </c>
      <c r="AA67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-663.43920628013518</v>
      </c>
      <c r="AB675" s="10">
        <f>_xlfn.RANK.EQ(Proj[[#This Row],[VOR]],Proj[VOR])</f>
        <v>509</v>
      </c>
      <c r="AC675" s="10">
        <f>INDEX(Std[],MATCH(Proj[[#This Row],[Player]],Std[Player],0),20)</f>
        <v>-556.07443856067073</v>
      </c>
      <c r="AD67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174.49999999999997</v>
      </c>
    </row>
    <row r="676" spans="1:30" x14ac:dyDescent="0.25">
      <c r="A676" t="s">
        <v>1191</v>
      </c>
      <c r="B676">
        <v>24</v>
      </c>
      <c r="C676" t="s">
        <v>3</v>
      </c>
      <c r="D676" t="s">
        <v>14</v>
      </c>
      <c r="E676" s="9">
        <f>INDEX(Table1[],MATCH(Proj[[#This Row],[Player]],Table1[Player],0),5)</f>
        <v>16.1883551423055</v>
      </c>
      <c r="F676" s="9">
        <f>_xlfn.IFNA(INDEX(Table2[],MATCH(Proj[[#This Row],[Player]],Table2[Player],0),5),0)</f>
        <v>0</v>
      </c>
      <c r="G676" s="9">
        <f>_xlfn.IFNA(INDEX(Table3[],MATCH(Proj[[#This Row],[Player]],Table3[Player],0),5),0)</f>
        <v>0.75</v>
      </c>
      <c r="H676" s="10">
        <v>55</v>
      </c>
      <c r="I676">
        <v>55</v>
      </c>
      <c r="J676" s="9">
        <v>16.1883551423055</v>
      </c>
      <c r="K676" s="9">
        <v>0</v>
      </c>
      <c r="L676" s="9">
        <v>0.75</v>
      </c>
      <c r="M676" s="9">
        <f>Proj[[#This Row],[TOI ES]]+Proj[[#This Row],[TOI PP]]+Proj[[#This Row],[TOI PK]]</f>
        <v>16.9383551423055</v>
      </c>
      <c r="N67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7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76">
        <f>Proj[[#This Row],[Goals]]+Proj[[#This Row],[Assists]]</f>
        <v>11</v>
      </c>
      <c r="Q676" s="10">
        <f>ROUND(_xlfn.IFNA(INDEX(Table2[],MATCH(Proj[[#This Row],[Player]],Table2[Player],0),11)/60,IF(Proj[[#This Row],[Pos]] = "D", 'Per 60 PP'!$K$527,'Per 60 PP'!$K$526)/60)*Proj[[#This Row],[TOI PP]]*Proj[[#This Row],[GP]],0)</f>
        <v>0</v>
      </c>
      <c r="R676" s="10">
        <f>ROUND(_xlfn.IFNA(INDEX(Table2[],MATCH(Proj[[#This Row],[Player]],Table2[Player],0),7)/60,IF(Proj[[#This Row],[Pos]] = "D", 'Per 60 PP'!$G$527,'Per 60 PP'!$G$526)/60)*Proj[[#This Row],[TOI PP]]*Proj[[#This Row],[GP]],0)</f>
        <v>0</v>
      </c>
      <c r="S676" s="10">
        <f>Proj[[#This Row],[PPG]]+Proj[[#This Row],[PPA]]</f>
        <v>0</v>
      </c>
      <c r="T676">
        <f>ROUND((_xlfn.IFNA(INDEX(Table3[],MATCH(Proj[[#This Row],[Player]],Table3[Player],0),6)/60,IF(Proj[[#This Row],[Pos]] ="D", 'Per 60 PK'!$F$623, 'Per 60 PK'!$F$622)/60)+_xlfn.IFNA(INDEX(Table3[],MATCH(Proj[[#This Row],[Player]],Table3[Player],0),8)/60,IF(Proj[[#This Row],[Pos]] ="D", 'Per 60 PK'!$H$623, 'Per 60 PK'!$H$622)/60))*Proj[[#This Row],[TOI PK]]*Proj[[#This Row],[GP]],0)</f>
        <v>0</v>
      </c>
      <c r="U67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67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87</v>
      </c>
      <c r="W67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67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7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7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49</v>
      </c>
      <c r="AA67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-732.39412660370408</v>
      </c>
      <c r="AB676" s="10">
        <f>_xlfn.RANK.EQ(Proj[[#This Row],[VOR]],Proj[VOR])</f>
        <v>550</v>
      </c>
      <c r="AC676" s="10">
        <f>INDEX(Std[],MATCH(Proj[[#This Row],[Player]],Std[Player],0),20)</f>
        <v>-625.02935888423963</v>
      </c>
      <c r="AD67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168.35</v>
      </c>
    </row>
    <row r="677" spans="1:30" x14ac:dyDescent="0.25">
      <c r="A677" t="s">
        <v>758</v>
      </c>
      <c r="B677">
        <v>28</v>
      </c>
      <c r="C677" t="s">
        <v>3</v>
      </c>
      <c r="D677" t="s">
        <v>1101</v>
      </c>
      <c r="E677" s="9">
        <f>INDEX(Table1[],MATCH(Proj[[#This Row],[Player]],Table1[Player],0),5)</f>
        <v>14.8057648750582</v>
      </c>
      <c r="F677" s="9">
        <f>_xlfn.IFNA(INDEX(Table2[],MATCH(Proj[[#This Row],[Player]],Table2[Player],0),5),0)</f>
        <v>0</v>
      </c>
      <c r="G677" s="9">
        <f>_xlfn.IFNA(INDEX(Table3[],MATCH(Proj[[#This Row],[Player]],Table3[Player],0),5),0)</f>
        <v>2.19</v>
      </c>
      <c r="H677" s="10">
        <v>66</v>
      </c>
      <c r="I677">
        <v>66</v>
      </c>
      <c r="J677" s="9">
        <v>14.8057648750582</v>
      </c>
      <c r="K677" s="9">
        <v>0</v>
      </c>
      <c r="L677" s="9">
        <v>2.19</v>
      </c>
      <c r="M677" s="9">
        <f>Proj[[#This Row],[TOI ES]]+Proj[[#This Row],[TOI PP]]+Proj[[#This Row],[TOI PK]]</f>
        <v>16.9957648750582</v>
      </c>
      <c r="N67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67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677" s="10">
        <f>Proj[[#This Row],[Goals]]+Proj[[#This Row],[Assists]]</f>
        <v>11</v>
      </c>
      <c r="Q677" s="10">
        <f>ROUND(_xlfn.IFNA(INDEX(Table2[],MATCH(Proj[[#This Row],[Player]],Table2[Player],0),11)/60,IF(Proj[[#This Row],[Pos]] = "D", 'Per 60 PP'!$K$527,'Per 60 PP'!$K$526)/60)*Proj[[#This Row],[TOI PP]]*Proj[[#This Row],[GP]],0)</f>
        <v>0</v>
      </c>
      <c r="R677" s="10">
        <f>ROUND(_xlfn.IFNA(INDEX(Table2[],MATCH(Proj[[#This Row],[Player]],Table2[Player],0),7)/60,IF(Proj[[#This Row],[Pos]] = "D", 'Per 60 PP'!$G$527,'Per 60 PP'!$G$526)/60)*Proj[[#This Row],[TOI PP]]*Proj[[#This Row],[GP]],0)</f>
        <v>0</v>
      </c>
      <c r="S677" s="10">
        <f>Proj[[#This Row],[PPG]]+Proj[[#This Row],[PPA]]</f>
        <v>0</v>
      </c>
      <c r="T677">
        <f>ROUND((_xlfn.IFNA(INDEX(Table3[],MATCH(Proj[[#This Row],[Player]],Table3[Player],0),6)/60,IF(Proj[[#This Row],[Pos]] ="D", 'Per 60 PK'!$F$623, 'Per 60 PK'!$F$622)/60)+_xlfn.IFNA(INDEX(Table3[],MATCH(Proj[[#This Row],[Player]],Table3[Player],0),8)/60,IF(Proj[[#This Row],[Pos]] ="D", 'Per 60 PK'!$H$623, 'Per 60 PK'!$H$622)/60))*Proj[[#This Row],[TOI PK]]*Proj[[#This Row],[GP]],0)</f>
        <v>0</v>
      </c>
      <c r="U67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67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67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67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7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7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53</v>
      </c>
      <c r="AA67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-721.56080891434726</v>
      </c>
      <c r="AB677" s="10">
        <f>_xlfn.RANK.EQ(Proj[[#This Row],[VOR]],Proj[VOR])</f>
        <v>538</v>
      </c>
      <c r="AC677" s="10">
        <f>INDEX(Std[],MATCH(Proj[[#This Row],[Player]],Std[Player],0),20)</f>
        <v>-614.19604119488281</v>
      </c>
      <c r="AD67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167.39999999999998</v>
      </c>
    </row>
    <row r="678" spans="1:30" x14ac:dyDescent="0.25">
      <c r="A678" t="s">
        <v>754</v>
      </c>
      <c r="B678">
        <v>26</v>
      </c>
      <c r="C678" t="s">
        <v>3</v>
      </c>
      <c r="D678" t="s">
        <v>87</v>
      </c>
      <c r="E678" s="9">
        <f>INDEX(Table1[],MATCH(Proj[[#This Row],[Player]],Table1[Player],0),5)</f>
        <v>12.2759626946981</v>
      </c>
      <c r="F678" s="9">
        <f>_xlfn.IFNA(INDEX(Table2[],MATCH(Proj[[#This Row],[Player]],Table2[Player],0),5),0)</f>
        <v>0</v>
      </c>
      <c r="G678" s="9">
        <f>_xlfn.IFNA(INDEX(Table3[],MATCH(Proj[[#This Row],[Player]],Table3[Player],0),5),0)</f>
        <v>0.66</v>
      </c>
      <c r="H678" s="10">
        <v>54</v>
      </c>
      <c r="I678">
        <v>54</v>
      </c>
      <c r="J678" s="9">
        <v>12.2759626946981</v>
      </c>
      <c r="K678" s="9">
        <v>0</v>
      </c>
      <c r="L678" s="9">
        <v>0.66</v>
      </c>
      <c r="M678" s="9">
        <f>Proj[[#This Row],[TOI ES]]+Proj[[#This Row],[TOI PP]]+Proj[[#This Row],[TOI PK]]</f>
        <v>12.9359626946981</v>
      </c>
      <c r="N67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7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78" s="10">
        <f>Proj[[#This Row],[Goals]]+Proj[[#This Row],[Assists]]</f>
        <v>11</v>
      </c>
      <c r="Q678" s="10">
        <f>ROUND(_xlfn.IFNA(INDEX(Table2[],MATCH(Proj[[#This Row],[Player]],Table2[Player],0),11)/60,IF(Proj[[#This Row],[Pos]] = "D", 'Per 60 PP'!$K$527,'Per 60 PP'!$K$526)/60)*Proj[[#This Row],[TOI PP]]*Proj[[#This Row],[GP]],0)</f>
        <v>0</v>
      </c>
      <c r="R678" s="10">
        <f>ROUND(_xlfn.IFNA(INDEX(Table2[],MATCH(Proj[[#This Row],[Player]],Table2[Player],0),7)/60,IF(Proj[[#This Row],[Pos]] = "D", 'Per 60 PP'!$G$527,'Per 60 PP'!$G$526)/60)*Proj[[#This Row],[TOI PP]]*Proj[[#This Row],[GP]],0)</f>
        <v>0</v>
      </c>
      <c r="S678" s="10">
        <f>Proj[[#This Row],[PPG]]+Proj[[#This Row],[PPA]]</f>
        <v>0</v>
      </c>
      <c r="T678">
        <f>ROUND((_xlfn.IFNA(INDEX(Table3[],MATCH(Proj[[#This Row],[Player]],Table3[Player],0),6)/60,IF(Proj[[#This Row],[Pos]] ="D", 'Per 60 PK'!$F$623, 'Per 60 PK'!$F$622)/60)+_xlfn.IFNA(INDEX(Table3[],MATCH(Proj[[#This Row],[Player]],Table3[Player],0),8)/60,IF(Proj[[#This Row],[Pos]] ="D", 'Per 60 PK'!$H$623, 'Per 60 PK'!$H$622)/60))*Proj[[#This Row],[TOI PK]]*Proj[[#This Row],[GP]],0)</f>
        <v>0</v>
      </c>
      <c r="U67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67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67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67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7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7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45</v>
      </c>
      <c r="AA67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-762.76958587139723</v>
      </c>
      <c r="AB678" s="10">
        <f>_xlfn.RANK.EQ(Proj[[#This Row],[VOR]],Proj[VOR])</f>
        <v>564</v>
      </c>
      <c r="AC678" s="10">
        <f>INDEX(Std[],MATCH(Proj[[#This Row],[Player]],Std[Player],0),20)</f>
        <v>-655.40481815193277</v>
      </c>
      <c r="AD67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155.35</v>
      </c>
    </row>
    <row r="679" spans="1:30" x14ac:dyDescent="0.25">
      <c r="A679" t="s">
        <v>819</v>
      </c>
      <c r="B679">
        <v>27</v>
      </c>
      <c r="C679" t="s">
        <v>74</v>
      </c>
      <c r="D679" t="s">
        <v>5</v>
      </c>
      <c r="E679" s="9">
        <f>INDEX(Table1[],MATCH(Proj[[#This Row],[Player]],Table1[Player],0),5)</f>
        <v>8.4895974141892196</v>
      </c>
      <c r="F679" s="9">
        <f>_xlfn.IFNA(INDEX(Table2[],MATCH(Proj[[#This Row],[Player]],Table2[Player],0),5),0)</f>
        <v>0</v>
      </c>
      <c r="G679" s="9">
        <f>_xlfn.IFNA(INDEX(Table3[],MATCH(Proj[[#This Row],[Player]],Table3[Player],0),5),0)</f>
        <v>0</v>
      </c>
      <c r="H679" s="10">
        <v>64</v>
      </c>
      <c r="I679">
        <v>64</v>
      </c>
      <c r="J679" s="9">
        <v>8.4895974141892196</v>
      </c>
      <c r="K679" s="9">
        <v>0</v>
      </c>
      <c r="L679" s="9">
        <v>0</v>
      </c>
      <c r="M679" s="9">
        <f>Proj[[#This Row],[TOI ES]]+Proj[[#This Row],[TOI PP]]+Proj[[#This Row],[TOI PK]]</f>
        <v>8.4895974141892196</v>
      </c>
      <c r="N67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7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79" s="10">
        <f>Proj[[#This Row],[Goals]]+Proj[[#This Row],[Assists]]</f>
        <v>11</v>
      </c>
      <c r="Q679" s="10">
        <f>ROUND(_xlfn.IFNA(INDEX(Table2[],MATCH(Proj[[#This Row],[Player]],Table2[Player],0),11)/60,IF(Proj[[#This Row],[Pos]] = "D", 'Per 60 PP'!$K$527,'Per 60 PP'!$K$526)/60)*Proj[[#This Row],[TOI PP]]*Proj[[#This Row],[GP]],0)</f>
        <v>0</v>
      </c>
      <c r="R679" s="10">
        <f>ROUND(_xlfn.IFNA(INDEX(Table2[],MATCH(Proj[[#This Row],[Player]],Table2[Player],0),7)/60,IF(Proj[[#This Row],[Pos]] = "D", 'Per 60 PP'!$G$527,'Per 60 PP'!$G$526)/60)*Proj[[#This Row],[TOI PP]]*Proj[[#This Row],[GP]],0)</f>
        <v>0</v>
      </c>
      <c r="S679" s="10">
        <f>Proj[[#This Row],[PPG]]+Proj[[#This Row],[PPA]]</f>
        <v>0</v>
      </c>
      <c r="T679">
        <f>ROUND((_xlfn.IFNA(INDEX(Table3[],MATCH(Proj[[#This Row],[Player]],Table3[Player],0),6)/60,IF(Proj[[#This Row],[Pos]] ="D", 'Per 60 PK'!$F$623, 'Per 60 PK'!$F$622)/60)+_xlfn.IFNA(INDEX(Table3[],MATCH(Proj[[#This Row],[Player]],Table3[Player],0),8)/60,IF(Proj[[#This Row],[Pos]] ="D", 'Per 60 PK'!$H$623, 'Per 60 PK'!$H$622)/60))*Proj[[#This Row],[TOI PK]]*Proj[[#This Row],[GP]],0)</f>
        <v>0</v>
      </c>
      <c r="U67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67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67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67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67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v>
      </c>
      <c r="Z67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50</v>
      </c>
      <c r="AA67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-1469.2410935386404</v>
      </c>
      <c r="AB679" s="10">
        <f>_xlfn.RANK.EQ(Proj[[#This Row],[VOR]],Proj[VOR])</f>
        <v>737</v>
      </c>
      <c r="AC679" s="10">
        <f>INDEX(Std[],MATCH(Proj[[#This Row],[Player]],Std[Player],0),20)</f>
        <v>-734.60723922834177</v>
      </c>
      <c r="AD67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142.25</v>
      </c>
    </row>
    <row r="680" spans="1:30" x14ac:dyDescent="0.25">
      <c r="A680" t="s">
        <v>941</v>
      </c>
      <c r="B680">
        <v>23</v>
      </c>
      <c r="C680" t="s">
        <v>3</v>
      </c>
      <c r="D680" t="s">
        <v>21</v>
      </c>
      <c r="E680" s="9">
        <f>INDEX(Table1[],MATCH(Proj[[#This Row],[Player]],Table1[Player],0),5)</f>
        <v>15.5746818847007</v>
      </c>
      <c r="F680" s="9">
        <f>_xlfn.IFNA(INDEX(Table2[],MATCH(Proj[[#This Row],[Player]],Table2[Player],0),5),0)</f>
        <v>0</v>
      </c>
      <c r="G680" s="9">
        <f>_xlfn.IFNA(INDEX(Table3[],MATCH(Proj[[#This Row],[Player]],Table3[Player],0),5),0)</f>
        <v>1.31</v>
      </c>
      <c r="H680" s="10">
        <v>47</v>
      </c>
      <c r="I680">
        <v>47</v>
      </c>
      <c r="J680" s="9">
        <v>15.5746818847007</v>
      </c>
      <c r="K680" s="9">
        <v>0</v>
      </c>
      <c r="L680" s="9">
        <v>1.31</v>
      </c>
      <c r="M680" s="9">
        <f>Proj[[#This Row],[TOI ES]]+Proj[[#This Row],[TOI PP]]+Proj[[#This Row],[TOI PK]]</f>
        <v>16.884681884700701</v>
      </c>
      <c r="N68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8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80" s="10">
        <f>Proj[[#This Row],[Goals]]+Proj[[#This Row],[Assists]]</f>
        <v>11</v>
      </c>
      <c r="Q680" s="10">
        <f>ROUND(_xlfn.IFNA(INDEX(Table2[],MATCH(Proj[[#This Row],[Player]],Table2[Player],0),11)/60,IF(Proj[[#This Row],[Pos]] = "D", 'Per 60 PP'!$K$527,'Per 60 PP'!$K$526)/60)*Proj[[#This Row],[TOI PP]]*Proj[[#This Row],[GP]],0)</f>
        <v>0</v>
      </c>
      <c r="R680" s="10">
        <f>ROUND(_xlfn.IFNA(INDEX(Table2[],MATCH(Proj[[#This Row],[Player]],Table2[Player],0),7)/60,IF(Proj[[#This Row],[Pos]] = "D", 'Per 60 PP'!$G$527,'Per 60 PP'!$G$526)/60)*Proj[[#This Row],[TOI PP]]*Proj[[#This Row],[GP]],0)</f>
        <v>0</v>
      </c>
      <c r="S680" s="10">
        <f>Proj[[#This Row],[PPG]]+Proj[[#This Row],[PPA]]</f>
        <v>0</v>
      </c>
      <c r="T680">
        <f>ROUND((_xlfn.IFNA(INDEX(Table3[],MATCH(Proj[[#This Row],[Player]],Table3[Player],0),6)/60,IF(Proj[[#This Row],[Pos]] ="D", 'Per 60 PK'!$F$623, 'Per 60 PK'!$F$622)/60)+_xlfn.IFNA(INDEX(Table3[],MATCH(Proj[[#This Row],[Player]],Table3[Player],0),8)/60,IF(Proj[[#This Row],[Pos]] ="D", 'Per 60 PK'!$H$623, 'Per 60 PK'!$H$622)/60))*Proj[[#This Row],[TOI PK]]*Proj[[#This Row],[GP]],0)</f>
        <v>0</v>
      </c>
      <c r="U68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68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68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22</v>
      </c>
      <c r="X68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8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8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48</v>
      </c>
      <c r="AA68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-789.67488900043782</v>
      </c>
      <c r="AB680" s="10">
        <f>_xlfn.RANK.EQ(Proj[[#This Row],[VOR]],Proj[VOR])</f>
        <v>582</v>
      </c>
      <c r="AC680" s="10">
        <f>INDEX(Std[],MATCH(Proj[[#This Row],[Player]],Std[Player],0),20)</f>
        <v>-682.31012128097336</v>
      </c>
      <c r="AD68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155.25</v>
      </c>
    </row>
    <row r="681" spans="1:30" x14ac:dyDescent="0.25">
      <c r="A681" t="s">
        <v>724</v>
      </c>
      <c r="B681">
        <v>25</v>
      </c>
      <c r="C681" t="s">
        <v>74</v>
      </c>
      <c r="D681" t="s">
        <v>9</v>
      </c>
      <c r="E681" s="9">
        <f>INDEX(Table1[],MATCH(Proj[[#This Row],[Player]],Table1[Player],0),5)</f>
        <v>10.598425131435199</v>
      </c>
      <c r="F681" s="9">
        <f>_xlfn.IFNA(INDEX(Table2[],MATCH(Proj[[#This Row],[Player]],Table2[Player],0),5),0)</f>
        <v>0</v>
      </c>
      <c r="G681" s="9">
        <f>_xlfn.IFNA(INDEX(Table3[],MATCH(Proj[[#This Row],[Player]],Table3[Player],0),5),0)</f>
        <v>0.78</v>
      </c>
      <c r="H681" s="10">
        <v>49</v>
      </c>
      <c r="I681">
        <v>49</v>
      </c>
      <c r="J681" s="9">
        <v>10.598425131435199</v>
      </c>
      <c r="K681" s="9">
        <v>0</v>
      </c>
      <c r="L681" s="9">
        <v>0.78</v>
      </c>
      <c r="M681" s="9">
        <f>Proj[[#This Row],[TOI ES]]+Proj[[#This Row],[TOI PP]]+Proj[[#This Row],[TOI PK]]</f>
        <v>11.378425131435199</v>
      </c>
      <c r="N68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8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81" s="10">
        <f>Proj[[#This Row],[Goals]]+Proj[[#This Row],[Assists]]</f>
        <v>11</v>
      </c>
      <c r="Q681" s="10">
        <f>ROUND(_xlfn.IFNA(INDEX(Table2[],MATCH(Proj[[#This Row],[Player]],Table2[Player],0),11)/60,IF(Proj[[#This Row],[Pos]] = "D", 'Per 60 PP'!$K$527,'Per 60 PP'!$K$526)/60)*Proj[[#This Row],[TOI PP]]*Proj[[#This Row],[GP]],0)</f>
        <v>0</v>
      </c>
      <c r="R681" s="10">
        <f>ROUND(_xlfn.IFNA(INDEX(Table2[],MATCH(Proj[[#This Row],[Player]],Table2[Player],0),7)/60,IF(Proj[[#This Row],[Pos]] = "D", 'Per 60 PP'!$G$527,'Per 60 PP'!$G$526)/60)*Proj[[#This Row],[TOI PP]]*Proj[[#This Row],[GP]],0)</f>
        <v>0</v>
      </c>
      <c r="S681" s="10">
        <f>Proj[[#This Row],[PPG]]+Proj[[#This Row],[PPA]]</f>
        <v>0</v>
      </c>
      <c r="T681">
        <f>ROUND((_xlfn.IFNA(INDEX(Table3[],MATCH(Proj[[#This Row],[Player]],Table3[Player],0),6)/60,IF(Proj[[#This Row],[Pos]] ="D", 'Per 60 PK'!$F$623, 'Per 60 PK'!$F$622)/60)+_xlfn.IFNA(INDEX(Table3[],MATCH(Proj[[#This Row],[Player]],Table3[Player],0),8)/60,IF(Proj[[#This Row],[Pos]] ="D", 'Per 60 PK'!$H$623, 'Per 60 PK'!$H$622)/60))*Proj[[#This Row],[TOI PK]]*Proj[[#This Row],[GP]],0)</f>
        <v>0</v>
      </c>
      <c r="U68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74</v>
      </c>
      <c r="V68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35</v>
      </c>
      <c r="W68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68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38</v>
      </c>
      <c r="Y68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45</v>
      </c>
      <c r="Z68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53</v>
      </c>
      <c r="AA68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-1473.0406207027729</v>
      </c>
      <c r="AB681" s="10">
        <f>_xlfn.RANK.EQ(Proj[[#This Row],[VOR]],Proj[VOR])</f>
        <v>738</v>
      </c>
      <c r="AC681" s="10">
        <f>INDEX(Std[],MATCH(Proj[[#This Row],[Player]],Std[Player],0),20)</f>
        <v>-738.40676639247431</v>
      </c>
      <c r="AD68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151.05000000000001</v>
      </c>
    </row>
    <row r="682" spans="1:30" x14ac:dyDescent="0.25">
      <c r="A682" t="s">
        <v>713</v>
      </c>
      <c r="B682">
        <v>38</v>
      </c>
      <c r="C682" t="s">
        <v>3</v>
      </c>
      <c r="D682" t="s">
        <v>23</v>
      </c>
      <c r="E682" s="9">
        <f>INDEX(Table1[],MATCH(Proj[[#This Row],[Player]],Table1[Player],0),5)</f>
        <v>14.360198692961699</v>
      </c>
      <c r="F682" s="9">
        <f>_xlfn.IFNA(INDEX(Table2[],MATCH(Proj[[#This Row],[Player]],Table2[Player],0),5),0)</f>
        <v>0</v>
      </c>
      <c r="G682" s="9">
        <f>_xlfn.IFNA(INDEX(Table3[],MATCH(Proj[[#This Row],[Player]],Table3[Player],0),5),0)</f>
        <v>1.25</v>
      </c>
      <c r="H682" s="10">
        <v>79</v>
      </c>
      <c r="I682">
        <v>79</v>
      </c>
      <c r="J682" s="9">
        <v>14.360198692961699</v>
      </c>
      <c r="K682" s="9">
        <v>0</v>
      </c>
      <c r="L682" s="9">
        <v>1.25</v>
      </c>
      <c r="M682" s="9">
        <f>Proj[[#This Row],[TOI ES]]+Proj[[#This Row],[TOI PP]]+Proj[[#This Row],[TOI PK]]</f>
        <v>15.610198692961699</v>
      </c>
      <c r="N68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8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82" s="10">
        <f>Proj[[#This Row],[Goals]]+Proj[[#This Row],[Assists]]</f>
        <v>11</v>
      </c>
      <c r="Q682" s="10">
        <f>ROUND(_xlfn.IFNA(INDEX(Table2[],MATCH(Proj[[#This Row],[Player]],Table2[Player],0),11)/60,IF(Proj[[#This Row],[Pos]] = "D", 'Per 60 PP'!$K$527,'Per 60 PP'!$K$526)/60)*Proj[[#This Row],[TOI PP]]*Proj[[#This Row],[GP]],0)</f>
        <v>0</v>
      </c>
      <c r="R682" s="10">
        <f>ROUND(_xlfn.IFNA(INDEX(Table2[],MATCH(Proj[[#This Row],[Player]],Table2[Player],0),7)/60,IF(Proj[[#This Row],[Pos]] = "D", 'Per 60 PP'!$G$527,'Per 60 PP'!$G$526)/60)*Proj[[#This Row],[TOI PP]]*Proj[[#This Row],[GP]],0)</f>
        <v>0</v>
      </c>
      <c r="S682" s="10">
        <f>Proj[[#This Row],[PPG]]+Proj[[#This Row],[PPA]]</f>
        <v>0</v>
      </c>
      <c r="T682">
        <f>ROUND((_xlfn.IFNA(INDEX(Table3[],MATCH(Proj[[#This Row],[Player]],Table3[Player],0),6)/60,IF(Proj[[#This Row],[Pos]] ="D", 'Per 60 PK'!$F$623, 'Per 60 PK'!$F$622)/60)+_xlfn.IFNA(INDEX(Table3[],MATCH(Proj[[#This Row],[Player]],Table3[Player],0),8)/60,IF(Proj[[#This Row],[Pos]] ="D", 'Per 60 PK'!$H$623, 'Per 60 PK'!$H$622)/60))*Proj[[#This Row],[TOI PK]]*Proj[[#This Row],[GP]],0)</f>
        <v>0</v>
      </c>
      <c r="U68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68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94</v>
      </c>
      <c r="W68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35</v>
      </c>
      <c r="X68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8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8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71</v>
      </c>
      <c r="AA68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-583.13859749593632</v>
      </c>
      <c r="AB682" s="10">
        <f>_xlfn.RANK.EQ(Proj[[#This Row],[VOR]],Proj[VOR])</f>
        <v>473</v>
      </c>
      <c r="AC682" s="10">
        <f>INDEX(Std[],MATCH(Proj[[#This Row],[Player]],Std[Player],0),20)</f>
        <v>-475.77382977647187</v>
      </c>
      <c r="AD68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200.15</v>
      </c>
    </row>
    <row r="683" spans="1:30" x14ac:dyDescent="0.25">
      <c r="A683" t="s">
        <v>1065</v>
      </c>
      <c r="B683">
        <v>27</v>
      </c>
      <c r="C683" t="s">
        <v>3</v>
      </c>
      <c r="D683" t="s">
        <v>12</v>
      </c>
      <c r="E683" s="9">
        <f>INDEX(Table1[],MATCH(Proj[[#This Row],[Player]],Table1[Player],0),5)</f>
        <v>15.396674740605899</v>
      </c>
      <c r="F683" s="9">
        <f>_xlfn.IFNA(INDEX(Table2[],MATCH(Proj[[#This Row],[Player]],Table2[Player],0),5),0)</f>
        <v>0</v>
      </c>
      <c r="G683" s="9">
        <f>_xlfn.IFNA(INDEX(Table3[],MATCH(Proj[[#This Row],[Player]],Table3[Player],0),5),0)</f>
        <v>1.98</v>
      </c>
      <c r="H683" s="10">
        <v>51</v>
      </c>
      <c r="I683">
        <v>51</v>
      </c>
      <c r="J683" s="9">
        <v>15.396674740605899</v>
      </c>
      <c r="K683" s="9">
        <v>0</v>
      </c>
      <c r="L683" s="9">
        <v>1.98</v>
      </c>
      <c r="M683" s="9">
        <f>Proj[[#This Row],[TOI ES]]+Proj[[#This Row],[TOI PP]]+Proj[[#This Row],[TOI PK]]</f>
        <v>17.3766747406059</v>
      </c>
      <c r="N68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68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83" s="10">
        <f>Proj[[#This Row],[Goals]]+Proj[[#This Row],[Assists]]</f>
        <v>11</v>
      </c>
      <c r="Q683" s="10">
        <f>ROUND(_xlfn.IFNA(INDEX(Table2[],MATCH(Proj[[#This Row],[Player]],Table2[Player],0),11)/60,IF(Proj[[#This Row],[Pos]] = "D", 'Per 60 PP'!$K$527,'Per 60 PP'!$K$526)/60)*Proj[[#This Row],[TOI PP]]*Proj[[#This Row],[GP]],0)</f>
        <v>0</v>
      </c>
      <c r="R683" s="10">
        <f>ROUND(_xlfn.IFNA(INDEX(Table2[],MATCH(Proj[[#This Row],[Player]],Table2[Player],0),7)/60,IF(Proj[[#This Row],[Pos]] = "D", 'Per 60 PP'!$G$527,'Per 60 PP'!$G$526)/60)*Proj[[#This Row],[TOI PP]]*Proj[[#This Row],[GP]],0)</f>
        <v>0</v>
      </c>
      <c r="S683" s="10">
        <f>Proj[[#This Row],[PPG]]+Proj[[#This Row],[PPA]]</f>
        <v>0</v>
      </c>
      <c r="T683">
        <f>ROUND((_xlfn.IFNA(INDEX(Table3[],MATCH(Proj[[#This Row],[Player]],Table3[Player],0),6)/60,IF(Proj[[#This Row],[Pos]] ="D", 'Per 60 PK'!$F$623, 'Per 60 PK'!$F$622)/60)+_xlfn.IFNA(INDEX(Table3[],MATCH(Proj[[#This Row],[Player]],Table3[Player],0),8)/60,IF(Proj[[#This Row],[Pos]] ="D", 'Per 60 PK'!$H$623, 'Per 60 PK'!$H$622)/60))*Proj[[#This Row],[TOI PK]]*Proj[[#This Row],[GP]],0)</f>
        <v>1</v>
      </c>
      <c r="U68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81</v>
      </c>
      <c r="V68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73</v>
      </c>
      <c r="W68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26</v>
      </c>
      <c r="X68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8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8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46</v>
      </c>
      <c r="AA68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-705.80735656810975</v>
      </c>
      <c r="AB683" s="10">
        <f>_xlfn.RANK.EQ(Proj[[#This Row],[VOR]],Proj[VOR])</f>
        <v>527</v>
      </c>
      <c r="AC683" s="10">
        <f>INDEX(Std[],MATCH(Proj[[#This Row],[Player]],Std[Player],0),20)</f>
        <v>-598.4425888486453</v>
      </c>
      <c r="AD68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173.79999999999998</v>
      </c>
    </row>
    <row r="684" spans="1:30" x14ac:dyDescent="0.25">
      <c r="A684" t="s">
        <v>780</v>
      </c>
      <c r="B684">
        <v>28</v>
      </c>
      <c r="C684" t="s">
        <v>102</v>
      </c>
      <c r="D684" t="s">
        <v>11</v>
      </c>
      <c r="E684" s="9">
        <f>INDEX(Table1[],MATCH(Proj[[#This Row],[Player]],Table1[Player],0),5)</f>
        <v>8.9763555233253491</v>
      </c>
      <c r="F684" s="9">
        <f>_xlfn.IFNA(INDEX(Table2[],MATCH(Proj[[#This Row],[Player]],Table2[Player],0),5),0)</f>
        <v>0</v>
      </c>
      <c r="G684" s="9">
        <f>_xlfn.IFNA(INDEX(Table3[],MATCH(Proj[[#This Row],[Player]],Table3[Player],0),5),0)</f>
        <v>1.29</v>
      </c>
      <c r="H684" s="10">
        <v>66</v>
      </c>
      <c r="I684">
        <v>66</v>
      </c>
      <c r="J684" s="9">
        <v>8.9763555233253491</v>
      </c>
      <c r="K684" s="9">
        <v>0</v>
      </c>
      <c r="L684" s="9">
        <v>1.29</v>
      </c>
      <c r="M684" s="9">
        <f>Proj[[#This Row],[TOI ES]]+Proj[[#This Row],[TOI PP]]+Proj[[#This Row],[TOI PK]]</f>
        <v>10.266355523325348</v>
      </c>
      <c r="N68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8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84">
        <f>Proj[[#This Row],[Goals]]+Proj[[#This Row],[Assists]]</f>
        <v>11</v>
      </c>
      <c r="Q684" s="10">
        <f>ROUND(_xlfn.IFNA(INDEX(Table2[],MATCH(Proj[[#This Row],[Player]],Table2[Player],0),11)/60,IF(Proj[[#This Row],[Pos]] = "D", 'Per 60 PP'!$K$527,'Per 60 PP'!$K$526)/60)*Proj[[#This Row],[TOI PP]]*Proj[[#This Row],[GP]],0)</f>
        <v>0</v>
      </c>
      <c r="R684" s="10">
        <f>ROUND(_xlfn.IFNA(INDEX(Table2[],MATCH(Proj[[#This Row],[Player]],Table2[Player],0),7)/60,IF(Proj[[#This Row],[Pos]] = "D", 'Per 60 PP'!$G$527,'Per 60 PP'!$G$526)/60)*Proj[[#This Row],[TOI PP]]*Proj[[#This Row],[GP]],0)</f>
        <v>0</v>
      </c>
      <c r="S684" s="10">
        <f>Proj[[#This Row],[PPG]]+Proj[[#This Row],[PPA]]</f>
        <v>0</v>
      </c>
      <c r="T684">
        <f>ROUND((_xlfn.IFNA(INDEX(Table3[],MATCH(Proj[[#This Row],[Player]],Table3[Player],0),6)/60,IF(Proj[[#This Row],[Pos]] ="D", 'Per 60 PK'!$F$623, 'Per 60 PK'!$F$622)/60)+_xlfn.IFNA(INDEX(Table3[],MATCH(Proj[[#This Row],[Player]],Table3[Player],0),8)/60,IF(Proj[[#This Row],[Pos]] ="D", 'Per 60 PK'!$H$623, 'Per 60 PK'!$H$622)/60))*Proj[[#This Row],[TOI PK]]*Proj[[#This Row],[GP]],0)</f>
        <v>1</v>
      </c>
      <c r="U68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68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32</v>
      </c>
      <c r="W68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68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68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v>
      </c>
      <c r="Z68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68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-1143.9998833536858</v>
      </c>
      <c r="AB684" s="10">
        <f>_xlfn.RANK.EQ(Proj[[#This Row],[VOR]],Proj[VOR])</f>
        <v>690</v>
      </c>
      <c r="AC684" s="10">
        <f>INDEX(Std[],MATCH(Proj[[#This Row],[Player]],Std[Player],0),20)</f>
        <v>-672.45515896343704</v>
      </c>
      <c r="AD68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163.69999999999996</v>
      </c>
    </row>
    <row r="685" spans="1:30" x14ac:dyDescent="0.25">
      <c r="A685" t="s">
        <v>684</v>
      </c>
      <c r="B685">
        <v>29</v>
      </c>
      <c r="C685" t="s">
        <v>102</v>
      </c>
      <c r="D685" t="s">
        <v>22</v>
      </c>
      <c r="E685" s="9">
        <f>INDEX(Table1[],MATCH(Proj[[#This Row],[Player]],Table1[Player],0),5)</f>
        <v>10.715304018142801</v>
      </c>
      <c r="F685" s="9">
        <f>_xlfn.IFNA(INDEX(Table2[],MATCH(Proj[[#This Row],[Player]],Table2[Player],0),5),0)</f>
        <v>0</v>
      </c>
      <c r="G685" s="9">
        <f>_xlfn.IFNA(INDEX(Table3[],MATCH(Proj[[#This Row],[Player]],Table3[Player],0),5),0)</f>
        <v>0</v>
      </c>
      <c r="H685" s="10">
        <v>46</v>
      </c>
      <c r="I685">
        <v>46</v>
      </c>
      <c r="J685" s="9">
        <v>10.715304018142801</v>
      </c>
      <c r="K685" s="9">
        <v>0</v>
      </c>
      <c r="L685" s="9">
        <v>0</v>
      </c>
      <c r="M685" s="9">
        <f>Proj[[#This Row],[TOI ES]]+Proj[[#This Row],[TOI PP]]+Proj[[#This Row],[TOI PK]]</f>
        <v>10.715304018142801</v>
      </c>
      <c r="N68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8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85">
        <f>Proj[[#This Row],[Goals]]+Proj[[#This Row],[Assists]]</f>
        <v>11</v>
      </c>
      <c r="Q685" s="10">
        <f>ROUND(_xlfn.IFNA(INDEX(Table2[],MATCH(Proj[[#This Row],[Player]],Table2[Player],0),11)/60,IF(Proj[[#This Row],[Pos]] = "D", 'Per 60 PP'!$K$527,'Per 60 PP'!$K$526)/60)*Proj[[#This Row],[TOI PP]]*Proj[[#This Row],[GP]],0)</f>
        <v>0</v>
      </c>
      <c r="R685" s="10">
        <f>ROUND(_xlfn.IFNA(INDEX(Table2[],MATCH(Proj[[#This Row],[Player]],Table2[Player],0),7)/60,IF(Proj[[#This Row],[Pos]] = "D", 'Per 60 PP'!$G$527,'Per 60 PP'!$G$526)/60)*Proj[[#This Row],[TOI PP]]*Proj[[#This Row],[GP]],0)</f>
        <v>0</v>
      </c>
      <c r="S685" s="10">
        <f>Proj[[#This Row],[PPG]]+Proj[[#This Row],[PPA]]</f>
        <v>0</v>
      </c>
      <c r="T685">
        <f>ROUND((_xlfn.IFNA(INDEX(Table3[],MATCH(Proj[[#This Row],[Player]],Table3[Player],0),6)/60,IF(Proj[[#This Row],[Pos]] ="D", 'Per 60 PK'!$F$623, 'Per 60 PK'!$F$622)/60)+_xlfn.IFNA(INDEX(Table3[],MATCH(Proj[[#This Row],[Player]],Table3[Player],0),8)/60,IF(Proj[[#This Row],[Pos]] ="D", 'Per 60 PK'!$H$623, 'Per 60 PK'!$H$622)/60))*Proj[[#This Row],[TOI PK]]*Proj[[#This Row],[GP]],0)</f>
        <v>0</v>
      </c>
      <c r="U68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113</v>
      </c>
      <c r="V68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v>
      </c>
      <c r="W68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68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68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v>
      </c>
      <c r="Z68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68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-1139.3034021600097</v>
      </c>
      <c r="AB685" s="10">
        <f>_xlfn.RANK.EQ(Proj[[#This Row],[VOR]],Proj[VOR])</f>
        <v>688</v>
      </c>
      <c r="AC685" s="10">
        <f>INDEX(Std[],MATCH(Proj[[#This Row],[Player]],Std[Player],0),20)</f>
        <v>-667.75867776976088</v>
      </c>
      <c r="AD68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161.5</v>
      </c>
    </row>
    <row r="686" spans="1:30" x14ac:dyDescent="0.25">
      <c r="A686" t="s">
        <v>448</v>
      </c>
      <c r="B686">
        <v>26</v>
      </c>
      <c r="C686" t="s">
        <v>3</v>
      </c>
      <c r="D686" t="s">
        <v>12</v>
      </c>
      <c r="E686" s="9">
        <f>INDEX(Table1[],MATCH(Proj[[#This Row],[Player]],Table1[Player],0),5)</f>
        <v>15.231700879160901</v>
      </c>
      <c r="F686" s="9">
        <f>_xlfn.IFNA(INDEX(Table2[],MATCH(Proj[[#This Row],[Player]],Table2[Player],0),5),0)</f>
        <v>0</v>
      </c>
      <c r="G686" s="9">
        <f>_xlfn.IFNA(INDEX(Table3[],MATCH(Proj[[#This Row],[Player]],Table3[Player],0),5),0)</f>
        <v>1.98</v>
      </c>
      <c r="H686" s="10">
        <v>56</v>
      </c>
      <c r="I686">
        <v>56</v>
      </c>
      <c r="J686" s="9">
        <v>15.231700879160901</v>
      </c>
      <c r="K686" s="9">
        <v>0</v>
      </c>
      <c r="L686" s="9">
        <v>1.98</v>
      </c>
      <c r="M686" s="9">
        <f>Proj[[#This Row],[TOI ES]]+Proj[[#This Row],[TOI PP]]+Proj[[#This Row],[TOI PK]]</f>
        <v>17.211700879160901</v>
      </c>
      <c r="N68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8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86" s="10">
        <f>Proj[[#This Row],[Goals]]+Proj[[#This Row],[Assists]]</f>
        <v>11</v>
      </c>
      <c r="Q686" s="10">
        <f>ROUND(_xlfn.IFNA(INDEX(Table2[],MATCH(Proj[[#This Row],[Player]],Table2[Player],0),11)/60,IF(Proj[[#This Row],[Pos]] = "D", 'Per 60 PP'!$K$527,'Per 60 PP'!$K$526)/60)*Proj[[#This Row],[TOI PP]]*Proj[[#This Row],[GP]],0)</f>
        <v>0</v>
      </c>
      <c r="R686" s="10">
        <f>ROUND(_xlfn.IFNA(INDEX(Table2[],MATCH(Proj[[#This Row],[Player]],Table2[Player],0),7)/60,IF(Proj[[#This Row],[Pos]] = "D", 'Per 60 PP'!$G$527,'Per 60 PP'!$G$526)/60)*Proj[[#This Row],[TOI PP]]*Proj[[#This Row],[GP]],0)</f>
        <v>0</v>
      </c>
      <c r="S686" s="10">
        <f>Proj[[#This Row],[PPG]]+Proj[[#This Row],[PPA]]</f>
        <v>0</v>
      </c>
      <c r="T686">
        <f>ROUND((_xlfn.IFNA(INDEX(Table3[],MATCH(Proj[[#This Row],[Player]],Table3[Player],0),6)/60,IF(Proj[[#This Row],[Pos]] ="D", 'Per 60 PK'!$F$623, 'Per 60 PK'!$F$622)/60)+_xlfn.IFNA(INDEX(Table3[],MATCH(Proj[[#This Row],[Player]],Table3[Player],0),8)/60,IF(Proj[[#This Row],[Pos]] ="D", 'Per 60 PK'!$H$623, 'Per 60 PK'!$H$622)/60))*Proj[[#This Row],[TOI PK]]*Proj[[#This Row],[GP]],0)</f>
        <v>1</v>
      </c>
      <c r="U68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117</v>
      </c>
      <c r="V68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114</v>
      </c>
      <c r="W68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68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8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8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52</v>
      </c>
      <c r="AA68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-541.97495853033024</v>
      </c>
      <c r="AB686" s="10">
        <f>_xlfn.RANK.EQ(Proj[[#This Row],[VOR]],Proj[VOR])</f>
        <v>447</v>
      </c>
      <c r="AC686" s="10">
        <f>INDEX(Std[],MATCH(Proj[[#This Row],[Player]],Std[Player],0),20)</f>
        <v>-434.61019081086579</v>
      </c>
      <c r="AD68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223.04999999999995</v>
      </c>
    </row>
    <row r="687" spans="1:30" x14ac:dyDescent="0.25">
      <c r="A687" t="s">
        <v>667</v>
      </c>
      <c r="B687">
        <v>35</v>
      </c>
      <c r="C687" t="s">
        <v>74</v>
      </c>
      <c r="D687" t="s">
        <v>153</v>
      </c>
      <c r="E687" s="9">
        <f>INDEX(Table1[],MATCH(Proj[[#This Row],[Player]],Table1[Player],0),5)</f>
        <v>9.5793732280819306</v>
      </c>
      <c r="F687" s="9">
        <f>_xlfn.IFNA(INDEX(Table2[],MATCH(Proj[[#This Row],[Player]],Table2[Player],0),5),0)</f>
        <v>0</v>
      </c>
      <c r="G687" s="9">
        <f>_xlfn.IFNA(INDEX(Table3[],MATCH(Proj[[#This Row],[Player]],Table3[Player],0),5),0)</f>
        <v>2.27</v>
      </c>
      <c r="H687" s="10">
        <v>81</v>
      </c>
      <c r="I687">
        <v>81</v>
      </c>
      <c r="J687" s="9">
        <v>9.5793732280819306</v>
      </c>
      <c r="K687" s="9">
        <v>0</v>
      </c>
      <c r="L687" s="9">
        <v>2.27</v>
      </c>
      <c r="M687" s="9">
        <f>Proj[[#This Row],[TOI ES]]+Proj[[#This Row],[TOI PP]]+Proj[[#This Row],[TOI PK]]</f>
        <v>11.84937322808193</v>
      </c>
      <c r="N68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7</v>
      </c>
      <c r="O68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687">
        <f>Proj[[#This Row],[Goals]]+Proj[[#This Row],[Assists]]</f>
        <v>11</v>
      </c>
      <c r="Q687" s="10">
        <f>ROUND(_xlfn.IFNA(INDEX(Table2[],MATCH(Proj[[#This Row],[Player]],Table2[Player],0),11)/60,IF(Proj[[#This Row],[Pos]] = "D", 'Per 60 PP'!$K$527,'Per 60 PP'!$K$526)/60)*Proj[[#This Row],[TOI PP]]*Proj[[#This Row],[GP]],0)</f>
        <v>0</v>
      </c>
      <c r="R687" s="10">
        <f>ROUND(_xlfn.IFNA(INDEX(Table2[],MATCH(Proj[[#This Row],[Player]],Table2[Player],0),7)/60,IF(Proj[[#This Row],[Pos]] = "D", 'Per 60 PP'!$G$527,'Per 60 PP'!$G$526)/60)*Proj[[#This Row],[TOI PP]]*Proj[[#This Row],[GP]],0)</f>
        <v>0</v>
      </c>
      <c r="S687" s="10">
        <f>Proj[[#This Row],[PPG]]+Proj[[#This Row],[PPA]]</f>
        <v>0</v>
      </c>
      <c r="T687">
        <f>ROUND((_xlfn.IFNA(INDEX(Table3[],MATCH(Proj[[#This Row],[Player]],Table3[Player],0),6)/60,IF(Proj[[#This Row],[Pos]] ="D", 'Per 60 PK'!$F$623, 'Per 60 PK'!$F$622)/60)+_xlfn.IFNA(INDEX(Table3[],MATCH(Proj[[#This Row],[Player]],Table3[Player],0),8)/60,IF(Proj[[#This Row],[Pos]] ="D", 'Per 60 PK'!$H$623, 'Per 60 PK'!$H$622)/60))*Proj[[#This Row],[TOI PK]]*Proj[[#This Row],[GP]],0)</f>
        <v>1</v>
      </c>
      <c r="U68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119</v>
      </c>
      <c r="V68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60</v>
      </c>
      <c r="W68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40</v>
      </c>
      <c r="X68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484</v>
      </c>
      <c r="Y68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375</v>
      </c>
      <c r="Z68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67</v>
      </c>
      <c r="AA68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-913.74419896072754</v>
      </c>
      <c r="AB687" s="10">
        <f>_xlfn.RANK.EQ(Proj[[#This Row],[VOR]],Proj[VOR])</f>
        <v>633</v>
      </c>
      <c r="AC687" s="10">
        <f>INDEX(Std[],MATCH(Proj[[#This Row],[Player]],Std[Player],0),20)</f>
        <v>-179.110344650429</v>
      </c>
      <c r="AD68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260.79999999999995</v>
      </c>
    </row>
    <row r="688" spans="1:30" x14ac:dyDescent="0.25">
      <c r="A688" t="s">
        <v>1196</v>
      </c>
      <c r="B688">
        <v>24</v>
      </c>
      <c r="C688" t="s">
        <v>3</v>
      </c>
      <c r="D688" t="s">
        <v>22</v>
      </c>
      <c r="E688" s="9">
        <f>INDEX(Table1[],MATCH(Proj[[#This Row],[Player]],Table1[Player],0),5)</f>
        <v>15.199264096534501</v>
      </c>
      <c r="F688" s="9">
        <f>_xlfn.IFNA(INDEX(Table2[],MATCH(Proj[[#This Row],[Player]],Table2[Player],0),5),0)</f>
        <v>0</v>
      </c>
      <c r="G688" s="9">
        <f>_xlfn.IFNA(INDEX(Table3[],MATCH(Proj[[#This Row],[Player]],Table3[Player],0),5),0)</f>
        <v>0.9</v>
      </c>
      <c r="H688" s="10">
        <v>60</v>
      </c>
      <c r="I688">
        <v>60</v>
      </c>
      <c r="J688" s="9">
        <v>15.199264096534501</v>
      </c>
      <c r="K688" s="9">
        <v>0</v>
      </c>
      <c r="L688" s="9">
        <v>0.9</v>
      </c>
      <c r="M688" s="9">
        <f>Proj[[#This Row],[TOI ES]]+Proj[[#This Row],[TOI PP]]+Proj[[#This Row],[TOI PK]]</f>
        <v>16.099264096534501</v>
      </c>
      <c r="N68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8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88">
        <f>Proj[[#This Row],[Goals]]+Proj[[#This Row],[Assists]]</f>
        <v>11</v>
      </c>
      <c r="Q688" s="10">
        <f>ROUND(_xlfn.IFNA(INDEX(Table2[],MATCH(Proj[[#This Row],[Player]],Table2[Player],0),11)/60,IF(Proj[[#This Row],[Pos]] = "D", 'Per 60 PP'!$K$527,'Per 60 PP'!$K$526)/60)*Proj[[#This Row],[TOI PP]]*Proj[[#This Row],[GP]],0)</f>
        <v>0</v>
      </c>
      <c r="R688" s="10">
        <f>ROUND(_xlfn.IFNA(INDEX(Table2[],MATCH(Proj[[#This Row],[Player]],Table2[Player],0),7)/60,IF(Proj[[#This Row],[Pos]] = "D", 'Per 60 PP'!$G$527,'Per 60 PP'!$G$526)/60)*Proj[[#This Row],[TOI PP]]*Proj[[#This Row],[GP]],0)</f>
        <v>0</v>
      </c>
      <c r="S688" s="10">
        <f>Proj[[#This Row],[PPG]]+Proj[[#This Row],[PPA]]</f>
        <v>0</v>
      </c>
      <c r="T688">
        <f>ROUND((_xlfn.IFNA(INDEX(Table3[],MATCH(Proj[[#This Row],[Player]],Table3[Player],0),6)/60,IF(Proj[[#This Row],[Pos]] ="D", 'Per 60 PK'!$F$623, 'Per 60 PK'!$F$622)/60)+_xlfn.IFNA(INDEX(Table3[],MATCH(Proj[[#This Row],[Player]],Table3[Player],0),8)/60,IF(Proj[[#This Row],[Pos]] ="D", 'Per 60 PK'!$H$623, 'Per 60 PK'!$H$622)/60))*Proj[[#This Row],[TOI PK]]*Proj[[#This Row],[GP]],0)</f>
        <v>0</v>
      </c>
      <c r="U68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133</v>
      </c>
      <c r="V68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90</v>
      </c>
      <c r="W68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48</v>
      </c>
      <c r="X68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8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8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62</v>
      </c>
      <c r="AA68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-434.11766343175418</v>
      </c>
      <c r="AB688" s="10">
        <f>_xlfn.RANK.EQ(Proj[[#This Row],[VOR]],Proj[VOR])</f>
        <v>388</v>
      </c>
      <c r="AC688" s="10">
        <f>INDEX(Std[],MATCH(Proj[[#This Row],[Player]],Std[Player],0),20)</f>
        <v>-326.75289571228967</v>
      </c>
      <c r="AD68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233.25</v>
      </c>
    </row>
    <row r="689" spans="1:30" x14ac:dyDescent="0.25">
      <c r="A689" t="s">
        <v>471</v>
      </c>
      <c r="B689">
        <v>36</v>
      </c>
      <c r="C689" t="s">
        <v>3</v>
      </c>
      <c r="D689" t="s">
        <v>32</v>
      </c>
      <c r="E689" s="9">
        <f>INDEX(Table1[],MATCH(Proj[[#This Row],[Player]],Table1[Player],0),5)</f>
        <v>12.5352501636493</v>
      </c>
      <c r="F689" s="9">
        <f>_xlfn.IFNA(INDEX(Table2[],MATCH(Proj[[#This Row],[Player]],Table2[Player],0),5),0)</f>
        <v>0</v>
      </c>
      <c r="G689" s="9">
        <f>_xlfn.IFNA(INDEX(Table3[],MATCH(Proj[[#This Row],[Player]],Table3[Player],0),5),0)</f>
        <v>2.3199999999999998</v>
      </c>
      <c r="H689" s="10">
        <v>73</v>
      </c>
      <c r="I689">
        <v>73</v>
      </c>
      <c r="J689" s="9">
        <v>12.5352501636493</v>
      </c>
      <c r="K689" s="9">
        <v>0</v>
      </c>
      <c r="L689" s="9">
        <v>2.3199999999999998</v>
      </c>
      <c r="M689" s="9">
        <f>Proj[[#This Row],[TOI ES]]+Proj[[#This Row],[TOI PP]]+Proj[[#This Row],[TOI PK]]</f>
        <v>14.8552501636493</v>
      </c>
      <c r="N68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8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689" s="10">
        <f>Proj[[#This Row],[Goals]]+Proj[[#This Row],[Assists]]</f>
        <v>11</v>
      </c>
      <c r="Q689" s="10">
        <f>ROUND(_xlfn.IFNA(INDEX(Table2[],MATCH(Proj[[#This Row],[Player]],Table2[Player],0),11)/60,IF(Proj[[#This Row],[Pos]] = "D", 'Per 60 PP'!$K$527,'Per 60 PP'!$K$526)/60)*Proj[[#This Row],[TOI PP]]*Proj[[#This Row],[GP]],0)</f>
        <v>0</v>
      </c>
      <c r="R689" s="10">
        <f>ROUND(_xlfn.IFNA(INDEX(Table2[],MATCH(Proj[[#This Row],[Player]],Table2[Player],0),7)/60,IF(Proj[[#This Row],[Pos]] = "D", 'Per 60 PP'!$G$527,'Per 60 PP'!$G$526)/60)*Proj[[#This Row],[TOI PP]]*Proj[[#This Row],[GP]],0)</f>
        <v>0</v>
      </c>
      <c r="S689" s="10">
        <f>Proj[[#This Row],[PPG]]+Proj[[#This Row],[PPA]]</f>
        <v>0</v>
      </c>
      <c r="T689">
        <f>ROUND((_xlfn.IFNA(INDEX(Table3[],MATCH(Proj[[#This Row],[Player]],Table3[Player],0),6)/60,IF(Proj[[#This Row],[Pos]] ="D", 'Per 60 PK'!$F$623, 'Per 60 PK'!$F$622)/60)+_xlfn.IFNA(INDEX(Table3[],MATCH(Proj[[#This Row],[Player]],Table3[Player],0),8)/60,IF(Proj[[#This Row],[Pos]] ="D", 'Per 60 PK'!$H$623, 'Per 60 PK'!$H$622)/60))*Proj[[#This Row],[TOI PK]]*Proj[[#This Row],[GP]],0)</f>
        <v>1</v>
      </c>
      <c r="U68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135</v>
      </c>
      <c r="V68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113</v>
      </c>
      <c r="W68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68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8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8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77</v>
      </c>
      <c r="AA68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-453.3374286002296</v>
      </c>
      <c r="AB689" s="10">
        <f>_xlfn.RANK.EQ(Proj[[#This Row],[VOR]],Proj[VOR])</f>
        <v>395</v>
      </c>
      <c r="AC689" s="10">
        <f>INDEX(Std[],MATCH(Proj[[#This Row],[Player]],Std[Player],0),20)</f>
        <v>-345.97266088076515</v>
      </c>
      <c r="AD68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249.05</v>
      </c>
    </row>
    <row r="690" spans="1:30" x14ac:dyDescent="0.25">
      <c r="A690" t="s">
        <v>742</v>
      </c>
      <c r="B690">
        <v>26</v>
      </c>
      <c r="C690" t="s">
        <v>74</v>
      </c>
      <c r="D690" t="s">
        <v>18</v>
      </c>
      <c r="E690" s="9">
        <f>INDEX(Table1[],MATCH(Proj[[#This Row],[Player]],Table1[Player],0),5)</f>
        <v>9.7115676082497107</v>
      </c>
      <c r="F690" s="9">
        <f>_xlfn.IFNA(INDEX(Table2[],MATCH(Proj[[#This Row],[Player]],Table2[Player],0),5),0)</f>
        <v>0</v>
      </c>
      <c r="G690" s="9">
        <f>_xlfn.IFNA(INDEX(Table3[],MATCH(Proj[[#This Row],[Player]],Table3[Player],0),5),0)</f>
        <v>1.26</v>
      </c>
      <c r="H690" s="10">
        <v>66</v>
      </c>
      <c r="I690">
        <v>66</v>
      </c>
      <c r="J690" s="9">
        <v>9.7115676082497107</v>
      </c>
      <c r="K690" s="9">
        <v>0</v>
      </c>
      <c r="L690" s="9">
        <v>1.26</v>
      </c>
      <c r="M690" s="9">
        <f>Proj[[#This Row],[TOI ES]]+Proj[[#This Row],[TOI PP]]+Proj[[#This Row],[TOI PK]]</f>
        <v>10.97156760824971</v>
      </c>
      <c r="N69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9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90">
        <f>Proj[[#This Row],[Goals]]+Proj[[#This Row],[Assists]]</f>
        <v>11</v>
      </c>
      <c r="Q690" s="10">
        <f>ROUND(_xlfn.IFNA(INDEX(Table2[],MATCH(Proj[[#This Row],[Player]],Table2[Player],0),11)/60,IF(Proj[[#This Row],[Pos]] = "D", 'Per 60 PP'!$K$527,'Per 60 PP'!$K$526)/60)*Proj[[#This Row],[TOI PP]]*Proj[[#This Row],[GP]],0)</f>
        <v>0</v>
      </c>
      <c r="R690" s="10">
        <f>ROUND(_xlfn.IFNA(INDEX(Table2[],MATCH(Proj[[#This Row],[Player]],Table2[Player],0),7)/60,IF(Proj[[#This Row],[Pos]] = "D", 'Per 60 PP'!$G$527,'Per 60 PP'!$G$526)/60)*Proj[[#This Row],[TOI PP]]*Proj[[#This Row],[GP]],0)</f>
        <v>0</v>
      </c>
      <c r="S690" s="10">
        <f>Proj[[#This Row],[PPG]]+Proj[[#This Row],[PPA]]</f>
        <v>0</v>
      </c>
      <c r="T690">
        <f>ROUND((_xlfn.IFNA(INDEX(Table3[],MATCH(Proj[[#This Row],[Player]],Table3[Player],0),6)/60,IF(Proj[[#This Row],[Pos]] ="D", 'Per 60 PK'!$F$623, 'Per 60 PK'!$F$622)/60)+_xlfn.IFNA(INDEX(Table3[],MATCH(Proj[[#This Row],[Player]],Table3[Player],0),8)/60,IF(Proj[[#This Row],[Pos]] ="D", 'Per 60 PK'!$H$623, 'Per 60 PK'!$H$622)/60))*Proj[[#This Row],[TOI PK]]*Proj[[#This Row],[GP]],0)</f>
        <v>1</v>
      </c>
      <c r="U69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164</v>
      </c>
      <c r="V69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28</v>
      </c>
      <c r="W69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69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88</v>
      </c>
      <c r="Y69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86</v>
      </c>
      <c r="Z69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66</v>
      </c>
      <c r="AA69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-1091.8301923768502</v>
      </c>
      <c r="AB690" s="10">
        <f>_xlfn.RANK.EQ(Proj[[#This Row],[VOR]],Proj[VOR])</f>
        <v>678</v>
      </c>
      <c r="AC690" s="10">
        <f>INDEX(Std[],MATCH(Proj[[#This Row],[Player]],Std[Player],0),20)</f>
        <v>-357.19633806655156</v>
      </c>
      <c r="AD69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228.4</v>
      </c>
    </row>
    <row r="691" spans="1:30" x14ac:dyDescent="0.25">
      <c r="A691" t="s">
        <v>924</v>
      </c>
      <c r="B691">
        <v>29</v>
      </c>
      <c r="C691" t="s">
        <v>3</v>
      </c>
      <c r="D691" t="s">
        <v>155</v>
      </c>
      <c r="E691" s="9">
        <f>INDEX(Table1[],MATCH(Proj[[#This Row],[Player]],Table1[Player],0),5)</f>
        <v>12.4893080018724</v>
      </c>
      <c r="F691" s="9">
        <f>_xlfn.IFNA(INDEX(Table2[],MATCH(Proj[[#This Row],[Player]],Table2[Player],0),5),0)</f>
        <v>0</v>
      </c>
      <c r="G691" s="9">
        <f>_xlfn.IFNA(INDEX(Table3[],MATCH(Proj[[#This Row],[Player]],Table3[Player],0),5),0)</f>
        <v>0.9</v>
      </c>
      <c r="H691" s="10">
        <v>80</v>
      </c>
      <c r="I691">
        <v>80</v>
      </c>
      <c r="J691" s="9">
        <v>12.4893080018724</v>
      </c>
      <c r="K691" s="9">
        <v>0</v>
      </c>
      <c r="L691" s="9">
        <v>0.9</v>
      </c>
      <c r="M691" s="9">
        <f>Proj[[#This Row],[TOI ES]]+Proj[[#This Row],[TOI PP]]+Proj[[#This Row],[TOI PK]]</f>
        <v>13.389308001872401</v>
      </c>
      <c r="N69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69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10</v>
      </c>
      <c r="P691" s="10">
        <f>Proj[[#This Row],[Goals]]+Proj[[#This Row],[Assists]]</f>
        <v>11</v>
      </c>
      <c r="Q691" s="10">
        <f>ROUND(_xlfn.IFNA(INDEX(Table2[],MATCH(Proj[[#This Row],[Player]],Table2[Player],0),11)/60,IF(Proj[[#This Row],[Pos]] = "D", 'Per 60 PP'!$K$527,'Per 60 PP'!$K$526)/60)*Proj[[#This Row],[TOI PP]]*Proj[[#This Row],[GP]],0)</f>
        <v>0</v>
      </c>
      <c r="R691" s="10">
        <f>ROUND(_xlfn.IFNA(INDEX(Table2[],MATCH(Proj[[#This Row],[Player]],Table2[Player],0),7)/60,IF(Proj[[#This Row],[Pos]] = "D", 'Per 60 PP'!$G$527,'Per 60 PP'!$G$526)/60)*Proj[[#This Row],[TOI PP]]*Proj[[#This Row],[GP]],0)</f>
        <v>0</v>
      </c>
      <c r="S691" s="10">
        <f>Proj[[#This Row],[PPG]]+Proj[[#This Row],[PPA]]</f>
        <v>0</v>
      </c>
      <c r="T691">
        <f>ROUND((_xlfn.IFNA(INDEX(Table3[],MATCH(Proj[[#This Row],[Player]],Table3[Player],0),6)/60,IF(Proj[[#This Row],[Pos]] ="D", 'Per 60 PK'!$F$623, 'Per 60 PK'!$F$622)/60)+_xlfn.IFNA(INDEX(Table3[],MATCH(Proj[[#This Row],[Player]],Table3[Player],0),8)/60,IF(Proj[[#This Row],[Pos]] ="D", 'Per 60 PK'!$H$623, 'Per 60 PK'!$H$622)/60))*Proj[[#This Row],[TOI PK]]*Proj[[#This Row],[GP]],0)</f>
        <v>0</v>
      </c>
      <c r="U69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178</v>
      </c>
      <c r="V69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82</v>
      </c>
      <c r="W69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69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9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9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50</v>
      </c>
      <c r="AA69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-346.16876215520301</v>
      </c>
      <c r="AB691" s="10">
        <f>_xlfn.RANK.EQ(Proj[[#This Row],[VOR]],Proj[VOR])</f>
        <v>344</v>
      </c>
      <c r="AC691" s="10">
        <f>INDEX(Std[],MATCH(Proj[[#This Row],[Player]],Std[Player],0),20)</f>
        <v>-238.80399443573853</v>
      </c>
      <c r="AD69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251.8</v>
      </c>
    </row>
    <row r="692" spans="1:30" x14ac:dyDescent="0.25">
      <c r="A692" t="s">
        <v>768</v>
      </c>
      <c r="B692">
        <v>35</v>
      </c>
      <c r="C692" t="s">
        <v>102</v>
      </c>
      <c r="D692" t="s">
        <v>1101</v>
      </c>
      <c r="E692" s="9">
        <f>INDEX(Table1[],MATCH(Proj[[#This Row],[Player]],Table1[Player],0),5)</f>
        <v>9.6531018642157296</v>
      </c>
      <c r="F692" s="9">
        <f>_xlfn.IFNA(INDEX(Table2[],MATCH(Proj[[#This Row],[Player]],Table2[Player],0),5),0)</f>
        <v>0</v>
      </c>
      <c r="G692" s="9">
        <f>_xlfn.IFNA(INDEX(Table3[],MATCH(Proj[[#This Row],[Player]],Table3[Player],0),5),0)</f>
        <v>0</v>
      </c>
      <c r="H692" s="10">
        <v>72</v>
      </c>
      <c r="I692">
        <v>72</v>
      </c>
      <c r="J692" s="9">
        <v>9.6531018642157296</v>
      </c>
      <c r="K692" s="9">
        <v>0</v>
      </c>
      <c r="L692" s="9">
        <v>0</v>
      </c>
      <c r="M692" s="9">
        <f>Proj[[#This Row],[TOI ES]]+Proj[[#This Row],[TOI PP]]+Proj[[#This Row],[TOI PK]]</f>
        <v>9.6531018642157296</v>
      </c>
      <c r="N69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9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92" s="10">
        <f>Proj[[#This Row],[Goals]]+Proj[[#This Row],[Assists]]</f>
        <v>11</v>
      </c>
      <c r="Q692" s="10">
        <f>ROUND(_xlfn.IFNA(INDEX(Table2[],MATCH(Proj[[#This Row],[Player]],Table2[Player],0),11)/60,IF(Proj[[#This Row],[Pos]] = "D", 'Per 60 PP'!$K$527,'Per 60 PP'!$K$526)/60)*Proj[[#This Row],[TOI PP]]*Proj[[#This Row],[GP]],0)</f>
        <v>0</v>
      </c>
      <c r="R692" s="10">
        <f>ROUND(_xlfn.IFNA(INDEX(Table2[],MATCH(Proj[[#This Row],[Player]],Table2[Player],0),7)/60,IF(Proj[[#This Row],[Pos]] = "D", 'Per 60 PP'!$G$527,'Per 60 PP'!$G$526)/60)*Proj[[#This Row],[TOI PP]]*Proj[[#This Row],[GP]],0)</f>
        <v>0</v>
      </c>
      <c r="S692" s="10">
        <f>Proj[[#This Row],[PPG]]+Proj[[#This Row],[PPA]]</f>
        <v>0</v>
      </c>
      <c r="T692">
        <f>ROUND((_xlfn.IFNA(INDEX(Table3[],MATCH(Proj[[#This Row],[Player]],Table3[Player],0),6)/60,IF(Proj[[#This Row],[Pos]] ="D", 'Per 60 PK'!$F$623, 'Per 60 PK'!$F$622)/60)+_xlfn.IFNA(INDEX(Table3[],MATCH(Proj[[#This Row],[Player]],Table3[Player],0),8)/60,IF(Proj[[#This Row],[Pos]] ="D", 'Per 60 PK'!$H$623, 'Per 60 PK'!$H$622)/60))*Proj[[#This Row],[TOI PK]]*Proj[[#This Row],[GP]],0)</f>
        <v>0</v>
      </c>
      <c r="U69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184</v>
      </c>
      <c r="V69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69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57</v>
      </c>
      <c r="X69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69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16</v>
      </c>
      <c r="Z69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59</v>
      </c>
      <c r="AA69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-776.72252475239975</v>
      </c>
      <c r="AB692" s="10">
        <f>_xlfn.RANK.EQ(Proj[[#This Row],[VOR]],Proj[VOR])</f>
        <v>572</v>
      </c>
      <c r="AC692" s="10">
        <f>INDEX(Std[],MATCH(Proj[[#This Row],[Player]],Std[Player],0),20)</f>
        <v>-305.17780036215089</v>
      </c>
      <c r="AD69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237.29999999999998</v>
      </c>
    </row>
    <row r="693" spans="1:30" x14ac:dyDescent="0.25">
      <c r="A693" t="s">
        <v>971</v>
      </c>
      <c r="B693">
        <v>32</v>
      </c>
      <c r="C693" t="s">
        <v>3</v>
      </c>
      <c r="D693" t="s">
        <v>1101</v>
      </c>
      <c r="E693" s="9">
        <f>INDEX(Table1[],MATCH(Proj[[#This Row],[Player]],Table1[Player],0),5)</f>
        <v>14.185874935840801</v>
      </c>
      <c r="F693" s="9">
        <f>_xlfn.IFNA(INDEX(Table2[],MATCH(Proj[[#This Row],[Player]],Table2[Player],0),5),0)</f>
        <v>0</v>
      </c>
      <c r="G693" s="9">
        <f>_xlfn.IFNA(INDEX(Table3[],MATCH(Proj[[#This Row],[Player]],Table3[Player],0),5),0)</f>
        <v>1.72</v>
      </c>
      <c r="H693" s="10">
        <v>66</v>
      </c>
      <c r="I693">
        <v>66</v>
      </c>
      <c r="J693" s="9">
        <v>14.185874935840801</v>
      </c>
      <c r="K693" s="9">
        <v>0</v>
      </c>
      <c r="L693" s="9">
        <v>1.72</v>
      </c>
      <c r="M693" s="9">
        <f>Proj[[#This Row],[TOI ES]]+Proj[[#This Row],[TOI PP]]+Proj[[#This Row],[TOI PK]]</f>
        <v>15.905874935840801</v>
      </c>
      <c r="N69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69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93">
        <f>Proj[[#This Row],[Goals]]+Proj[[#This Row],[Assists]]</f>
        <v>11</v>
      </c>
      <c r="Q693" s="10">
        <f>ROUND(_xlfn.IFNA(INDEX(Table2[],MATCH(Proj[[#This Row],[Player]],Table2[Player],0),11)/60,IF(Proj[[#This Row],[Pos]] = "D", 'Per 60 PP'!$K$527,'Per 60 PP'!$K$526)/60)*Proj[[#This Row],[TOI PP]]*Proj[[#This Row],[GP]],0)</f>
        <v>0</v>
      </c>
      <c r="R693" s="10">
        <f>ROUND(_xlfn.IFNA(INDEX(Table2[],MATCH(Proj[[#This Row],[Player]],Table2[Player],0),7)/60,IF(Proj[[#This Row],[Pos]] = "D", 'Per 60 PP'!$G$527,'Per 60 PP'!$G$526)/60)*Proj[[#This Row],[TOI PP]]*Proj[[#This Row],[GP]],0)</f>
        <v>0</v>
      </c>
      <c r="S693" s="10">
        <f>Proj[[#This Row],[PPG]]+Proj[[#This Row],[PPA]]</f>
        <v>0</v>
      </c>
      <c r="T693">
        <f>ROUND((_xlfn.IFNA(INDEX(Table3[],MATCH(Proj[[#This Row],[Player]],Table3[Player],0),6)/60,IF(Proj[[#This Row],[Pos]] ="D", 'Per 60 PK'!$F$623, 'Per 60 PK'!$F$622)/60)+_xlfn.IFNA(INDEX(Table3[],MATCH(Proj[[#This Row],[Player]],Table3[Player],0),8)/60,IF(Proj[[#This Row],[Pos]] ="D", 'Per 60 PK'!$H$623, 'Per 60 PK'!$H$622)/60))*Proj[[#This Row],[TOI PK]]*Proj[[#This Row],[GP]],0)</f>
        <v>0</v>
      </c>
      <c r="U69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188</v>
      </c>
      <c r="V69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112</v>
      </c>
      <c r="W69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56</v>
      </c>
      <c r="X69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9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9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46</v>
      </c>
      <c r="AA69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-265.17201364593041</v>
      </c>
      <c r="AB693" s="10">
        <f>_xlfn.RANK.EQ(Proj[[#This Row],[VOR]],Proj[VOR])</f>
        <v>288</v>
      </c>
      <c r="AC693" s="10">
        <f>INDEX(Std[],MATCH(Proj[[#This Row],[Player]],Std[Player],0),20)</f>
        <v>-157.80724592646592</v>
      </c>
      <c r="AD69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274.64999999999998</v>
      </c>
    </row>
    <row r="694" spans="1:30" x14ac:dyDescent="0.25">
      <c r="A694" t="s">
        <v>653</v>
      </c>
      <c r="B694">
        <v>38</v>
      </c>
      <c r="C694" t="s">
        <v>103</v>
      </c>
      <c r="D694" t="s">
        <v>30</v>
      </c>
      <c r="E694" s="9">
        <f>INDEX(Table1[],MATCH(Proj[[#This Row],[Player]],Table1[Player],0),5)</f>
        <v>8.4846545253695105</v>
      </c>
      <c r="F694" s="9">
        <f>_xlfn.IFNA(INDEX(Table2[],MATCH(Proj[[#This Row],[Player]],Table2[Player],0),5),0)</f>
        <v>0</v>
      </c>
      <c r="G694" s="9">
        <f>_xlfn.IFNA(INDEX(Table3[],MATCH(Proj[[#This Row],[Player]],Table3[Player],0),5),0)</f>
        <v>0</v>
      </c>
      <c r="H694" s="10">
        <v>70</v>
      </c>
      <c r="I694">
        <v>70</v>
      </c>
      <c r="J694" s="9">
        <v>8.4846545253695105</v>
      </c>
      <c r="K694" s="9">
        <v>0</v>
      </c>
      <c r="L694" s="9">
        <v>0</v>
      </c>
      <c r="M694" s="9">
        <f>Proj[[#This Row],[TOI ES]]+Proj[[#This Row],[TOI PP]]+Proj[[#This Row],[TOI PK]]</f>
        <v>8.4846545253695105</v>
      </c>
      <c r="N69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9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94" s="10">
        <f>Proj[[#This Row],[Goals]]+Proj[[#This Row],[Assists]]</f>
        <v>11</v>
      </c>
      <c r="Q694" s="10">
        <f>ROUND(_xlfn.IFNA(INDEX(Table2[],MATCH(Proj[[#This Row],[Player]],Table2[Player],0),11)/60,IF(Proj[[#This Row],[Pos]] = "D", 'Per 60 PP'!$K$527,'Per 60 PP'!$K$526)/60)*Proj[[#This Row],[TOI PP]]*Proj[[#This Row],[GP]],0)</f>
        <v>0</v>
      </c>
      <c r="R694" s="10">
        <f>ROUND(_xlfn.IFNA(INDEX(Table2[],MATCH(Proj[[#This Row],[Player]],Table2[Player],0),7)/60,IF(Proj[[#This Row],[Pos]] = "D", 'Per 60 PP'!$G$527,'Per 60 PP'!$G$526)/60)*Proj[[#This Row],[TOI PP]]*Proj[[#This Row],[GP]],0)</f>
        <v>0</v>
      </c>
      <c r="S694" s="10">
        <f>Proj[[#This Row],[PPG]]+Proj[[#This Row],[PPA]]</f>
        <v>0</v>
      </c>
      <c r="T694">
        <f>ROUND((_xlfn.IFNA(INDEX(Table3[],MATCH(Proj[[#This Row],[Player]],Table3[Player],0),6)/60,IF(Proj[[#This Row],[Pos]] ="D", 'Per 60 PK'!$F$623, 'Per 60 PK'!$F$622)/60)+_xlfn.IFNA(INDEX(Table3[],MATCH(Proj[[#This Row],[Player]],Table3[Player],0),8)/60,IF(Proj[[#This Row],[Pos]] ="D", 'Per 60 PK'!$H$623, 'Per 60 PK'!$H$622)/60))*Proj[[#This Row],[TOI PK]]*Proj[[#This Row],[GP]],0)</f>
        <v>0</v>
      </c>
      <c r="U69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207</v>
      </c>
      <c r="V69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23</v>
      </c>
      <c r="W69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50</v>
      </c>
      <c r="X69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v>
      </c>
      <c r="Y69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v>
      </c>
      <c r="Z69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69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-804.67700500668525</v>
      </c>
      <c r="AB694" s="10">
        <f>_xlfn.RANK.EQ(Proj[[#This Row],[VOR]],Proj[VOR])</f>
        <v>592</v>
      </c>
      <c r="AC694" s="10">
        <f>INDEX(Std[],MATCH(Proj[[#This Row],[Player]],Std[Player],0),20)</f>
        <v>-358.13228061643645</v>
      </c>
      <c r="AD69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230</v>
      </c>
    </row>
    <row r="695" spans="1:30" x14ac:dyDescent="0.25">
      <c r="A695" t="s">
        <v>1201</v>
      </c>
      <c r="B695">
        <v>23</v>
      </c>
      <c r="C695" t="s">
        <v>3</v>
      </c>
      <c r="D695" t="s">
        <v>4</v>
      </c>
      <c r="E695" s="9">
        <f>INDEX(Table1[],MATCH(Proj[[#This Row],[Player]],Table1[Player],0),5)</f>
        <v>14.2939030862923</v>
      </c>
      <c r="F695" s="9">
        <f>_xlfn.IFNA(INDEX(Table2[],MATCH(Proj[[#This Row],[Player]],Table2[Player],0),5),0)</f>
        <v>0</v>
      </c>
      <c r="G695" s="9">
        <f>_xlfn.IFNA(INDEX(Table3[],MATCH(Proj[[#This Row],[Player]],Table3[Player],0),5),0)</f>
        <v>0</v>
      </c>
      <c r="H695" s="10">
        <v>56</v>
      </c>
      <c r="I695">
        <v>56</v>
      </c>
      <c r="J695" s="9">
        <v>14.2939030862923</v>
      </c>
      <c r="K695" s="9">
        <v>0</v>
      </c>
      <c r="L695" s="9">
        <v>0</v>
      </c>
      <c r="M695" s="9">
        <f>Proj[[#This Row],[TOI ES]]+Proj[[#This Row],[TOI PP]]+Proj[[#This Row],[TOI PK]]</f>
        <v>14.2939030862923</v>
      </c>
      <c r="N69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69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695">
        <f>Proj[[#This Row],[Goals]]+Proj[[#This Row],[Assists]]</f>
        <v>10</v>
      </c>
      <c r="Q695" s="10">
        <f>ROUND(_xlfn.IFNA(INDEX(Table2[],MATCH(Proj[[#This Row],[Player]],Table2[Player],0),11)/60,IF(Proj[[#This Row],[Pos]] = "D", 'Per 60 PP'!$K$527,'Per 60 PP'!$K$526)/60)*Proj[[#This Row],[TOI PP]]*Proj[[#This Row],[GP]],0)</f>
        <v>0</v>
      </c>
      <c r="R695" s="10">
        <f>ROUND(_xlfn.IFNA(INDEX(Table2[],MATCH(Proj[[#This Row],[Player]],Table2[Player],0),7)/60,IF(Proj[[#This Row],[Pos]] = "D", 'Per 60 PP'!$G$527,'Per 60 PP'!$G$526)/60)*Proj[[#This Row],[TOI PP]]*Proj[[#This Row],[GP]],0)</f>
        <v>0</v>
      </c>
      <c r="S695" s="10">
        <f>Proj[[#This Row],[PPG]]+Proj[[#This Row],[PPA]]</f>
        <v>0</v>
      </c>
      <c r="T695">
        <f>ROUND((_xlfn.IFNA(INDEX(Table3[],MATCH(Proj[[#This Row],[Player]],Table3[Player],0),6)/60,IF(Proj[[#This Row],[Pos]] ="D", 'Per 60 PK'!$F$623, 'Per 60 PK'!$F$622)/60)+_xlfn.IFNA(INDEX(Table3[],MATCH(Proj[[#This Row],[Player]],Table3[Player],0),8)/60,IF(Proj[[#This Row],[Pos]] ="D", 'Per 60 PK'!$H$623, 'Per 60 PK'!$H$622)/60))*Proj[[#This Row],[TOI PK]]*Proj[[#This Row],[GP]],0)</f>
        <v>0</v>
      </c>
      <c r="U69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v>
      </c>
      <c r="V69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69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21</v>
      </c>
      <c r="X69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69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69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52</v>
      </c>
      <c r="AA69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-892.31548167974915</v>
      </c>
      <c r="AB695" s="10">
        <f>_xlfn.RANK.EQ(Proj[[#This Row],[VOR]],Proj[VOR])</f>
        <v>622</v>
      </c>
      <c r="AC695" s="10">
        <f>INDEX(Std[],MATCH(Proj[[#This Row],[Player]],Std[Player],0),20)</f>
        <v>-784.9507139602847</v>
      </c>
      <c r="AD69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122.55</v>
      </c>
    </row>
    <row r="696" spans="1:30" x14ac:dyDescent="0.25">
      <c r="A696" t="s">
        <v>1133</v>
      </c>
      <c r="B696">
        <v>29</v>
      </c>
      <c r="C696" t="s">
        <v>74</v>
      </c>
      <c r="D696" t="s">
        <v>7</v>
      </c>
      <c r="E696" s="9">
        <f>INDEX(Table1[],MATCH(Proj[[#This Row],[Player]],Table1[Player],0),5)</f>
        <v>9.73439922696077</v>
      </c>
      <c r="F696" s="9">
        <f>_xlfn.IFNA(INDEX(Table2[],MATCH(Proj[[#This Row],[Player]],Table2[Player],0),5),0)</f>
        <v>0</v>
      </c>
      <c r="G696" s="9">
        <f>_xlfn.IFNA(INDEX(Table3[],MATCH(Proj[[#This Row],[Player]],Table3[Player],0),5),0)</f>
        <v>0.85</v>
      </c>
      <c r="H696" s="10">
        <v>51</v>
      </c>
      <c r="I696">
        <v>51</v>
      </c>
      <c r="J696" s="9">
        <v>9.73439922696077</v>
      </c>
      <c r="K696" s="9">
        <v>0</v>
      </c>
      <c r="L696" s="9">
        <v>0.85</v>
      </c>
      <c r="M696" s="9">
        <f>Proj[[#This Row],[TOI ES]]+Proj[[#This Row],[TOI PP]]+Proj[[#This Row],[TOI PK]]</f>
        <v>10.58439922696077</v>
      </c>
      <c r="N69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9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96" s="10">
        <f>Proj[[#This Row],[Goals]]+Proj[[#This Row],[Assists]]</f>
        <v>10</v>
      </c>
      <c r="Q696" s="10">
        <f>ROUND(_xlfn.IFNA(INDEX(Table2[],MATCH(Proj[[#This Row],[Player]],Table2[Player],0),11)/60,IF(Proj[[#This Row],[Pos]] = "D", 'Per 60 PP'!$K$527,'Per 60 PP'!$K$526)/60)*Proj[[#This Row],[TOI PP]]*Proj[[#This Row],[GP]],0)</f>
        <v>0</v>
      </c>
      <c r="R696" s="10">
        <f>ROUND(_xlfn.IFNA(INDEX(Table2[],MATCH(Proj[[#This Row],[Player]],Table2[Player],0),7)/60,IF(Proj[[#This Row],[Pos]] = "D", 'Per 60 PP'!$G$527,'Per 60 PP'!$G$526)/60)*Proj[[#This Row],[TOI PP]]*Proj[[#This Row],[GP]],0)</f>
        <v>0</v>
      </c>
      <c r="S696" s="10">
        <f>Proj[[#This Row],[PPG]]+Proj[[#This Row],[PPA]]</f>
        <v>0</v>
      </c>
      <c r="T696">
        <f>ROUND((_xlfn.IFNA(INDEX(Table3[],MATCH(Proj[[#This Row],[Player]],Table3[Player],0),6)/60,IF(Proj[[#This Row],[Pos]] ="D", 'Per 60 PK'!$F$623, 'Per 60 PK'!$F$622)/60)+_xlfn.IFNA(INDEX(Table3[],MATCH(Proj[[#This Row],[Player]],Table3[Player],0),8)/60,IF(Proj[[#This Row],[Pos]] ="D", 'Per 60 PK'!$H$623, 'Per 60 PK'!$H$622)/60))*Proj[[#This Row],[TOI PK]]*Proj[[#This Row],[GP]],0)</f>
        <v>0</v>
      </c>
      <c r="U69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34</v>
      </c>
      <c r="V69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69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69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67</v>
      </c>
      <c r="Y69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81</v>
      </c>
      <c r="Z69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34</v>
      </c>
      <c r="AA69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-1522.1708689405887</v>
      </c>
      <c r="AB696" s="10">
        <f>_xlfn.RANK.EQ(Proj[[#This Row],[VOR]],Proj[VOR])</f>
        <v>743</v>
      </c>
      <c r="AC696" s="10">
        <f>INDEX(Std[],MATCH(Proj[[#This Row],[Player]],Std[Player],0),20)</f>
        <v>-787.53701463029006</v>
      </c>
      <c r="AD69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115.4</v>
      </c>
    </row>
    <row r="697" spans="1:30" x14ac:dyDescent="0.25">
      <c r="A697" t="s">
        <v>974</v>
      </c>
      <c r="B697">
        <v>24</v>
      </c>
      <c r="C697" t="s">
        <v>74</v>
      </c>
      <c r="D697" t="s">
        <v>20</v>
      </c>
      <c r="E697" s="9">
        <f>INDEX(Table1[],MATCH(Proj[[#This Row],[Player]],Table1[Player],0),5)</f>
        <v>11.1548612741136</v>
      </c>
      <c r="F697" s="9">
        <f>_xlfn.IFNA(INDEX(Table2[],MATCH(Proj[[#This Row],[Player]],Table2[Player],0),5),0)</f>
        <v>0</v>
      </c>
      <c r="G697" s="9">
        <f>_xlfn.IFNA(INDEX(Table3[],MATCH(Proj[[#This Row],[Player]],Table3[Player],0),5),0)</f>
        <v>1.1299999999999999</v>
      </c>
      <c r="H697" s="10">
        <v>39</v>
      </c>
      <c r="I697">
        <v>39</v>
      </c>
      <c r="J697" s="9">
        <v>11.1548612741136</v>
      </c>
      <c r="K697" s="9">
        <v>0</v>
      </c>
      <c r="L697" s="9">
        <v>1.1299999999999999</v>
      </c>
      <c r="M697" s="9">
        <f>Proj[[#This Row],[TOI ES]]+Proj[[#This Row],[TOI PP]]+Proj[[#This Row],[TOI PK]]</f>
        <v>12.284861274113599</v>
      </c>
      <c r="N69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69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697">
        <f>Proj[[#This Row],[Goals]]+Proj[[#This Row],[Assists]]</f>
        <v>10</v>
      </c>
      <c r="Q697" s="10">
        <f>ROUND(_xlfn.IFNA(INDEX(Table2[],MATCH(Proj[[#This Row],[Player]],Table2[Player],0),11)/60,IF(Proj[[#This Row],[Pos]] = "D", 'Per 60 PP'!$K$527,'Per 60 PP'!$K$526)/60)*Proj[[#This Row],[TOI PP]]*Proj[[#This Row],[GP]],0)</f>
        <v>0</v>
      </c>
      <c r="R697" s="10">
        <f>ROUND(_xlfn.IFNA(INDEX(Table2[],MATCH(Proj[[#This Row],[Player]],Table2[Player],0),7)/60,IF(Proj[[#This Row],[Pos]] = "D", 'Per 60 PP'!$G$527,'Per 60 PP'!$G$526)/60)*Proj[[#This Row],[TOI PP]]*Proj[[#This Row],[GP]],0)</f>
        <v>0</v>
      </c>
      <c r="S697" s="10">
        <f>Proj[[#This Row],[PPG]]+Proj[[#This Row],[PPA]]</f>
        <v>0</v>
      </c>
      <c r="T697">
        <f>ROUND((_xlfn.IFNA(INDEX(Table3[],MATCH(Proj[[#This Row],[Player]],Table3[Player],0),6)/60,IF(Proj[[#This Row],[Pos]] ="D", 'Per 60 PK'!$F$623, 'Per 60 PK'!$F$622)/60)+_xlfn.IFNA(INDEX(Table3[],MATCH(Proj[[#This Row],[Player]],Table3[Player],0),8)/60,IF(Proj[[#This Row],[Pos]] ="D", 'Per 60 PK'!$H$623, 'Per 60 PK'!$H$622)/60))*Proj[[#This Row],[TOI PK]]*Proj[[#This Row],[GP]],0)</f>
        <v>0</v>
      </c>
      <c r="U69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37</v>
      </c>
      <c r="V69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v>
      </c>
      <c r="W69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v>
      </c>
      <c r="X69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v>
      </c>
      <c r="Y69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v>
      </c>
      <c r="Z69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42</v>
      </c>
      <c r="AA69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-1640.7189330756778</v>
      </c>
      <c r="AB697" s="10">
        <f>_xlfn.RANK.EQ(Proj[[#This Row],[VOR]],Proj[VOR])</f>
        <v>753</v>
      </c>
      <c r="AC697" s="10">
        <f>INDEX(Std[],MATCH(Proj[[#This Row],[Player]],Std[Player],0),20)</f>
        <v>-906.08507876537919</v>
      </c>
      <c r="AD69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105.05</v>
      </c>
    </row>
    <row r="698" spans="1:30" x14ac:dyDescent="0.25">
      <c r="A698" t="s">
        <v>832</v>
      </c>
      <c r="B698">
        <v>26</v>
      </c>
      <c r="C698" t="s">
        <v>102</v>
      </c>
      <c r="D698" t="s">
        <v>9</v>
      </c>
      <c r="E698" s="9">
        <f>INDEX(Table1[],MATCH(Proj[[#This Row],[Player]],Table1[Player],0),5)</f>
        <v>8.4814788714471607</v>
      </c>
      <c r="F698" s="9">
        <f>_xlfn.IFNA(INDEX(Table2[],MATCH(Proj[[#This Row],[Player]],Table2[Player],0),5),0)</f>
        <v>0</v>
      </c>
      <c r="G698" s="9">
        <f>_xlfn.IFNA(INDEX(Table3[],MATCH(Proj[[#This Row],[Player]],Table3[Player],0),5),0)</f>
        <v>0.92</v>
      </c>
      <c r="H698" s="10">
        <v>46</v>
      </c>
      <c r="I698">
        <v>46</v>
      </c>
      <c r="J698" s="9">
        <v>8.4814788714471607</v>
      </c>
      <c r="K698" s="9">
        <v>0</v>
      </c>
      <c r="L698" s="9">
        <v>0.92</v>
      </c>
      <c r="M698" s="9">
        <f>Proj[[#This Row],[TOI ES]]+Proj[[#This Row],[TOI PP]]+Proj[[#This Row],[TOI PK]]</f>
        <v>9.4014788714471607</v>
      </c>
      <c r="N69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9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98" s="10">
        <f>Proj[[#This Row],[Goals]]+Proj[[#This Row],[Assists]]</f>
        <v>10</v>
      </c>
      <c r="Q698" s="10">
        <f>ROUND(_xlfn.IFNA(INDEX(Table2[],MATCH(Proj[[#This Row],[Player]],Table2[Player],0),11)/60,IF(Proj[[#This Row],[Pos]] = "D", 'Per 60 PP'!$K$527,'Per 60 PP'!$K$526)/60)*Proj[[#This Row],[TOI PP]]*Proj[[#This Row],[GP]],0)</f>
        <v>0</v>
      </c>
      <c r="R698" s="10">
        <f>ROUND(_xlfn.IFNA(INDEX(Table2[],MATCH(Proj[[#This Row],[Player]],Table2[Player],0),7)/60,IF(Proj[[#This Row],[Pos]] = "D", 'Per 60 PP'!$G$527,'Per 60 PP'!$G$526)/60)*Proj[[#This Row],[TOI PP]]*Proj[[#This Row],[GP]],0)</f>
        <v>0</v>
      </c>
      <c r="S698" s="10">
        <f>Proj[[#This Row],[PPG]]+Proj[[#This Row],[PPA]]</f>
        <v>0</v>
      </c>
      <c r="T698">
        <f>ROUND((_xlfn.IFNA(INDEX(Table3[],MATCH(Proj[[#This Row],[Player]],Table3[Player],0),6)/60,IF(Proj[[#This Row],[Pos]] ="D", 'Per 60 PK'!$F$623, 'Per 60 PK'!$F$622)/60)+_xlfn.IFNA(INDEX(Table3[],MATCH(Proj[[#This Row],[Player]],Table3[Player],0),8)/60,IF(Proj[[#This Row],[Pos]] ="D", 'Per 60 PK'!$H$623, 'Per 60 PK'!$H$622)/60))*Proj[[#This Row],[TOI PK]]*Proj[[#This Row],[GP]],0)</f>
        <v>0</v>
      </c>
      <c r="U69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69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v>
      </c>
      <c r="W69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v>
      </c>
      <c r="X69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69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v>
      </c>
      <c r="Z69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43</v>
      </c>
      <c r="AA69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-1369.6782788018022</v>
      </c>
      <c r="AB698" s="10">
        <f>_xlfn.RANK.EQ(Proj[[#This Row],[VOR]],Proj[VOR])</f>
        <v>724</v>
      </c>
      <c r="AC698" s="10">
        <f>INDEX(Std[],MATCH(Proj[[#This Row],[Player]],Std[Player],0),20)</f>
        <v>-898.1335544115534</v>
      </c>
      <c r="AD69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108.6</v>
      </c>
    </row>
    <row r="699" spans="1:30" x14ac:dyDescent="0.25">
      <c r="A699" t="s">
        <v>952</v>
      </c>
      <c r="B699">
        <v>26</v>
      </c>
      <c r="C699" t="s">
        <v>74</v>
      </c>
      <c r="D699" t="s">
        <v>9</v>
      </c>
      <c r="E699" s="9">
        <f>INDEX(Table1[],MATCH(Proj[[#This Row],[Player]],Table1[Player],0),5)</f>
        <v>8.7398924486788392</v>
      </c>
      <c r="F699" s="9">
        <f>_xlfn.IFNA(INDEX(Table2[],MATCH(Proj[[#This Row],[Player]],Table2[Player],0),5),0)</f>
        <v>0</v>
      </c>
      <c r="G699" s="9">
        <f>_xlfn.IFNA(INDEX(Table3[],MATCH(Proj[[#This Row],[Player]],Table3[Player],0),5),0)</f>
        <v>1.43</v>
      </c>
      <c r="H699" s="10">
        <v>44</v>
      </c>
      <c r="I699">
        <v>44</v>
      </c>
      <c r="J699" s="9">
        <v>8.7398924486788392</v>
      </c>
      <c r="K699" s="9">
        <v>0</v>
      </c>
      <c r="L699" s="9">
        <v>1.43</v>
      </c>
      <c r="M699" s="9">
        <f>Proj[[#This Row],[TOI ES]]+Proj[[#This Row],[TOI PP]]+Proj[[#This Row],[TOI PK]]</f>
        <v>10.169892448678839</v>
      </c>
      <c r="N69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69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699" s="10">
        <f>Proj[[#This Row],[Goals]]+Proj[[#This Row],[Assists]]</f>
        <v>10</v>
      </c>
      <c r="Q699" s="10">
        <f>ROUND(_xlfn.IFNA(INDEX(Table2[],MATCH(Proj[[#This Row],[Player]],Table2[Player],0),11)/60,IF(Proj[[#This Row],[Pos]] = "D", 'Per 60 PP'!$K$527,'Per 60 PP'!$K$526)/60)*Proj[[#This Row],[TOI PP]]*Proj[[#This Row],[GP]],0)</f>
        <v>0</v>
      </c>
      <c r="R699" s="10">
        <f>ROUND(_xlfn.IFNA(INDEX(Table2[],MATCH(Proj[[#This Row],[Player]],Table2[Player],0),7)/60,IF(Proj[[#This Row],[Pos]] = "D", 'Per 60 PP'!$G$527,'Per 60 PP'!$G$526)/60)*Proj[[#This Row],[TOI PP]]*Proj[[#This Row],[GP]],0)</f>
        <v>0</v>
      </c>
      <c r="S699" s="10">
        <f>Proj[[#This Row],[PPG]]+Proj[[#This Row],[PPA]]</f>
        <v>0</v>
      </c>
      <c r="T699">
        <f>ROUND((_xlfn.IFNA(INDEX(Table3[],MATCH(Proj[[#This Row],[Player]],Table3[Player],0),6)/60,IF(Proj[[#This Row],[Pos]] ="D", 'Per 60 PK'!$F$623, 'Per 60 PK'!$F$622)/60)+_xlfn.IFNA(INDEX(Table3[],MATCH(Proj[[#This Row],[Player]],Table3[Player],0),8)/60,IF(Proj[[#This Row],[Pos]] ="D", 'Per 60 PK'!$H$623, 'Per 60 PK'!$H$622)/60))*Proj[[#This Row],[TOI PK]]*Proj[[#This Row],[GP]],0)</f>
        <v>1</v>
      </c>
      <c r="U69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64</v>
      </c>
      <c r="V69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69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59</v>
      </c>
      <c r="X69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v>
      </c>
      <c r="Y69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v>
      </c>
      <c r="Z69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56</v>
      </c>
      <c r="AA69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-1309.8526929308823</v>
      </c>
      <c r="AB699" s="10">
        <f>_xlfn.RANK.EQ(Proj[[#This Row],[VOR]],Proj[VOR])</f>
        <v>716</v>
      </c>
      <c r="AC699" s="10">
        <f>INDEX(Std[],MATCH(Proj[[#This Row],[Player]],Std[Player],0),20)</f>
        <v>-575.21883862058382</v>
      </c>
      <c r="AD69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151.80000000000001</v>
      </c>
    </row>
    <row r="700" spans="1:30" x14ac:dyDescent="0.25">
      <c r="A700" t="s">
        <v>477</v>
      </c>
      <c r="B700">
        <v>33</v>
      </c>
      <c r="C700" t="s">
        <v>3</v>
      </c>
      <c r="D700" t="s">
        <v>2</v>
      </c>
      <c r="E700" s="9">
        <f>INDEX(Table1[],MATCH(Proj[[#This Row],[Player]],Table1[Player],0),5)</f>
        <v>14.441869813534501</v>
      </c>
      <c r="F700" s="9">
        <f>_xlfn.IFNA(INDEX(Table2[],MATCH(Proj[[#This Row],[Player]],Table2[Player],0),5),0)</f>
        <v>0</v>
      </c>
      <c r="G700" s="9">
        <f>_xlfn.IFNA(INDEX(Table3[],MATCH(Proj[[#This Row],[Player]],Table3[Player],0),5),0)</f>
        <v>1.53</v>
      </c>
      <c r="H700" s="10">
        <v>56</v>
      </c>
      <c r="I700">
        <v>56</v>
      </c>
      <c r="J700" s="9">
        <v>14.441869813534501</v>
      </c>
      <c r="K700" s="9">
        <v>0</v>
      </c>
      <c r="L700" s="9">
        <v>1.53</v>
      </c>
      <c r="M700" s="9">
        <f>Proj[[#This Row],[TOI ES]]+Proj[[#This Row],[TOI PP]]+Proj[[#This Row],[TOI PK]]</f>
        <v>15.9718698135345</v>
      </c>
      <c r="N70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0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9</v>
      </c>
      <c r="P700" s="10">
        <f>Proj[[#This Row],[Goals]]+Proj[[#This Row],[Assists]]</f>
        <v>10</v>
      </c>
      <c r="Q700" s="10">
        <f>ROUND(_xlfn.IFNA(INDEX(Table2[],MATCH(Proj[[#This Row],[Player]],Table2[Player],0),11)/60,IF(Proj[[#This Row],[Pos]] = "D", 'Per 60 PP'!$K$527,'Per 60 PP'!$K$526)/60)*Proj[[#This Row],[TOI PP]]*Proj[[#This Row],[GP]],0)</f>
        <v>0</v>
      </c>
      <c r="R700" s="10">
        <f>ROUND(_xlfn.IFNA(INDEX(Table2[],MATCH(Proj[[#This Row],[Player]],Table2[Player],0),7)/60,IF(Proj[[#This Row],[Pos]] = "D", 'Per 60 PP'!$G$527,'Per 60 PP'!$G$526)/60)*Proj[[#This Row],[TOI PP]]*Proj[[#This Row],[GP]],0)</f>
        <v>0</v>
      </c>
      <c r="S700" s="10">
        <f>Proj[[#This Row],[PPG]]+Proj[[#This Row],[PPA]]</f>
        <v>0</v>
      </c>
      <c r="T700">
        <f>ROUND((_xlfn.IFNA(INDEX(Table3[],MATCH(Proj[[#This Row],[Player]],Table3[Player],0),6)/60,IF(Proj[[#This Row],[Pos]] ="D", 'Per 60 PK'!$F$623, 'Per 60 PK'!$F$622)/60)+_xlfn.IFNA(INDEX(Table3[],MATCH(Proj[[#This Row],[Player]],Table3[Player],0),8)/60,IF(Proj[[#This Row],[Pos]] ="D", 'Per 60 PK'!$H$623, 'Per 60 PK'!$H$622)/60))*Proj[[#This Row],[TOI PK]]*Proj[[#This Row],[GP]],0)</f>
        <v>0</v>
      </c>
      <c r="U70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72</v>
      </c>
      <c r="V70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71</v>
      </c>
      <c r="W70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70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29</v>
      </c>
      <c r="AA70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-758.33332480075126</v>
      </c>
      <c r="AB700" s="10">
        <f>_xlfn.RANK.EQ(Proj[[#This Row],[VOR]],Proj[VOR])</f>
        <v>562</v>
      </c>
      <c r="AC700" s="10">
        <f>INDEX(Std[],MATCH(Proj[[#This Row],[Player]],Std[Player],0),20)</f>
        <v>-650.9685570812868</v>
      </c>
      <c r="AD70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155.24999999999997</v>
      </c>
    </row>
    <row r="701" spans="1:30" x14ac:dyDescent="0.25">
      <c r="A701" t="s">
        <v>1058</v>
      </c>
      <c r="B701">
        <v>28</v>
      </c>
      <c r="C701" t="s">
        <v>3</v>
      </c>
      <c r="D701" t="s">
        <v>4</v>
      </c>
      <c r="E701" s="9">
        <f>INDEX(Table1[],MATCH(Proj[[#This Row],[Player]],Table1[Player],0),5)</f>
        <v>12.4318672911902</v>
      </c>
      <c r="F701" s="9">
        <f>_xlfn.IFNA(INDEX(Table2[],MATCH(Proj[[#This Row],[Player]],Table2[Player],0),5),0)</f>
        <v>0</v>
      </c>
      <c r="G701" s="9">
        <f>_xlfn.IFNA(INDEX(Table3[],MATCH(Proj[[#This Row],[Player]],Table3[Player],0),5),0)</f>
        <v>0.73</v>
      </c>
      <c r="H701" s="10">
        <v>51</v>
      </c>
      <c r="I701">
        <v>51</v>
      </c>
      <c r="J701" s="9">
        <v>12.4318672911902</v>
      </c>
      <c r="K701" s="9">
        <v>0</v>
      </c>
      <c r="L701" s="9">
        <v>0.73</v>
      </c>
      <c r="M701" s="9">
        <f>Proj[[#This Row],[TOI ES]]+Proj[[#This Row],[TOI PP]]+Proj[[#This Row],[TOI PK]]</f>
        <v>13.1618672911902</v>
      </c>
      <c r="N70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0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701" s="10">
        <f>Proj[[#This Row],[Goals]]+Proj[[#This Row],[Assists]]</f>
        <v>10</v>
      </c>
      <c r="Q701" s="10">
        <f>ROUND(_xlfn.IFNA(INDEX(Table2[],MATCH(Proj[[#This Row],[Player]],Table2[Player],0),11)/60,IF(Proj[[#This Row],[Pos]] = "D", 'Per 60 PP'!$K$527,'Per 60 PP'!$K$526)/60)*Proj[[#This Row],[TOI PP]]*Proj[[#This Row],[GP]],0)</f>
        <v>0</v>
      </c>
      <c r="R701" s="10">
        <f>ROUND(_xlfn.IFNA(INDEX(Table2[],MATCH(Proj[[#This Row],[Player]],Table2[Player],0),7)/60,IF(Proj[[#This Row],[Pos]] = "D", 'Per 60 PP'!$G$527,'Per 60 PP'!$G$526)/60)*Proj[[#This Row],[TOI PP]]*Proj[[#This Row],[GP]],0)</f>
        <v>0</v>
      </c>
      <c r="S701" s="10">
        <f>Proj[[#This Row],[PPG]]+Proj[[#This Row],[PPA]]</f>
        <v>0</v>
      </c>
      <c r="T701">
        <f>ROUND((_xlfn.IFNA(INDEX(Table3[],MATCH(Proj[[#This Row],[Player]],Table3[Player],0),6)/60,IF(Proj[[#This Row],[Pos]] ="D", 'Per 60 PK'!$F$623, 'Per 60 PK'!$F$622)/60)+_xlfn.IFNA(INDEX(Table3[],MATCH(Proj[[#This Row],[Player]],Table3[Player],0),8)/60,IF(Proj[[#This Row],[Pos]] ="D", 'Per 60 PK'!$H$623, 'Per 60 PK'!$H$622)/60))*Proj[[#This Row],[TOI PK]]*Proj[[#This Row],[GP]],0)</f>
        <v>0</v>
      </c>
      <c r="U70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85</v>
      </c>
      <c r="V70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69</v>
      </c>
      <c r="W70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70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70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-703.08154701194758</v>
      </c>
      <c r="AB701" s="10">
        <f>_xlfn.RANK.EQ(Proj[[#This Row],[VOR]],Proj[VOR])</f>
        <v>525</v>
      </c>
      <c r="AC701" s="10">
        <f>INDEX(Std[],MATCH(Proj[[#This Row],[Player]],Std[Player],0),20)</f>
        <v>-595.71677929248312</v>
      </c>
      <c r="AD70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168.70000000000002</v>
      </c>
    </row>
    <row r="702" spans="1:30" x14ac:dyDescent="0.25">
      <c r="A702" t="s">
        <v>927</v>
      </c>
      <c r="B702">
        <v>25</v>
      </c>
      <c r="C702" t="s">
        <v>3</v>
      </c>
      <c r="D702" t="s">
        <v>22</v>
      </c>
      <c r="E702" s="9">
        <f>INDEX(Table1[],MATCH(Proj[[#This Row],[Player]],Table1[Player],0),5)</f>
        <v>14.132777857778599</v>
      </c>
      <c r="F702" s="9">
        <f>_xlfn.IFNA(INDEX(Table2[],MATCH(Proj[[#This Row],[Player]],Table2[Player],0),5),0)</f>
        <v>0</v>
      </c>
      <c r="G702" s="9">
        <f>_xlfn.IFNA(INDEX(Table3[],MATCH(Proj[[#This Row],[Player]],Table3[Player],0),5),0)</f>
        <v>1.1200000000000001</v>
      </c>
      <c r="H702" s="10">
        <v>57</v>
      </c>
      <c r="I702">
        <v>57</v>
      </c>
      <c r="J702" s="9">
        <v>14.132777857778599</v>
      </c>
      <c r="K702" s="9">
        <v>0</v>
      </c>
      <c r="L702" s="9">
        <v>1.1200000000000001</v>
      </c>
      <c r="M702" s="9">
        <f>Proj[[#This Row],[TOI ES]]+Proj[[#This Row],[TOI PP]]+Proj[[#This Row],[TOI PK]]</f>
        <v>15.2527778577786</v>
      </c>
      <c r="N70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0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8</v>
      </c>
      <c r="P702" s="10">
        <f>Proj[[#This Row],[Goals]]+Proj[[#This Row],[Assists]]</f>
        <v>10</v>
      </c>
      <c r="Q702" s="10">
        <f>ROUND(_xlfn.IFNA(INDEX(Table2[],MATCH(Proj[[#This Row],[Player]],Table2[Player],0),11)/60,IF(Proj[[#This Row],[Pos]] = "D", 'Per 60 PP'!$K$527,'Per 60 PP'!$K$526)/60)*Proj[[#This Row],[TOI PP]]*Proj[[#This Row],[GP]],0)</f>
        <v>0</v>
      </c>
      <c r="R702" s="10">
        <f>ROUND(_xlfn.IFNA(INDEX(Table2[],MATCH(Proj[[#This Row],[Player]],Table2[Player],0),7)/60,IF(Proj[[#This Row],[Pos]] = "D", 'Per 60 PP'!$G$527,'Per 60 PP'!$G$526)/60)*Proj[[#This Row],[TOI PP]]*Proj[[#This Row],[GP]],0)</f>
        <v>0</v>
      </c>
      <c r="S702" s="10">
        <f>Proj[[#This Row],[PPG]]+Proj[[#This Row],[PPA]]</f>
        <v>0</v>
      </c>
      <c r="T702">
        <f>ROUND((_xlfn.IFNA(INDEX(Table3[],MATCH(Proj[[#This Row],[Player]],Table3[Player],0),6)/60,IF(Proj[[#This Row],[Pos]] ="D", 'Per 60 PK'!$F$623, 'Per 60 PK'!$F$622)/60)+_xlfn.IFNA(INDEX(Table3[],MATCH(Proj[[#This Row],[Player]],Table3[Player],0),8)/60,IF(Proj[[#This Row],[Pos]] ="D", 'Per 60 PK'!$H$623, 'Per 60 PK'!$H$622)/60))*Proj[[#This Row],[TOI PK]]*Proj[[#This Row],[GP]],0)</f>
        <v>1</v>
      </c>
      <c r="U70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128</v>
      </c>
      <c r="V70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74</v>
      </c>
      <c r="W70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70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67</v>
      </c>
      <c r="AA70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-508.29085818815759</v>
      </c>
      <c r="AB702" s="10">
        <f>_xlfn.RANK.EQ(Proj[[#This Row],[VOR]],Proj[VOR])</f>
        <v>429</v>
      </c>
      <c r="AC702" s="10">
        <f>INDEX(Std[],MATCH(Proj[[#This Row],[Player]],Std[Player],0),20)</f>
        <v>-400.92609046869308</v>
      </c>
      <c r="AD70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216.9</v>
      </c>
    </row>
    <row r="703" spans="1:30" x14ac:dyDescent="0.25">
      <c r="A703" t="s">
        <v>620</v>
      </c>
      <c r="B703">
        <v>31</v>
      </c>
      <c r="C703" t="s">
        <v>3</v>
      </c>
      <c r="D703" t="s">
        <v>16</v>
      </c>
      <c r="E703" s="9">
        <f>INDEX(Table1[],MATCH(Proj[[#This Row],[Player]],Table1[Player],0),5)</f>
        <v>12.8427936940355</v>
      </c>
      <c r="F703" s="9">
        <f>_xlfn.IFNA(INDEX(Table2[],MATCH(Proj[[#This Row],[Player]],Table2[Player],0),5),0)</f>
        <v>0</v>
      </c>
      <c r="G703" s="9">
        <f>_xlfn.IFNA(INDEX(Table3[],MATCH(Proj[[#This Row],[Player]],Table3[Player],0),5),0)</f>
        <v>2.23</v>
      </c>
      <c r="H703" s="10">
        <v>62</v>
      </c>
      <c r="I703">
        <v>62</v>
      </c>
      <c r="J703" s="9">
        <v>12.8427936940355</v>
      </c>
      <c r="K703" s="9">
        <v>0</v>
      </c>
      <c r="L703" s="9">
        <v>2.23</v>
      </c>
      <c r="M703" s="9">
        <f>Proj[[#This Row],[TOI ES]]+Proj[[#This Row],[TOI PP]]+Proj[[#This Row],[TOI PK]]</f>
        <v>15.0727936940355</v>
      </c>
      <c r="N70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0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03">
        <f>Proj[[#This Row],[Goals]]+Proj[[#This Row],[Assists]]</f>
        <v>10</v>
      </c>
      <c r="Q703" s="10">
        <f>ROUND(_xlfn.IFNA(INDEX(Table2[],MATCH(Proj[[#This Row],[Player]],Table2[Player],0),11)/60,IF(Proj[[#This Row],[Pos]] = "D", 'Per 60 PP'!$K$527,'Per 60 PP'!$K$526)/60)*Proj[[#This Row],[TOI PP]]*Proj[[#This Row],[GP]],0)</f>
        <v>0</v>
      </c>
      <c r="R703" s="10">
        <f>ROUND(_xlfn.IFNA(INDEX(Table2[],MATCH(Proj[[#This Row],[Player]],Table2[Player],0),7)/60,IF(Proj[[#This Row],[Pos]] = "D", 'Per 60 PP'!$G$527,'Per 60 PP'!$G$526)/60)*Proj[[#This Row],[TOI PP]]*Proj[[#This Row],[GP]],0)</f>
        <v>0</v>
      </c>
      <c r="S703" s="10">
        <f>Proj[[#This Row],[PPG]]+Proj[[#This Row],[PPA]]</f>
        <v>0</v>
      </c>
      <c r="T703">
        <f>ROUND((_xlfn.IFNA(INDEX(Table3[],MATCH(Proj[[#This Row],[Player]],Table3[Player],0),6)/60,IF(Proj[[#This Row],[Pos]] ="D", 'Per 60 PK'!$F$623, 'Per 60 PK'!$F$622)/60)+_xlfn.IFNA(INDEX(Table3[],MATCH(Proj[[#This Row],[Player]],Table3[Player],0),8)/60,IF(Proj[[#This Row],[Pos]] ="D", 'Per 60 PK'!$H$623, 'Per 60 PK'!$H$622)/60))*Proj[[#This Row],[TOI PK]]*Proj[[#This Row],[GP]],0)</f>
        <v>0</v>
      </c>
      <c r="U70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129</v>
      </c>
      <c r="V70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102</v>
      </c>
      <c r="W70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67</v>
      </c>
      <c r="X70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55</v>
      </c>
      <c r="AA70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-346.00458982183397</v>
      </c>
      <c r="AB703" s="10">
        <f>_xlfn.RANK.EQ(Proj[[#This Row],[VOR]],Proj[VOR])</f>
        <v>342</v>
      </c>
      <c r="AC703" s="10">
        <f>INDEX(Std[],MATCH(Proj[[#This Row],[Player]],Std[Player],0),20)</f>
        <v>-238.63982210236952</v>
      </c>
      <c r="AD70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239.14999999999998</v>
      </c>
    </row>
    <row r="704" spans="1:30" x14ac:dyDescent="0.25">
      <c r="A704" t="s">
        <v>1209</v>
      </c>
      <c r="B704">
        <v>22</v>
      </c>
      <c r="C704" t="s">
        <v>74</v>
      </c>
      <c r="D704" t="s">
        <v>10</v>
      </c>
      <c r="E704" s="9">
        <f>INDEX(Table1[],MATCH(Proj[[#This Row],[Player]],Table1[Player],0),5)</f>
        <v>7.5</v>
      </c>
      <c r="F704" s="9">
        <f>_xlfn.IFNA(INDEX(Table2[],MATCH(Proj[[#This Row],[Player]],Table2[Player],0),5),0)</f>
        <v>0</v>
      </c>
      <c r="G704" s="9">
        <f>_xlfn.IFNA(INDEX(Table3[],MATCH(Proj[[#This Row],[Player]],Table3[Player],0),5),0)</f>
        <v>0</v>
      </c>
      <c r="H704" s="10">
        <v>55</v>
      </c>
      <c r="I704">
        <v>55</v>
      </c>
      <c r="J704" s="9">
        <v>7.5</v>
      </c>
      <c r="K704" s="9">
        <v>0</v>
      </c>
      <c r="L704" s="9">
        <v>0</v>
      </c>
      <c r="M704" s="9">
        <f>Proj[[#This Row],[TOI ES]]+Proj[[#This Row],[TOI PP]]+Proj[[#This Row],[TOI PK]]</f>
        <v>7.5</v>
      </c>
      <c r="N70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70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04">
        <f>Proj[[#This Row],[Goals]]+Proj[[#This Row],[Assists]]</f>
        <v>10</v>
      </c>
      <c r="Q704" s="10">
        <f>ROUND(_xlfn.IFNA(INDEX(Table2[],MATCH(Proj[[#This Row],[Player]],Table2[Player],0),11)/60,IF(Proj[[#This Row],[Pos]] = "D", 'Per 60 PP'!$K$527,'Per 60 PP'!$K$526)/60)*Proj[[#This Row],[TOI PP]]*Proj[[#This Row],[GP]],0)</f>
        <v>0</v>
      </c>
      <c r="R704" s="10">
        <f>ROUND(_xlfn.IFNA(INDEX(Table2[],MATCH(Proj[[#This Row],[Player]],Table2[Player],0),7)/60,IF(Proj[[#This Row],[Pos]] = "D", 'Per 60 PP'!$G$527,'Per 60 PP'!$G$526)/60)*Proj[[#This Row],[TOI PP]]*Proj[[#This Row],[GP]],0)</f>
        <v>0</v>
      </c>
      <c r="S704" s="10">
        <f>Proj[[#This Row],[PPG]]+Proj[[#This Row],[PPA]]</f>
        <v>0</v>
      </c>
      <c r="T704">
        <f>ROUND((_xlfn.IFNA(INDEX(Table3[],MATCH(Proj[[#This Row],[Player]],Table3[Player],0),6)/60,IF(Proj[[#This Row],[Pos]] ="D", 'Per 60 PK'!$F$623, 'Per 60 PK'!$F$622)/60)+_xlfn.IFNA(INDEX(Table3[],MATCH(Proj[[#This Row],[Player]],Table3[Player],0),8)/60,IF(Proj[[#This Row],[Pos]] ="D", 'Per 60 PK'!$H$623, 'Per 60 PK'!$H$622)/60))*Proj[[#This Row],[TOI PK]]*Proj[[#This Row],[GP]],0)</f>
        <v>0</v>
      </c>
      <c r="U70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172</v>
      </c>
      <c r="V70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18</v>
      </c>
      <c r="W70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89</v>
      </c>
      <c r="X70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70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v>
      </c>
      <c r="Z70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52</v>
      </c>
      <c r="AA70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-974.81593068001212</v>
      </c>
      <c r="AB704" s="10">
        <f>_xlfn.RANK.EQ(Proj[[#This Row],[VOR]],Proj[VOR])</f>
        <v>652</v>
      </c>
      <c r="AC704" s="10">
        <f>INDEX(Std[],MATCH(Proj[[#This Row],[Player]],Std[Player],0),20)</f>
        <v>-240.18207636971357</v>
      </c>
      <c r="AD70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225.54999999999998</v>
      </c>
    </row>
    <row r="705" spans="1:30" x14ac:dyDescent="0.25">
      <c r="A705" t="s">
        <v>624</v>
      </c>
      <c r="B705">
        <v>29</v>
      </c>
      <c r="C705" t="s">
        <v>3</v>
      </c>
      <c r="D705" t="s">
        <v>155</v>
      </c>
      <c r="E705" s="9">
        <f>INDEX(Table1[],MATCH(Proj[[#This Row],[Player]],Table1[Player],0),5)</f>
        <v>17.401871923671202</v>
      </c>
      <c r="F705" s="9">
        <f>_xlfn.IFNA(INDEX(Table2[],MATCH(Proj[[#This Row],[Player]],Table2[Player],0),5),0)</f>
        <v>0</v>
      </c>
      <c r="G705" s="9">
        <f>_xlfn.IFNA(INDEX(Table3[],MATCH(Proj[[#This Row],[Player]],Table3[Player],0),5),0)</f>
        <v>1.27</v>
      </c>
      <c r="H705" s="10">
        <v>72</v>
      </c>
      <c r="I705">
        <v>72</v>
      </c>
      <c r="J705" s="9">
        <v>17.401871923671202</v>
      </c>
      <c r="K705" s="9">
        <v>0</v>
      </c>
      <c r="L705" s="9">
        <v>1.27</v>
      </c>
      <c r="M705" s="9">
        <f>Proj[[#This Row],[TOI ES]]+Proj[[#This Row],[TOI PP]]+Proj[[#This Row],[TOI PK]]</f>
        <v>18.671871923671201</v>
      </c>
      <c r="N70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0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05">
        <f>Proj[[#This Row],[Goals]]+Proj[[#This Row],[Assists]]</f>
        <v>10</v>
      </c>
      <c r="Q705" s="10">
        <f>ROUND(_xlfn.IFNA(INDEX(Table2[],MATCH(Proj[[#This Row],[Player]],Table2[Player],0),11)/60,IF(Proj[[#This Row],[Pos]] = "D", 'Per 60 PP'!$K$527,'Per 60 PP'!$K$526)/60)*Proj[[#This Row],[TOI PP]]*Proj[[#This Row],[GP]],0)</f>
        <v>0</v>
      </c>
      <c r="R705" s="10">
        <f>ROUND(_xlfn.IFNA(INDEX(Table2[],MATCH(Proj[[#This Row],[Player]],Table2[Player],0),7)/60,IF(Proj[[#This Row],[Pos]] = "D", 'Per 60 PP'!$G$527,'Per 60 PP'!$G$526)/60)*Proj[[#This Row],[TOI PP]]*Proj[[#This Row],[GP]],0)</f>
        <v>0</v>
      </c>
      <c r="S705" s="10">
        <f>Proj[[#This Row],[PPG]]+Proj[[#This Row],[PPA]]</f>
        <v>0</v>
      </c>
      <c r="T705">
        <f>ROUND((_xlfn.IFNA(INDEX(Table3[],MATCH(Proj[[#This Row],[Player]],Table3[Player],0),6)/60,IF(Proj[[#This Row],[Pos]] ="D", 'Per 60 PK'!$F$623, 'Per 60 PK'!$F$622)/60)+_xlfn.IFNA(INDEX(Table3[],MATCH(Proj[[#This Row],[Player]],Table3[Player],0),8)/60,IF(Proj[[#This Row],[Pos]] ="D", 'Per 60 PK'!$H$623, 'Per 60 PK'!$H$622)/60))*Proj[[#This Row],[TOI PK]]*Proj[[#This Row],[GP]],0)</f>
        <v>0</v>
      </c>
      <c r="U70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212</v>
      </c>
      <c r="V70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138</v>
      </c>
      <c r="W70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77</v>
      </c>
      <c r="X70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76</v>
      </c>
      <c r="AA70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-20.976159291441093</v>
      </c>
      <c r="AB705" s="10">
        <f>_xlfn.RANK.EQ(Proj[[#This Row],[VOR]],Proj[VOR])</f>
        <v>176</v>
      </c>
      <c r="AC705" s="10">
        <f>INDEX(Std[],MATCH(Proj[[#This Row],[Player]],Std[Player],0),20)</f>
        <v>86.388608428023389</v>
      </c>
      <c r="AD70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325.05</v>
      </c>
    </row>
    <row r="706" spans="1:30" x14ac:dyDescent="0.25">
      <c r="A706" t="s">
        <v>828</v>
      </c>
      <c r="B706">
        <v>25</v>
      </c>
      <c r="C706" t="s">
        <v>103</v>
      </c>
      <c r="D706" t="s">
        <v>28</v>
      </c>
      <c r="E706" s="9">
        <f>INDEX(Table1[],MATCH(Proj[[#This Row],[Player]],Table1[Player],0),5)</f>
        <v>10.461767442673599</v>
      </c>
      <c r="F706" s="9">
        <f>_xlfn.IFNA(INDEX(Table2[],MATCH(Proj[[#This Row],[Player]],Table2[Player],0),5),0)</f>
        <v>0</v>
      </c>
      <c r="G706" s="9">
        <f>_xlfn.IFNA(INDEX(Table3[],MATCH(Proj[[#This Row],[Player]],Table3[Player],0),5),0)</f>
        <v>1.01</v>
      </c>
      <c r="H706" s="10">
        <v>39</v>
      </c>
      <c r="I706">
        <v>39</v>
      </c>
      <c r="J706" s="9">
        <v>10.461767442673599</v>
      </c>
      <c r="K706" s="9">
        <v>0</v>
      </c>
      <c r="L706" s="9">
        <v>1.01</v>
      </c>
      <c r="M706" s="9">
        <f>Proj[[#This Row],[TOI ES]]+Proj[[#This Row],[TOI PP]]+Proj[[#This Row],[TOI PK]]</f>
        <v>11.471767442673599</v>
      </c>
      <c r="N70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0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06" s="10">
        <f>Proj[[#This Row],[Goals]]+Proj[[#This Row],[Assists]]</f>
        <v>9</v>
      </c>
      <c r="Q706" s="10">
        <f>ROUND(_xlfn.IFNA(INDEX(Table2[],MATCH(Proj[[#This Row],[Player]],Table2[Player],0),11)/60,IF(Proj[[#This Row],[Pos]] = "D", 'Per 60 PP'!$K$527,'Per 60 PP'!$K$526)/60)*Proj[[#This Row],[TOI PP]]*Proj[[#This Row],[GP]],0)</f>
        <v>0</v>
      </c>
      <c r="R706" s="10">
        <f>ROUND(_xlfn.IFNA(INDEX(Table2[],MATCH(Proj[[#This Row],[Player]],Table2[Player],0),7)/60,IF(Proj[[#This Row],[Pos]] = "D", 'Per 60 PP'!$G$527,'Per 60 PP'!$G$526)/60)*Proj[[#This Row],[TOI PP]]*Proj[[#This Row],[GP]],0)</f>
        <v>0</v>
      </c>
      <c r="S706" s="10">
        <f>Proj[[#This Row],[PPG]]+Proj[[#This Row],[PPA]]</f>
        <v>0</v>
      </c>
      <c r="T706">
        <f>ROUND((_xlfn.IFNA(INDEX(Table3[],MATCH(Proj[[#This Row],[Player]],Table3[Player],0),6)/60,IF(Proj[[#This Row],[Pos]] ="D", 'Per 60 PK'!$F$623, 'Per 60 PK'!$F$622)/60)+_xlfn.IFNA(INDEX(Table3[],MATCH(Proj[[#This Row],[Player]],Table3[Player],0),8)/60,IF(Proj[[#This Row],[Pos]] ="D", 'Per 60 PK'!$H$623, 'Per 60 PK'!$H$622)/60))*Proj[[#This Row],[TOI PK]]*Proj[[#This Row],[GP]],0)</f>
        <v>0</v>
      </c>
      <c r="U70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70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70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v>
      </c>
      <c r="X70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70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70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70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-1388.2706367749045</v>
      </c>
      <c r="AB706" s="10">
        <f>_xlfn.RANK.EQ(Proj[[#This Row],[VOR]],Proj[VOR])</f>
        <v>728</v>
      </c>
      <c r="AC706" s="10">
        <f>INDEX(Std[],MATCH(Proj[[#This Row],[Player]],Std[Player],0),20)</f>
        <v>-941.72591238465554</v>
      </c>
      <c r="AD70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93.750000000000014</v>
      </c>
    </row>
    <row r="707" spans="1:30" x14ac:dyDescent="0.25">
      <c r="A707" t="s">
        <v>1148</v>
      </c>
      <c r="B707">
        <v>25</v>
      </c>
      <c r="C707" t="s">
        <v>102</v>
      </c>
      <c r="D707" t="s">
        <v>4</v>
      </c>
      <c r="E707" s="9">
        <f>INDEX(Table1[],MATCH(Proj[[#This Row],[Player]],Table1[Player],0),5)</f>
        <v>11.445418459107399</v>
      </c>
      <c r="F707" s="9">
        <f>_xlfn.IFNA(INDEX(Table2[],MATCH(Proj[[#This Row],[Player]],Table2[Player],0),5),0)</f>
        <v>0</v>
      </c>
      <c r="G707" s="9">
        <f>_xlfn.IFNA(INDEX(Table3[],MATCH(Proj[[#This Row],[Player]],Table3[Player],0),5),0)</f>
        <v>0</v>
      </c>
      <c r="H707" s="10">
        <v>38</v>
      </c>
      <c r="I707">
        <v>38</v>
      </c>
      <c r="J707" s="9">
        <v>11.445418459107399</v>
      </c>
      <c r="K707" s="9">
        <v>0</v>
      </c>
      <c r="L707" s="9">
        <v>0</v>
      </c>
      <c r="M707" s="9">
        <f>Proj[[#This Row],[TOI ES]]+Proj[[#This Row],[TOI PP]]+Proj[[#This Row],[TOI PK]]</f>
        <v>11.445418459107399</v>
      </c>
      <c r="N70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0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07">
        <f>Proj[[#This Row],[Goals]]+Proj[[#This Row],[Assists]]</f>
        <v>9</v>
      </c>
      <c r="Q707" s="10">
        <f>ROUND(_xlfn.IFNA(INDEX(Table2[],MATCH(Proj[[#This Row],[Player]],Table2[Player],0),11)/60,IF(Proj[[#This Row],[Pos]] = "D", 'Per 60 PP'!$K$527,'Per 60 PP'!$K$526)/60)*Proj[[#This Row],[TOI PP]]*Proj[[#This Row],[GP]],0)</f>
        <v>0</v>
      </c>
      <c r="R707" s="10">
        <f>ROUND(_xlfn.IFNA(INDEX(Table2[],MATCH(Proj[[#This Row],[Player]],Table2[Player],0),7)/60,IF(Proj[[#This Row],[Pos]] = "D", 'Per 60 PP'!$G$527,'Per 60 PP'!$G$526)/60)*Proj[[#This Row],[TOI PP]]*Proj[[#This Row],[GP]],0)</f>
        <v>0</v>
      </c>
      <c r="S707" s="10">
        <f>Proj[[#This Row],[PPG]]+Proj[[#This Row],[PPA]]</f>
        <v>0</v>
      </c>
      <c r="T707">
        <f>ROUND((_xlfn.IFNA(INDEX(Table3[],MATCH(Proj[[#This Row],[Player]],Table3[Player],0),6)/60,IF(Proj[[#This Row],[Pos]] ="D", 'Per 60 PK'!$F$623, 'Per 60 PK'!$F$622)/60)+_xlfn.IFNA(INDEX(Table3[],MATCH(Proj[[#This Row],[Player]],Table3[Player],0),8)/60,IF(Proj[[#This Row],[Pos]] ="D", 'Per 60 PK'!$H$623, 'Per 60 PK'!$H$622)/60))*Proj[[#This Row],[TOI PK]]*Proj[[#This Row],[GP]],0)</f>
        <v>0</v>
      </c>
      <c r="U70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24</v>
      </c>
      <c r="V70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70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v>
      </c>
      <c r="X70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33</v>
      </c>
      <c r="Y70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70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20</v>
      </c>
      <c r="AA70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-1440.0551270632402</v>
      </c>
      <c r="AB707" s="10">
        <f>_xlfn.RANK.EQ(Proj[[#This Row],[VOR]],Proj[VOR])</f>
        <v>733</v>
      </c>
      <c r="AC707" s="10">
        <f>INDEX(Std[],MATCH(Proj[[#This Row],[Player]],Std[Player],0),20)</f>
        <v>-968.51040267299129</v>
      </c>
      <c r="AD70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81.850000000000009</v>
      </c>
    </row>
    <row r="708" spans="1:30" x14ac:dyDescent="0.25">
      <c r="A708" t="s">
        <v>668</v>
      </c>
      <c r="B708">
        <v>24</v>
      </c>
      <c r="C708" t="s">
        <v>3</v>
      </c>
      <c r="D708" t="s">
        <v>10</v>
      </c>
      <c r="E708" s="9">
        <f>INDEX(Table1[],MATCH(Proj[[#This Row],[Player]],Table1[Player],0),5)</f>
        <v>14.640401365152099</v>
      </c>
      <c r="F708" s="9">
        <f>_xlfn.IFNA(INDEX(Table2[],MATCH(Proj[[#This Row],[Player]],Table2[Player],0),5),0)</f>
        <v>0</v>
      </c>
      <c r="G708" s="9">
        <f>_xlfn.IFNA(INDEX(Table3[],MATCH(Proj[[#This Row],[Player]],Table3[Player],0),5),0)</f>
        <v>0</v>
      </c>
      <c r="H708" s="10">
        <v>46</v>
      </c>
      <c r="I708">
        <v>46</v>
      </c>
      <c r="J708" s="9">
        <v>14.640401365152099</v>
      </c>
      <c r="K708" s="9">
        <v>0</v>
      </c>
      <c r="L708" s="9">
        <v>0</v>
      </c>
      <c r="M708" s="9">
        <f>Proj[[#This Row],[TOI ES]]+Proj[[#This Row],[TOI PP]]+Proj[[#This Row],[TOI PK]]</f>
        <v>14.640401365152099</v>
      </c>
      <c r="N70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0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08" s="10">
        <f>Proj[[#This Row],[Goals]]+Proj[[#This Row],[Assists]]</f>
        <v>9</v>
      </c>
      <c r="Q708" s="10">
        <f>ROUND(_xlfn.IFNA(INDEX(Table2[],MATCH(Proj[[#This Row],[Player]],Table2[Player],0),11)/60,IF(Proj[[#This Row],[Pos]] = "D", 'Per 60 PP'!$K$527,'Per 60 PP'!$K$526)/60)*Proj[[#This Row],[TOI PP]]*Proj[[#This Row],[GP]],0)</f>
        <v>0</v>
      </c>
      <c r="R708" s="10">
        <f>ROUND(_xlfn.IFNA(INDEX(Table2[],MATCH(Proj[[#This Row],[Player]],Table2[Player],0),7)/60,IF(Proj[[#This Row],[Pos]] = "D", 'Per 60 PP'!$G$527,'Per 60 PP'!$G$526)/60)*Proj[[#This Row],[TOI PP]]*Proj[[#This Row],[GP]],0)</f>
        <v>0</v>
      </c>
      <c r="S708" s="10">
        <f>Proj[[#This Row],[PPG]]+Proj[[#This Row],[PPA]]</f>
        <v>0</v>
      </c>
      <c r="T708">
        <f>ROUND((_xlfn.IFNA(INDEX(Table3[],MATCH(Proj[[#This Row],[Player]],Table3[Player],0),6)/60,IF(Proj[[#This Row],[Pos]] ="D", 'Per 60 PK'!$F$623, 'Per 60 PK'!$F$622)/60)+_xlfn.IFNA(INDEX(Table3[],MATCH(Proj[[#This Row],[Player]],Table3[Player],0),8)/60,IF(Proj[[#This Row],[Pos]] ="D", 'Per 60 PK'!$H$623, 'Per 60 PK'!$H$622)/60))*Proj[[#This Row],[TOI PK]]*Proj[[#This Row],[GP]],0)</f>
        <v>0</v>
      </c>
      <c r="U70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v>
      </c>
      <c r="V70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70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70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49</v>
      </c>
      <c r="AA70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-956.22945282875958</v>
      </c>
      <c r="AB708" s="10">
        <f>_xlfn.RANK.EQ(Proj[[#This Row],[VOR]],Proj[VOR])</f>
        <v>648</v>
      </c>
      <c r="AC708" s="10">
        <f>INDEX(Std[],MATCH(Proj[[#This Row],[Player]],Std[Player],0),20)</f>
        <v>-848.86468510929512</v>
      </c>
      <c r="AD70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113.25</v>
      </c>
    </row>
    <row r="709" spans="1:30" x14ac:dyDescent="0.25">
      <c r="A709" t="s">
        <v>671</v>
      </c>
      <c r="B709">
        <v>27</v>
      </c>
      <c r="C709" t="s">
        <v>3</v>
      </c>
      <c r="D709" t="s">
        <v>29</v>
      </c>
      <c r="E709" s="9">
        <f>INDEX(Table1[],MATCH(Proj[[#This Row],[Player]],Table1[Player],0),5)</f>
        <v>14.7644595940044</v>
      </c>
      <c r="F709" s="9">
        <f>_xlfn.IFNA(INDEX(Table2[],MATCH(Proj[[#This Row],[Player]],Table2[Player],0),5),0)</f>
        <v>0</v>
      </c>
      <c r="G709" s="9">
        <f>_xlfn.IFNA(INDEX(Table3[],MATCH(Proj[[#This Row],[Player]],Table3[Player],0),5),0)</f>
        <v>1.63</v>
      </c>
      <c r="H709" s="10">
        <v>46</v>
      </c>
      <c r="I709">
        <v>46</v>
      </c>
      <c r="J709" s="9">
        <v>14.7644595940044</v>
      </c>
      <c r="K709" s="9">
        <v>0</v>
      </c>
      <c r="L709" s="9">
        <v>1.63</v>
      </c>
      <c r="M709" s="9">
        <f>Proj[[#This Row],[TOI ES]]+Proj[[#This Row],[TOI PP]]+Proj[[#This Row],[TOI PK]]</f>
        <v>16.394459594004399</v>
      </c>
      <c r="N70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0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09" s="10">
        <f>Proj[[#This Row],[Goals]]+Proj[[#This Row],[Assists]]</f>
        <v>9</v>
      </c>
      <c r="Q709" s="10">
        <f>ROUND(_xlfn.IFNA(INDEX(Table2[],MATCH(Proj[[#This Row],[Player]],Table2[Player],0),11)/60,IF(Proj[[#This Row],[Pos]] = "D", 'Per 60 PP'!$K$527,'Per 60 PP'!$K$526)/60)*Proj[[#This Row],[TOI PP]]*Proj[[#This Row],[GP]],0)</f>
        <v>0</v>
      </c>
      <c r="R709" s="10">
        <f>ROUND(_xlfn.IFNA(INDEX(Table2[],MATCH(Proj[[#This Row],[Player]],Table2[Player],0),7)/60,IF(Proj[[#This Row],[Pos]] = "D", 'Per 60 PP'!$G$527,'Per 60 PP'!$G$526)/60)*Proj[[#This Row],[TOI PP]]*Proj[[#This Row],[GP]],0)</f>
        <v>0</v>
      </c>
      <c r="S709" s="10">
        <f>Proj[[#This Row],[PPG]]+Proj[[#This Row],[PPA]]</f>
        <v>0</v>
      </c>
      <c r="T709">
        <f>ROUND((_xlfn.IFNA(INDEX(Table3[],MATCH(Proj[[#This Row],[Player]],Table3[Player],0),6)/60,IF(Proj[[#This Row],[Pos]] ="D", 'Per 60 PK'!$F$623, 'Per 60 PK'!$F$622)/60)+_xlfn.IFNA(INDEX(Table3[],MATCH(Proj[[#This Row],[Player]],Table3[Player],0),8)/60,IF(Proj[[#This Row],[Pos]] ="D", 'Per 60 PK'!$H$623, 'Per 60 PK'!$H$622)/60))*Proj[[#This Row],[TOI PK]]*Proj[[#This Row],[GP]],0)</f>
        <v>0</v>
      </c>
      <c r="U70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33</v>
      </c>
      <c r="V70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63</v>
      </c>
      <c r="W70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70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0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0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50</v>
      </c>
      <c r="AA70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-870.92386665048161</v>
      </c>
      <c r="AB709" s="10">
        <f>_xlfn.RANK.EQ(Proj[[#This Row],[VOR]],Proj[VOR])</f>
        <v>613</v>
      </c>
      <c r="AC709" s="10">
        <f>INDEX(Std[],MATCH(Proj[[#This Row],[Player]],Std[Player],0),20)</f>
        <v>-763.55909893101716</v>
      </c>
      <c r="AD70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131.79999999999998</v>
      </c>
    </row>
    <row r="710" spans="1:30" x14ac:dyDescent="0.25">
      <c r="A710" t="s">
        <v>566</v>
      </c>
      <c r="B710">
        <v>30</v>
      </c>
      <c r="C710" t="s">
        <v>102</v>
      </c>
      <c r="D710" t="s">
        <v>21</v>
      </c>
      <c r="E710" s="9">
        <f>INDEX(Table1[],MATCH(Proj[[#This Row],[Player]],Table1[Player],0),5)</f>
        <v>10.666450601216599</v>
      </c>
      <c r="F710" s="9">
        <f>_xlfn.IFNA(INDEX(Table2[],MATCH(Proj[[#This Row],[Player]],Table2[Player],0),5),0)</f>
        <v>0</v>
      </c>
      <c r="G710" s="9">
        <f>_xlfn.IFNA(INDEX(Table3[],MATCH(Proj[[#This Row],[Player]],Table3[Player],0),5),0)</f>
        <v>0</v>
      </c>
      <c r="H710" s="10">
        <v>44</v>
      </c>
      <c r="I710">
        <v>44</v>
      </c>
      <c r="J710" s="9">
        <v>10.666450601216599</v>
      </c>
      <c r="K710" s="9">
        <v>0</v>
      </c>
      <c r="L710" s="9">
        <v>0</v>
      </c>
      <c r="M710" s="9">
        <f>Proj[[#This Row],[TOI ES]]+Proj[[#This Row],[TOI PP]]+Proj[[#This Row],[TOI PK]]</f>
        <v>10.666450601216599</v>
      </c>
      <c r="N71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1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10" s="10">
        <f>Proj[[#This Row],[Goals]]+Proj[[#This Row],[Assists]]</f>
        <v>9</v>
      </c>
      <c r="Q710" s="10">
        <f>ROUND(_xlfn.IFNA(INDEX(Table2[],MATCH(Proj[[#This Row],[Player]],Table2[Player],0),11)/60,IF(Proj[[#This Row],[Pos]] = "D", 'Per 60 PP'!$K$527,'Per 60 PP'!$K$526)/60)*Proj[[#This Row],[TOI PP]]*Proj[[#This Row],[GP]],0)</f>
        <v>0</v>
      </c>
      <c r="R710" s="10">
        <f>ROUND(_xlfn.IFNA(INDEX(Table2[],MATCH(Proj[[#This Row],[Player]],Table2[Player],0),7)/60,IF(Proj[[#This Row],[Pos]] = "D", 'Per 60 PP'!$G$527,'Per 60 PP'!$G$526)/60)*Proj[[#This Row],[TOI PP]]*Proj[[#This Row],[GP]],0)</f>
        <v>0</v>
      </c>
      <c r="S710" s="10">
        <f>Proj[[#This Row],[PPG]]+Proj[[#This Row],[PPA]]</f>
        <v>0</v>
      </c>
      <c r="T710">
        <f>ROUND((_xlfn.IFNA(INDEX(Table3[],MATCH(Proj[[#This Row],[Player]],Table3[Player],0),6)/60,IF(Proj[[#This Row],[Pos]] ="D", 'Per 60 PK'!$F$623, 'Per 60 PK'!$F$622)/60)+_xlfn.IFNA(INDEX(Table3[],MATCH(Proj[[#This Row],[Player]],Table3[Player],0),8)/60,IF(Proj[[#This Row],[Pos]] ="D", 'Per 60 PK'!$H$623, 'Per 60 PK'!$H$622)/60))*Proj[[#This Row],[TOI PK]]*Proj[[#This Row],[GP]],0)</f>
        <v>0</v>
      </c>
      <c r="U71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40</v>
      </c>
      <c r="V71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34</v>
      </c>
      <c r="W71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71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50</v>
      </c>
      <c r="Y71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95</v>
      </c>
      <c r="Z71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36</v>
      </c>
      <c r="AA71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-1312.84235261803</v>
      </c>
      <c r="AB710" s="10">
        <f>_xlfn.RANK.EQ(Proj[[#This Row],[VOR]],Proj[VOR])</f>
        <v>717</v>
      </c>
      <c r="AC710" s="10">
        <f>INDEX(Std[],MATCH(Proj[[#This Row],[Player]],Std[Player],0),20)</f>
        <v>-841.29762822778105</v>
      </c>
      <c r="AD71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114.2</v>
      </c>
    </row>
    <row r="711" spans="1:30" x14ac:dyDescent="0.25">
      <c r="A711" t="s">
        <v>1204</v>
      </c>
      <c r="B711">
        <v>24</v>
      </c>
      <c r="C711" t="s">
        <v>3</v>
      </c>
      <c r="D711" t="s">
        <v>156</v>
      </c>
      <c r="E711" s="9">
        <f>INDEX(Table1[],MATCH(Proj[[#This Row],[Player]],Table1[Player],0),5)</f>
        <v>14.6769379785636</v>
      </c>
      <c r="F711" s="9">
        <f>_xlfn.IFNA(INDEX(Table2[],MATCH(Proj[[#This Row],[Player]],Table2[Player],0),5),0)</f>
        <v>0</v>
      </c>
      <c r="G711" s="9">
        <f>_xlfn.IFNA(INDEX(Table3[],MATCH(Proj[[#This Row],[Player]],Table3[Player],0),5),0)</f>
        <v>1.66</v>
      </c>
      <c r="H711" s="10">
        <v>36</v>
      </c>
      <c r="I711">
        <v>36</v>
      </c>
      <c r="J711" s="9">
        <v>14.6769379785636</v>
      </c>
      <c r="K711" s="9">
        <v>0</v>
      </c>
      <c r="L711" s="9">
        <v>1.66</v>
      </c>
      <c r="M711" s="9">
        <f>Proj[[#This Row],[TOI ES]]+Proj[[#This Row],[TOI PP]]+Proj[[#This Row],[TOI PK]]</f>
        <v>16.336937978563601</v>
      </c>
      <c r="N71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1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11">
        <f>Proj[[#This Row],[Goals]]+Proj[[#This Row],[Assists]]</f>
        <v>9</v>
      </c>
      <c r="Q711" s="10">
        <f>ROUND(_xlfn.IFNA(INDEX(Table2[],MATCH(Proj[[#This Row],[Player]],Table2[Player],0),11)/60,IF(Proj[[#This Row],[Pos]] = "D", 'Per 60 PP'!$K$527,'Per 60 PP'!$K$526)/60)*Proj[[#This Row],[TOI PP]]*Proj[[#This Row],[GP]],0)</f>
        <v>0</v>
      </c>
      <c r="R711" s="10">
        <f>ROUND(_xlfn.IFNA(INDEX(Table2[],MATCH(Proj[[#This Row],[Player]],Table2[Player],0),7)/60,IF(Proj[[#This Row],[Pos]] = "D", 'Per 60 PP'!$G$527,'Per 60 PP'!$G$526)/60)*Proj[[#This Row],[TOI PP]]*Proj[[#This Row],[GP]],0)</f>
        <v>0</v>
      </c>
      <c r="S711" s="10">
        <f>Proj[[#This Row],[PPG]]+Proj[[#This Row],[PPA]]</f>
        <v>0</v>
      </c>
      <c r="T711">
        <f>ROUND((_xlfn.IFNA(INDEX(Table3[],MATCH(Proj[[#This Row],[Player]],Table3[Player],0),6)/60,IF(Proj[[#This Row],[Pos]] ="D", 'Per 60 PK'!$F$623, 'Per 60 PK'!$F$622)/60)+_xlfn.IFNA(INDEX(Table3[],MATCH(Proj[[#This Row],[Player]],Table3[Player],0),8)/60,IF(Proj[[#This Row],[Pos]] ="D", 'Per 60 PK'!$H$623, 'Per 60 PK'!$H$622)/60))*Proj[[#This Row],[TOI PK]]*Proj[[#This Row],[GP]],0)</f>
        <v>0</v>
      </c>
      <c r="U71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45</v>
      </c>
      <c r="V71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46</v>
      </c>
      <c r="W71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17</v>
      </c>
      <c r="X71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1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1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39</v>
      </c>
      <c r="AA71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-912.74039332616985</v>
      </c>
      <c r="AB711" s="10">
        <f>_xlfn.RANK.EQ(Proj[[#This Row],[VOR]],Proj[VOR])</f>
        <v>632</v>
      </c>
      <c r="AC711" s="10">
        <f>INDEX(Std[],MATCH(Proj[[#This Row],[Player]],Std[Player],0),20)</f>
        <v>-805.3756256067054</v>
      </c>
      <c r="AD71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121.64999999999999</v>
      </c>
    </row>
    <row r="712" spans="1:30" x14ac:dyDescent="0.25">
      <c r="A712" t="s">
        <v>752</v>
      </c>
      <c r="B712">
        <v>24</v>
      </c>
      <c r="C712" t="s">
        <v>74</v>
      </c>
      <c r="D712" t="s">
        <v>9</v>
      </c>
      <c r="E712" s="9">
        <f>INDEX(Table1[],MATCH(Proj[[#This Row],[Player]],Table1[Player],0),5)</f>
        <v>8.5512972398541098</v>
      </c>
      <c r="F712" s="9">
        <f>_xlfn.IFNA(INDEX(Table2[],MATCH(Proj[[#This Row],[Player]],Table2[Player],0),5),0)</f>
        <v>0</v>
      </c>
      <c r="G712" s="9">
        <f>_xlfn.IFNA(INDEX(Table3[],MATCH(Proj[[#This Row],[Player]],Table3[Player],0),5),0)</f>
        <v>0.82</v>
      </c>
      <c r="H712" s="10">
        <v>62</v>
      </c>
      <c r="I712">
        <v>62</v>
      </c>
      <c r="J712" s="9">
        <v>8.5512972398541098</v>
      </c>
      <c r="K712" s="9">
        <v>0</v>
      </c>
      <c r="L712" s="9">
        <v>0.82</v>
      </c>
      <c r="M712" s="9">
        <f>Proj[[#This Row],[TOI ES]]+Proj[[#This Row],[TOI PP]]+Proj[[#This Row],[TOI PK]]</f>
        <v>9.3712972398541101</v>
      </c>
      <c r="N71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1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12">
        <f>Proj[[#This Row],[Goals]]+Proj[[#This Row],[Assists]]</f>
        <v>9</v>
      </c>
      <c r="Q712" s="10">
        <f>ROUND(_xlfn.IFNA(INDEX(Table2[],MATCH(Proj[[#This Row],[Player]],Table2[Player],0),11)/60,IF(Proj[[#This Row],[Pos]] = "D", 'Per 60 PP'!$K$527,'Per 60 PP'!$K$526)/60)*Proj[[#This Row],[TOI PP]]*Proj[[#This Row],[GP]],0)</f>
        <v>0</v>
      </c>
      <c r="R712" s="10">
        <f>ROUND(_xlfn.IFNA(INDEX(Table2[],MATCH(Proj[[#This Row],[Player]],Table2[Player],0),7)/60,IF(Proj[[#This Row],[Pos]] = "D", 'Per 60 PP'!$G$527,'Per 60 PP'!$G$526)/60)*Proj[[#This Row],[TOI PP]]*Proj[[#This Row],[GP]],0)</f>
        <v>0</v>
      </c>
      <c r="S712" s="10">
        <f>Proj[[#This Row],[PPG]]+Proj[[#This Row],[PPA]]</f>
        <v>0</v>
      </c>
      <c r="T712">
        <f>ROUND((_xlfn.IFNA(INDEX(Table3[],MATCH(Proj[[#This Row],[Player]],Table3[Player],0),6)/60,IF(Proj[[#This Row],[Pos]] ="D", 'Per 60 PK'!$F$623, 'Per 60 PK'!$F$622)/60)+_xlfn.IFNA(INDEX(Table3[],MATCH(Proj[[#This Row],[Player]],Table3[Player],0),8)/60,IF(Proj[[#This Row],[Pos]] ="D", 'Per 60 PK'!$H$623, 'Per 60 PK'!$H$622)/60))*Proj[[#This Row],[TOI PK]]*Proj[[#This Row],[GP]],0)</f>
        <v>0</v>
      </c>
      <c r="U71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55</v>
      </c>
      <c r="V71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25</v>
      </c>
      <c r="W71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71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168</v>
      </c>
      <c r="Y71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186</v>
      </c>
      <c r="Z71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55</v>
      </c>
      <c r="AA71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-1474.041803268045</v>
      </c>
      <c r="AB712" s="10">
        <f>_xlfn.RANK.EQ(Proj[[#This Row],[VOR]],Proj[VOR])</f>
        <v>740</v>
      </c>
      <c r="AC712" s="10">
        <f>INDEX(Std[],MATCH(Proj[[#This Row],[Player]],Std[Player],0),20)</f>
        <v>-739.40794895774638</v>
      </c>
      <c r="AD71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139.1</v>
      </c>
    </row>
    <row r="713" spans="1:30" x14ac:dyDescent="0.25">
      <c r="A713" t="s">
        <v>651</v>
      </c>
      <c r="B713">
        <v>34</v>
      </c>
      <c r="C713" t="s">
        <v>3</v>
      </c>
      <c r="D713" t="s">
        <v>1101</v>
      </c>
      <c r="E713" s="9">
        <f>INDEX(Table1[],MATCH(Proj[[#This Row],[Player]],Table1[Player],0),5)</f>
        <v>12.057124818791101</v>
      </c>
      <c r="F713" s="9">
        <f>_xlfn.IFNA(INDEX(Table2[],MATCH(Proj[[#This Row],[Player]],Table2[Player],0),5),0)</f>
        <v>0</v>
      </c>
      <c r="G713" s="9">
        <f>_xlfn.IFNA(INDEX(Table3[],MATCH(Proj[[#This Row],[Player]],Table3[Player],0),5),0)</f>
        <v>1.4</v>
      </c>
      <c r="H713" s="10">
        <v>72</v>
      </c>
      <c r="I713">
        <v>72</v>
      </c>
      <c r="J713" s="9">
        <v>12.057124818791101</v>
      </c>
      <c r="K713" s="9">
        <v>0</v>
      </c>
      <c r="L713" s="9">
        <v>1.4</v>
      </c>
      <c r="M713" s="9">
        <f>Proj[[#This Row],[TOI ES]]+Proj[[#This Row],[TOI PP]]+Proj[[#This Row],[TOI PK]]</f>
        <v>13.457124818791101</v>
      </c>
      <c r="N71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1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13" s="10">
        <f>Proj[[#This Row],[Goals]]+Proj[[#This Row],[Assists]]</f>
        <v>9</v>
      </c>
      <c r="Q713" s="10">
        <f>ROUND(_xlfn.IFNA(INDEX(Table2[],MATCH(Proj[[#This Row],[Player]],Table2[Player],0),11)/60,IF(Proj[[#This Row],[Pos]] = "D", 'Per 60 PP'!$K$527,'Per 60 PP'!$K$526)/60)*Proj[[#This Row],[TOI PP]]*Proj[[#This Row],[GP]],0)</f>
        <v>0</v>
      </c>
      <c r="R713" s="10">
        <f>ROUND(_xlfn.IFNA(INDEX(Table2[],MATCH(Proj[[#This Row],[Player]],Table2[Player],0),7)/60,IF(Proj[[#This Row],[Pos]] = "D", 'Per 60 PP'!$G$527,'Per 60 PP'!$G$526)/60)*Proj[[#This Row],[TOI PP]]*Proj[[#This Row],[GP]],0)</f>
        <v>0</v>
      </c>
      <c r="S713" s="10">
        <f>Proj[[#This Row],[PPG]]+Proj[[#This Row],[PPA]]</f>
        <v>0</v>
      </c>
      <c r="T713">
        <f>ROUND((_xlfn.IFNA(INDEX(Table3[],MATCH(Proj[[#This Row],[Player]],Table3[Player],0),6)/60,IF(Proj[[#This Row],[Pos]] ="D", 'Per 60 PK'!$F$623, 'Per 60 PK'!$F$622)/60)+_xlfn.IFNA(INDEX(Table3[],MATCH(Proj[[#This Row],[Player]],Table3[Player],0),8)/60,IF(Proj[[#This Row],[Pos]] ="D", 'Per 60 PK'!$H$623, 'Per 60 PK'!$H$622)/60))*Proj[[#This Row],[TOI PK]]*Proj[[#This Row],[GP]],0)</f>
        <v>1</v>
      </c>
      <c r="U71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75</v>
      </c>
      <c r="V71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67</v>
      </c>
      <c r="W71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18</v>
      </c>
      <c r="X71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1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1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50</v>
      </c>
      <c r="AA71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-783.35304542869335</v>
      </c>
      <c r="AB713" s="10">
        <f>_xlfn.RANK.EQ(Proj[[#This Row],[VOR]],Proj[VOR])</f>
        <v>577</v>
      </c>
      <c r="AC713" s="10">
        <f>INDEX(Std[],MATCH(Proj[[#This Row],[Player]],Std[Player],0),20)</f>
        <v>-675.9882777092289</v>
      </c>
      <c r="AD71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158.14999999999998</v>
      </c>
    </row>
    <row r="714" spans="1:30" x14ac:dyDescent="0.25">
      <c r="A714" t="s">
        <v>1167</v>
      </c>
      <c r="B714">
        <v>26</v>
      </c>
      <c r="C714" t="s">
        <v>103</v>
      </c>
      <c r="D714" t="s">
        <v>31</v>
      </c>
      <c r="E714" s="9">
        <f>INDEX(Table1[],MATCH(Proj[[#This Row],[Player]],Table1[Player],0),5)</f>
        <v>9.5007246191307608</v>
      </c>
      <c r="F714" s="9">
        <f>_xlfn.IFNA(INDEX(Table2[],MATCH(Proj[[#This Row],[Player]],Table2[Player],0),5),0)</f>
        <v>0</v>
      </c>
      <c r="G714" s="9">
        <f>_xlfn.IFNA(INDEX(Table3[],MATCH(Proj[[#This Row],[Player]],Table3[Player],0),5),0)</f>
        <v>0</v>
      </c>
      <c r="H714" s="10">
        <v>46</v>
      </c>
      <c r="I714">
        <v>46</v>
      </c>
      <c r="J714" s="9">
        <v>9.5007246191307608</v>
      </c>
      <c r="K714" s="9">
        <v>0</v>
      </c>
      <c r="L714" s="9">
        <v>0</v>
      </c>
      <c r="M714" s="9">
        <f>Proj[[#This Row],[TOI ES]]+Proj[[#This Row],[TOI PP]]+Proj[[#This Row],[TOI PK]]</f>
        <v>9.5007246191307608</v>
      </c>
      <c r="N71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1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14">
        <f>Proj[[#This Row],[Goals]]+Proj[[#This Row],[Assists]]</f>
        <v>9</v>
      </c>
      <c r="Q714" s="10">
        <f>ROUND(_xlfn.IFNA(INDEX(Table2[],MATCH(Proj[[#This Row],[Player]],Table2[Player],0),11)/60,IF(Proj[[#This Row],[Pos]] = "D", 'Per 60 PP'!$K$527,'Per 60 PP'!$K$526)/60)*Proj[[#This Row],[TOI PP]]*Proj[[#This Row],[GP]],0)</f>
        <v>0</v>
      </c>
      <c r="R714" s="10">
        <f>ROUND(_xlfn.IFNA(INDEX(Table2[],MATCH(Proj[[#This Row],[Player]],Table2[Player],0),7)/60,IF(Proj[[#This Row],[Pos]] = "D", 'Per 60 PP'!$G$527,'Per 60 PP'!$G$526)/60)*Proj[[#This Row],[TOI PP]]*Proj[[#This Row],[GP]],0)</f>
        <v>0</v>
      </c>
      <c r="S714" s="10">
        <f>Proj[[#This Row],[PPG]]+Proj[[#This Row],[PPA]]</f>
        <v>0</v>
      </c>
      <c r="T714">
        <f>ROUND((_xlfn.IFNA(INDEX(Table3[],MATCH(Proj[[#This Row],[Player]],Table3[Player],0),6)/60,IF(Proj[[#This Row],[Pos]] ="D", 'Per 60 PK'!$F$623, 'Per 60 PK'!$F$622)/60)+_xlfn.IFNA(INDEX(Table3[],MATCH(Proj[[#This Row],[Player]],Table3[Player],0),8)/60,IF(Proj[[#This Row],[Pos]] ="D", 'Per 60 PK'!$H$623, 'Per 60 PK'!$H$622)/60))*Proj[[#This Row],[TOI PK]]*Proj[[#This Row],[GP]],0)</f>
        <v>0</v>
      </c>
      <c r="U71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76</v>
      </c>
      <c r="V71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71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71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29</v>
      </c>
      <c r="Y71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29</v>
      </c>
      <c r="Z71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42</v>
      </c>
      <c r="AA71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-1198.5034786058718</v>
      </c>
      <c r="AB714" s="10">
        <f>_xlfn.RANK.EQ(Proj[[#This Row],[VOR]],Proj[VOR])</f>
        <v>696</v>
      </c>
      <c r="AC714" s="10">
        <f>INDEX(Std[],MATCH(Proj[[#This Row],[Player]],Std[Player],0),20)</f>
        <v>-751.95875421562289</v>
      </c>
      <c r="AD71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131.70000000000002</v>
      </c>
    </row>
    <row r="715" spans="1:30" x14ac:dyDescent="0.25">
      <c r="A715" t="s">
        <v>710</v>
      </c>
      <c r="B715">
        <v>31</v>
      </c>
      <c r="C715" t="s">
        <v>74</v>
      </c>
      <c r="D715" t="s">
        <v>22</v>
      </c>
      <c r="E715" s="9">
        <f>INDEX(Table1[],MATCH(Proj[[#This Row],[Player]],Table1[Player],0),5)</f>
        <v>9.14153224237206</v>
      </c>
      <c r="F715" s="9">
        <f>_xlfn.IFNA(INDEX(Table2[],MATCH(Proj[[#This Row],[Player]],Table2[Player],0),5),0)</f>
        <v>0</v>
      </c>
      <c r="G715" s="9">
        <f>_xlfn.IFNA(INDEX(Table3[],MATCH(Proj[[#This Row],[Player]],Table3[Player],0),5),0)</f>
        <v>2.5299999999999998</v>
      </c>
      <c r="H715" s="10">
        <v>47</v>
      </c>
      <c r="I715">
        <v>47</v>
      </c>
      <c r="J715" s="9">
        <v>9.14153224237206</v>
      </c>
      <c r="K715" s="9">
        <v>0</v>
      </c>
      <c r="L715" s="9">
        <v>2.5299999999999998</v>
      </c>
      <c r="M715" s="9">
        <f>Proj[[#This Row],[TOI ES]]+Proj[[#This Row],[TOI PP]]+Proj[[#This Row],[TOI PK]]</f>
        <v>11.671532242372059</v>
      </c>
      <c r="N71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5</v>
      </c>
      <c r="O71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15" s="10">
        <f>Proj[[#This Row],[Goals]]+Proj[[#This Row],[Assists]]</f>
        <v>9</v>
      </c>
      <c r="Q715" s="10">
        <f>ROUND(_xlfn.IFNA(INDEX(Table2[],MATCH(Proj[[#This Row],[Player]],Table2[Player],0),11)/60,IF(Proj[[#This Row],[Pos]] = "D", 'Per 60 PP'!$K$527,'Per 60 PP'!$K$526)/60)*Proj[[#This Row],[TOI PP]]*Proj[[#This Row],[GP]],0)</f>
        <v>0</v>
      </c>
      <c r="R715" s="10">
        <f>ROUND(_xlfn.IFNA(INDEX(Table2[],MATCH(Proj[[#This Row],[Player]],Table2[Player],0),7)/60,IF(Proj[[#This Row],[Pos]] = "D", 'Per 60 PP'!$G$527,'Per 60 PP'!$G$526)/60)*Proj[[#This Row],[TOI PP]]*Proj[[#This Row],[GP]],0)</f>
        <v>0</v>
      </c>
      <c r="S715" s="10">
        <f>Proj[[#This Row],[PPG]]+Proj[[#This Row],[PPA]]</f>
        <v>0</v>
      </c>
      <c r="T715">
        <f>ROUND((_xlfn.IFNA(INDEX(Table3[],MATCH(Proj[[#This Row],[Player]],Table3[Player],0),6)/60,IF(Proj[[#This Row],[Pos]] ="D", 'Per 60 PK'!$F$623, 'Per 60 PK'!$F$622)/60)+_xlfn.IFNA(INDEX(Table3[],MATCH(Proj[[#This Row],[Player]],Table3[Player],0),8)/60,IF(Proj[[#This Row],[Pos]] ="D", 'Per 60 PK'!$H$623, 'Per 60 PK'!$H$622)/60))*Proj[[#This Row],[TOI PK]]*Proj[[#This Row],[GP]],0)</f>
        <v>1</v>
      </c>
      <c r="U71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83</v>
      </c>
      <c r="V71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39</v>
      </c>
      <c r="W71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v>
      </c>
      <c r="X71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131</v>
      </c>
      <c r="Y71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152</v>
      </c>
      <c r="Z71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41</v>
      </c>
      <c r="AA71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-1442.0998625903867</v>
      </c>
      <c r="AB715" s="10">
        <f>_xlfn.RANK.EQ(Proj[[#This Row],[VOR]],Proj[VOR])</f>
        <v>734</v>
      </c>
      <c r="AC715" s="10">
        <f>INDEX(Std[],MATCH(Proj[[#This Row],[Player]],Std[Player],0),20)</f>
        <v>-707.46600828008798</v>
      </c>
      <c r="AD71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154.49999999999997</v>
      </c>
    </row>
    <row r="716" spans="1:30" x14ac:dyDescent="0.25">
      <c r="A716" t="s">
        <v>1017</v>
      </c>
      <c r="B716">
        <v>28</v>
      </c>
      <c r="C716" t="s">
        <v>74</v>
      </c>
      <c r="D716" t="s">
        <v>15</v>
      </c>
      <c r="E716" s="9">
        <f>INDEX(Table1[],MATCH(Proj[[#This Row],[Player]],Table1[Player],0),5)</f>
        <v>7.2636176379061403</v>
      </c>
      <c r="F716" s="9">
        <f>_xlfn.IFNA(INDEX(Table2[],MATCH(Proj[[#This Row],[Player]],Table2[Player],0),5),0)</f>
        <v>1.26</v>
      </c>
      <c r="G716" s="9">
        <f>_xlfn.IFNA(INDEX(Table3[],MATCH(Proj[[#This Row],[Player]],Table3[Player],0),5),0)</f>
        <v>0</v>
      </c>
      <c r="H716" s="10">
        <v>54</v>
      </c>
      <c r="I716">
        <v>54</v>
      </c>
      <c r="J716" s="9">
        <v>7.2636176379061403</v>
      </c>
      <c r="K716" s="9">
        <v>1.26</v>
      </c>
      <c r="L716" s="9">
        <v>0</v>
      </c>
      <c r="M716" s="9">
        <f>Proj[[#This Row],[TOI ES]]+Proj[[#This Row],[TOI PP]]+Proj[[#This Row],[TOI PK]]</f>
        <v>8.5236176379061401</v>
      </c>
      <c r="N71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1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16" s="10">
        <f>Proj[[#This Row],[Goals]]+Proj[[#This Row],[Assists]]</f>
        <v>9</v>
      </c>
      <c r="Q716" s="10">
        <f>ROUND(_xlfn.IFNA(INDEX(Table2[],MATCH(Proj[[#This Row],[Player]],Table2[Player],0),11)/60,IF(Proj[[#This Row],[Pos]] = "D", 'Per 60 PP'!$K$527,'Per 60 PP'!$K$526)/60)*Proj[[#This Row],[TOI PP]]*Proj[[#This Row],[GP]],0)</f>
        <v>1</v>
      </c>
      <c r="R716" s="10">
        <f>ROUND(_xlfn.IFNA(INDEX(Table2[],MATCH(Proj[[#This Row],[Player]],Table2[Player],0),7)/60,IF(Proj[[#This Row],[Pos]] = "D", 'Per 60 PP'!$G$527,'Per 60 PP'!$G$526)/60)*Proj[[#This Row],[TOI PP]]*Proj[[#This Row],[GP]],0)</f>
        <v>2</v>
      </c>
      <c r="S716" s="10">
        <f>Proj[[#This Row],[PPG]]+Proj[[#This Row],[PPA]]</f>
        <v>3</v>
      </c>
      <c r="T716">
        <f>ROUND((_xlfn.IFNA(INDEX(Table3[],MATCH(Proj[[#This Row],[Player]],Table3[Player],0),6)/60,IF(Proj[[#This Row],[Pos]] ="D", 'Per 60 PK'!$F$623, 'Per 60 PK'!$F$622)/60)+_xlfn.IFNA(INDEX(Table3[],MATCH(Proj[[#This Row],[Player]],Table3[Player],0),8)/60,IF(Proj[[#This Row],[Pos]] ="D", 'Per 60 PK'!$H$623, 'Per 60 PK'!$H$622)/60))*Proj[[#This Row],[TOI PK]]*Proj[[#This Row],[GP]],0)</f>
        <v>0</v>
      </c>
      <c r="U71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94</v>
      </c>
      <c r="V71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71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66</v>
      </c>
      <c r="X71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42</v>
      </c>
      <c r="Y71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28</v>
      </c>
      <c r="Z71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46</v>
      </c>
      <c r="AA71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-1211.746939799955</v>
      </c>
      <c r="AB716" s="10">
        <f>_xlfn.RANK.EQ(Proj[[#This Row],[VOR]],Proj[VOR])</f>
        <v>699</v>
      </c>
      <c r="AC716" s="10">
        <f>INDEX(Std[],MATCH(Proj[[#This Row],[Player]],Std[Player],0),20)</f>
        <v>-477.11308548965638</v>
      </c>
      <c r="AD71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166.45</v>
      </c>
    </row>
    <row r="717" spans="1:30" x14ac:dyDescent="0.25">
      <c r="A717" t="s">
        <v>561</v>
      </c>
      <c r="B717">
        <v>28</v>
      </c>
      <c r="C717" t="s">
        <v>102</v>
      </c>
      <c r="D717" t="s">
        <v>34</v>
      </c>
      <c r="E717" s="9">
        <f>INDEX(Table1[],MATCH(Proj[[#This Row],[Player]],Table1[Player],0),5)</f>
        <v>8.5152167367782905</v>
      </c>
      <c r="F717" s="9">
        <f>_xlfn.IFNA(INDEX(Table2[],MATCH(Proj[[#This Row],[Player]],Table2[Player],0),5),0)</f>
        <v>0</v>
      </c>
      <c r="G717" s="9">
        <f>_xlfn.IFNA(INDEX(Table3[],MATCH(Proj[[#This Row],[Player]],Table3[Player],0),5),0)</f>
        <v>0.65</v>
      </c>
      <c r="H717" s="10">
        <v>50</v>
      </c>
      <c r="I717">
        <v>50</v>
      </c>
      <c r="J717" s="9">
        <v>8.5152167367782905</v>
      </c>
      <c r="K717" s="9">
        <v>0</v>
      </c>
      <c r="L717" s="9">
        <v>0.65</v>
      </c>
      <c r="M717" s="9">
        <f>Proj[[#This Row],[TOI ES]]+Proj[[#This Row],[TOI PP]]+Proj[[#This Row],[TOI PK]]</f>
        <v>9.1652167367782909</v>
      </c>
      <c r="N71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1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17" s="10">
        <f>Proj[[#This Row],[Goals]]+Proj[[#This Row],[Assists]]</f>
        <v>9</v>
      </c>
      <c r="Q717" s="10">
        <f>ROUND(_xlfn.IFNA(INDEX(Table2[],MATCH(Proj[[#This Row],[Player]],Table2[Player],0),11)/60,IF(Proj[[#This Row],[Pos]] = "D", 'Per 60 PP'!$K$527,'Per 60 PP'!$K$526)/60)*Proj[[#This Row],[TOI PP]]*Proj[[#This Row],[GP]],0)</f>
        <v>0</v>
      </c>
      <c r="R717" s="10">
        <f>ROUND(_xlfn.IFNA(INDEX(Table2[],MATCH(Proj[[#This Row],[Player]],Table2[Player],0),7)/60,IF(Proj[[#This Row],[Pos]] = "D", 'Per 60 PP'!$G$527,'Per 60 PP'!$G$526)/60)*Proj[[#This Row],[TOI PP]]*Proj[[#This Row],[GP]],0)</f>
        <v>0</v>
      </c>
      <c r="S717" s="10">
        <f>Proj[[#This Row],[PPG]]+Proj[[#This Row],[PPA]]</f>
        <v>0</v>
      </c>
      <c r="T717">
        <f>ROUND((_xlfn.IFNA(INDEX(Table3[],MATCH(Proj[[#This Row],[Player]],Table3[Player],0),6)/60,IF(Proj[[#This Row],[Pos]] ="D", 'Per 60 PK'!$F$623, 'Per 60 PK'!$F$622)/60)+_xlfn.IFNA(INDEX(Table3[],MATCH(Proj[[#This Row],[Player]],Table3[Player],0),8)/60,IF(Proj[[#This Row],[Pos]] ="D", 'Per 60 PK'!$H$623, 'Per 60 PK'!$H$622)/60))*Proj[[#This Row],[TOI PK]]*Proj[[#This Row],[GP]],0)</f>
        <v>0</v>
      </c>
      <c r="U71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99</v>
      </c>
      <c r="V71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v>
      </c>
      <c r="W71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81</v>
      </c>
      <c r="X71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v>
      </c>
      <c r="Y71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71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71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-918.47086408610164</v>
      </c>
      <c r="AB717" s="10">
        <f>_xlfn.RANK.EQ(Proj[[#This Row],[VOR]],Proj[VOR])</f>
        <v>636</v>
      </c>
      <c r="AC717" s="10">
        <f>INDEX(Std[],MATCH(Proj[[#This Row],[Player]],Std[Player],0),20)</f>
        <v>-446.92613969585278</v>
      </c>
      <c r="AD71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169.35</v>
      </c>
    </row>
    <row r="718" spans="1:30" x14ac:dyDescent="0.25">
      <c r="A718" t="s">
        <v>813</v>
      </c>
      <c r="B718">
        <v>26</v>
      </c>
      <c r="C718" t="s">
        <v>103</v>
      </c>
      <c r="D718" t="s">
        <v>154</v>
      </c>
      <c r="E718" s="9">
        <f>INDEX(Table1[],MATCH(Proj[[#This Row],[Player]],Table1[Player],0),5)</f>
        <v>7.9918955905538702</v>
      </c>
      <c r="F718" s="9">
        <f>_xlfn.IFNA(INDEX(Table2[],MATCH(Proj[[#This Row],[Player]],Table2[Player],0),5),0)</f>
        <v>0</v>
      </c>
      <c r="G718" s="9">
        <f>_xlfn.IFNA(INDEX(Table3[],MATCH(Proj[[#This Row],[Player]],Table3[Player],0),5),0)</f>
        <v>0</v>
      </c>
      <c r="H718" s="10">
        <v>63</v>
      </c>
      <c r="I718">
        <v>63</v>
      </c>
      <c r="J718" s="9">
        <v>7.9918955905538702</v>
      </c>
      <c r="K718" s="9">
        <v>0</v>
      </c>
      <c r="L718" s="9">
        <v>0</v>
      </c>
      <c r="M718" s="9">
        <f>Proj[[#This Row],[TOI ES]]+Proj[[#This Row],[TOI PP]]+Proj[[#This Row],[TOI PK]]</f>
        <v>7.9918955905538702</v>
      </c>
      <c r="N71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1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18" s="10">
        <f>Proj[[#This Row],[Goals]]+Proj[[#This Row],[Assists]]</f>
        <v>9</v>
      </c>
      <c r="Q718" s="10">
        <f>ROUND(_xlfn.IFNA(INDEX(Table2[],MATCH(Proj[[#This Row],[Player]],Table2[Player],0),11)/60,IF(Proj[[#This Row],[Pos]] = "D", 'Per 60 PP'!$K$527,'Per 60 PP'!$K$526)/60)*Proj[[#This Row],[TOI PP]]*Proj[[#This Row],[GP]],0)</f>
        <v>0</v>
      </c>
      <c r="R718" s="10">
        <f>ROUND(_xlfn.IFNA(INDEX(Table2[],MATCH(Proj[[#This Row],[Player]],Table2[Player],0),7)/60,IF(Proj[[#This Row],[Pos]] = "D", 'Per 60 PP'!$G$527,'Per 60 PP'!$G$526)/60)*Proj[[#This Row],[TOI PP]]*Proj[[#This Row],[GP]],0)</f>
        <v>0</v>
      </c>
      <c r="S718" s="10">
        <f>Proj[[#This Row],[PPG]]+Proj[[#This Row],[PPA]]</f>
        <v>0</v>
      </c>
      <c r="T718">
        <f>ROUND((_xlfn.IFNA(INDEX(Table3[],MATCH(Proj[[#This Row],[Player]],Table3[Player],0),6)/60,IF(Proj[[#This Row],[Pos]] ="D", 'Per 60 PK'!$F$623, 'Per 60 PK'!$F$622)/60)+_xlfn.IFNA(INDEX(Table3[],MATCH(Proj[[#This Row],[Player]],Table3[Player],0),8)/60,IF(Proj[[#This Row],[Pos]] ="D", 'Per 60 PK'!$H$623, 'Per 60 PK'!$H$622)/60))*Proj[[#This Row],[TOI PK]]*Proj[[#This Row],[GP]],0)</f>
        <v>0</v>
      </c>
      <c r="U71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121</v>
      </c>
      <c r="V71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71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115</v>
      </c>
      <c r="X71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v>
      </c>
      <c r="Y71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v>
      </c>
      <c r="Z71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56</v>
      </c>
      <c r="AA71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-669.31641992913649</v>
      </c>
      <c r="AB718" s="10">
        <f>_xlfn.RANK.EQ(Proj[[#This Row],[VOR]],Proj[VOR])</f>
        <v>512</v>
      </c>
      <c r="AC718" s="10">
        <f>INDEX(Std[],MATCH(Proj[[#This Row],[Player]],Std[Player],0),20)</f>
        <v>-222.77169553888766</v>
      </c>
      <c r="AD71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202.6</v>
      </c>
    </row>
    <row r="719" spans="1:30" x14ac:dyDescent="0.25">
      <c r="A719" t="s">
        <v>761</v>
      </c>
      <c r="B719">
        <v>30</v>
      </c>
      <c r="C719" t="s">
        <v>102</v>
      </c>
      <c r="D719" t="s">
        <v>5</v>
      </c>
      <c r="E719" s="9">
        <f>INDEX(Table1[],MATCH(Proj[[#This Row],[Player]],Table1[Player],0),5)</f>
        <v>8.7234900076643207</v>
      </c>
      <c r="F719" s="9">
        <f>_xlfn.IFNA(INDEX(Table2[],MATCH(Proj[[#This Row],[Player]],Table2[Player],0),5),0)</f>
        <v>0</v>
      </c>
      <c r="G719" s="9">
        <f>_xlfn.IFNA(INDEX(Table3[],MATCH(Proj[[#This Row],[Player]],Table3[Player],0),5),0)</f>
        <v>0</v>
      </c>
      <c r="H719" s="10">
        <v>68</v>
      </c>
      <c r="I719">
        <v>68</v>
      </c>
      <c r="J719" s="9">
        <v>8.7234900076643207</v>
      </c>
      <c r="K719" s="9">
        <v>0</v>
      </c>
      <c r="L719" s="9">
        <v>0</v>
      </c>
      <c r="M719" s="9">
        <f>Proj[[#This Row],[TOI ES]]+Proj[[#This Row],[TOI PP]]+Proj[[#This Row],[TOI PK]]</f>
        <v>8.7234900076643207</v>
      </c>
      <c r="N71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1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19" s="10">
        <f>Proj[[#This Row],[Goals]]+Proj[[#This Row],[Assists]]</f>
        <v>9</v>
      </c>
      <c r="Q719" s="10">
        <f>ROUND(_xlfn.IFNA(INDEX(Table2[],MATCH(Proj[[#This Row],[Player]],Table2[Player],0),11)/60,IF(Proj[[#This Row],[Pos]] = "D", 'Per 60 PP'!$K$527,'Per 60 PP'!$K$526)/60)*Proj[[#This Row],[TOI PP]]*Proj[[#This Row],[GP]],0)</f>
        <v>0</v>
      </c>
      <c r="R719" s="10">
        <f>ROUND(_xlfn.IFNA(INDEX(Table2[],MATCH(Proj[[#This Row],[Player]],Table2[Player],0),7)/60,IF(Proj[[#This Row],[Pos]] = "D", 'Per 60 PP'!$G$527,'Per 60 PP'!$G$526)/60)*Proj[[#This Row],[TOI PP]]*Proj[[#This Row],[GP]],0)</f>
        <v>0</v>
      </c>
      <c r="S719" s="10">
        <f>Proj[[#This Row],[PPG]]+Proj[[#This Row],[PPA]]</f>
        <v>0</v>
      </c>
      <c r="T719">
        <f>ROUND((_xlfn.IFNA(INDEX(Table3[],MATCH(Proj[[#This Row],[Player]],Table3[Player],0),6)/60,IF(Proj[[#This Row],[Pos]] ="D", 'Per 60 PK'!$F$623, 'Per 60 PK'!$F$622)/60)+_xlfn.IFNA(INDEX(Table3[],MATCH(Proj[[#This Row],[Player]],Table3[Player],0),8)/60,IF(Proj[[#This Row],[Pos]] ="D", 'Per 60 PK'!$H$623, 'Per 60 PK'!$H$622)/60))*Proj[[#This Row],[TOI PK]]*Proj[[#This Row],[GP]],0)</f>
        <v>0</v>
      </c>
      <c r="U71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134</v>
      </c>
      <c r="V71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29</v>
      </c>
      <c r="W71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90</v>
      </c>
      <c r="X71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10</v>
      </c>
      <c r="Y71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v>
      </c>
      <c r="Z71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36</v>
      </c>
      <c r="AA71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-800.59230387407899</v>
      </c>
      <c r="AB719" s="10">
        <f>_xlfn.RANK.EQ(Proj[[#This Row],[VOR]],Proj[VOR])</f>
        <v>588</v>
      </c>
      <c r="AC719" s="10">
        <f>INDEX(Std[],MATCH(Proj[[#This Row],[Player]],Std[Player],0),20)</f>
        <v>-329.04757948383013</v>
      </c>
      <c r="AD71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194.79999999999998</v>
      </c>
    </row>
    <row r="720" spans="1:30" x14ac:dyDescent="0.25">
      <c r="A720" t="s">
        <v>517</v>
      </c>
      <c r="B720">
        <v>33</v>
      </c>
      <c r="C720" t="s">
        <v>102</v>
      </c>
      <c r="D720" t="s">
        <v>32</v>
      </c>
      <c r="E720" s="9">
        <f>INDEX(Table1[],MATCH(Proj[[#This Row],[Player]],Table1[Player],0),5)</f>
        <v>8.4396919966648092</v>
      </c>
      <c r="F720" s="9">
        <f>_xlfn.IFNA(INDEX(Table2[],MATCH(Proj[[#This Row],[Player]],Table2[Player],0),5),0)</f>
        <v>0</v>
      </c>
      <c r="G720" s="9">
        <f>_xlfn.IFNA(INDEX(Table3[],MATCH(Proj[[#This Row],[Player]],Table3[Player],0),5),0)</f>
        <v>0.95</v>
      </c>
      <c r="H720" s="10">
        <v>70</v>
      </c>
      <c r="I720">
        <v>70</v>
      </c>
      <c r="J720" s="9">
        <v>8.4396919966648092</v>
      </c>
      <c r="K720" s="9">
        <v>0</v>
      </c>
      <c r="L720" s="9">
        <v>0.95</v>
      </c>
      <c r="M720" s="9">
        <f>Proj[[#This Row],[TOI ES]]+Proj[[#This Row],[TOI PP]]+Proj[[#This Row],[TOI PK]]</f>
        <v>9.3896919966648085</v>
      </c>
      <c r="N72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2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20">
        <f>Proj[[#This Row],[Goals]]+Proj[[#This Row],[Assists]]</f>
        <v>9</v>
      </c>
      <c r="Q720" s="10">
        <f>ROUND(_xlfn.IFNA(INDEX(Table2[],MATCH(Proj[[#This Row],[Player]],Table2[Player],0),11)/60,IF(Proj[[#This Row],[Pos]] = "D", 'Per 60 PP'!$K$527,'Per 60 PP'!$K$526)/60)*Proj[[#This Row],[TOI PP]]*Proj[[#This Row],[GP]],0)</f>
        <v>0</v>
      </c>
      <c r="R720" s="10">
        <f>ROUND(_xlfn.IFNA(INDEX(Table2[],MATCH(Proj[[#This Row],[Player]],Table2[Player],0),7)/60,IF(Proj[[#This Row],[Pos]] = "D", 'Per 60 PP'!$G$527,'Per 60 PP'!$G$526)/60)*Proj[[#This Row],[TOI PP]]*Proj[[#This Row],[GP]],0)</f>
        <v>0</v>
      </c>
      <c r="S720" s="10">
        <f>Proj[[#This Row],[PPG]]+Proj[[#This Row],[PPA]]</f>
        <v>0</v>
      </c>
      <c r="T720">
        <f>ROUND((_xlfn.IFNA(INDEX(Table3[],MATCH(Proj[[#This Row],[Player]],Table3[Player],0),6)/60,IF(Proj[[#This Row],[Pos]] ="D", 'Per 60 PK'!$F$623, 'Per 60 PK'!$F$622)/60)+_xlfn.IFNA(INDEX(Table3[],MATCH(Proj[[#This Row],[Player]],Table3[Player],0),8)/60,IF(Proj[[#This Row],[Pos]] ="D", 'Per 60 PK'!$H$623, 'Per 60 PK'!$H$622)/60))*Proj[[#This Row],[TOI PK]]*Proj[[#This Row],[GP]],0)</f>
        <v>1</v>
      </c>
      <c r="U72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196</v>
      </c>
      <c r="V72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31</v>
      </c>
      <c r="W72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105</v>
      </c>
      <c r="X72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9</v>
      </c>
      <c r="Y72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14</v>
      </c>
      <c r="Z72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59</v>
      </c>
      <c r="AA72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-566.10468066514989</v>
      </c>
      <c r="AB720" s="10">
        <f>_xlfn.RANK.EQ(Proj[[#This Row],[VOR]],Proj[VOR])</f>
        <v>464</v>
      </c>
      <c r="AC720" s="10">
        <f>INDEX(Std[],MATCH(Proj[[#This Row],[Player]],Std[Player],0),20)</f>
        <v>-94.559956274901012</v>
      </c>
      <c r="AD72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251.85</v>
      </c>
    </row>
    <row r="721" spans="1:30" x14ac:dyDescent="0.25">
      <c r="A721" t="s">
        <v>920</v>
      </c>
      <c r="B721">
        <v>26</v>
      </c>
      <c r="C721" t="s">
        <v>3</v>
      </c>
      <c r="D721" t="s">
        <v>30</v>
      </c>
      <c r="E721" s="9">
        <f>INDEX(Table1[],MATCH(Proj[[#This Row],[Player]],Table1[Player],0),5)</f>
        <v>15.703157999453801</v>
      </c>
      <c r="F721" s="9">
        <f>_xlfn.IFNA(INDEX(Table2[],MATCH(Proj[[#This Row],[Player]],Table2[Player],0),5),0)</f>
        <v>0</v>
      </c>
      <c r="G721" s="9">
        <f>_xlfn.IFNA(INDEX(Table3[],MATCH(Proj[[#This Row],[Player]],Table3[Player],0),5),0)</f>
        <v>1.97</v>
      </c>
      <c r="H721" s="10">
        <v>72</v>
      </c>
      <c r="I721">
        <v>72</v>
      </c>
      <c r="J721" s="9">
        <v>15.703157999453801</v>
      </c>
      <c r="K721" s="9">
        <v>0</v>
      </c>
      <c r="L721" s="9">
        <v>1.97</v>
      </c>
      <c r="M721" s="9">
        <f>Proj[[#This Row],[TOI ES]]+Proj[[#This Row],[TOI PP]]+Proj[[#This Row],[TOI PK]]</f>
        <v>17.6731579994538</v>
      </c>
      <c r="N72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2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21">
        <f>Proj[[#This Row],[Goals]]+Proj[[#This Row],[Assists]]</f>
        <v>9</v>
      </c>
      <c r="Q721" s="10">
        <f>ROUND(_xlfn.IFNA(INDEX(Table2[],MATCH(Proj[[#This Row],[Player]],Table2[Player],0),11)/60,IF(Proj[[#This Row],[Pos]] = "D", 'Per 60 PP'!$K$527,'Per 60 PP'!$K$526)/60)*Proj[[#This Row],[TOI PP]]*Proj[[#This Row],[GP]],0)</f>
        <v>0</v>
      </c>
      <c r="R721" s="10">
        <f>ROUND(_xlfn.IFNA(INDEX(Table2[],MATCH(Proj[[#This Row],[Player]],Table2[Player],0),7)/60,IF(Proj[[#This Row],[Pos]] = "D", 'Per 60 PP'!$G$527,'Per 60 PP'!$G$526)/60)*Proj[[#This Row],[TOI PP]]*Proj[[#This Row],[GP]],0)</f>
        <v>0</v>
      </c>
      <c r="S721" s="10">
        <f>Proj[[#This Row],[PPG]]+Proj[[#This Row],[PPA]]</f>
        <v>0</v>
      </c>
      <c r="T721">
        <f>ROUND((_xlfn.IFNA(INDEX(Table3[],MATCH(Proj[[#This Row],[Player]],Table3[Player],0),6)/60,IF(Proj[[#This Row],[Pos]] ="D", 'Per 60 PK'!$F$623, 'Per 60 PK'!$F$622)/60)+_xlfn.IFNA(INDEX(Table3[],MATCH(Proj[[#This Row],[Player]],Table3[Player],0),8)/60,IF(Proj[[#This Row],[Pos]] ="D", 'Per 60 PK'!$H$623, 'Per 60 PK'!$H$622)/60))*Proj[[#This Row],[TOI PK]]*Proj[[#This Row],[GP]],0)</f>
        <v>0</v>
      </c>
      <c r="U72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243</v>
      </c>
      <c r="V72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109</v>
      </c>
      <c r="W72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49</v>
      </c>
      <c r="X72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2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2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64</v>
      </c>
      <c r="AA72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-193.2868392138312</v>
      </c>
      <c r="AB721" s="10">
        <f>_xlfn.RANK.EQ(Proj[[#This Row],[VOR]],Proj[VOR])</f>
        <v>243</v>
      </c>
      <c r="AC721" s="10">
        <f>INDEX(Std[],MATCH(Proj[[#This Row],[Player]],Std[Player],0),20)</f>
        <v>-85.922071494366719</v>
      </c>
      <c r="AD72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303.55</v>
      </c>
    </row>
    <row r="722" spans="1:30" x14ac:dyDescent="0.25">
      <c r="A722" t="s">
        <v>755</v>
      </c>
      <c r="B722">
        <v>32</v>
      </c>
      <c r="C722" t="s">
        <v>102</v>
      </c>
      <c r="D722" t="s">
        <v>25</v>
      </c>
      <c r="E722" s="9">
        <f>INDEX(Table1[],MATCH(Proj[[#This Row],[Player]],Table1[Player],0),5)</f>
        <v>9.68806310532349</v>
      </c>
      <c r="F722" s="9">
        <f>_xlfn.IFNA(INDEX(Table2[],MATCH(Proj[[#This Row],[Player]],Table2[Player],0),5),0)</f>
        <v>1.0900000000000001</v>
      </c>
      <c r="G722" s="9">
        <f>_xlfn.IFNA(INDEX(Table3[],MATCH(Proj[[#This Row],[Player]],Table3[Player],0),5),0)</f>
        <v>2.2599999999999998</v>
      </c>
      <c r="H722" s="10">
        <v>30</v>
      </c>
      <c r="I722">
        <v>30</v>
      </c>
      <c r="J722" s="9">
        <v>9.68806310532349</v>
      </c>
      <c r="K722" s="9">
        <v>1.0900000000000001</v>
      </c>
      <c r="L722" s="9">
        <v>2.2599999999999998</v>
      </c>
      <c r="M722" s="9">
        <f>Proj[[#This Row],[TOI ES]]+Proj[[#This Row],[TOI PP]]+Proj[[#This Row],[TOI PK]]</f>
        <v>13.03806310532349</v>
      </c>
      <c r="N72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2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22">
        <f>Proj[[#This Row],[Goals]]+Proj[[#This Row],[Assists]]</f>
        <v>8</v>
      </c>
      <c r="Q722" s="10">
        <f>ROUND(_xlfn.IFNA(INDEX(Table2[],MATCH(Proj[[#This Row],[Player]],Table2[Player],0),11)/60,IF(Proj[[#This Row],[Pos]] = "D", 'Per 60 PP'!$K$527,'Per 60 PP'!$K$526)/60)*Proj[[#This Row],[TOI PP]]*Proj[[#This Row],[GP]],0)</f>
        <v>1</v>
      </c>
      <c r="R722" s="10">
        <f>ROUND(_xlfn.IFNA(INDEX(Table2[],MATCH(Proj[[#This Row],[Player]],Table2[Player],0),7)/60,IF(Proj[[#This Row],[Pos]] = "D", 'Per 60 PP'!$G$527,'Per 60 PP'!$G$526)/60)*Proj[[#This Row],[TOI PP]]*Proj[[#This Row],[GP]],0)</f>
        <v>1</v>
      </c>
      <c r="S722" s="10">
        <f>Proj[[#This Row],[PPG]]+Proj[[#This Row],[PPA]]</f>
        <v>2</v>
      </c>
      <c r="T722">
        <f>ROUND((_xlfn.IFNA(INDEX(Table3[],MATCH(Proj[[#This Row],[Player]],Table3[Player],0),6)/60,IF(Proj[[#This Row],[Pos]] ="D", 'Per 60 PK'!$F$623, 'Per 60 PK'!$F$622)/60)+_xlfn.IFNA(INDEX(Table3[],MATCH(Proj[[#This Row],[Player]],Table3[Player],0),8)/60,IF(Proj[[#This Row],[Pos]] ="D", 'Per 60 PK'!$H$623, 'Per 60 PK'!$H$622)/60))*Proj[[#This Row],[TOI PK]]*Proj[[#This Row],[GP]],0)</f>
        <v>0</v>
      </c>
      <c r="U72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19</v>
      </c>
      <c r="V72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v>
      </c>
      <c r="W72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7</v>
      </c>
      <c r="X72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72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v>
      </c>
      <c r="Z72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28</v>
      </c>
      <c r="AA72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-1447.7783484901136</v>
      </c>
      <c r="AB722" s="10">
        <f>_xlfn.RANK.EQ(Proj[[#This Row],[VOR]],Proj[VOR])</f>
        <v>735</v>
      </c>
      <c r="AC722" s="10">
        <f>INDEX(Std[],MATCH(Proj[[#This Row],[Player]],Std[Player],0),20)</f>
        <v>-976.23362409986464</v>
      </c>
      <c r="AD72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77.55</v>
      </c>
    </row>
    <row r="723" spans="1:30" x14ac:dyDescent="0.25">
      <c r="A723" t="s">
        <v>810</v>
      </c>
      <c r="B723">
        <v>27</v>
      </c>
      <c r="C723" t="s">
        <v>74</v>
      </c>
      <c r="D723" t="s">
        <v>87</v>
      </c>
      <c r="E723" s="9">
        <f>INDEX(Table1[],MATCH(Proj[[#This Row],[Player]],Table1[Player],0),5)</f>
        <v>8.8675045665935208</v>
      </c>
      <c r="F723" s="9">
        <f>_xlfn.IFNA(INDEX(Table2[],MATCH(Proj[[#This Row],[Player]],Table2[Player],0),5),0)</f>
        <v>0</v>
      </c>
      <c r="G723" s="9">
        <f>_xlfn.IFNA(INDEX(Table3[],MATCH(Proj[[#This Row],[Player]],Table3[Player],0),5),0)</f>
        <v>1.1000000000000001</v>
      </c>
      <c r="H723" s="10">
        <v>44</v>
      </c>
      <c r="I723">
        <v>44</v>
      </c>
      <c r="J723" s="9">
        <v>8.8675045665935208</v>
      </c>
      <c r="K723" s="9">
        <v>0</v>
      </c>
      <c r="L723" s="9">
        <v>1.1000000000000001</v>
      </c>
      <c r="M723" s="9">
        <f>Proj[[#This Row],[TOI ES]]+Proj[[#This Row],[TOI PP]]+Proj[[#This Row],[TOI PK]]</f>
        <v>9.9675045665935205</v>
      </c>
      <c r="N72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2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23" s="10">
        <f>Proj[[#This Row],[Goals]]+Proj[[#This Row],[Assists]]</f>
        <v>8</v>
      </c>
      <c r="Q723" s="10">
        <f>ROUND(_xlfn.IFNA(INDEX(Table2[],MATCH(Proj[[#This Row],[Player]],Table2[Player],0),11)/60,IF(Proj[[#This Row],[Pos]] = "D", 'Per 60 PP'!$K$527,'Per 60 PP'!$K$526)/60)*Proj[[#This Row],[TOI PP]]*Proj[[#This Row],[GP]],0)</f>
        <v>0</v>
      </c>
      <c r="R723" s="10">
        <f>ROUND(_xlfn.IFNA(INDEX(Table2[],MATCH(Proj[[#This Row],[Player]],Table2[Player],0),7)/60,IF(Proj[[#This Row],[Pos]] = "D", 'Per 60 PP'!$G$527,'Per 60 PP'!$G$526)/60)*Proj[[#This Row],[TOI PP]]*Proj[[#This Row],[GP]],0)</f>
        <v>0</v>
      </c>
      <c r="S723" s="10">
        <f>Proj[[#This Row],[PPG]]+Proj[[#This Row],[PPA]]</f>
        <v>0</v>
      </c>
      <c r="T723">
        <f>ROUND((_xlfn.IFNA(INDEX(Table3[],MATCH(Proj[[#This Row],[Player]],Table3[Player],0),6)/60,IF(Proj[[#This Row],[Pos]] ="D", 'Per 60 PK'!$F$623, 'Per 60 PK'!$F$622)/60)+_xlfn.IFNA(INDEX(Table3[],MATCH(Proj[[#This Row],[Player]],Table3[Player],0),8)/60,IF(Proj[[#This Row],[Pos]] ="D", 'Per 60 PK'!$H$623, 'Per 60 PK'!$H$622)/60))*Proj[[#This Row],[TOI PK]]*Proj[[#This Row],[GP]],0)</f>
        <v>0</v>
      </c>
      <c r="U72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20</v>
      </c>
      <c r="V72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17</v>
      </c>
      <c r="W72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72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145</v>
      </c>
      <c r="Y72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122</v>
      </c>
      <c r="Z72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31</v>
      </c>
      <c r="AA72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-1623.8056883643076</v>
      </c>
      <c r="AB723" s="10">
        <f>_xlfn.RANK.EQ(Proj[[#This Row],[VOR]],Proj[VOR])</f>
        <v>752</v>
      </c>
      <c r="AC723" s="10">
        <f>INDEX(Std[],MATCH(Proj[[#This Row],[Player]],Std[Player],0),20)</f>
        <v>-889.17183405400897</v>
      </c>
      <c r="AD72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94.75</v>
      </c>
    </row>
    <row r="724" spans="1:30" x14ac:dyDescent="0.25">
      <c r="A724" t="s">
        <v>683</v>
      </c>
      <c r="B724">
        <v>27</v>
      </c>
      <c r="C724" t="s">
        <v>3</v>
      </c>
      <c r="D724" t="s">
        <v>4</v>
      </c>
      <c r="E724" s="9">
        <f>INDEX(Table1[],MATCH(Proj[[#This Row],[Player]],Table1[Player],0),5)</f>
        <v>13.7247312679717</v>
      </c>
      <c r="F724" s="9">
        <f>_xlfn.IFNA(INDEX(Table2[],MATCH(Proj[[#This Row],[Player]],Table2[Player],0),5),0)</f>
        <v>0</v>
      </c>
      <c r="G724" s="9">
        <f>_xlfn.IFNA(INDEX(Table3[],MATCH(Proj[[#This Row],[Player]],Table3[Player],0),5),0)</f>
        <v>1.01</v>
      </c>
      <c r="H724" s="10">
        <v>53</v>
      </c>
      <c r="I724">
        <v>53</v>
      </c>
      <c r="J724" s="9">
        <v>13.7247312679717</v>
      </c>
      <c r="K724" s="9">
        <v>0</v>
      </c>
      <c r="L724" s="9">
        <v>1.01</v>
      </c>
      <c r="M724" s="9">
        <f>Proj[[#This Row],[TOI ES]]+Proj[[#This Row],[TOI PP]]+Proj[[#This Row],[TOI PK]]</f>
        <v>14.7347312679717</v>
      </c>
      <c r="N72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2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24" s="10">
        <f>Proj[[#This Row],[Goals]]+Proj[[#This Row],[Assists]]</f>
        <v>8</v>
      </c>
      <c r="Q724" s="10">
        <f>ROUND(_xlfn.IFNA(INDEX(Table2[],MATCH(Proj[[#This Row],[Player]],Table2[Player],0),11)/60,IF(Proj[[#This Row],[Pos]] = "D", 'Per 60 PP'!$K$527,'Per 60 PP'!$K$526)/60)*Proj[[#This Row],[TOI PP]]*Proj[[#This Row],[GP]],0)</f>
        <v>0</v>
      </c>
      <c r="R724" s="10">
        <f>ROUND(_xlfn.IFNA(INDEX(Table2[],MATCH(Proj[[#This Row],[Player]],Table2[Player],0),7)/60,IF(Proj[[#This Row],[Pos]] = "D", 'Per 60 PP'!$G$527,'Per 60 PP'!$G$526)/60)*Proj[[#This Row],[TOI PP]]*Proj[[#This Row],[GP]],0)</f>
        <v>0</v>
      </c>
      <c r="S724" s="10">
        <f>Proj[[#This Row],[PPG]]+Proj[[#This Row],[PPA]]</f>
        <v>0</v>
      </c>
      <c r="T724">
        <f>ROUND((_xlfn.IFNA(INDEX(Table3[],MATCH(Proj[[#This Row],[Player]],Table3[Player],0),6)/60,IF(Proj[[#This Row],[Pos]] ="D", 'Per 60 PK'!$F$623, 'Per 60 PK'!$F$622)/60)+_xlfn.IFNA(INDEX(Table3[],MATCH(Proj[[#This Row],[Player]],Table3[Player],0),8)/60,IF(Proj[[#This Row],[Pos]] ="D", 'Per 60 PK'!$H$623, 'Per 60 PK'!$H$622)/60))*Proj[[#This Row],[TOI PK]]*Proj[[#This Row],[GP]],0)</f>
        <v>0</v>
      </c>
      <c r="U72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72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61</v>
      </c>
      <c r="W72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72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2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2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25</v>
      </c>
      <c r="AA72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-980.65556064337056</v>
      </c>
      <c r="AB724" s="10">
        <f>_xlfn.RANK.EQ(Proj[[#This Row],[VOR]],Proj[VOR])</f>
        <v>656</v>
      </c>
      <c r="AC724" s="10">
        <f>INDEX(Std[],MATCH(Proj[[#This Row],[Player]],Std[Player],0),20)</f>
        <v>-873.29079292390611</v>
      </c>
      <c r="AD72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104.35000000000001</v>
      </c>
    </row>
    <row r="725" spans="1:30" x14ac:dyDescent="0.25">
      <c r="A725" t="s">
        <v>1202</v>
      </c>
      <c r="B725">
        <v>27</v>
      </c>
      <c r="C725" t="s">
        <v>3</v>
      </c>
      <c r="D725" t="s">
        <v>25</v>
      </c>
      <c r="E725" s="9">
        <f>INDEX(Table1[],MATCH(Proj[[#This Row],[Player]],Table1[Player],0),5)</f>
        <v>12.9072420537043</v>
      </c>
      <c r="F725" s="9">
        <f>_xlfn.IFNA(INDEX(Table2[],MATCH(Proj[[#This Row],[Player]],Table2[Player],0),5),0)</f>
        <v>0</v>
      </c>
      <c r="G725" s="9">
        <f>_xlfn.IFNA(INDEX(Table3[],MATCH(Proj[[#This Row],[Player]],Table3[Player],0),5),0)</f>
        <v>1.1499999999999999</v>
      </c>
      <c r="H725" s="10">
        <v>49</v>
      </c>
      <c r="I725">
        <v>49</v>
      </c>
      <c r="J725" s="9">
        <v>12.9072420537043</v>
      </c>
      <c r="K725" s="9">
        <v>0</v>
      </c>
      <c r="L725" s="9">
        <v>1.1499999999999999</v>
      </c>
      <c r="M725" s="9">
        <f>Proj[[#This Row],[TOI ES]]+Proj[[#This Row],[TOI PP]]+Proj[[#This Row],[TOI PK]]</f>
        <v>14.0572420537043</v>
      </c>
      <c r="N72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2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25" s="10">
        <f>Proj[[#This Row],[Goals]]+Proj[[#This Row],[Assists]]</f>
        <v>8</v>
      </c>
      <c r="Q725" s="10">
        <f>ROUND(_xlfn.IFNA(INDEX(Table2[],MATCH(Proj[[#This Row],[Player]],Table2[Player],0),11)/60,IF(Proj[[#This Row],[Pos]] = "D", 'Per 60 PP'!$K$527,'Per 60 PP'!$K$526)/60)*Proj[[#This Row],[TOI PP]]*Proj[[#This Row],[GP]],0)</f>
        <v>0</v>
      </c>
      <c r="R725" s="10">
        <f>ROUND(_xlfn.IFNA(INDEX(Table2[],MATCH(Proj[[#This Row],[Player]],Table2[Player],0),7)/60,IF(Proj[[#This Row],[Pos]] = "D", 'Per 60 PP'!$G$527,'Per 60 PP'!$G$526)/60)*Proj[[#This Row],[TOI PP]]*Proj[[#This Row],[GP]],0)</f>
        <v>0</v>
      </c>
      <c r="S725" s="10">
        <f>Proj[[#This Row],[PPG]]+Proj[[#This Row],[PPA]]</f>
        <v>0</v>
      </c>
      <c r="T725">
        <f>ROUND((_xlfn.IFNA(INDEX(Table3[],MATCH(Proj[[#This Row],[Player]],Table3[Player],0),6)/60,IF(Proj[[#This Row],[Pos]] ="D", 'Per 60 PK'!$F$623, 'Per 60 PK'!$F$622)/60)+_xlfn.IFNA(INDEX(Table3[],MATCH(Proj[[#This Row],[Player]],Table3[Player],0),8)/60,IF(Proj[[#This Row],[Pos]] ="D", 'Per 60 PK'!$H$623, 'Per 60 PK'!$H$622)/60))*Proj[[#This Row],[TOI PK]]*Proj[[#This Row],[GP]],0)</f>
        <v>0</v>
      </c>
      <c r="U72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37</v>
      </c>
      <c r="V72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50</v>
      </c>
      <c r="W72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72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2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2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39</v>
      </c>
      <c r="AA72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-949.75087098355471</v>
      </c>
      <c r="AB725" s="10">
        <f>_xlfn.RANK.EQ(Proj[[#This Row],[VOR]],Proj[VOR])</f>
        <v>644</v>
      </c>
      <c r="AC725" s="10">
        <f>INDEX(Std[],MATCH(Proj[[#This Row],[Player]],Std[Player],0),20)</f>
        <v>-842.38610326409025</v>
      </c>
      <c r="AD72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113.4</v>
      </c>
    </row>
    <row r="726" spans="1:30" x14ac:dyDescent="0.25">
      <c r="A726" t="s">
        <v>818</v>
      </c>
      <c r="B726">
        <v>30</v>
      </c>
      <c r="C726" t="s">
        <v>74</v>
      </c>
      <c r="D726" t="s">
        <v>18</v>
      </c>
      <c r="E726" s="9">
        <f>INDEX(Table1[],MATCH(Proj[[#This Row],[Player]],Table1[Player],0),5)</f>
        <v>8.2963820499295693</v>
      </c>
      <c r="F726" s="9">
        <f>_xlfn.IFNA(INDEX(Table2[],MATCH(Proj[[#This Row],[Player]],Table2[Player],0),5),0)</f>
        <v>0</v>
      </c>
      <c r="G726" s="9">
        <f>_xlfn.IFNA(INDEX(Table3[],MATCH(Proj[[#This Row],[Player]],Table3[Player],0),5),0)</f>
        <v>0.55000000000000004</v>
      </c>
      <c r="H726" s="10">
        <v>42</v>
      </c>
      <c r="I726">
        <v>42</v>
      </c>
      <c r="J726" s="9">
        <v>8.2963820499295693</v>
      </c>
      <c r="K726" s="9">
        <v>0</v>
      </c>
      <c r="L726" s="9">
        <v>0.55000000000000004</v>
      </c>
      <c r="M726" s="9">
        <f>Proj[[#This Row],[TOI ES]]+Proj[[#This Row],[TOI PP]]+Proj[[#This Row],[TOI PK]]</f>
        <v>8.84638204992957</v>
      </c>
      <c r="N72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2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26">
        <f>Proj[[#This Row],[Goals]]+Proj[[#This Row],[Assists]]</f>
        <v>8</v>
      </c>
      <c r="Q726" s="10">
        <f>ROUND(_xlfn.IFNA(INDEX(Table2[],MATCH(Proj[[#This Row],[Player]],Table2[Player],0),11)/60,IF(Proj[[#This Row],[Pos]] = "D", 'Per 60 PP'!$K$527,'Per 60 PP'!$K$526)/60)*Proj[[#This Row],[TOI PP]]*Proj[[#This Row],[GP]],0)</f>
        <v>0</v>
      </c>
      <c r="R726" s="10">
        <f>ROUND(_xlfn.IFNA(INDEX(Table2[],MATCH(Proj[[#This Row],[Player]],Table2[Player],0),7)/60,IF(Proj[[#This Row],[Pos]] = "D", 'Per 60 PP'!$G$527,'Per 60 PP'!$G$526)/60)*Proj[[#This Row],[TOI PP]]*Proj[[#This Row],[GP]],0)</f>
        <v>0</v>
      </c>
      <c r="S726" s="10">
        <f>Proj[[#This Row],[PPG]]+Proj[[#This Row],[PPA]]</f>
        <v>0</v>
      </c>
      <c r="T726">
        <f>ROUND((_xlfn.IFNA(INDEX(Table3[],MATCH(Proj[[#This Row],[Player]],Table3[Player],0),6)/60,IF(Proj[[#This Row],[Pos]] ="D", 'Per 60 PK'!$F$623, 'Per 60 PK'!$F$622)/60)+_xlfn.IFNA(INDEX(Table3[],MATCH(Proj[[#This Row],[Player]],Table3[Player],0),8)/60,IF(Proj[[#This Row],[Pos]] ="D", 'Per 60 PK'!$H$623, 'Per 60 PK'!$H$622)/60))*Proj[[#This Row],[TOI PK]]*Proj[[#This Row],[GP]],0)</f>
        <v>0</v>
      </c>
      <c r="U72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38</v>
      </c>
      <c r="V72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72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6</v>
      </c>
      <c r="X72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53</v>
      </c>
      <c r="Y72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54</v>
      </c>
      <c r="Z72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29</v>
      </c>
      <c r="AA72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-1665.2753008460593</v>
      </c>
      <c r="AB726" s="10">
        <f>_xlfn.RANK.EQ(Proj[[#This Row],[VOR]],Proj[VOR])</f>
        <v>754</v>
      </c>
      <c r="AC726" s="10">
        <f>INDEX(Std[],MATCH(Proj[[#This Row],[Player]],Std[Player],0),20)</f>
        <v>-930.64144653576068</v>
      </c>
      <c r="AD72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93.5</v>
      </c>
    </row>
    <row r="727" spans="1:30" x14ac:dyDescent="0.25">
      <c r="A727" t="s">
        <v>990</v>
      </c>
      <c r="B727">
        <v>28</v>
      </c>
      <c r="C727" t="s">
        <v>74</v>
      </c>
      <c r="D727" t="s">
        <v>1101</v>
      </c>
      <c r="E727" s="9">
        <f>INDEX(Table1[],MATCH(Proj[[#This Row],[Player]],Table1[Player],0),5)</f>
        <v>9.2965288786615492</v>
      </c>
      <c r="F727" s="9">
        <f>_xlfn.IFNA(INDEX(Table2[],MATCH(Proj[[#This Row],[Player]],Table2[Player],0),5),0)</f>
        <v>0.84</v>
      </c>
      <c r="G727" s="9">
        <f>_xlfn.IFNA(INDEX(Table3[],MATCH(Proj[[#This Row],[Player]],Table3[Player],0),5),0)</f>
        <v>0.82</v>
      </c>
      <c r="H727" s="10">
        <v>48</v>
      </c>
      <c r="I727">
        <v>48</v>
      </c>
      <c r="J727" s="9">
        <v>9.2965288786615492</v>
      </c>
      <c r="K727" s="9">
        <v>0.84</v>
      </c>
      <c r="L727" s="9">
        <v>0.82</v>
      </c>
      <c r="M727" s="9">
        <f>Proj[[#This Row],[TOI ES]]+Proj[[#This Row],[TOI PP]]+Proj[[#This Row],[TOI PK]]</f>
        <v>10.956528878661549</v>
      </c>
      <c r="N72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2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27">
        <f>Proj[[#This Row],[Goals]]+Proj[[#This Row],[Assists]]</f>
        <v>8</v>
      </c>
      <c r="Q727" s="10">
        <f>ROUND(_xlfn.IFNA(INDEX(Table2[],MATCH(Proj[[#This Row],[Player]],Table2[Player],0),11)/60,IF(Proj[[#This Row],[Pos]] = "D", 'Per 60 PP'!$K$527,'Per 60 PP'!$K$526)/60)*Proj[[#This Row],[TOI PP]]*Proj[[#This Row],[GP]],0)</f>
        <v>1</v>
      </c>
      <c r="R727" s="10">
        <f>ROUND(_xlfn.IFNA(INDEX(Table2[],MATCH(Proj[[#This Row],[Player]],Table2[Player],0),7)/60,IF(Proj[[#This Row],[Pos]] = "D", 'Per 60 PP'!$G$527,'Per 60 PP'!$G$526)/60)*Proj[[#This Row],[TOI PP]]*Proj[[#This Row],[GP]],0)</f>
        <v>1</v>
      </c>
      <c r="S727" s="10">
        <f>Proj[[#This Row],[PPG]]+Proj[[#This Row],[PPA]]</f>
        <v>2</v>
      </c>
      <c r="T727">
        <f>ROUND((_xlfn.IFNA(INDEX(Table3[],MATCH(Proj[[#This Row],[Player]],Table3[Player],0),6)/60,IF(Proj[[#This Row],[Pos]] ="D", 'Per 60 PK'!$F$623, 'Per 60 PK'!$F$622)/60)+_xlfn.IFNA(INDEX(Table3[],MATCH(Proj[[#This Row],[Player]],Table3[Player],0),8)/60,IF(Proj[[#This Row],[Pos]] ="D", 'Per 60 PK'!$H$623, 'Per 60 PK'!$H$622)/60))*Proj[[#This Row],[TOI PK]]*Proj[[#This Row],[GP]],0)</f>
        <v>0</v>
      </c>
      <c r="U72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41</v>
      </c>
      <c r="V72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22</v>
      </c>
      <c r="W72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72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88</v>
      </c>
      <c r="Y72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134</v>
      </c>
      <c r="Z72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41</v>
      </c>
      <c r="AA72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-1577.8791563288523</v>
      </c>
      <c r="AB727" s="10">
        <f>_xlfn.RANK.EQ(Proj[[#This Row],[VOR]],Proj[VOR])</f>
        <v>749</v>
      </c>
      <c r="AC727" s="10">
        <f>INDEX(Std[],MATCH(Proj[[#This Row],[Player]],Std[Player],0),20)</f>
        <v>-843.24530201855373</v>
      </c>
      <c r="AD72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110.44999999999999</v>
      </c>
    </row>
    <row r="728" spans="1:30" x14ac:dyDescent="0.25">
      <c r="A728" t="s">
        <v>1040</v>
      </c>
      <c r="B728">
        <v>24</v>
      </c>
      <c r="C728" t="s">
        <v>74</v>
      </c>
      <c r="D728" t="s">
        <v>14</v>
      </c>
      <c r="E728" s="9">
        <f>INDEX(Table1[],MATCH(Proj[[#This Row],[Player]],Table1[Player],0),5)</f>
        <v>9.2266920283718008</v>
      </c>
      <c r="F728" s="9">
        <f>_xlfn.IFNA(INDEX(Table2[],MATCH(Proj[[#This Row],[Player]],Table2[Player],0),5),0)</f>
        <v>0</v>
      </c>
      <c r="G728" s="9">
        <f>_xlfn.IFNA(INDEX(Table3[],MATCH(Proj[[#This Row],[Player]],Table3[Player],0),5),0)</f>
        <v>0</v>
      </c>
      <c r="H728" s="10">
        <v>42</v>
      </c>
      <c r="I728">
        <v>42</v>
      </c>
      <c r="J728" s="9">
        <v>9.2266920283718008</v>
      </c>
      <c r="K728" s="9">
        <v>0</v>
      </c>
      <c r="L728" s="9">
        <v>0</v>
      </c>
      <c r="M728" s="9">
        <f>Proj[[#This Row],[TOI ES]]+Proj[[#This Row],[TOI PP]]+Proj[[#This Row],[TOI PK]]</f>
        <v>9.2266920283718008</v>
      </c>
      <c r="N72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2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28">
        <f>Proj[[#This Row],[Goals]]+Proj[[#This Row],[Assists]]</f>
        <v>8</v>
      </c>
      <c r="Q728" s="10">
        <f>ROUND(_xlfn.IFNA(INDEX(Table2[],MATCH(Proj[[#This Row],[Player]],Table2[Player],0),11)/60,IF(Proj[[#This Row],[Pos]] = "D", 'Per 60 PP'!$K$527,'Per 60 PP'!$K$526)/60)*Proj[[#This Row],[TOI PP]]*Proj[[#This Row],[GP]],0)</f>
        <v>0</v>
      </c>
      <c r="R728" s="10">
        <f>ROUND(_xlfn.IFNA(INDEX(Table2[],MATCH(Proj[[#This Row],[Player]],Table2[Player],0),7)/60,IF(Proj[[#This Row],[Pos]] = "D", 'Per 60 PP'!$G$527,'Per 60 PP'!$G$526)/60)*Proj[[#This Row],[TOI PP]]*Proj[[#This Row],[GP]],0)</f>
        <v>0</v>
      </c>
      <c r="S728" s="10">
        <f>Proj[[#This Row],[PPG]]+Proj[[#This Row],[PPA]]</f>
        <v>0</v>
      </c>
      <c r="T728">
        <f>ROUND((_xlfn.IFNA(INDEX(Table3[],MATCH(Proj[[#This Row],[Player]],Table3[Player],0),6)/60,IF(Proj[[#This Row],[Pos]] ="D", 'Per 60 PK'!$F$623, 'Per 60 PK'!$F$622)/60)+_xlfn.IFNA(INDEX(Table3[],MATCH(Proj[[#This Row],[Player]],Table3[Player],0),8)/60,IF(Proj[[#This Row],[Pos]] ="D", 'Per 60 PK'!$H$623, 'Per 60 PK'!$H$622)/60))*Proj[[#This Row],[TOI PK]]*Proj[[#This Row],[GP]],0)</f>
        <v>0</v>
      </c>
      <c r="U72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47</v>
      </c>
      <c r="V72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16</v>
      </c>
      <c r="W72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72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71</v>
      </c>
      <c r="Y72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104</v>
      </c>
      <c r="Z72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33</v>
      </c>
      <c r="AA72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-1619.3113375035214</v>
      </c>
      <c r="AB728" s="10">
        <f>_xlfn.RANK.EQ(Proj[[#This Row],[VOR]],Proj[VOR])</f>
        <v>751</v>
      </c>
      <c r="AC728" s="10">
        <f>INDEX(Std[],MATCH(Proj[[#This Row],[Player]],Std[Player],0),20)</f>
        <v>-884.67748319322266</v>
      </c>
      <c r="AD72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103.14999999999999</v>
      </c>
    </row>
    <row r="729" spans="1:30" x14ac:dyDescent="0.25">
      <c r="A729" t="s">
        <v>1207</v>
      </c>
      <c r="B729">
        <v>28</v>
      </c>
      <c r="C729" t="s">
        <v>3</v>
      </c>
      <c r="D729" t="s">
        <v>31</v>
      </c>
      <c r="E729" s="9">
        <f>INDEX(Table1[],MATCH(Proj[[#This Row],[Player]],Table1[Player],0),5)</f>
        <v>14.416065302632999</v>
      </c>
      <c r="F729" s="9">
        <f>_xlfn.IFNA(INDEX(Table2[],MATCH(Proj[[#This Row],[Player]],Table2[Player],0),5),0)</f>
        <v>0</v>
      </c>
      <c r="G729" s="9">
        <f>_xlfn.IFNA(INDEX(Table3[],MATCH(Proj[[#This Row],[Player]],Table3[Player],0),5),0)</f>
        <v>0.78</v>
      </c>
      <c r="H729" s="10">
        <v>46</v>
      </c>
      <c r="I729">
        <v>46</v>
      </c>
      <c r="J729" s="9">
        <v>14.416065302632999</v>
      </c>
      <c r="K729" s="9">
        <v>0</v>
      </c>
      <c r="L729" s="9">
        <v>0.78</v>
      </c>
      <c r="M729" s="9">
        <f>Proj[[#This Row],[TOI ES]]+Proj[[#This Row],[TOI PP]]+Proj[[#This Row],[TOI PK]]</f>
        <v>15.196065302632999</v>
      </c>
      <c r="N72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2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29">
        <f>Proj[[#This Row],[Goals]]+Proj[[#This Row],[Assists]]</f>
        <v>8</v>
      </c>
      <c r="Q729" s="10">
        <f>ROUND(_xlfn.IFNA(INDEX(Table2[],MATCH(Proj[[#This Row],[Player]],Table2[Player],0),11)/60,IF(Proj[[#This Row],[Pos]] = "D", 'Per 60 PP'!$K$527,'Per 60 PP'!$K$526)/60)*Proj[[#This Row],[TOI PP]]*Proj[[#This Row],[GP]],0)</f>
        <v>0</v>
      </c>
      <c r="R729" s="10">
        <f>ROUND(_xlfn.IFNA(INDEX(Table2[],MATCH(Proj[[#This Row],[Player]],Table2[Player],0),7)/60,IF(Proj[[#This Row],[Pos]] = "D", 'Per 60 PP'!$G$527,'Per 60 PP'!$G$526)/60)*Proj[[#This Row],[TOI PP]]*Proj[[#This Row],[GP]],0)</f>
        <v>0</v>
      </c>
      <c r="S729" s="10">
        <f>Proj[[#This Row],[PPG]]+Proj[[#This Row],[PPA]]</f>
        <v>0</v>
      </c>
      <c r="T729">
        <f>ROUND((_xlfn.IFNA(INDEX(Table3[],MATCH(Proj[[#This Row],[Player]],Table3[Player],0),6)/60,IF(Proj[[#This Row],[Pos]] ="D", 'Per 60 PK'!$F$623, 'Per 60 PK'!$F$622)/60)+_xlfn.IFNA(INDEX(Table3[],MATCH(Proj[[#This Row],[Player]],Table3[Player],0),8)/60,IF(Proj[[#This Row],[Pos]] ="D", 'Per 60 PK'!$H$623, 'Per 60 PK'!$H$622)/60))*Proj[[#This Row],[TOI PK]]*Proj[[#This Row],[GP]],0)</f>
        <v>0</v>
      </c>
      <c r="U72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72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43</v>
      </c>
      <c r="W72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19</v>
      </c>
      <c r="X72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2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2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44</v>
      </c>
      <c r="AA72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-904.77520838443252</v>
      </c>
      <c r="AB729" s="10">
        <f>_xlfn.RANK.EQ(Proj[[#This Row],[VOR]],Proj[VOR])</f>
        <v>627</v>
      </c>
      <c r="AC729" s="10">
        <f>INDEX(Std[],MATCH(Proj[[#This Row],[Player]],Std[Player],0),20)</f>
        <v>-797.41044066496806</v>
      </c>
      <c r="AD72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121.89999999999999</v>
      </c>
    </row>
    <row r="730" spans="1:30" x14ac:dyDescent="0.25">
      <c r="A730" t="s">
        <v>1033</v>
      </c>
      <c r="B730">
        <v>26</v>
      </c>
      <c r="C730" t="s">
        <v>102</v>
      </c>
      <c r="D730" t="s">
        <v>12</v>
      </c>
      <c r="E730" s="9">
        <f>INDEX(Table1[],MATCH(Proj[[#This Row],[Player]],Table1[Player],0),5)</f>
        <v>10.8222367990984</v>
      </c>
      <c r="F730" s="9">
        <f>_xlfn.IFNA(INDEX(Table2[],MATCH(Proj[[#This Row],[Player]],Table2[Player],0),5),0)</f>
        <v>0</v>
      </c>
      <c r="G730" s="9">
        <f>_xlfn.IFNA(INDEX(Table3[],MATCH(Proj[[#This Row],[Player]],Table3[Player],0),5),0)</f>
        <v>0</v>
      </c>
      <c r="H730" s="10">
        <v>32</v>
      </c>
      <c r="I730">
        <v>32</v>
      </c>
      <c r="J730" s="9">
        <v>10.8222367990984</v>
      </c>
      <c r="K730" s="9">
        <v>0</v>
      </c>
      <c r="L730" s="9">
        <v>0</v>
      </c>
      <c r="M730" s="9">
        <f>Proj[[#This Row],[TOI ES]]+Proj[[#This Row],[TOI PP]]+Proj[[#This Row],[TOI PK]]</f>
        <v>10.8222367990984</v>
      </c>
      <c r="N73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3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30" s="10">
        <f>Proj[[#This Row],[Goals]]+Proj[[#This Row],[Assists]]</f>
        <v>8</v>
      </c>
      <c r="Q730" s="10">
        <f>ROUND(_xlfn.IFNA(INDEX(Table2[],MATCH(Proj[[#This Row],[Player]],Table2[Player],0),11)/60,IF(Proj[[#This Row],[Pos]] = "D", 'Per 60 PP'!$K$527,'Per 60 PP'!$K$526)/60)*Proj[[#This Row],[TOI PP]]*Proj[[#This Row],[GP]],0)</f>
        <v>0</v>
      </c>
      <c r="R730" s="10">
        <f>ROUND(_xlfn.IFNA(INDEX(Table2[],MATCH(Proj[[#This Row],[Player]],Table2[Player],0),7)/60,IF(Proj[[#This Row],[Pos]] = "D", 'Per 60 PP'!$G$527,'Per 60 PP'!$G$526)/60)*Proj[[#This Row],[TOI PP]]*Proj[[#This Row],[GP]],0)</f>
        <v>0</v>
      </c>
      <c r="S730" s="10">
        <f>Proj[[#This Row],[PPG]]+Proj[[#This Row],[PPA]]</f>
        <v>0</v>
      </c>
      <c r="T730">
        <f>ROUND((_xlfn.IFNA(INDEX(Table3[],MATCH(Proj[[#This Row],[Player]],Table3[Player],0),6)/60,IF(Proj[[#This Row],[Pos]] ="D", 'Per 60 PK'!$F$623, 'Per 60 PK'!$F$622)/60)+_xlfn.IFNA(INDEX(Table3[],MATCH(Proj[[#This Row],[Player]],Table3[Player],0),8)/60,IF(Proj[[#This Row],[Pos]] ="D", 'Per 60 PK'!$H$623, 'Per 60 PK'!$H$622)/60))*Proj[[#This Row],[TOI PK]]*Proj[[#This Row],[GP]],0)</f>
        <v>0</v>
      </c>
      <c r="U73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50</v>
      </c>
      <c r="V73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13</v>
      </c>
      <c r="W73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73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23</v>
      </c>
      <c r="Y73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23</v>
      </c>
      <c r="Z73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31</v>
      </c>
      <c r="AA73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-1386.2028464883508</v>
      </c>
      <c r="AB730" s="10">
        <f>_xlfn.RANK.EQ(Proj[[#This Row],[VOR]],Proj[VOR])</f>
        <v>727</v>
      </c>
      <c r="AC730" s="10">
        <f>INDEX(Std[],MATCH(Proj[[#This Row],[Player]],Std[Player],0),20)</f>
        <v>-914.65812209810201</v>
      </c>
      <c r="AD73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97.35</v>
      </c>
    </row>
    <row r="731" spans="1:30" x14ac:dyDescent="0.25">
      <c r="A731" t="s">
        <v>1066</v>
      </c>
      <c r="B731">
        <v>24</v>
      </c>
      <c r="C731" t="s">
        <v>3</v>
      </c>
      <c r="D731" t="s">
        <v>20</v>
      </c>
      <c r="E731" s="9">
        <f>INDEX(Table1[],MATCH(Proj[[#This Row],[Player]],Table1[Player],0),5)</f>
        <v>13.3189239767202</v>
      </c>
      <c r="F731" s="9">
        <f>_xlfn.IFNA(INDEX(Table2[],MATCH(Proj[[#This Row],[Player]],Table2[Player],0),5),0)</f>
        <v>0</v>
      </c>
      <c r="G731" s="9">
        <f>_xlfn.IFNA(INDEX(Table3[],MATCH(Proj[[#This Row],[Player]],Table3[Player],0),5),0)</f>
        <v>0</v>
      </c>
      <c r="H731" s="10">
        <v>48</v>
      </c>
      <c r="I731">
        <v>48</v>
      </c>
      <c r="J731" s="9">
        <v>13.3189239767202</v>
      </c>
      <c r="K731" s="9">
        <v>0</v>
      </c>
      <c r="L731" s="9">
        <v>0</v>
      </c>
      <c r="M731" s="9">
        <f>Proj[[#This Row],[TOI ES]]+Proj[[#This Row],[TOI PP]]+Proj[[#This Row],[TOI PK]]</f>
        <v>13.3189239767202</v>
      </c>
      <c r="N73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3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31">
        <f>Proj[[#This Row],[Goals]]+Proj[[#This Row],[Assists]]</f>
        <v>8</v>
      </c>
      <c r="Q731" s="10">
        <f>ROUND(_xlfn.IFNA(INDEX(Table2[],MATCH(Proj[[#This Row],[Player]],Table2[Player],0),11)/60,IF(Proj[[#This Row],[Pos]] = "D", 'Per 60 PP'!$K$527,'Per 60 PP'!$K$526)/60)*Proj[[#This Row],[TOI PP]]*Proj[[#This Row],[GP]],0)</f>
        <v>0</v>
      </c>
      <c r="R731" s="10">
        <f>ROUND(_xlfn.IFNA(INDEX(Table2[],MATCH(Proj[[#This Row],[Player]],Table2[Player],0),7)/60,IF(Proj[[#This Row],[Pos]] = "D", 'Per 60 PP'!$G$527,'Per 60 PP'!$G$526)/60)*Proj[[#This Row],[TOI PP]]*Proj[[#This Row],[GP]],0)</f>
        <v>0</v>
      </c>
      <c r="S731" s="10">
        <f>Proj[[#This Row],[PPG]]+Proj[[#This Row],[PPA]]</f>
        <v>0</v>
      </c>
      <c r="T731">
        <f>ROUND((_xlfn.IFNA(INDEX(Table3[],MATCH(Proj[[#This Row],[Player]],Table3[Player],0),6)/60,IF(Proj[[#This Row],[Pos]] ="D", 'Per 60 PK'!$F$623, 'Per 60 PK'!$F$622)/60)+_xlfn.IFNA(INDEX(Table3[],MATCH(Proj[[#This Row],[Player]],Table3[Player],0),8)/60,IF(Proj[[#This Row],[Pos]] ="D", 'Per 60 PK'!$H$623, 'Per 60 PK'!$H$622)/60))*Proj[[#This Row],[TOI PK]]*Proj[[#This Row],[GP]],0)</f>
        <v>0</v>
      </c>
      <c r="U73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73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53</v>
      </c>
      <c r="W73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73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3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3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44</v>
      </c>
      <c r="AA73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-910.26110038442789</v>
      </c>
      <c r="AB731" s="10">
        <f>_xlfn.RANK.EQ(Proj[[#This Row],[VOR]],Proj[VOR])</f>
        <v>630</v>
      </c>
      <c r="AC731" s="10">
        <f>INDEX(Std[],MATCH(Proj[[#This Row],[Player]],Std[Player],0),20)</f>
        <v>-802.89633266496344</v>
      </c>
      <c r="AD73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126.3</v>
      </c>
    </row>
    <row r="732" spans="1:30" x14ac:dyDescent="0.25">
      <c r="A732" t="s">
        <v>776</v>
      </c>
      <c r="B732">
        <v>33</v>
      </c>
      <c r="C732" t="s">
        <v>3</v>
      </c>
      <c r="D732" t="s">
        <v>22</v>
      </c>
      <c r="E732" s="9">
        <f>INDEX(Table1[],MATCH(Proj[[#This Row],[Player]],Table1[Player],0),5)</f>
        <v>13.3450602651599</v>
      </c>
      <c r="F732" s="9">
        <f>_xlfn.IFNA(INDEX(Table2[],MATCH(Proj[[#This Row],[Player]],Table2[Player],0),5),0)</f>
        <v>0</v>
      </c>
      <c r="G732" s="9">
        <f>_xlfn.IFNA(INDEX(Table3[],MATCH(Proj[[#This Row],[Player]],Table3[Player],0),5),0)</f>
        <v>0.57999999999999996</v>
      </c>
      <c r="H732" s="10">
        <v>56</v>
      </c>
      <c r="I732">
        <v>56</v>
      </c>
      <c r="J732" s="9">
        <v>13.3450602651599</v>
      </c>
      <c r="K732" s="9">
        <v>0</v>
      </c>
      <c r="L732" s="9">
        <v>0.57999999999999996</v>
      </c>
      <c r="M732" s="9">
        <f>Proj[[#This Row],[TOI ES]]+Proj[[#This Row],[TOI PP]]+Proj[[#This Row],[TOI PK]]</f>
        <v>13.9250602651599</v>
      </c>
      <c r="N73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3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32" s="10">
        <f>Proj[[#This Row],[Goals]]+Proj[[#This Row],[Assists]]</f>
        <v>8</v>
      </c>
      <c r="Q732" s="10">
        <f>ROUND(_xlfn.IFNA(INDEX(Table2[],MATCH(Proj[[#This Row],[Player]],Table2[Player],0),11)/60,IF(Proj[[#This Row],[Pos]] = "D", 'Per 60 PP'!$K$527,'Per 60 PP'!$K$526)/60)*Proj[[#This Row],[TOI PP]]*Proj[[#This Row],[GP]],0)</f>
        <v>0</v>
      </c>
      <c r="R732" s="10">
        <f>ROUND(_xlfn.IFNA(INDEX(Table2[],MATCH(Proj[[#This Row],[Player]],Table2[Player],0),7)/60,IF(Proj[[#This Row],[Pos]] = "D", 'Per 60 PP'!$G$527,'Per 60 PP'!$G$526)/60)*Proj[[#This Row],[TOI PP]]*Proj[[#This Row],[GP]],0)</f>
        <v>0</v>
      </c>
      <c r="S732" s="10">
        <f>Proj[[#This Row],[PPG]]+Proj[[#This Row],[PPA]]</f>
        <v>0</v>
      </c>
      <c r="T732">
        <f>ROUND((_xlfn.IFNA(INDEX(Table3[],MATCH(Proj[[#This Row],[Player]],Table3[Player],0),6)/60,IF(Proj[[#This Row],[Pos]] ="D", 'Per 60 PK'!$F$623, 'Per 60 PK'!$F$622)/60)+_xlfn.IFNA(INDEX(Table3[],MATCH(Proj[[#This Row],[Player]],Table3[Player],0),8)/60,IF(Proj[[#This Row],[Pos]] ="D", 'Per 60 PK'!$H$623, 'Per 60 PK'!$H$622)/60))*Proj[[#This Row],[TOI PK]]*Proj[[#This Row],[GP]],0)</f>
        <v>0</v>
      </c>
      <c r="U73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60</v>
      </c>
      <c r="V73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68</v>
      </c>
      <c r="W73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28</v>
      </c>
      <c r="X73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3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3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31</v>
      </c>
      <c r="AA73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-806.5539720317754</v>
      </c>
      <c r="AB732" s="10">
        <f>_xlfn.RANK.EQ(Proj[[#This Row],[VOR]],Proj[VOR])</f>
        <v>594</v>
      </c>
      <c r="AC732" s="10">
        <f>INDEX(Std[],MATCH(Proj[[#This Row],[Player]],Std[Player],0),20)</f>
        <v>-699.18920431231095</v>
      </c>
      <c r="AD73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140</v>
      </c>
    </row>
    <row r="733" spans="1:30" x14ac:dyDescent="0.25">
      <c r="A733" t="s">
        <v>910</v>
      </c>
      <c r="B733">
        <v>32</v>
      </c>
      <c r="C733" t="s">
        <v>3</v>
      </c>
      <c r="D733" t="s">
        <v>1101</v>
      </c>
      <c r="E733" s="9">
        <f>INDEX(Table1[],MATCH(Proj[[#This Row],[Player]],Table1[Player],0),5)</f>
        <v>15.9687102457472</v>
      </c>
      <c r="F733" s="9">
        <f>_xlfn.IFNA(INDEX(Table2[],MATCH(Proj[[#This Row],[Player]],Table2[Player],0),5),0)</f>
        <v>0</v>
      </c>
      <c r="G733" s="9">
        <f>_xlfn.IFNA(INDEX(Table3[],MATCH(Proj[[#This Row],[Player]],Table3[Player],0),5),0)</f>
        <v>1.7</v>
      </c>
      <c r="H733" s="10">
        <v>57</v>
      </c>
      <c r="I733">
        <v>57</v>
      </c>
      <c r="J733" s="9">
        <v>15.9687102457472</v>
      </c>
      <c r="K733" s="9">
        <v>0</v>
      </c>
      <c r="L733" s="9">
        <v>1.7</v>
      </c>
      <c r="M733" s="9">
        <f>Proj[[#This Row],[TOI ES]]+Proj[[#This Row],[TOI PP]]+Proj[[#This Row],[TOI PK]]</f>
        <v>17.668710245747199</v>
      </c>
      <c r="N73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3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33">
        <f>Proj[[#This Row],[Goals]]+Proj[[#This Row],[Assists]]</f>
        <v>8</v>
      </c>
      <c r="Q733" s="10">
        <f>ROUND(_xlfn.IFNA(INDEX(Table2[],MATCH(Proj[[#This Row],[Player]],Table2[Player],0),11)/60,IF(Proj[[#This Row],[Pos]] = "D", 'Per 60 PP'!$K$527,'Per 60 PP'!$K$526)/60)*Proj[[#This Row],[TOI PP]]*Proj[[#This Row],[GP]],0)</f>
        <v>0</v>
      </c>
      <c r="R733" s="10">
        <f>ROUND(_xlfn.IFNA(INDEX(Table2[],MATCH(Proj[[#This Row],[Player]],Table2[Player],0),7)/60,IF(Proj[[#This Row],[Pos]] = "D", 'Per 60 PP'!$G$527,'Per 60 PP'!$G$526)/60)*Proj[[#This Row],[TOI PP]]*Proj[[#This Row],[GP]],0)</f>
        <v>0</v>
      </c>
      <c r="S733" s="10">
        <f>Proj[[#This Row],[PPG]]+Proj[[#This Row],[PPA]]</f>
        <v>0</v>
      </c>
      <c r="T733">
        <f>ROUND((_xlfn.IFNA(INDEX(Table3[],MATCH(Proj[[#This Row],[Player]],Table3[Player],0),6)/60,IF(Proj[[#This Row],[Pos]] ="D", 'Per 60 PK'!$F$623, 'Per 60 PK'!$F$622)/60)+_xlfn.IFNA(INDEX(Table3[],MATCH(Proj[[#This Row],[Player]],Table3[Player],0),8)/60,IF(Proj[[#This Row],[Pos]] ="D", 'Per 60 PK'!$H$623, 'Per 60 PK'!$H$622)/60))*Proj[[#This Row],[TOI PK]]*Proj[[#This Row],[GP]],0)</f>
        <v>1</v>
      </c>
      <c r="U73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77</v>
      </c>
      <c r="V73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103</v>
      </c>
      <c r="W73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25</v>
      </c>
      <c r="X73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3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3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44</v>
      </c>
      <c r="AA73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-688.340503906712</v>
      </c>
      <c r="AB733" s="10">
        <f>_xlfn.RANK.EQ(Proj[[#This Row],[VOR]],Proj[VOR])</f>
        <v>520</v>
      </c>
      <c r="AC733" s="10">
        <f>INDEX(Std[],MATCH(Proj[[#This Row],[Player]],Std[Player],0),20)</f>
        <v>-580.97573618724755</v>
      </c>
      <c r="AD73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175.25</v>
      </c>
    </row>
    <row r="734" spans="1:30" x14ac:dyDescent="0.25">
      <c r="A734" t="s">
        <v>983</v>
      </c>
      <c r="B734">
        <v>28</v>
      </c>
      <c r="C734" t="s">
        <v>3</v>
      </c>
      <c r="D734" t="s">
        <v>2</v>
      </c>
      <c r="E734" s="9">
        <f>INDEX(Table1[],MATCH(Proj[[#This Row],[Player]],Table1[Player],0),5)</f>
        <v>13.7269664833471</v>
      </c>
      <c r="F734" s="9">
        <f>_xlfn.IFNA(INDEX(Table2[],MATCH(Proj[[#This Row],[Player]],Table2[Player],0),5),0)</f>
        <v>0</v>
      </c>
      <c r="G734" s="9">
        <f>_xlfn.IFNA(INDEX(Table3[],MATCH(Proj[[#This Row],[Player]],Table3[Player],0),5),0)</f>
        <v>1.33</v>
      </c>
      <c r="H734" s="10">
        <v>53</v>
      </c>
      <c r="I734">
        <v>53</v>
      </c>
      <c r="J734" s="9">
        <v>13.7269664833471</v>
      </c>
      <c r="K734" s="9">
        <v>0</v>
      </c>
      <c r="L734" s="9">
        <v>1.33</v>
      </c>
      <c r="M734" s="9">
        <f>Proj[[#This Row],[TOI ES]]+Proj[[#This Row],[TOI PP]]+Proj[[#This Row],[TOI PK]]</f>
        <v>15.0569664833471</v>
      </c>
      <c r="N73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3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34">
        <f>Proj[[#This Row],[Goals]]+Proj[[#This Row],[Assists]]</f>
        <v>8</v>
      </c>
      <c r="Q734" s="10">
        <f>ROUND(_xlfn.IFNA(INDEX(Table2[],MATCH(Proj[[#This Row],[Player]],Table2[Player],0),11)/60,IF(Proj[[#This Row],[Pos]] = "D", 'Per 60 PP'!$K$527,'Per 60 PP'!$K$526)/60)*Proj[[#This Row],[TOI PP]]*Proj[[#This Row],[GP]],0)</f>
        <v>0</v>
      </c>
      <c r="R734" s="10">
        <f>ROUND(_xlfn.IFNA(INDEX(Table2[],MATCH(Proj[[#This Row],[Player]],Table2[Player],0),7)/60,IF(Proj[[#This Row],[Pos]] = "D", 'Per 60 PP'!$G$527,'Per 60 PP'!$G$526)/60)*Proj[[#This Row],[TOI PP]]*Proj[[#This Row],[GP]],0)</f>
        <v>0</v>
      </c>
      <c r="S734" s="10">
        <f>Proj[[#This Row],[PPG]]+Proj[[#This Row],[PPA]]</f>
        <v>0</v>
      </c>
      <c r="T734">
        <f>ROUND((_xlfn.IFNA(INDEX(Table3[],MATCH(Proj[[#This Row],[Player]],Table3[Player],0),6)/60,IF(Proj[[#This Row],[Pos]] ="D", 'Per 60 PK'!$F$623, 'Per 60 PK'!$F$622)/60)+_xlfn.IFNA(INDEX(Table3[],MATCH(Proj[[#This Row],[Player]],Table3[Player],0),8)/60,IF(Proj[[#This Row],[Pos]] ="D", 'Per 60 PK'!$H$623, 'Per 60 PK'!$H$622)/60))*Proj[[#This Row],[TOI PK]]*Proj[[#This Row],[GP]],0)</f>
        <v>0</v>
      </c>
      <c r="U73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82</v>
      </c>
      <c r="V73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67</v>
      </c>
      <c r="W73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31</v>
      </c>
      <c r="X73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3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3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39</v>
      </c>
      <c r="AA73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-742.41373167927509</v>
      </c>
      <c r="AB734" s="10">
        <f>_xlfn.RANK.EQ(Proj[[#This Row],[VOR]],Proj[VOR])</f>
        <v>555</v>
      </c>
      <c r="AC734" s="10">
        <f>INDEX(Std[],MATCH(Proj[[#This Row],[Player]],Std[Player],0),20)</f>
        <v>-635.04896395981064</v>
      </c>
      <c r="AD73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156.54999999999998</v>
      </c>
    </row>
    <row r="735" spans="1:30" x14ac:dyDescent="0.25">
      <c r="A735" t="s">
        <v>823</v>
      </c>
      <c r="B735">
        <v>25</v>
      </c>
      <c r="C735" t="s">
        <v>74</v>
      </c>
      <c r="D735" t="s">
        <v>10</v>
      </c>
      <c r="E735" s="9">
        <f>INDEX(Table1[],MATCH(Proj[[#This Row],[Player]],Table1[Player],0),5)</f>
        <v>9.6637717603232804</v>
      </c>
      <c r="F735" s="9">
        <f>_xlfn.IFNA(INDEX(Table2[],MATCH(Proj[[#This Row],[Player]],Table2[Player],0),5),0)</f>
        <v>0</v>
      </c>
      <c r="G735" s="9">
        <f>_xlfn.IFNA(INDEX(Table3[],MATCH(Proj[[#This Row],[Player]],Table3[Player],0),5),0)</f>
        <v>0</v>
      </c>
      <c r="H735" s="10">
        <v>65</v>
      </c>
      <c r="I735">
        <v>65</v>
      </c>
      <c r="J735" s="9">
        <v>9.6637717603232804</v>
      </c>
      <c r="K735" s="9">
        <v>0</v>
      </c>
      <c r="L735" s="9">
        <v>0</v>
      </c>
      <c r="M735" s="9">
        <f>Proj[[#This Row],[TOI ES]]+Proj[[#This Row],[TOI PP]]+Proj[[#This Row],[TOI PK]]</f>
        <v>9.6637717603232804</v>
      </c>
      <c r="N73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3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35">
        <f>Proj[[#This Row],[Goals]]+Proj[[#This Row],[Assists]]</f>
        <v>8</v>
      </c>
      <c r="Q735" s="10">
        <f>ROUND(_xlfn.IFNA(INDEX(Table2[],MATCH(Proj[[#This Row],[Player]],Table2[Player],0),11)/60,IF(Proj[[#This Row],[Pos]] = "D", 'Per 60 PP'!$K$527,'Per 60 PP'!$K$526)/60)*Proj[[#This Row],[TOI PP]]*Proj[[#This Row],[GP]],0)</f>
        <v>0</v>
      </c>
      <c r="R735" s="10">
        <f>ROUND(_xlfn.IFNA(INDEX(Table2[],MATCH(Proj[[#This Row],[Player]],Table2[Player],0),7)/60,IF(Proj[[#This Row],[Pos]] = "D", 'Per 60 PP'!$G$527,'Per 60 PP'!$G$526)/60)*Proj[[#This Row],[TOI PP]]*Proj[[#This Row],[GP]],0)</f>
        <v>0</v>
      </c>
      <c r="S735" s="10">
        <f>Proj[[#This Row],[PPG]]+Proj[[#This Row],[PPA]]</f>
        <v>0</v>
      </c>
      <c r="T735">
        <f>ROUND((_xlfn.IFNA(INDEX(Table3[],MATCH(Proj[[#This Row],[Player]],Table3[Player],0),6)/60,IF(Proj[[#This Row],[Pos]] ="D", 'Per 60 PK'!$F$623, 'Per 60 PK'!$F$622)/60)+_xlfn.IFNA(INDEX(Table3[],MATCH(Proj[[#This Row],[Player]],Table3[Player],0),8)/60,IF(Proj[[#This Row],[Pos]] ="D", 'Per 60 PK'!$H$623, 'Per 60 PK'!$H$622)/60))*Proj[[#This Row],[TOI PK]]*Proj[[#This Row],[GP]],0)</f>
        <v>0</v>
      </c>
      <c r="U73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87</v>
      </c>
      <c r="V73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73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16</v>
      </c>
      <c r="X73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199</v>
      </c>
      <c r="Y73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204</v>
      </c>
      <c r="Z73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55</v>
      </c>
      <c r="AA73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-1384.420424755386</v>
      </c>
      <c r="AB735" s="10">
        <f>_xlfn.RANK.EQ(Proj[[#This Row],[VOR]],Proj[VOR])</f>
        <v>725</v>
      </c>
      <c r="AC735" s="10">
        <f>INDEX(Std[],MATCH(Proj[[#This Row],[Player]],Std[Player],0),20)</f>
        <v>-649.78657044508736</v>
      </c>
      <c r="AD73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159.94999999999999</v>
      </c>
    </row>
    <row r="736" spans="1:30" x14ac:dyDescent="0.25">
      <c r="A736" t="s">
        <v>775</v>
      </c>
      <c r="B736">
        <v>32</v>
      </c>
      <c r="C736" t="s">
        <v>74</v>
      </c>
      <c r="D736" t="s">
        <v>12</v>
      </c>
      <c r="E736" s="9">
        <f>INDEX(Table1[],MATCH(Proj[[#This Row],[Player]],Table1[Player],0),5)</f>
        <v>10.3218218683069</v>
      </c>
      <c r="F736" s="9">
        <f>_xlfn.IFNA(INDEX(Table2[],MATCH(Proj[[#This Row],[Player]],Table2[Player],0),5),0)</f>
        <v>0</v>
      </c>
      <c r="G736" s="9">
        <f>_xlfn.IFNA(INDEX(Table3[],MATCH(Proj[[#This Row],[Player]],Table3[Player],0),5),0)</f>
        <v>1.02</v>
      </c>
      <c r="H736" s="10">
        <v>39</v>
      </c>
      <c r="I736">
        <v>39</v>
      </c>
      <c r="J736" s="9">
        <v>10.3218218683069</v>
      </c>
      <c r="K736" s="9">
        <v>0</v>
      </c>
      <c r="L736" s="9">
        <v>1.02</v>
      </c>
      <c r="M736" s="9">
        <f>Proj[[#This Row],[TOI ES]]+Proj[[#This Row],[TOI PP]]+Proj[[#This Row],[TOI PK]]</f>
        <v>11.3418218683069</v>
      </c>
      <c r="N73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3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36">
        <f>Proj[[#This Row],[Goals]]+Proj[[#This Row],[Assists]]</f>
        <v>8</v>
      </c>
      <c r="Q736" s="10">
        <f>ROUND(_xlfn.IFNA(INDEX(Table2[],MATCH(Proj[[#This Row],[Player]],Table2[Player],0),11)/60,IF(Proj[[#This Row],[Pos]] = "D", 'Per 60 PP'!$K$527,'Per 60 PP'!$K$526)/60)*Proj[[#This Row],[TOI PP]]*Proj[[#This Row],[GP]],0)</f>
        <v>0</v>
      </c>
      <c r="R736" s="10">
        <f>ROUND(_xlfn.IFNA(INDEX(Table2[],MATCH(Proj[[#This Row],[Player]],Table2[Player],0),7)/60,IF(Proj[[#This Row],[Pos]] = "D", 'Per 60 PP'!$G$527,'Per 60 PP'!$G$526)/60)*Proj[[#This Row],[TOI PP]]*Proj[[#This Row],[GP]],0)</f>
        <v>0</v>
      </c>
      <c r="S736" s="10">
        <f>Proj[[#This Row],[PPG]]+Proj[[#This Row],[PPA]]</f>
        <v>0</v>
      </c>
      <c r="T736">
        <f>ROUND((_xlfn.IFNA(INDEX(Table3[],MATCH(Proj[[#This Row],[Player]],Table3[Player],0),6)/60,IF(Proj[[#This Row],[Pos]] ="D", 'Per 60 PK'!$F$623, 'Per 60 PK'!$F$622)/60)+_xlfn.IFNA(INDEX(Table3[],MATCH(Proj[[#This Row],[Player]],Table3[Player],0),8)/60,IF(Proj[[#This Row],[Pos]] ="D", 'Per 60 PK'!$H$623, 'Per 60 PK'!$H$622)/60))*Proj[[#This Row],[TOI PK]]*Proj[[#This Row],[GP]],0)</f>
        <v>0</v>
      </c>
      <c r="U73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92</v>
      </c>
      <c r="V73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27</v>
      </c>
      <c r="W73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20</v>
      </c>
      <c r="X73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126</v>
      </c>
      <c r="Y73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104</v>
      </c>
      <c r="Z73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38</v>
      </c>
      <c r="AA73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-1422.598498901129</v>
      </c>
      <c r="AB736" s="10">
        <f>_xlfn.RANK.EQ(Proj[[#This Row],[VOR]],Proj[VOR])</f>
        <v>732</v>
      </c>
      <c r="AC736" s="10">
        <f>INDEX(Std[],MATCH(Proj[[#This Row],[Player]],Std[Player],0),20)</f>
        <v>-687.96464459083029</v>
      </c>
      <c r="AD73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148.74999999999997</v>
      </c>
    </row>
    <row r="737" spans="1:30" x14ac:dyDescent="0.25">
      <c r="A737" t="s">
        <v>973</v>
      </c>
      <c r="B737">
        <v>30</v>
      </c>
      <c r="C737" t="s">
        <v>3</v>
      </c>
      <c r="D737" t="s">
        <v>156</v>
      </c>
      <c r="E737" s="9">
        <f>INDEX(Table1[],MATCH(Proj[[#This Row],[Player]],Table1[Player],0),5)</f>
        <v>7.33883914652675</v>
      </c>
      <c r="F737" s="9">
        <f>_xlfn.IFNA(INDEX(Table2[],MATCH(Proj[[#This Row],[Player]],Table2[Player],0),5),0)</f>
        <v>0</v>
      </c>
      <c r="G737" s="9">
        <f>_xlfn.IFNA(INDEX(Table3[],MATCH(Proj[[#This Row],[Player]],Table3[Player],0),5),0)</f>
        <v>0.66</v>
      </c>
      <c r="H737" s="10">
        <v>57</v>
      </c>
      <c r="I737">
        <v>57</v>
      </c>
      <c r="J737" s="9">
        <v>7.33883914652675</v>
      </c>
      <c r="K737" s="9">
        <v>0</v>
      </c>
      <c r="L737" s="9">
        <v>0.66</v>
      </c>
      <c r="M737" s="9">
        <f>Proj[[#This Row],[TOI ES]]+Proj[[#This Row],[TOI PP]]+Proj[[#This Row],[TOI PK]]</f>
        <v>7.9988391465267501</v>
      </c>
      <c r="N73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3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37">
        <f>Proj[[#This Row],[Goals]]+Proj[[#This Row],[Assists]]</f>
        <v>8</v>
      </c>
      <c r="Q737" s="10">
        <f>ROUND(_xlfn.IFNA(INDEX(Table2[],MATCH(Proj[[#This Row],[Player]],Table2[Player],0),11)/60,IF(Proj[[#This Row],[Pos]] = "D", 'Per 60 PP'!$K$527,'Per 60 PP'!$K$526)/60)*Proj[[#This Row],[TOI PP]]*Proj[[#This Row],[GP]],0)</f>
        <v>0</v>
      </c>
      <c r="R737" s="10">
        <f>ROUND(_xlfn.IFNA(INDEX(Table2[],MATCH(Proj[[#This Row],[Player]],Table2[Player],0),7)/60,IF(Proj[[#This Row],[Pos]] = "D", 'Per 60 PP'!$G$527,'Per 60 PP'!$G$526)/60)*Proj[[#This Row],[TOI PP]]*Proj[[#This Row],[GP]],0)</f>
        <v>0</v>
      </c>
      <c r="S737" s="10">
        <f>Proj[[#This Row],[PPG]]+Proj[[#This Row],[PPA]]</f>
        <v>0</v>
      </c>
      <c r="T737">
        <f>ROUND((_xlfn.IFNA(INDEX(Table3[],MATCH(Proj[[#This Row],[Player]],Table3[Player],0),6)/60,IF(Proj[[#This Row],[Pos]] ="D", 'Per 60 PK'!$F$623, 'Per 60 PK'!$F$622)/60)+_xlfn.IFNA(INDEX(Table3[],MATCH(Proj[[#This Row],[Player]],Table3[Player],0),8)/60,IF(Proj[[#This Row],[Pos]] ="D", 'Per 60 PK'!$H$623, 'Per 60 PK'!$H$622)/60))*Proj[[#This Row],[TOI PK]]*Proj[[#This Row],[GP]],0)</f>
        <v>0</v>
      </c>
      <c r="U73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115</v>
      </c>
      <c r="V73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73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84</v>
      </c>
      <c r="X73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25</v>
      </c>
      <c r="Y73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22</v>
      </c>
      <c r="Z73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34</v>
      </c>
      <c r="AA73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-524.04533806493259</v>
      </c>
      <c r="AB737" s="10">
        <f>_xlfn.RANK.EQ(Proj[[#This Row],[VOR]],Proj[VOR])</f>
        <v>438</v>
      </c>
      <c r="AC737" s="10">
        <f>INDEX(Std[],MATCH(Proj[[#This Row],[Player]],Std[Player],0),20)</f>
        <v>-416.68057034546814</v>
      </c>
      <c r="AD73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173.7</v>
      </c>
    </row>
    <row r="738" spans="1:30" x14ac:dyDescent="0.25">
      <c r="A738" t="s">
        <v>764</v>
      </c>
      <c r="B738">
        <v>26</v>
      </c>
      <c r="C738" t="s">
        <v>102</v>
      </c>
      <c r="D738" t="s">
        <v>31</v>
      </c>
      <c r="E738" s="9">
        <f>INDEX(Table1[],MATCH(Proj[[#This Row],[Player]],Table1[Player],0),5)</f>
        <v>7.8020009601539799</v>
      </c>
      <c r="F738" s="9">
        <f>_xlfn.IFNA(INDEX(Table2[],MATCH(Proj[[#This Row],[Player]],Table2[Player],0),5),0)</f>
        <v>0</v>
      </c>
      <c r="G738" s="9">
        <f>_xlfn.IFNA(INDEX(Table3[],MATCH(Proj[[#This Row],[Player]],Table3[Player],0),5),0)</f>
        <v>0</v>
      </c>
      <c r="H738" s="10">
        <v>64</v>
      </c>
      <c r="I738">
        <v>64</v>
      </c>
      <c r="J738" s="9">
        <v>7.8020009601539799</v>
      </c>
      <c r="K738" s="9">
        <v>0</v>
      </c>
      <c r="L738" s="9">
        <v>0</v>
      </c>
      <c r="M738" s="9">
        <f>Proj[[#This Row],[TOI ES]]+Proj[[#This Row],[TOI PP]]+Proj[[#This Row],[TOI PK]]</f>
        <v>7.8020009601539799</v>
      </c>
      <c r="N73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3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38" s="10">
        <f>Proj[[#This Row],[Goals]]+Proj[[#This Row],[Assists]]</f>
        <v>8</v>
      </c>
      <c r="Q738" s="10">
        <f>ROUND(_xlfn.IFNA(INDEX(Table2[],MATCH(Proj[[#This Row],[Player]],Table2[Player],0),11)/60,IF(Proj[[#This Row],[Pos]] = "D", 'Per 60 PP'!$K$527,'Per 60 PP'!$K$526)/60)*Proj[[#This Row],[TOI PP]]*Proj[[#This Row],[GP]],0)</f>
        <v>0</v>
      </c>
      <c r="R738" s="10">
        <f>ROUND(_xlfn.IFNA(INDEX(Table2[],MATCH(Proj[[#This Row],[Player]],Table2[Player],0),7)/60,IF(Proj[[#This Row],[Pos]] = "D", 'Per 60 PP'!$G$527,'Per 60 PP'!$G$526)/60)*Proj[[#This Row],[TOI PP]]*Proj[[#This Row],[GP]],0)</f>
        <v>0</v>
      </c>
      <c r="S738" s="10">
        <f>Proj[[#This Row],[PPG]]+Proj[[#This Row],[PPA]]</f>
        <v>0</v>
      </c>
      <c r="T738">
        <f>ROUND((_xlfn.IFNA(INDEX(Table3[],MATCH(Proj[[#This Row],[Player]],Table3[Player],0),6)/60,IF(Proj[[#This Row],[Pos]] ="D", 'Per 60 PK'!$F$623, 'Per 60 PK'!$F$622)/60)+_xlfn.IFNA(INDEX(Table3[],MATCH(Proj[[#This Row],[Player]],Table3[Player],0),8)/60,IF(Proj[[#This Row],[Pos]] ="D", 'Per 60 PK'!$H$623, 'Per 60 PK'!$H$622)/60))*Proj[[#This Row],[TOI PK]]*Proj[[#This Row],[GP]],0)</f>
        <v>0</v>
      </c>
      <c r="U73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73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20</v>
      </c>
      <c r="W73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117</v>
      </c>
      <c r="X73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73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v>
      </c>
      <c r="Z73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49</v>
      </c>
      <c r="AA73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-707.26161142168314</v>
      </c>
      <c r="AB738" s="10">
        <f>_xlfn.RANK.EQ(Proj[[#This Row],[VOR]],Proj[VOR])</f>
        <v>528</v>
      </c>
      <c r="AC738" s="10">
        <f>INDEX(Std[],MATCH(Proj[[#This Row],[Player]],Std[Player],0),20)</f>
        <v>-235.71688703143428</v>
      </c>
      <c r="AD73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196.70000000000002</v>
      </c>
    </row>
    <row r="739" spans="1:30" x14ac:dyDescent="0.25">
      <c r="A739" t="s">
        <v>490</v>
      </c>
      <c r="B739">
        <v>33</v>
      </c>
      <c r="C739" t="s">
        <v>102</v>
      </c>
      <c r="D739" t="s">
        <v>1101</v>
      </c>
      <c r="E739" s="9">
        <f>INDEX(Table1[],MATCH(Proj[[#This Row],[Player]],Table1[Player],0),5)</f>
        <v>7.6334896649107504</v>
      </c>
      <c r="F739" s="9">
        <f>_xlfn.IFNA(INDEX(Table2[],MATCH(Proj[[#This Row],[Player]],Table2[Player],0),5),0)</f>
        <v>0</v>
      </c>
      <c r="G739" s="9">
        <f>_xlfn.IFNA(INDEX(Table3[],MATCH(Proj[[#This Row],[Player]],Table3[Player],0),5),0)</f>
        <v>2.02</v>
      </c>
      <c r="H739" s="10">
        <v>52</v>
      </c>
      <c r="I739">
        <v>52</v>
      </c>
      <c r="J739" s="9">
        <v>7.6334896649107504</v>
      </c>
      <c r="K739" s="9">
        <v>0</v>
      </c>
      <c r="L739" s="9">
        <v>2.02</v>
      </c>
      <c r="M739" s="9">
        <f>Proj[[#This Row],[TOI ES]]+Proj[[#This Row],[TOI PP]]+Proj[[#This Row],[TOI PK]]</f>
        <v>9.6534896649107509</v>
      </c>
      <c r="N73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3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39">
        <f>Proj[[#This Row],[Goals]]+Proj[[#This Row],[Assists]]</f>
        <v>8</v>
      </c>
      <c r="Q739" s="10">
        <f>ROUND(_xlfn.IFNA(INDEX(Table2[],MATCH(Proj[[#This Row],[Player]],Table2[Player],0),11)/60,IF(Proj[[#This Row],[Pos]] = "D", 'Per 60 PP'!$K$527,'Per 60 PP'!$K$526)/60)*Proj[[#This Row],[TOI PP]]*Proj[[#This Row],[GP]],0)</f>
        <v>0</v>
      </c>
      <c r="R739" s="10">
        <f>ROUND(_xlfn.IFNA(INDEX(Table2[],MATCH(Proj[[#This Row],[Player]],Table2[Player],0),7)/60,IF(Proj[[#This Row],[Pos]] = "D", 'Per 60 PP'!$G$527,'Per 60 PP'!$G$526)/60)*Proj[[#This Row],[TOI PP]]*Proj[[#This Row],[GP]],0)</f>
        <v>0</v>
      </c>
      <c r="S739" s="10">
        <f>Proj[[#This Row],[PPG]]+Proj[[#This Row],[PPA]]</f>
        <v>0</v>
      </c>
      <c r="T739">
        <f>ROUND((_xlfn.IFNA(INDEX(Table3[],MATCH(Proj[[#This Row],[Player]],Table3[Player],0),6)/60,IF(Proj[[#This Row],[Pos]] ="D", 'Per 60 PK'!$F$623, 'Per 60 PK'!$F$622)/60)+_xlfn.IFNA(INDEX(Table3[],MATCH(Proj[[#This Row],[Player]],Table3[Player],0),8)/60,IF(Proj[[#This Row],[Pos]] ="D", 'Per 60 PK'!$H$623, 'Per 60 PK'!$H$622)/60))*Proj[[#This Row],[TOI PK]]*Proj[[#This Row],[GP]],0)</f>
        <v>1</v>
      </c>
      <c r="U73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123</v>
      </c>
      <c r="V73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44</v>
      </c>
      <c r="W73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94</v>
      </c>
      <c r="X73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6</v>
      </c>
      <c r="Y73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11</v>
      </c>
      <c r="Z73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40</v>
      </c>
      <c r="AA73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-773.18150890229299</v>
      </c>
      <c r="AB739" s="10">
        <f>_xlfn.RANK.EQ(Proj[[#This Row],[VOR]],Proj[VOR])</f>
        <v>569</v>
      </c>
      <c r="AC739" s="10">
        <f>INDEX(Std[],MATCH(Proj[[#This Row],[Player]],Std[Player],0),20)</f>
        <v>-301.63678451204413</v>
      </c>
      <c r="AD73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197.4</v>
      </c>
    </row>
    <row r="740" spans="1:30" x14ac:dyDescent="0.25">
      <c r="A740" t="s">
        <v>917</v>
      </c>
      <c r="B740">
        <v>27</v>
      </c>
      <c r="C740" t="s">
        <v>3</v>
      </c>
      <c r="D740" t="s">
        <v>8</v>
      </c>
      <c r="E740" s="9">
        <f>INDEX(Table1[],MATCH(Proj[[#This Row],[Player]],Table1[Player],0),5)</f>
        <v>13.4526957673545</v>
      </c>
      <c r="F740" s="9">
        <f>_xlfn.IFNA(INDEX(Table2[],MATCH(Proj[[#This Row],[Player]],Table2[Player],0),5),0)</f>
        <v>0</v>
      </c>
      <c r="G740" s="9">
        <f>_xlfn.IFNA(INDEX(Table3[],MATCH(Proj[[#This Row],[Player]],Table3[Player],0),5),0)</f>
        <v>1.74</v>
      </c>
      <c r="H740" s="10">
        <v>60</v>
      </c>
      <c r="I740">
        <v>60</v>
      </c>
      <c r="J740" s="9">
        <v>13.4526957673545</v>
      </c>
      <c r="K740" s="9">
        <v>0</v>
      </c>
      <c r="L740" s="9">
        <v>1.74</v>
      </c>
      <c r="M740" s="9">
        <f>Proj[[#This Row],[TOI ES]]+Proj[[#This Row],[TOI PP]]+Proj[[#This Row],[TOI PK]]</f>
        <v>15.1926957673545</v>
      </c>
      <c r="N74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4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7</v>
      </c>
      <c r="P740">
        <f>Proj[[#This Row],[Goals]]+Proj[[#This Row],[Assists]]</f>
        <v>8</v>
      </c>
      <c r="Q740" s="10">
        <f>ROUND(_xlfn.IFNA(INDEX(Table2[],MATCH(Proj[[#This Row],[Player]],Table2[Player],0),11)/60,IF(Proj[[#This Row],[Pos]] = "D", 'Per 60 PP'!$K$527,'Per 60 PP'!$K$526)/60)*Proj[[#This Row],[TOI PP]]*Proj[[#This Row],[GP]],0)</f>
        <v>0</v>
      </c>
      <c r="R740" s="10">
        <f>ROUND(_xlfn.IFNA(INDEX(Table2[],MATCH(Proj[[#This Row],[Player]],Table2[Player],0),7)/60,IF(Proj[[#This Row],[Pos]] = "D", 'Per 60 PP'!$G$527,'Per 60 PP'!$G$526)/60)*Proj[[#This Row],[TOI PP]]*Proj[[#This Row],[GP]],0)</f>
        <v>0</v>
      </c>
      <c r="S740" s="10">
        <f>Proj[[#This Row],[PPG]]+Proj[[#This Row],[PPA]]</f>
        <v>0</v>
      </c>
      <c r="T740">
        <f>ROUND((_xlfn.IFNA(INDEX(Table3[],MATCH(Proj[[#This Row],[Player]],Table3[Player],0),6)/60,IF(Proj[[#This Row],[Pos]] ="D", 'Per 60 PK'!$F$623, 'Per 60 PK'!$F$622)/60)+_xlfn.IFNA(INDEX(Table3[],MATCH(Proj[[#This Row],[Player]],Table3[Player],0),8)/60,IF(Proj[[#This Row],[Pos]] ="D", 'Per 60 PK'!$H$623, 'Per 60 PK'!$H$622)/60))*Proj[[#This Row],[TOI PK]]*Proj[[#This Row],[GP]],0)</f>
        <v>0</v>
      </c>
      <c r="U74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164</v>
      </c>
      <c r="V74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92</v>
      </c>
      <c r="W74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27</v>
      </c>
      <c r="X74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74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-547.31955839606974</v>
      </c>
      <c r="AB740" s="10">
        <f>_xlfn.RANK.EQ(Proj[[#This Row],[VOR]],Proj[VOR])</f>
        <v>451</v>
      </c>
      <c r="AC740" s="10">
        <f>INDEX(Std[],MATCH(Proj[[#This Row],[Player]],Std[Player],0),20)</f>
        <v>-439.95479067660528</v>
      </c>
      <c r="AD74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218.14999999999998</v>
      </c>
    </row>
    <row r="741" spans="1:30" x14ac:dyDescent="0.25">
      <c r="A741" t="s">
        <v>1194</v>
      </c>
      <c r="B741">
        <v>30</v>
      </c>
      <c r="C741" t="s">
        <v>3</v>
      </c>
      <c r="D741" t="s">
        <v>156</v>
      </c>
      <c r="E741" s="9">
        <f>INDEX(Table1[],MATCH(Proj[[#This Row],[Player]],Table1[Player],0),5)</f>
        <v>13.9118575193938</v>
      </c>
      <c r="F741" s="9">
        <f>_xlfn.IFNA(INDEX(Table2[],MATCH(Proj[[#This Row],[Player]],Table2[Player],0),5),0)</f>
        <v>0</v>
      </c>
      <c r="G741" s="9">
        <f>_xlfn.IFNA(INDEX(Table3[],MATCH(Proj[[#This Row],[Player]],Table3[Player],0),5),0)</f>
        <v>0.71</v>
      </c>
      <c r="H741" s="10">
        <v>32</v>
      </c>
      <c r="I741">
        <v>32</v>
      </c>
      <c r="J741" s="9">
        <v>13.9118575193938</v>
      </c>
      <c r="K741" s="9">
        <v>0</v>
      </c>
      <c r="L741" s="9">
        <v>0.71</v>
      </c>
      <c r="M741" s="9">
        <f>Proj[[#This Row],[TOI ES]]+Proj[[#This Row],[TOI PP]]+Proj[[#This Row],[TOI PK]]</f>
        <v>14.621857519393799</v>
      </c>
      <c r="N74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4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41" s="10">
        <f>Proj[[#This Row],[Goals]]+Proj[[#This Row],[Assists]]</f>
        <v>7</v>
      </c>
      <c r="Q741" s="10">
        <f>ROUND(_xlfn.IFNA(INDEX(Table2[],MATCH(Proj[[#This Row],[Player]],Table2[Player],0),11)/60,IF(Proj[[#This Row],[Pos]] = "D", 'Per 60 PP'!$K$527,'Per 60 PP'!$K$526)/60)*Proj[[#This Row],[TOI PP]]*Proj[[#This Row],[GP]],0)</f>
        <v>0</v>
      </c>
      <c r="R741" s="10">
        <f>ROUND(_xlfn.IFNA(INDEX(Table2[],MATCH(Proj[[#This Row],[Player]],Table2[Player],0),7)/60,IF(Proj[[#This Row],[Pos]] = "D", 'Per 60 PP'!$G$527,'Per 60 PP'!$G$526)/60)*Proj[[#This Row],[TOI PP]]*Proj[[#This Row],[GP]],0)</f>
        <v>0</v>
      </c>
      <c r="S741" s="10">
        <f>Proj[[#This Row],[PPG]]+Proj[[#This Row],[PPA]]</f>
        <v>0</v>
      </c>
      <c r="T741">
        <f>ROUND((_xlfn.IFNA(INDEX(Table3[],MATCH(Proj[[#This Row],[Player]],Table3[Player],0),6)/60,IF(Proj[[#This Row],[Pos]] ="D", 'Per 60 PK'!$F$623, 'Per 60 PK'!$F$622)/60)+_xlfn.IFNA(INDEX(Table3[],MATCH(Proj[[#This Row],[Player]],Table3[Player],0),8)/60,IF(Proj[[#This Row],[Pos]] ="D", 'Per 60 PK'!$H$623, 'Per 60 PK'!$H$622)/60))*Proj[[#This Row],[TOI PK]]*Proj[[#This Row],[GP]],0)</f>
        <v>0</v>
      </c>
      <c r="U74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27</v>
      </c>
      <c r="V74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74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9</v>
      </c>
      <c r="X74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30</v>
      </c>
      <c r="AA74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-1035.4149242599817</v>
      </c>
      <c r="AB741" s="10">
        <f>_xlfn.RANK.EQ(Proj[[#This Row],[VOR]],Proj[VOR])</f>
        <v>666</v>
      </c>
      <c r="AC741" s="10">
        <f>INDEX(Std[],MATCH(Proj[[#This Row],[Player]],Std[Player],0),20)</f>
        <v>-928.05015654051726</v>
      </c>
      <c r="AD74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91.649999999999991</v>
      </c>
    </row>
    <row r="742" spans="1:30" x14ac:dyDescent="0.25">
      <c r="A742" t="s">
        <v>699</v>
      </c>
      <c r="B742">
        <v>26</v>
      </c>
      <c r="C742" t="s">
        <v>3</v>
      </c>
      <c r="D742" t="s">
        <v>25</v>
      </c>
      <c r="E742" s="9">
        <f>INDEX(Table1[],MATCH(Proj[[#This Row],[Player]],Table1[Player],0),5)</f>
        <v>15.8241365153386</v>
      </c>
      <c r="F742" s="9">
        <f>_xlfn.IFNA(INDEX(Table2[],MATCH(Proj[[#This Row],[Player]],Table2[Player],0),5),0)</f>
        <v>0</v>
      </c>
      <c r="G742" s="9">
        <f>_xlfn.IFNA(INDEX(Table3[],MATCH(Proj[[#This Row],[Player]],Table3[Player],0),5),0)</f>
        <v>1.27</v>
      </c>
      <c r="H742" s="10">
        <v>38</v>
      </c>
      <c r="I742">
        <v>38</v>
      </c>
      <c r="J742" s="9">
        <v>15.8241365153386</v>
      </c>
      <c r="K742" s="9">
        <v>0</v>
      </c>
      <c r="L742" s="9">
        <v>1.27</v>
      </c>
      <c r="M742" s="9">
        <f>Proj[[#This Row],[TOI ES]]+Proj[[#This Row],[TOI PP]]+Proj[[#This Row],[TOI PK]]</f>
        <v>17.094136515338601</v>
      </c>
      <c r="N74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4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42">
        <f>Proj[[#This Row],[Goals]]+Proj[[#This Row],[Assists]]</f>
        <v>7</v>
      </c>
      <c r="Q742" s="10">
        <f>ROUND(_xlfn.IFNA(INDEX(Table2[],MATCH(Proj[[#This Row],[Player]],Table2[Player],0),11)/60,IF(Proj[[#This Row],[Pos]] = "D", 'Per 60 PP'!$K$527,'Per 60 PP'!$K$526)/60)*Proj[[#This Row],[TOI PP]]*Proj[[#This Row],[GP]],0)</f>
        <v>0</v>
      </c>
      <c r="R742" s="10">
        <f>ROUND(_xlfn.IFNA(INDEX(Table2[],MATCH(Proj[[#This Row],[Player]],Table2[Player],0),7)/60,IF(Proj[[#This Row],[Pos]] = "D", 'Per 60 PP'!$G$527,'Per 60 PP'!$G$526)/60)*Proj[[#This Row],[TOI PP]]*Proj[[#This Row],[GP]],0)</f>
        <v>0</v>
      </c>
      <c r="S742" s="10">
        <f>Proj[[#This Row],[PPG]]+Proj[[#This Row],[PPA]]</f>
        <v>0</v>
      </c>
      <c r="T742">
        <f>ROUND((_xlfn.IFNA(INDEX(Table3[],MATCH(Proj[[#This Row],[Player]],Table3[Player],0),6)/60,IF(Proj[[#This Row],[Pos]] ="D", 'Per 60 PK'!$F$623, 'Per 60 PK'!$F$622)/60)+_xlfn.IFNA(INDEX(Table3[],MATCH(Proj[[#This Row],[Player]],Table3[Player],0),8)/60,IF(Proj[[#This Row],[Pos]] ="D", 'Per 60 PK'!$H$623, 'Per 60 PK'!$H$622)/60))*Proj[[#This Row],[TOI PK]]*Proj[[#This Row],[GP]],0)</f>
        <v>0</v>
      </c>
      <c r="U74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36</v>
      </c>
      <c r="V74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58</v>
      </c>
      <c r="W74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23</v>
      </c>
      <c r="X74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34</v>
      </c>
      <c r="AA74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-906.86279694840323</v>
      </c>
      <c r="AB742" s="10">
        <f>_xlfn.RANK.EQ(Proj[[#This Row],[VOR]],Proj[VOR])</f>
        <v>628</v>
      </c>
      <c r="AC742" s="10">
        <f>INDEX(Std[],MATCH(Proj[[#This Row],[Player]],Std[Player],0),20)</f>
        <v>-799.49802922893878</v>
      </c>
      <c r="AD74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114.85</v>
      </c>
    </row>
    <row r="743" spans="1:30" x14ac:dyDescent="0.25">
      <c r="A743" t="s">
        <v>858</v>
      </c>
      <c r="B743">
        <v>26</v>
      </c>
      <c r="C743" t="s">
        <v>74</v>
      </c>
      <c r="D743" t="s">
        <v>87</v>
      </c>
      <c r="E743" s="9">
        <f>INDEX(Table1[],MATCH(Proj[[#This Row],[Player]],Table1[Player],0),5)</f>
        <v>9.9108961356909493</v>
      </c>
      <c r="F743" s="9">
        <f>_xlfn.IFNA(INDEX(Table2[],MATCH(Proj[[#This Row],[Player]],Table2[Player],0),5),0)</f>
        <v>0</v>
      </c>
      <c r="G743" s="9">
        <f>_xlfn.IFNA(INDEX(Table3[],MATCH(Proj[[#This Row],[Player]],Table3[Player],0),5),0)</f>
        <v>0.81</v>
      </c>
      <c r="H743" s="10">
        <v>43</v>
      </c>
      <c r="I743">
        <v>43</v>
      </c>
      <c r="J743" s="9">
        <v>9.9108961356909493</v>
      </c>
      <c r="K743" s="9">
        <v>0</v>
      </c>
      <c r="L743" s="9">
        <v>0.81</v>
      </c>
      <c r="M743" s="9">
        <f>Proj[[#This Row],[TOI ES]]+Proj[[#This Row],[TOI PP]]+Proj[[#This Row],[TOI PK]]</f>
        <v>10.72089613569095</v>
      </c>
      <c r="N74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4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43">
        <f>Proj[[#This Row],[Goals]]+Proj[[#This Row],[Assists]]</f>
        <v>7</v>
      </c>
      <c r="Q743" s="10">
        <f>ROUND(_xlfn.IFNA(INDEX(Table2[],MATCH(Proj[[#This Row],[Player]],Table2[Player],0),11)/60,IF(Proj[[#This Row],[Pos]] = "D", 'Per 60 PP'!$K$527,'Per 60 PP'!$K$526)/60)*Proj[[#This Row],[TOI PP]]*Proj[[#This Row],[GP]],0)</f>
        <v>0</v>
      </c>
      <c r="R743" s="10">
        <f>ROUND(_xlfn.IFNA(INDEX(Table2[],MATCH(Proj[[#This Row],[Player]],Table2[Player],0),7)/60,IF(Proj[[#This Row],[Pos]] = "D", 'Per 60 PP'!$G$527,'Per 60 PP'!$G$526)/60)*Proj[[#This Row],[TOI PP]]*Proj[[#This Row],[GP]],0)</f>
        <v>0</v>
      </c>
      <c r="S743" s="10">
        <f>Proj[[#This Row],[PPG]]+Proj[[#This Row],[PPA]]</f>
        <v>0</v>
      </c>
      <c r="T743">
        <f>ROUND((_xlfn.IFNA(INDEX(Table3[],MATCH(Proj[[#This Row],[Player]],Table3[Player],0),6)/60,IF(Proj[[#This Row],[Pos]] ="D", 'Per 60 PK'!$F$623, 'Per 60 PK'!$F$622)/60)+_xlfn.IFNA(INDEX(Table3[],MATCH(Proj[[#This Row],[Player]],Table3[Player],0),8)/60,IF(Proj[[#This Row],[Pos]] ="D", 'Per 60 PK'!$H$623, 'Per 60 PK'!$H$622)/60))*Proj[[#This Row],[TOI PK]]*Proj[[#This Row],[GP]],0)</f>
        <v>0</v>
      </c>
      <c r="U74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52</v>
      </c>
      <c r="V74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14</v>
      </c>
      <c r="W74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74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87</v>
      </c>
      <c r="Y74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101</v>
      </c>
      <c r="Z74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30</v>
      </c>
      <c r="AA74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-1618.1248118299441</v>
      </c>
      <c r="AB743" s="10">
        <f>_xlfn.RANK.EQ(Proj[[#This Row],[VOR]],Proj[VOR])</f>
        <v>750</v>
      </c>
      <c r="AC743" s="10">
        <f>INDEX(Std[],MATCH(Proj[[#This Row],[Player]],Std[Player],0),20)</f>
        <v>-883.49095751964558</v>
      </c>
      <c r="AD74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101.20000000000002</v>
      </c>
    </row>
    <row r="744" spans="1:30" x14ac:dyDescent="0.25">
      <c r="A744" t="s">
        <v>782</v>
      </c>
      <c r="B744">
        <v>29</v>
      </c>
      <c r="C744" t="s">
        <v>3</v>
      </c>
      <c r="D744" t="s">
        <v>8</v>
      </c>
      <c r="E744" s="9">
        <f>INDEX(Table1[],MATCH(Proj[[#This Row],[Player]],Table1[Player],0),5)</f>
        <v>12.5136054668518</v>
      </c>
      <c r="F744" s="9">
        <f>_xlfn.IFNA(INDEX(Table2[],MATCH(Proj[[#This Row],[Player]],Table2[Player],0),5),0)</f>
        <v>0</v>
      </c>
      <c r="G744" s="9">
        <f>_xlfn.IFNA(INDEX(Table3[],MATCH(Proj[[#This Row],[Player]],Table3[Player],0),5),0)</f>
        <v>1.07</v>
      </c>
      <c r="H744" s="10">
        <v>42</v>
      </c>
      <c r="I744">
        <v>42</v>
      </c>
      <c r="J744" s="9">
        <v>12.5136054668518</v>
      </c>
      <c r="K744" s="9">
        <v>0</v>
      </c>
      <c r="L744" s="9">
        <v>1.07</v>
      </c>
      <c r="M744" s="9">
        <f>Proj[[#This Row],[TOI ES]]+Proj[[#This Row],[TOI PP]]+Proj[[#This Row],[TOI PK]]</f>
        <v>13.5836054668518</v>
      </c>
      <c r="N74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4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44" s="10">
        <f>Proj[[#This Row],[Goals]]+Proj[[#This Row],[Assists]]</f>
        <v>7</v>
      </c>
      <c r="Q744" s="10">
        <f>ROUND(_xlfn.IFNA(INDEX(Table2[],MATCH(Proj[[#This Row],[Player]],Table2[Player],0),11)/60,IF(Proj[[#This Row],[Pos]] = "D", 'Per 60 PP'!$K$527,'Per 60 PP'!$K$526)/60)*Proj[[#This Row],[TOI PP]]*Proj[[#This Row],[GP]],0)</f>
        <v>0</v>
      </c>
      <c r="R744" s="10">
        <f>ROUND(_xlfn.IFNA(INDEX(Table2[],MATCH(Proj[[#This Row],[Player]],Table2[Player],0),7)/60,IF(Proj[[#This Row],[Pos]] = "D", 'Per 60 PP'!$G$527,'Per 60 PP'!$G$526)/60)*Proj[[#This Row],[TOI PP]]*Proj[[#This Row],[GP]],0)</f>
        <v>0</v>
      </c>
      <c r="S744" s="10">
        <f>Proj[[#This Row],[PPG]]+Proj[[#This Row],[PPA]]</f>
        <v>0</v>
      </c>
      <c r="T744">
        <f>ROUND((_xlfn.IFNA(INDEX(Table3[],MATCH(Proj[[#This Row],[Player]],Table3[Player],0),6)/60,IF(Proj[[#This Row],[Pos]] ="D", 'Per 60 PK'!$F$623, 'Per 60 PK'!$F$622)/60)+_xlfn.IFNA(INDEX(Table3[],MATCH(Proj[[#This Row],[Player]],Table3[Player],0),8)/60,IF(Proj[[#This Row],[Pos]] ="D", 'Per 60 PK'!$H$623, 'Per 60 PK'!$H$622)/60))*Proj[[#This Row],[TOI PK]]*Proj[[#This Row],[GP]],0)</f>
        <v>0</v>
      </c>
      <c r="U74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56</v>
      </c>
      <c r="V74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56</v>
      </c>
      <c r="W74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29</v>
      </c>
      <c r="X74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39</v>
      </c>
      <c r="AA74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-836.71331933584429</v>
      </c>
      <c r="AB744" s="10">
        <f>_xlfn.RANK.EQ(Proj[[#This Row],[VOR]],Proj[VOR])</f>
        <v>606</v>
      </c>
      <c r="AC744" s="10">
        <f>INDEX(Std[],MATCH(Proj[[#This Row],[Player]],Std[Player],0),20)</f>
        <v>-729.34855161637984</v>
      </c>
      <c r="AD74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130.54999999999998</v>
      </c>
    </row>
    <row r="745" spans="1:30" x14ac:dyDescent="0.25">
      <c r="A745" t="s">
        <v>969</v>
      </c>
      <c r="B745">
        <v>25</v>
      </c>
      <c r="C745" t="s">
        <v>74</v>
      </c>
      <c r="D745" t="s">
        <v>155</v>
      </c>
      <c r="E745" s="9">
        <f>INDEX(Table1[],MATCH(Proj[[#This Row],[Player]],Table1[Player],0),5)</f>
        <v>10.6177380074833</v>
      </c>
      <c r="F745" s="9">
        <f>_xlfn.IFNA(INDEX(Table2[],MATCH(Proj[[#This Row],[Player]],Table2[Player],0),5),0)</f>
        <v>0</v>
      </c>
      <c r="G745" s="9">
        <f>_xlfn.IFNA(INDEX(Table3[],MATCH(Proj[[#This Row],[Player]],Table3[Player],0),5),0)</f>
        <v>0.81</v>
      </c>
      <c r="H745" s="10">
        <v>44</v>
      </c>
      <c r="I745">
        <v>44</v>
      </c>
      <c r="J745" s="9">
        <v>10.6177380074833</v>
      </c>
      <c r="K745" s="9">
        <v>0</v>
      </c>
      <c r="L745" s="9">
        <v>0.81</v>
      </c>
      <c r="M745" s="9">
        <f>Proj[[#This Row],[TOI ES]]+Proj[[#This Row],[TOI PP]]+Proj[[#This Row],[TOI PK]]</f>
        <v>11.427738007483301</v>
      </c>
      <c r="N74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4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45" s="10">
        <f>Proj[[#This Row],[Goals]]+Proj[[#This Row],[Assists]]</f>
        <v>7</v>
      </c>
      <c r="Q745" s="10">
        <f>ROUND(_xlfn.IFNA(INDEX(Table2[],MATCH(Proj[[#This Row],[Player]],Table2[Player],0),11)/60,IF(Proj[[#This Row],[Pos]] = "D", 'Per 60 PP'!$K$527,'Per 60 PP'!$K$526)/60)*Proj[[#This Row],[TOI PP]]*Proj[[#This Row],[GP]],0)</f>
        <v>0</v>
      </c>
      <c r="R745" s="10">
        <f>ROUND(_xlfn.IFNA(INDEX(Table2[],MATCH(Proj[[#This Row],[Player]],Table2[Player],0),7)/60,IF(Proj[[#This Row],[Pos]] = "D", 'Per 60 PP'!$G$527,'Per 60 PP'!$G$526)/60)*Proj[[#This Row],[TOI PP]]*Proj[[#This Row],[GP]],0)</f>
        <v>0</v>
      </c>
      <c r="S745" s="10">
        <f>Proj[[#This Row],[PPG]]+Proj[[#This Row],[PPA]]</f>
        <v>0</v>
      </c>
      <c r="T745">
        <f>ROUND((_xlfn.IFNA(INDEX(Table3[],MATCH(Proj[[#This Row],[Player]],Table3[Player],0),6)/60,IF(Proj[[#This Row],[Pos]] ="D", 'Per 60 PK'!$F$623, 'Per 60 PK'!$F$622)/60)+_xlfn.IFNA(INDEX(Table3[],MATCH(Proj[[#This Row],[Player]],Table3[Player],0),8)/60,IF(Proj[[#This Row],[Pos]] ="D", 'Per 60 PK'!$H$623, 'Per 60 PK'!$H$622)/60))*Proj[[#This Row],[TOI PK]]*Proj[[#This Row],[GP]],0)</f>
        <v>0</v>
      </c>
      <c r="U74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58</v>
      </c>
      <c r="V74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74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74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113</v>
      </c>
      <c r="Y74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159</v>
      </c>
      <c r="Z74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74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-1534.8529636957878</v>
      </c>
      <c r="AB745" s="10">
        <f>_xlfn.RANK.EQ(Proj[[#This Row],[VOR]],Proj[VOR])</f>
        <v>744</v>
      </c>
      <c r="AC745" s="10">
        <f>INDEX(Std[],MATCH(Proj[[#This Row],[Player]],Std[Player],0),20)</f>
        <v>-800.21910938548933</v>
      </c>
      <c r="AD74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121.29999999999998</v>
      </c>
    </row>
    <row r="746" spans="1:30" x14ac:dyDescent="0.25">
      <c r="A746" t="s">
        <v>923</v>
      </c>
      <c r="B746">
        <v>25</v>
      </c>
      <c r="C746" t="s">
        <v>3</v>
      </c>
      <c r="D746" t="s">
        <v>29</v>
      </c>
      <c r="E746" s="9">
        <f>INDEX(Table1[],MATCH(Proj[[#This Row],[Player]],Table1[Player],0),5)</f>
        <v>13.7585653170912</v>
      </c>
      <c r="F746" s="9">
        <f>_xlfn.IFNA(INDEX(Table2[],MATCH(Proj[[#This Row],[Player]],Table2[Player],0),5),0)</f>
        <v>0</v>
      </c>
      <c r="G746" s="9">
        <f>_xlfn.IFNA(INDEX(Table3[],MATCH(Proj[[#This Row],[Player]],Table3[Player],0),5),0)</f>
        <v>0.72</v>
      </c>
      <c r="H746" s="10">
        <v>53</v>
      </c>
      <c r="I746">
        <v>53</v>
      </c>
      <c r="J746" s="9">
        <v>13.7585653170912</v>
      </c>
      <c r="K746" s="9">
        <v>0</v>
      </c>
      <c r="L746" s="9">
        <v>0.72</v>
      </c>
      <c r="M746" s="9">
        <f>Proj[[#This Row],[TOI ES]]+Proj[[#This Row],[TOI PP]]+Proj[[#This Row],[TOI PK]]</f>
        <v>14.478565317091201</v>
      </c>
      <c r="N74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4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6</v>
      </c>
      <c r="P746" s="10">
        <f>Proj[[#This Row],[Goals]]+Proj[[#This Row],[Assists]]</f>
        <v>7</v>
      </c>
      <c r="Q746" s="10">
        <f>ROUND(_xlfn.IFNA(INDEX(Table2[],MATCH(Proj[[#This Row],[Player]],Table2[Player],0),11)/60,IF(Proj[[#This Row],[Pos]] = "D", 'Per 60 PP'!$K$527,'Per 60 PP'!$K$526)/60)*Proj[[#This Row],[TOI PP]]*Proj[[#This Row],[GP]],0)</f>
        <v>0</v>
      </c>
      <c r="R746" s="10">
        <f>ROUND(_xlfn.IFNA(INDEX(Table2[],MATCH(Proj[[#This Row],[Player]],Table2[Player],0),7)/60,IF(Proj[[#This Row],[Pos]] = "D", 'Per 60 PP'!$G$527,'Per 60 PP'!$G$526)/60)*Proj[[#This Row],[TOI PP]]*Proj[[#This Row],[GP]],0)</f>
        <v>0</v>
      </c>
      <c r="S746" s="10">
        <f>Proj[[#This Row],[PPG]]+Proj[[#This Row],[PPA]]</f>
        <v>0</v>
      </c>
      <c r="T746">
        <f>ROUND((_xlfn.IFNA(INDEX(Table3[],MATCH(Proj[[#This Row],[Player]],Table3[Player],0),6)/60,IF(Proj[[#This Row],[Pos]] ="D", 'Per 60 PK'!$F$623, 'Per 60 PK'!$F$622)/60)+_xlfn.IFNA(INDEX(Table3[],MATCH(Proj[[#This Row],[Player]],Table3[Player],0),8)/60,IF(Proj[[#This Row],[Pos]] ="D", 'Per 60 PK'!$H$623, 'Per 60 PK'!$H$622)/60))*Proj[[#This Row],[TOI PK]]*Proj[[#This Row],[GP]],0)</f>
        <v>0</v>
      </c>
      <c r="U74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59</v>
      </c>
      <c r="V74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77</v>
      </c>
      <c r="W74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11</v>
      </c>
      <c r="X74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74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-872.27158503491853</v>
      </c>
      <c r="AB746" s="10">
        <f>_xlfn.RANK.EQ(Proj[[#This Row],[VOR]],Proj[VOR])</f>
        <v>615</v>
      </c>
      <c r="AC746" s="10">
        <f>INDEX(Std[],MATCH(Proj[[#This Row],[Player]],Std[Player],0),20)</f>
        <v>-764.90681731545408</v>
      </c>
      <c r="AD74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135.5</v>
      </c>
    </row>
    <row r="747" spans="1:30" x14ac:dyDescent="0.25">
      <c r="A747" t="s">
        <v>719</v>
      </c>
      <c r="B747">
        <v>28</v>
      </c>
      <c r="C747" t="s">
        <v>3</v>
      </c>
      <c r="D747" t="s">
        <v>9</v>
      </c>
      <c r="E747" s="9">
        <f>INDEX(Table1[],MATCH(Proj[[#This Row],[Player]],Table1[Player],0),5)</f>
        <v>14.815036394655699</v>
      </c>
      <c r="F747" s="9">
        <f>_xlfn.IFNA(INDEX(Table2[],MATCH(Proj[[#This Row],[Player]],Table2[Player],0),5),0)</f>
        <v>0</v>
      </c>
      <c r="G747" s="9">
        <f>_xlfn.IFNA(INDEX(Table3[],MATCH(Proj[[#This Row],[Player]],Table3[Player],0),5),0)</f>
        <v>0.99</v>
      </c>
      <c r="H747" s="10">
        <v>50</v>
      </c>
      <c r="I747">
        <v>50</v>
      </c>
      <c r="J747" s="9">
        <v>14.815036394655699</v>
      </c>
      <c r="K747" s="9">
        <v>0</v>
      </c>
      <c r="L747" s="9">
        <v>0.99</v>
      </c>
      <c r="M747" s="9">
        <f>Proj[[#This Row],[TOI ES]]+Proj[[#This Row],[TOI PP]]+Proj[[#This Row],[TOI PK]]</f>
        <v>15.8050363946557</v>
      </c>
      <c r="N747"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47">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47" s="10">
        <f>Proj[[#This Row],[Goals]]+Proj[[#This Row],[Assists]]</f>
        <v>7</v>
      </c>
      <c r="Q747" s="10">
        <f>ROUND(_xlfn.IFNA(INDEX(Table2[],MATCH(Proj[[#This Row],[Player]],Table2[Player],0),11)/60,IF(Proj[[#This Row],[Pos]] = "D", 'Per 60 PP'!$K$527,'Per 60 PP'!$K$526)/60)*Proj[[#This Row],[TOI PP]]*Proj[[#This Row],[GP]],0)</f>
        <v>0</v>
      </c>
      <c r="R747" s="10">
        <f>ROUND(_xlfn.IFNA(INDEX(Table2[],MATCH(Proj[[#This Row],[Player]],Table2[Player],0),7)/60,IF(Proj[[#This Row],[Pos]] = "D", 'Per 60 PP'!$G$527,'Per 60 PP'!$G$526)/60)*Proj[[#This Row],[TOI PP]]*Proj[[#This Row],[GP]],0)</f>
        <v>0</v>
      </c>
      <c r="S747" s="10">
        <f>Proj[[#This Row],[PPG]]+Proj[[#This Row],[PPA]]</f>
        <v>0</v>
      </c>
      <c r="T747">
        <f>ROUND((_xlfn.IFNA(INDEX(Table3[],MATCH(Proj[[#This Row],[Player]],Table3[Player],0),6)/60,IF(Proj[[#This Row],[Pos]] ="D", 'Per 60 PK'!$F$623, 'Per 60 PK'!$F$622)/60)+_xlfn.IFNA(INDEX(Table3[],MATCH(Proj[[#This Row],[Player]],Table3[Player],0),8)/60,IF(Proj[[#This Row],[Pos]] ="D", 'Per 60 PK'!$H$623, 'Per 60 PK'!$H$622)/60))*Proj[[#This Row],[TOI PK]]*Proj[[#This Row],[GP]],0)</f>
        <v>0</v>
      </c>
      <c r="U747">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61</v>
      </c>
      <c r="V747">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79</v>
      </c>
      <c r="W747">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32</v>
      </c>
      <c r="X747">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7">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7">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56</v>
      </c>
      <c r="AA747"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-732.09293287610967</v>
      </c>
      <c r="AB747" s="10">
        <f>_xlfn.RANK.EQ(Proj[[#This Row],[VOR]],Proj[VOR])</f>
        <v>548</v>
      </c>
      <c r="AC747" s="10">
        <f>INDEX(Std[],MATCH(Proj[[#This Row],[Player]],Std[Player],0),20)</f>
        <v>-624.72816515664522</v>
      </c>
      <c r="AD747"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157.05000000000001</v>
      </c>
    </row>
    <row r="748" spans="1:30" x14ac:dyDescent="0.25">
      <c r="A748" t="s">
        <v>552</v>
      </c>
      <c r="B748">
        <v>26</v>
      </c>
      <c r="C748" t="s">
        <v>3</v>
      </c>
      <c r="D748" t="s">
        <v>9</v>
      </c>
      <c r="E748" s="9">
        <f>INDEX(Table1[],MATCH(Proj[[#This Row],[Player]],Table1[Player],0),5)</f>
        <v>12.8470726841096</v>
      </c>
      <c r="F748" s="9">
        <f>_xlfn.IFNA(INDEX(Table2[],MATCH(Proj[[#This Row],[Player]],Table2[Player],0),5),0)</f>
        <v>0</v>
      </c>
      <c r="G748" s="9">
        <f>_xlfn.IFNA(INDEX(Table3[],MATCH(Proj[[#This Row],[Player]],Table3[Player],0),5),0)</f>
        <v>1.1299999999999999</v>
      </c>
      <c r="H748" s="10">
        <v>45</v>
      </c>
      <c r="I748">
        <v>45</v>
      </c>
      <c r="J748" s="9">
        <v>12.8470726841096</v>
      </c>
      <c r="K748" s="9">
        <v>0</v>
      </c>
      <c r="L748" s="9">
        <v>1.1299999999999999</v>
      </c>
      <c r="M748" s="9">
        <f>Proj[[#This Row],[TOI ES]]+Proj[[#This Row],[TOI PP]]+Proj[[#This Row],[TOI PK]]</f>
        <v>13.977072684109601</v>
      </c>
      <c r="N748"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48">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48" s="10">
        <f>Proj[[#This Row],[Goals]]+Proj[[#This Row],[Assists]]</f>
        <v>7</v>
      </c>
      <c r="Q748" s="10">
        <f>ROUND(_xlfn.IFNA(INDEX(Table2[],MATCH(Proj[[#This Row],[Player]],Table2[Player],0),11)/60,IF(Proj[[#This Row],[Pos]] = "D", 'Per 60 PP'!$K$527,'Per 60 PP'!$K$526)/60)*Proj[[#This Row],[TOI PP]]*Proj[[#This Row],[GP]],0)</f>
        <v>0</v>
      </c>
      <c r="R748" s="10">
        <f>ROUND(_xlfn.IFNA(INDEX(Table2[],MATCH(Proj[[#This Row],[Player]],Table2[Player],0),7)/60,IF(Proj[[#This Row],[Pos]] = "D", 'Per 60 PP'!$G$527,'Per 60 PP'!$G$526)/60)*Proj[[#This Row],[TOI PP]]*Proj[[#This Row],[GP]],0)</f>
        <v>0</v>
      </c>
      <c r="S748" s="10">
        <f>Proj[[#This Row],[PPG]]+Proj[[#This Row],[PPA]]</f>
        <v>0</v>
      </c>
      <c r="T748">
        <f>ROUND((_xlfn.IFNA(INDEX(Table3[],MATCH(Proj[[#This Row],[Player]],Table3[Player],0),6)/60,IF(Proj[[#This Row],[Pos]] ="D", 'Per 60 PK'!$F$623, 'Per 60 PK'!$F$622)/60)+_xlfn.IFNA(INDEX(Table3[],MATCH(Proj[[#This Row],[Player]],Table3[Player],0),8)/60,IF(Proj[[#This Row],[Pos]] ="D", 'Per 60 PK'!$H$623, 'Per 60 PK'!$H$622)/60))*Proj[[#This Row],[TOI PK]]*Proj[[#This Row],[GP]],0)</f>
        <v>0</v>
      </c>
      <c r="U748">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78</v>
      </c>
      <c r="V748">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65</v>
      </c>
      <c r="W748">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43</v>
      </c>
      <c r="X748">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48">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48">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44</v>
      </c>
      <c r="AA748"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-699.91847194182446</v>
      </c>
      <c r="AB748" s="10">
        <f>_xlfn.RANK.EQ(Proj[[#This Row],[VOR]],Proj[VOR])</f>
        <v>524</v>
      </c>
      <c r="AC748" s="10">
        <f>INDEX(Std[],MATCH(Proj[[#This Row],[Player]],Std[Player],0),20)</f>
        <v>-592.55370422236001</v>
      </c>
      <c r="AD748"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157.25</v>
      </c>
    </row>
    <row r="749" spans="1:30" x14ac:dyDescent="0.25">
      <c r="A749" t="s">
        <v>689</v>
      </c>
      <c r="B749">
        <v>30</v>
      </c>
      <c r="C749" t="s">
        <v>74</v>
      </c>
      <c r="D749" t="s">
        <v>28</v>
      </c>
      <c r="E749" s="9">
        <f>INDEX(Table1[],MATCH(Proj[[#This Row],[Player]],Table1[Player],0),5)</f>
        <v>10.4084524231455</v>
      </c>
      <c r="F749" s="9">
        <f>_xlfn.IFNA(INDEX(Table2[],MATCH(Proj[[#This Row],[Player]],Table2[Player],0),5),0)</f>
        <v>0</v>
      </c>
      <c r="G749" s="9">
        <f>_xlfn.IFNA(INDEX(Table3[],MATCH(Proj[[#This Row],[Player]],Table3[Player],0),5),0)</f>
        <v>1</v>
      </c>
      <c r="H749" s="10">
        <v>35</v>
      </c>
      <c r="I749">
        <v>35</v>
      </c>
      <c r="J749" s="9">
        <v>10.4084524231455</v>
      </c>
      <c r="K749" s="9">
        <v>0</v>
      </c>
      <c r="L749" s="9">
        <v>1</v>
      </c>
      <c r="M749" s="9">
        <f>Proj[[#This Row],[TOI ES]]+Proj[[#This Row],[TOI PP]]+Proj[[#This Row],[TOI PK]]</f>
        <v>11.4084524231455</v>
      </c>
      <c r="N749"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4</v>
      </c>
      <c r="O749">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v>
      </c>
      <c r="P749">
        <f>Proj[[#This Row],[Goals]]+Proj[[#This Row],[Assists]]</f>
        <v>7</v>
      </c>
      <c r="Q749" s="10">
        <f>ROUND(_xlfn.IFNA(INDEX(Table2[],MATCH(Proj[[#This Row],[Player]],Table2[Player],0),11)/60,IF(Proj[[#This Row],[Pos]] = "D", 'Per 60 PP'!$K$527,'Per 60 PP'!$K$526)/60)*Proj[[#This Row],[TOI PP]]*Proj[[#This Row],[GP]],0)</f>
        <v>0</v>
      </c>
      <c r="R749" s="10">
        <f>ROUND(_xlfn.IFNA(INDEX(Table2[],MATCH(Proj[[#This Row],[Player]],Table2[Player],0),7)/60,IF(Proj[[#This Row],[Pos]] = "D", 'Per 60 PP'!$G$527,'Per 60 PP'!$G$526)/60)*Proj[[#This Row],[TOI PP]]*Proj[[#This Row],[GP]],0)</f>
        <v>0</v>
      </c>
      <c r="S749" s="10">
        <f>Proj[[#This Row],[PPG]]+Proj[[#This Row],[PPA]]</f>
        <v>0</v>
      </c>
      <c r="T749">
        <f>ROUND((_xlfn.IFNA(INDEX(Table3[],MATCH(Proj[[#This Row],[Player]],Table3[Player],0),6)/60,IF(Proj[[#This Row],[Pos]] ="D", 'Per 60 PK'!$F$623, 'Per 60 PK'!$F$622)/60)+_xlfn.IFNA(INDEX(Table3[],MATCH(Proj[[#This Row],[Player]],Table3[Player],0),8)/60,IF(Proj[[#This Row],[Pos]] ="D", 'Per 60 PK'!$H$623, 'Per 60 PK'!$H$622)/60))*Proj[[#This Row],[TOI PK]]*Proj[[#This Row],[GP]],0)</f>
        <v>0</v>
      </c>
      <c r="U749">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79</v>
      </c>
      <c r="V749">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21</v>
      </c>
      <c r="W749">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12</v>
      </c>
      <c r="X749">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v>
      </c>
      <c r="Y749">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7</v>
      </c>
      <c r="Z749">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749"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-1573.074171214887</v>
      </c>
      <c r="AB749" s="10">
        <f>_xlfn.RANK.EQ(Proj[[#This Row],[VOR]],Proj[VOR])</f>
        <v>748</v>
      </c>
      <c r="AC749" s="10">
        <f>INDEX(Std[],MATCH(Proj[[#This Row],[Player]],Std[Player],0),20)</f>
        <v>-838.44031690458837</v>
      </c>
      <c r="AD749"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118.75</v>
      </c>
    </row>
    <row r="750" spans="1:30" x14ac:dyDescent="0.25">
      <c r="A750" t="s">
        <v>645</v>
      </c>
      <c r="B750">
        <v>34</v>
      </c>
      <c r="C750" t="s">
        <v>3</v>
      </c>
      <c r="D750" t="s">
        <v>10</v>
      </c>
      <c r="E750" s="9">
        <f>INDEX(Table1[],MATCH(Proj[[#This Row],[Player]],Table1[Player],0),5)</f>
        <v>11.1468820052719</v>
      </c>
      <c r="F750" s="9">
        <f>_xlfn.IFNA(INDEX(Table2[],MATCH(Proj[[#This Row],[Player]],Table2[Player],0),5),0)</f>
        <v>0</v>
      </c>
      <c r="G750" s="9">
        <f>_xlfn.IFNA(INDEX(Table3[],MATCH(Proj[[#This Row],[Player]],Table3[Player],0),5),0)</f>
        <v>1.94</v>
      </c>
      <c r="H750" s="10">
        <v>67</v>
      </c>
      <c r="I750">
        <v>67</v>
      </c>
      <c r="J750" s="9">
        <v>11.1468820052719</v>
      </c>
      <c r="K750" s="9">
        <v>0</v>
      </c>
      <c r="L750" s="9">
        <v>1.94</v>
      </c>
      <c r="M750" s="9">
        <f>Proj[[#This Row],[TOI ES]]+Proj[[#This Row],[TOI PP]]+Proj[[#This Row],[TOI PK]]</f>
        <v>13.086882005271899</v>
      </c>
      <c r="N750"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50">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50">
        <f>Proj[[#This Row],[Goals]]+Proj[[#This Row],[Assists]]</f>
        <v>7</v>
      </c>
      <c r="Q750" s="10">
        <f>ROUND(_xlfn.IFNA(INDEX(Table2[],MATCH(Proj[[#This Row],[Player]],Table2[Player],0),11)/60,IF(Proj[[#This Row],[Pos]] = "D", 'Per 60 PP'!$K$527,'Per 60 PP'!$K$526)/60)*Proj[[#This Row],[TOI PP]]*Proj[[#This Row],[GP]],0)</f>
        <v>0</v>
      </c>
      <c r="R750" s="10">
        <f>ROUND(_xlfn.IFNA(INDEX(Table2[],MATCH(Proj[[#This Row],[Player]],Table2[Player],0),7)/60,IF(Proj[[#This Row],[Pos]] = "D", 'Per 60 PP'!$G$527,'Per 60 PP'!$G$526)/60)*Proj[[#This Row],[TOI PP]]*Proj[[#This Row],[GP]],0)</f>
        <v>0</v>
      </c>
      <c r="S750" s="10">
        <f>Proj[[#This Row],[PPG]]+Proj[[#This Row],[PPA]]</f>
        <v>0</v>
      </c>
      <c r="T750">
        <f>ROUND((_xlfn.IFNA(INDEX(Table3[],MATCH(Proj[[#This Row],[Player]],Table3[Player],0),6)/60,IF(Proj[[#This Row],[Pos]] ="D", 'Per 60 PK'!$F$623, 'Per 60 PK'!$F$622)/60)+_xlfn.IFNA(INDEX(Table3[],MATCH(Proj[[#This Row],[Player]],Table3[Player],0),8)/60,IF(Proj[[#This Row],[Pos]] ="D", 'Per 60 PK'!$H$623, 'Per 60 PK'!$H$622)/60))*Proj[[#This Row],[TOI PK]]*Proj[[#This Row],[GP]],0)</f>
        <v>0</v>
      </c>
      <c r="U750">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107</v>
      </c>
      <c r="V750">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68</v>
      </c>
      <c r="W750">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14</v>
      </c>
      <c r="X750">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50">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50">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47</v>
      </c>
      <c r="AA750"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-766.85218149228706</v>
      </c>
      <c r="AB750" s="10">
        <f>_xlfn.RANK.EQ(Proj[[#This Row],[VOR]],Proj[VOR])</f>
        <v>568</v>
      </c>
      <c r="AC750" s="10">
        <f>INDEX(Std[],MATCH(Proj[[#This Row],[Player]],Std[Player],0),20)</f>
        <v>-659.48741377282261</v>
      </c>
      <c r="AD750"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166.35</v>
      </c>
    </row>
    <row r="751" spans="1:30" x14ac:dyDescent="0.25">
      <c r="A751" t="s">
        <v>1135</v>
      </c>
      <c r="B751">
        <v>25</v>
      </c>
      <c r="C751" t="s">
        <v>102</v>
      </c>
      <c r="D751" t="s">
        <v>16</v>
      </c>
      <c r="E751" s="9">
        <f>INDEX(Table1[],MATCH(Proj[[#This Row],[Player]],Table1[Player],0),5)</f>
        <v>9.2496258731974095</v>
      </c>
      <c r="F751" s="9">
        <f>_xlfn.IFNA(INDEX(Table2[],MATCH(Proj[[#This Row],[Player]],Table2[Player],0),5),0)</f>
        <v>0</v>
      </c>
      <c r="G751" s="9">
        <f>_xlfn.IFNA(INDEX(Table3[],MATCH(Proj[[#This Row],[Player]],Table3[Player],0),5),0)</f>
        <v>0</v>
      </c>
      <c r="H751" s="10">
        <v>28</v>
      </c>
      <c r="I751">
        <v>28</v>
      </c>
      <c r="J751" s="9">
        <v>9.2496258731974095</v>
      </c>
      <c r="K751" s="9">
        <v>0</v>
      </c>
      <c r="L751" s="9">
        <v>0</v>
      </c>
      <c r="M751" s="9">
        <f>Proj[[#This Row],[TOI ES]]+Proj[[#This Row],[TOI PP]]+Proj[[#This Row],[TOI PK]]</f>
        <v>9.2496258731974095</v>
      </c>
      <c r="N751"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3</v>
      </c>
      <c r="O751">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3</v>
      </c>
      <c r="P751">
        <f>Proj[[#This Row],[Goals]]+Proj[[#This Row],[Assists]]</f>
        <v>6</v>
      </c>
      <c r="Q751" s="10">
        <f>ROUND(_xlfn.IFNA(INDEX(Table2[],MATCH(Proj[[#This Row],[Player]],Table2[Player],0),11)/60,IF(Proj[[#This Row],[Pos]] = "D", 'Per 60 PP'!$K$527,'Per 60 PP'!$K$526)/60)*Proj[[#This Row],[TOI PP]]*Proj[[#This Row],[GP]],0)</f>
        <v>0</v>
      </c>
      <c r="R751" s="10">
        <f>ROUND(_xlfn.IFNA(INDEX(Table2[],MATCH(Proj[[#This Row],[Player]],Table2[Player],0),7)/60,IF(Proj[[#This Row],[Pos]] = "D", 'Per 60 PP'!$G$527,'Per 60 PP'!$G$526)/60)*Proj[[#This Row],[TOI PP]]*Proj[[#This Row],[GP]],0)</f>
        <v>0</v>
      </c>
      <c r="S751" s="10">
        <f>Proj[[#This Row],[PPG]]+Proj[[#This Row],[PPA]]</f>
        <v>0</v>
      </c>
      <c r="T751">
        <f>ROUND((_xlfn.IFNA(INDEX(Table3[],MATCH(Proj[[#This Row],[Player]],Table3[Player],0),6)/60,IF(Proj[[#This Row],[Pos]] ="D", 'Per 60 PK'!$F$623, 'Per 60 PK'!$F$622)/60)+_xlfn.IFNA(INDEX(Table3[],MATCH(Proj[[#This Row],[Player]],Table3[Player],0),8)/60,IF(Proj[[#This Row],[Pos]] ="D", 'Per 60 PK'!$H$623, 'Per 60 PK'!$H$622)/60))*Proj[[#This Row],[TOI PK]]*Proj[[#This Row],[GP]],0)</f>
        <v>0</v>
      </c>
      <c r="U751">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15</v>
      </c>
      <c r="V751">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15</v>
      </c>
      <c r="W751">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v>
      </c>
      <c r="X751">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70</v>
      </c>
      <c r="Y751">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69</v>
      </c>
      <c r="Z751">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21</v>
      </c>
      <c r="AA751"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-1492.8326592771391</v>
      </c>
      <c r="AB751" s="10">
        <f>_xlfn.RANK.EQ(Proj[[#This Row],[VOR]],Proj[VOR])</f>
        <v>741</v>
      </c>
      <c r="AC751" s="10">
        <f>INDEX(Std[],MATCH(Proj[[#This Row],[Player]],Std[Player],0),20)</f>
        <v>-1021.2879348868903</v>
      </c>
      <c r="AD751"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66.349999999999994</v>
      </c>
    </row>
    <row r="752" spans="1:30" x14ac:dyDescent="0.25">
      <c r="A752" t="s">
        <v>1061</v>
      </c>
      <c r="B752">
        <v>25</v>
      </c>
      <c r="C752" t="s">
        <v>3</v>
      </c>
      <c r="D752" t="s">
        <v>23</v>
      </c>
      <c r="E752" s="9">
        <f>INDEX(Table1[],MATCH(Proj[[#This Row],[Player]],Table1[Player],0),5)</f>
        <v>13.8988871782506</v>
      </c>
      <c r="F752" s="9">
        <f>_xlfn.IFNA(INDEX(Table2[],MATCH(Proj[[#This Row],[Player]],Table2[Player],0),5),0)</f>
        <v>0</v>
      </c>
      <c r="G752" s="9">
        <f>_xlfn.IFNA(INDEX(Table3[],MATCH(Proj[[#This Row],[Player]],Table3[Player],0),5),0)</f>
        <v>0</v>
      </c>
      <c r="H752" s="10">
        <v>35</v>
      </c>
      <c r="I752">
        <v>35</v>
      </c>
      <c r="J752" s="9">
        <v>13.8988871782506</v>
      </c>
      <c r="K752" s="9">
        <v>0</v>
      </c>
      <c r="L752" s="9">
        <v>0</v>
      </c>
      <c r="M752" s="9">
        <f>Proj[[#This Row],[TOI ES]]+Proj[[#This Row],[TOI PP]]+Proj[[#This Row],[TOI PK]]</f>
        <v>13.8988871782506</v>
      </c>
      <c r="N752"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52">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52">
        <f>Proj[[#This Row],[Goals]]+Proj[[#This Row],[Assists]]</f>
        <v>6</v>
      </c>
      <c r="Q752" s="10">
        <f>ROUND(_xlfn.IFNA(INDEX(Table2[],MATCH(Proj[[#This Row],[Player]],Table2[Player],0),11)/60,IF(Proj[[#This Row],[Pos]] = "D", 'Per 60 PP'!$K$527,'Per 60 PP'!$K$526)/60)*Proj[[#This Row],[TOI PP]]*Proj[[#This Row],[GP]],0)</f>
        <v>0</v>
      </c>
      <c r="R752" s="10">
        <f>ROUND(_xlfn.IFNA(INDEX(Table2[],MATCH(Proj[[#This Row],[Player]],Table2[Player],0),7)/60,IF(Proj[[#This Row],[Pos]] = "D", 'Per 60 PP'!$G$527,'Per 60 PP'!$G$526)/60)*Proj[[#This Row],[TOI PP]]*Proj[[#This Row],[GP]],0)</f>
        <v>0</v>
      </c>
      <c r="S752" s="10">
        <f>Proj[[#This Row],[PPG]]+Proj[[#This Row],[PPA]]</f>
        <v>0</v>
      </c>
      <c r="T752">
        <f>ROUND((_xlfn.IFNA(INDEX(Table3[],MATCH(Proj[[#This Row],[Player]],Table3[Player],0),6)/60,IF(Proj[[#This Row],[Pos]] ="D", 'Per 60 PK'!$F$623, 'Per 60 PK'!$F$622)/60)+_xlfn.IFNA(INDEX(Table3[],MATCH(Proj[[#This Row],[Player]],Table3[Player],0),8)/60,IF(Proj[[#This Row],[Pos]] ="D", 'Per 60 PK'!$H$623, 'Per 60 PK'!$H$622)/60))*Proj[[#This Row],[TOI PK]]*Proj[[#This Row],[GP]],0)</f>
        <v>0</v>
      </c>
      <c r="U752">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26</v>
      </c>
      <c r="V752">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41</v>
      </c>
      <c r="W752">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752">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52">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52">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27</v>
      </c>
      <c r="AA752"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-1052.8521711397782</v>
      </c>
      <c r="AB752" s="10">
        <f>_xlfn.RANK.EQ(Proj[[#This Row],[VOR]],Proj[VOR])</f>
        <v>672</v>
      </c>
      <c r="AC752" s="10">
        <f>INDEX(Std[],MATCH(Proj[[#This Row],[Player]],Std[Player],0),20)</f>
        <v>-945.48740342031363</v>
      </c>
      <c r="AD752"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84.45</v>
      </c>
    </row>
    <row r="753" spans="1:30" x14ac:dyDescent="0.25">
      <c r="A753" t="s">
        <v>881</v>
      </c>
      <c r="B753">
        <v>32</v>
      </c>
      <c r="C753" t="s">
        <v>3</v>
      </c>
      <c r="D753" t="s">
        <v>12</v>
      </c>
      <c r="E753" s="9">
        <f>INDEX(Table1[],MATCH(Proj[[#This Row],[Player]],Table1[Player],0),5)</f>
        <v>13.590650124058699</v>
      </c>
      <c r="F753" s="9">
        <f>_xlfn.IFNA(INDEX(Table2[],MATCH(Proj[[#This Row],[Player]],Table2[Player],0),5),0)</f>
        <v>0</v>
      </c>
      <c r="G753" s="9">
        <f>_xlfn.IFNA(INDEX(Table3[],MATCH(Proj[[#This Row],[Player]],Table3[Player],0),5),0)</f>
        <v>0.49</v>
      </c>
      <c r="H753" s="10">
        <v>44</v>
      </c>
      <c r="I753">
        <v>44</v>
      </c>
      <c r="J753" s="9">
        <v>13.590650124058699</v>
      </c>
      <c r="K753" s="9">
        <v>0</v>
      </c>
      <c r="L753" s="9">
        <v>0.49</v>
      </c>
      <c r="M753" s="9">
        <f>Proj[[#This Row],[TOI ES]]+Proj[[#This Row],[TOI PP]]+Proj[[#This Row],[TOI PK]]</f>
        <v>14.0806501240587</v>
      </c>
      <c r="N753"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53">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5</v>
      </c>
      <c r="P753">
        <f>Proj[[#This Row],[Goals]]+Proj[[#This Row],[Assists]]</f>
        <v>6</v>
      </c>
      <c r="Q753" s="10">
        <f>ROUND(_xlfn.IFNA(INDEX(Table2[],MATCH(Proj[[#This Row],[Player]],Table2[Player],0),11)/60,IF(Proj[[#This Row],[Pos]] = "D", 'Per 60 PP'!$K$527,'Per 60 PP'!$K$526)/60)*Proj[[#This Row],[TOI PP]]*Proj[[#This Row],[GP]],0)</f>
        <v>0</v>
      </c>
      <c r="R753" s="10">
        <f>ROUND(_xlfn.IFNA(INDEX(Table2[],MATCH(Proj[[#This Row],[Player]],Table2[Player],0),7)/60,IF(Proj[[#This Row],[Pos]] = "D", 'Per 60 PP'!$G$527,'Per 60 PP'!$G$526)/60)*Proj[[#This Row],[TOI PP]]*Proj[[#This Row],[GP]],0)</f>
        <v>0</v>
      </c>
      <c r="S753" s="10">
        <f>Proj[[#This Row],[PPG]]+Proj[[#This Row],[PPA]]</f>
        <v>0</v>
      </c>
      <c r="T753">
        <f>ROUND((_xlfn.IFNA(INDEX(Table3[],MATCH(Proj[[#This Row],[Player]],Table3[Player],0),6)/60,IF(Proj[[#This Row],[Pos]] ="D", 'Per 60 PK'!$F$623, 'Per 60 PK'!$F$622)/60)+_xlfn.IFNA(INDEX(Table3[],MATCH(Proj[[#This Row],[Player]],Table3[Player],0),8)/60,IF(Proj[[#This Row],[Pos]] ="D", 'Per 60 PK'!$H$623, 'Per 60 PK'!$H$622)/60))*Proj[[#This Row],[TOI PK]]*Proj[[#This Row],[GP]],0)</f>
        <v>0</v>
      </c>
      <c r="U753">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32</v>
      </c>
      <c r="V753">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60</v>
      </c>
      <c r="W753">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10</v>
      </c>
      <c r="X753">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53">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53">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39</v>
      </c>
      <c r="AA753"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-977.65149197507435</v>
      </c>
      <c r="AB753" s="10">
        <f>_xlfn.RANK.EQ(Proj[[#This Row],[VOR]],Proj[VOR])</f>
        <v>653</v>
      </c>
      <c r="AC753" s="10">
        <f>INDEX(Std[],MATCH(Proj[[#This Row],[Player]],Std[Player],0),20)</f>
        <v>-870.2867242556099</v>
      </c>
      <c r="AD753"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105.45</v>
      </c>
    </row>
    <row r="754" spans="1:30" x14ac:dyDescent="0.25">
      <c r="A754" t="s">
        <v>965</v>
      </c>
      <c r="B754">
        <v>24</v>
      </c>
      <c r="C754" t="s">
        <v>3</v>
      </c>
      <c r="D754" t="s">
        <v>14</v>
      </c>
      <c r="E754" s="9">
        <f>INDEX(Table1[],MATCH(Proj[[#This Row],[Player]],Table1[Player],0),5)</f>
        <v>12.9166339605221</v>
      </c>
      <c r="F754" s="9">
        <f>_xlfn.IFNA(INDEX(Table2[],MATCH(Proj[[#This Row],[Player]],Table2[Player],0),5),0)</f>
        <v>0</v>
      </c>
      <c r="G754" s="9">
        <f>_xlfn.IFNA(INDEX(Table3[],MATCH(Proj[[#This Row],[Player]],Table3[Player],0),5),0)</f>
        <v>0.62</v>
      </c>
      <c r="H754" s="10">
        <v>44</v>
      </c>
      <c r="I754">
        <v>44</v>
      </c>
      <c r="J754" s="9">
        <v>12.9166339605221</v>
      </c>
      <c r="K754" s="9">
        <v>0</v>
      </c>
      <c r="L754" s="9">
        <v>0.62</v>
      </c>
      <c r="M754" s="9">
        <f>Proj[[#This Row],[TOI ES]]+Proj[[#This Row],[TOI PP]]+Proj[[#This Row],[TOI PK]]</f>
        <v>13.536633960522099</v>
      </c>
      <c r="N754"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2</v>
      </c>
      <c r="O754">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54" s="10">
        <f>Proj[[#This Row],[Goals]]+Proj[[#This Row],[Assists]]</f>
        <v>6</v>
      </c>
      <c r="Q754" s="10">
        <f>ROUND(_xlfn.IFNA(INDEX(Table2[],MATCH(Proj[[#This Row],[Player]],Table2[Player],0),11)/60,IF(Proj[[#This Row],[Pos]] = "D", 'Per 60 PP'!$K$527,'Per 60 PP'!$K$526)/60)*Proj[[#This Row],[TOI PP]]*Proj[[#This Row],[GP]],0)</f>
        <v>0</v>
      </c>
      <c r="R754" s="10">
        <f>ROUND(_xlfn.IFNA(INDEX(Table2[],MATCH(Proj[[#This Row],[Player]],Table2[Player],0),7)/60,IF(Proj[[#This Row],[Pos]] = "D", 'Per 60 PP'!$G$527,'Per 60 PP'!$G$526)/60)*Proj[[#This Row],[TOI PP]]*Proj[[#This Row],[GP]],0)</f>
        <v>0</v>
      </c>
      <c r="S754" s="10">
        <f>Proj[[#This Row],[PPG]]+Proj[[#This Row],[PPA]]</f>
        <v>0</v>
      </c>
      <c r="T754">
        <f>ROUND((_xlfn.IFNA(INDEX(Table3[],MATCH(Proj[[#This Row],[Player]],Table3[Player],0),6)/60,IF(Proj[[#This Row],[Pos]] ="D", 'Per 60 PK'!$F$623, 'Per 60 PK'!$F$622)/60)+_xlfn.IFNA(INDEX(Table3[],MATCH(Proj[[#This Row],[Player]],Table3[Player],0),8)/60,IF(Proj[[#This Row],[Pos]] ="D", 'Per 60 PK'!$H$623, 'Per 60 PK'!$H$622)/60))*Proj[[#This Row],[TOI PK]]*Proj[[#This Row],[GP]],0)</f>
        <v>0</v>
      </c>
      <c r="U754">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89</v>
      </c>
      <c r="V754">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48</v>
      </c>
      <c r="W754">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47</v>
      </c>
      <c r="X754">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54">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54">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34</v>
      </c>
      <c r="AA754"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-727.84793782031829</v>
      </c>
      <c r="AB754" s="10">
        <f>_xlfn.RANK.EQ(Proj[[#This Row],[VOR]],Proj[VOR])</f>
        <v>543</v>
      </c>
      <c r="AC754" s="10">
        <f>INDEX(Std[],MATCH(Proj[[#This Row],[Player]],Std[Player],0),20)</f>
        <v>-620.48317010085384</v>
      </c>
      <c r="AD754"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146</v>
      </c>
    </row>
    <row r="755" spans="1:30" x14ac:dyDescent="0.25">
      <c r="A755" s="191" t="s">
        <v>984</v>
      </c>
      <c r="B755">
        <v>26</v>
      </c>
      <c r="C755" t="s">
        <v>3</v>
      </c>
      <c r="D755" t="s">
        <v>155</v>
      </c>
      <c r="E755" s="9">
        <f>INDEX(Table1[],MATCH(Proj[[#This Row],[Player]],Table1[Player],0),5)</f>
        <v>11.7784716119307</v>
      </c>
      <c r="F755" s="9">
        <f>_xlfn.IFNA(INDEX(Table2[],MATCH(Proj[[#This Row],[Player]],Table2[Player],0),5),0)</f>
        <v>0</v>
      </c>
      <c r="G755" s="9">
        <f>_xlfn.IFNA(INDEX(Table3[],MATCH(Proj[[#This Row],[Player]],Table3[Player],0),5),0)</f>
        <v>0.79</v>
      </c>
      <c r="H755" s="10">
        <v>44</v>
      </c>
      <c r="I755">
        <v>44</v>
      </c>
      <c r="J755" s="9">
        <v>11.7784716119307</v>
      </c>
      <c r="K755" s="9">
        <v>0</v>
      </c>
      <c r="L755" s="9">
        <v>0.79</v>
      </c>
      <c r="M755" s="9">
        <f>Proj[[#This Row],[TOI ES]]+Proj[[#This Row],[TOI PP]]+Proj[[#This Row],[TOI PK]]</f>
        <v>12.568471611930701</v>
      </c>
      <c r="N755"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55">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55">
        <f>Proj[[#This Row],[Goals]]+Proj[[#This Row],[Assists]]</f>
        <v>5</v>
      </c>
      <c r="Q755" s="10">
        <f>ROUND(_xlfn.IFNA(INDEX(Table2[],MATCH(Proj[[#This Row],[Player]],Table2[Player],0),11)/60,IF(Proj[[#This Row],[Pos]] = "D", 'Per 60 PP'!$K$527,'Per 60 PP'!$K$526)/60)*Proj[[#This Row],[TOI PP]]*Proj[[#This Row],[GP]],0)</f>
        <v>0</v>
      </c>
      <c r="R755" s="10">
        <f>ROUND(_xlfn.IFNA(INDEX(Table2[],MATCH(Proj[[#This Row],[Player]],Table2[Player],0),7)/60,IF(Proj[[#This Row],[Pos]] = "D", 'Per 60 PP'!$G$527,'Per 60 PP'!$G$526)/60)*Proj[[#This Row],[TOI PP]]*Proj[[#This Row],[GP]],0)</f>
        <v>0</v>
      </c>
      <c r="S755" s="10">
        <f>Proj[[#This Row],[PPG]]+Proj[[#This Row],[PPA]]</f>
        <v>0</v>
      </c>
      <c r="T755">
        <f>ROUND((_xlfn.IFNA(INDEX(Table3[],MATCH(Proj[[#This Row],[Player]],Table3[Player],0),6)/60,IF(Proj[[#This Row],[Pos]] ="D", 'Per 60 PK'!$F$623, 'Per 60 PK'!$F$622)/60)+_xlfn.IFNA(INDEX(Table3[],MATCH(Proj[[#This Row],[Player]],Table3[Player],0),8)/60,IF(Proj[[#This Row],[Pos]] ="D", 'Per 60 PK'!$H$623, 'Per 60 PK'!$H$622)/60))*Proj[[#This Row],[TOI PK]]*Proj[[#This Row],[GP]],0)</f>
        <v>0</v>
      </c>
      <c r="U755">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25</v>
      </c>
      <c r="V755">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47</v>
      </c>
      <c r="W755">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13</v>
      </c>
      <c r="X755">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55">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55">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29</v>
      </c>
      <c r="AA755"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-1035.8320539747572</v>
      </c>
      <c r="AB755" s="10">
        <f>_xlfn.RANK.EQ(Proj[[#This Row],[VOR]],Proj[VOR])</f>
        <v>668</v>
      </c>
      <c r="AC755" s="10">
        <f>INDEX(Std[],MATCH(Proj[[#This Row],[Player]],Std[Player],0),20)</f>
        <v>-928.46728625529272</v>
      </c>
      <c r="AD755"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85.4</v>
      </c>
    </row>
    <row r="756" spans="1:30" x14ac:dyDescent="0.25">
      <c r="A756" s="72" t="s">
        <v>599</v>
      </c>
      <c r="B756">
        <v>35</v>
      </c>
      <c r="C756" t="s">
        <v>3</v>
      </c>
      <c r="D756" t="s">
        <v>1101</v>
      </c>
      <c r="E756" s="9">
        <f>INDEX(Table1[],MATCH(Proj[[#This Row],[Player]],Table1[Player],0),5)</f>
        <v>12.2946008395111</v>
      </c>
      <c r="F756" s="9">
        <f>_xlfn.IFNA(INDEX(Table2[],MATCH(Proj[[#This Row],[Player]],Table2[Player],0),5),0)</f>
        <v>0</v>
      </c>
      <c r="G756" s="9">
        <f>_xlfn.IFNA(INDEX(Table3[],MATCH(Proj[[#This Row],[Player]],Table3[Player],0),5),0)</f>
        <v>1.5</v>
      </c>
      <c r="H756" s="10">
        <v>63</v>
      </c>
      <c r="I756">
        <v>63</v>
      </c>
      <c r="J756" s="9">
        <v>12.2946008395111</v>
      </c>
      <c r="K756" s="9">
        <v>0</v>
      </c>
      <c r="L756" s="9">
        <v>1.5</v>
      </c>
      <c r="M756" s="9">
        <f>Proj[[#This Row],[TOI ES]]+Proj[[#This Row],[TOI PP]]+Proj[[#This Row],[TOI PK]]</f>
        <v>13.7946008395111</v>
      </c>
      <c r="N756" s="10">
        <f>ROUND((_xlfn.IFNA(INDEX(Table1[],MATCH(Proj[[#This Row],[Player]],Table1[Player],0),11)/60,IF(Proj[[#This Row],[Pos]] = "D", 'Per 60 ES'!$K$874,'Per 60 ES'!$K$873)/60)*Proj[[#This Row],[TOI ES]]+_xlfn.IFNA(INDEX(Table2[],MATCH(Proj[[#This Row],[Player]],Table2[Player],0),11)/60,IF(Proj[[#This Row],[Pos]] = "D", 'Per 60 PP'!$K$527,'Per 60 PP'!$K$526)/60)*Proj[[#This Row],[TOI PP]]+_xlfn.IFNA(INDEX(Table3[],MATCH(Proj[[#This Row],[Player]],Table3[Player],0),6)/60,IF(Proj[[#This Row],[Pos]] ="D", 'Per 60 PK'!$F$623, 'Per 60 PK'!$F$622)/60)*Proj[[#This Row],[TOI PK]])*Proj[[#This Row],[GP]],0)</f>
        <v>1</v>
      </c>
      <c r="O756">
        <f>ROUND((_xlfn.IFNA(INDEX(Table1[],MATCH(Proj[[#This Row],[Player]],Table1[Player],0),12)/60,IF(Proj[[#This Row],[Pos]] = "D", 'Per 60 ES'!$L$874,'Per 60 ES'!$L$873)/60)*Proj[[#This Row],[TOI ES]]+_xlfn.IFNA(INDEX(Table2[],MATCH(Proj[[#This Row],[Player]],Table2[Player],0),7)/60,IF(Proj[[#This Row],[Pos]] = "D", 'Per 60 PP'!$G$527,'Per 60 PP'!$G$526)/60)*Proj[[#This Row],[TOI PP]]+_xlfn.IFNA(INDEX(Table3[],MATCH(Proj[[#This Row],[Player]],Table3[Player],0),8)/60,IF(Proj[[#This Row],[Pos]] ="D", 'Per 60 PK'!$H$623, 'Per 60 PK'!$H$622)/60)*Proj[[#This Row],[TOI PK]])*Proj[[#This Row],[GP]],0)</f>
        <v>4</v>
      </c>
      <c r="P756">
        <f>Proj[[#This Row],[Goals]]+Proj[[#This Row],[Assists]]</f>
        <v>5</v>
      </c>
      <c r="Q756" s="10">
        <f>ROUND(_xlfn.IFNA(INDEX(Table2[],MATCH(Proj[[#This Row],[Player]],Table2[Player],0),11)/60,IF(Proj[[#This Row],[Pos]] = "D", 'Per 60 PP'!$K$527,'Per 60 PP'!$K$526)/60)*Proj[[#This Row],[TOI PP]]*Proj[[#This Row],[GP]],0)</f>
        <v>0</v>
      </c>
      <c r="R756" s="10">
        <f>ROUND(_xlfn.IFNA(INDEX(Table2[],MATCH(Proj[[#This Row],[Player]],Table2[Player],0),7)/60,IF(Proj[[#This Row],[Pos]] = "D", 'Per 60 PP'!$G$527,'Per 60 PP'!$G$526)/60)*Proj[[#This Row],[TOI PP]]*Proj[[#This Row],[GP]],0)</f>
        <v>0</v>
      </c>
      <c r="S756" s="10">
        <f>Proj[[#This Row],[PPG]]+Proj[[#This Row],[PPA]]</f>
        <v>0</v>
      </c>
      <c r="T756">
        <f>ROUND((_xlfn.IFNA(INDEX(Table3[],MATCH(Proj[[#This Row],[Player]],Table3[Player],0),6)/60,IF(Proj[[#This Row],[Pos]] ="D", 'Per 60 PK'!$F$623, 'Per 60 PK'!$F$622)/60)+_xlfn.IFNA(INDEX(Table3[],MATCH(Proj[[#This Row],[Player]],Table3[Player],0),8)/60,IF(Proj[[#This Row],[Pos]] ="D", 'Per 60 PK'!$H$623, 'Per 60 PK'!$H$622)/60))*Proj[[#This Row],[TOI PK]]*Proj[[#This Row],[GP]],0)</f>
        <v>0</v>
      </c>
      <c r="U756">
        <f>ROUND((_xlfn.IFNA(INDEX(Table1[],MATCH(Proj[[#This Row],[Player]],Table1[Player],0),13)/60,IF(Proj[[#This Row],[Pos]] = "D", 'Per 60 ES'!$M$874,'Per 60 ES'!$M$873)/60)*Proj[[#This Row],[TOI ES]]+_xlfn.IFNA(INDEX(Table2[],MATCH(Proj[[#This Row],[Player]],Table2[Player],0),13)/60,IF(Proj[[#This Row],[Pos]] = "D", 'Per 60 PP'!$M$527,'Per 60 PP'!$M$526)/60)*Proj[[#This Row],[TOI PP]]+_xlfn.IFNA(INDEX(Table3[],MATCH(Proj[[#This Row],[Player]],Table3[Player],0),10)/60,IF(Proj[[#This Row],[Pos]] ="D", 'Per 60 PK'!$J$623, 'Per 60 PK'!$J$622)/60)*Proj[[#This Row],[TOI PK]])*Proj[[#This Row],[GP]],0)</f>
        <v>82</v>
      </c>
      <c r="V756">
        <f>ROUND((_xlfn.IFNA(INDEX(Table1[],MATCH(Proj[[#This Row],[Player]],Table1[Player],0),14)/60,IF(Proj[[#This Row],[Pos]] = "D", 'Per 60 ES'!$N$874,'Per 60 ES'!$N$873)/60)*Proj[[#This Row],[TOI ES]]+_xlfn.IFNA(INDEX(Table2[],MATCH(Proj[[#This Row],[Player]],Table2[Player],0),14)/60,IF(Proj[[#This Row],[Pos]] = "D", 'Per 60 PP'!$N$527,'Per 60 PP'!$N$526)/60)*Proj[[#This Row],[TOI PP]]+_xlfn.IFNA(INDEX(Table3[],MATCH(Proj[[#This Row],[Player]],Table3[Player],0),11)/60,IF(Proj[[#This Row],[Pos]] ="D", 'Per 60 PK'!$K$623, 'Per 60 PK'!$K$622)/60)*Proj[[#This Row],[TOI PK]])*Proj[[#This Row],[GP]],0)</f>
        <v>100</v>
      </c>
      <c r="W756">
        <f>ROUND((_xlfn.IFNA(INDEX(Table1[],MATCH(Proj[[#This Row],[Player]],Table1[Player],0),15)/60,IF(Proj[[#This Row],[Pos]] = "D", 'Per 60 ES'!$O$874,'Per 60 ES'!$O$873)/60)*Proj[[#This Row],[TOI ES]]*2+_xlfn.IFNA(INDEX(Table1[],MATCH(Proj[[#This Row],[Player]],Table1[Player],0),16)/60,IF(Proj[[#This Row],[Pos]] = "D", 'Per 60 ES'!$P$874,'Per 60 ES'!$P$873)/60)*Proj[[#This Row],[TOI ES]]*5+_xlfn.IFNA(INDEX(Table1[],MATCH(Proj[[#This Row],[Player]],Table1[Player],0),17)/60,IF(Proj[[#This Row],[Pos]] = "D", 'Per 60 ES'!$Q$874,'Per 60 ES'!$Q$873)/60)*Proj[[#This Row],[TOI ES]]*10+_xlfn.IFNA(INDEX(Table2[],MATCH(Proj[[#This Row],[Player]],Table2[Player],0),15)/60,IF(Proj[[#This Row],[Pos]] = "D", 'Per 60 PP'!$O$527,'Per 60 PP'!$O$526)/60)*Proj[[#This Row],[TOI PP]]*2+_xlfn.IFNA(INDEX(Table2[],MATCH(Proj[[#This Row],[Player]],Table2[Player],0),16)/60,IF(Proj[[#This Row],[Pos]] = "D", 'Per 60 PP'!$P$527,'Per 60 PP'!$P$526)/60)*Proj[[#This Row],[TOI PP]]*5+_xlfn.IFNA(INDEX(Table3[],MATCH(Proj[[#This Row],[Player]],Table3[Player],0),12)/60,IF(Proj[[#This Row],[Pos]] ="D", 'Per 60 PK'!$L$623, 'Per 60 PK'!$L$622)/60)*Proj[[#This Row],[TOI PK]]*2+_xlfn.IFNA(INDEX(Table3[],MATCH(Proj[[#This Row],[Player]],Table3[Player],0),13)/60,IF(Proj[[#This Row],[Pos]] ="D", 'Per 60 PK'!$M$623, 'Per 60 PK'!$M$622)/60)*Proj[[#This Row],[TOI PK]]*5)*Proj[[#This Row],[GP]],0)</f>
        <v>46</v>
      </c>
      <c r="X756">
        <f>ROUND((_xlfn.IFNA(INDEX(Table1[],MATCH(Proj[[#This Row],[Player]],Table1[Player],0),18)/60,IF(Proj[[#This Row],[Pos]] = "D", 'Per 60 ES'!$R$874,'Per 60 ES'!$R$873)/60)*Proj[[#This Row],[TOI ES]]+_xlfn.IFNA(INDEX(Table2[],MATCH(Proj[[#This Row],[Player]],Table2[Player],0),18)/60,IF(Proj[[#This Row],[Pos]] = "D", 0,'Per 60 PP'!$R$526)/60)*Proj[[#This Row],[TOI PP]]+_xlfn.IFNA(INDEX(Table3[],MATCH(Proj[[#This Row],[Player]],Table3[Player],0),16)/60,IF(Proj[[#This Row],[Pos]] ="D", 0, 'Per 60 PK'!$P$622)/60)*Proj[[#This Row],[TOI PK]])*Proj[[#This Row],[GP]],0)</f>
        <v>0</v>
      </c>
      <c r="Y756">
        <f>ROUND((_xlfn.IFNA(INDEX(Table1[],MATCH(Proj[[#This Row],[Player]],Table1[Player],0),19)/60,IF(Proj[[#This Row],[Pos]] = "D", 'Per 60 ES'!$S$874,'Per 60 ES'!$S$873)/60)*Proj[[#This Row],[TOI ES]]+_xlfn.IFNA(INDEX(Table2[],MATCH(Proj[[#This Row],[Player]],Table2[Player],0),19)/60,IF(Proj[[#This Row],[Pos]] = "D", 0,'Per 60 PP'!$S$526)/60)*Proj[[#This Row],[TOI PP]]+_xlfn.IFNA(INDEX(Table3[],MATCH(Proj[[#This Row],[Player]],Table3[Player],0),17)/60,IF(Proj[[#This Row],[Pos]] ="D", 0, 'Per 60 PK'!$Q$622)/60)*Proj[[#This Row],[TOI PK]])*Proj[[#This Row],[GP]],0)</f>
        <v>0</v>
      </c>
      <c r="Z756">
        <f>ROUND((_xlfn.IFNA(INDEX(Table1[],MATCH(Proj[[#This Row],[Player]],Table1[Player],0),8)/60,IF(Proj[[#This Row],[Pos]] = "D", 'Per 60 ES'!$H$874,'Per 60 ES'!$H$873)/60)*Proj[[#This Row],[TOI ES]]+_xlfn.IFNA(INDEX(Table2[],MATCH(Proj[[#This Row],[Player]],Table2[Player],0),8)/60,IF(Proj[[#This Row],[Pos]] = "D", 'Per 60 PP'!$H$527,'Per 60 PP'!$H$526)/60)*Proj[[#This Row],[TOI PP]]+_xlfn.IFNA(INDEX(Table3[],MATCH(Proj[[#This Row],[Player]],Table3[Player],0),9)/60,IF(Proj[[#This Row],[Pos]] ="D", 'Per 60 PK'!$I$623, 'Per 60 PK'!$I$622)/60)*Proj[[#This Row],[TOI PK]])*Proj[[#This Row],[GP]],0)</f>
        <v>37</v>
      </c>
      <c r="AA756" s="10">
        <f>IF('League Inputs'!$N$10 = "C/LW/RW", MAX(_xlfn.IFNA(INDEX(LW[],MATCH(Proj[[#This Row],[Player]],LW[Player],0),11),-5000), _xlfn.IFNA(INDEX(RW[],MATCH(Proj[[#This Row],[Player]],RW[Player],0),11),-5000), _xlfn.IFNA(INDEX(Center[],MATCH(Proj[[#This Row],[Player]],Center[Player],0),11),-5000), _xlfn.IFNA(INDEX(Def[],MATCH(Proj[[#This Row],[Player]],Def[Player],0),11),-5000)),MAX(_xlfn.IFNA(INDEX(F[],MATCH(Proj[[#This Row],[Player]],F[Player],0),11),-5000),_xlfn.IFNA(INDEX(Def[],MATCH(Proj[[#This Row],[Player]],Def[Player],0),11),-5000)))</f>
        <v>-635.76654579940873</v>
      </c>
      <c r="AB756" s="10">
        <f>_xlfn.RANK.EQ(Proj[[#This Row],[VOR]],Proj[VOR])</f>
        <v>492</v>
      </c>
      <c r="AC756" s="10">
        <f>INDEX(Std[],MATCH(Proj[[#This Row],[Player]],Std[Player],0),20)</f>
        <v>-528.40177807994428</v>
      </c>
      <c r="AD756" s="9">
        <f>Proj[[#This Row],[Goals]]*'League Inputs'!$K$10+Proj[[#This Row],[Assists]]*'League Inputs'!$K$11+Proj[[#This Row],[Points]]*'League Inputs'!$K$12+Proj[[#This Row],[PP Points]]*'League Inputs'!$K$13+Proj[[#This Row],[SOG]]*'League Inputs'!$K$17+Proj[[#This Row],[Hits]]*'League Inputs'!$K$18+Proj[[#This Row],[BLK]]*'League Inputs'!$K$19+Proj[[#This Row],[PIM]]*'League Inputs'!$K$22+Proj[[#This Row],[FOW]]*'League Inputs'!$K$20+Proj[[#This Row],[FOL]]*'League Inputs'!$K$21</f>
        <v>168.6</v>
      </c>
    </row>
  </sheetData>
  <protectedRanges>
    <protectedRange sqref="B1:AD1" name="Range2_1"/>
  </protectedRanges>
  <phoneticPr fontId="18" type="noConversion"/>
  <conditionalFormatting sqref="Y1">
    <cfRule type="colorScale" priority="16">
      <colorScale>
        <cfvo type="min"/>
        <cfvo type="percentile" val="50"/>
        <cfvo type="max"/>
        <color rgb="FFF8696B"/>
        <color rgb="FFFFEB84"/>
        <color rgb="FF63BE7B"/>
      </colorScale>
    </cfRule>
  </conditionalFormatting>
  <conditionalFormatting sqref="Z1">
    <cfRule type="colorScale" priority="12">
      <colorScale>
        <cfvo type="min"/>
        <cfvo type="percentile" val="50"/>
        <cfvo type="max"/>
        <color rgb="FFF8696B"/>
        <color rgb="FFFFEB84"/>
        <color rgb="FF63BE7B"/>
      </colorScale>
    </cfRule>
  </conditionalFormatting>
  <conditionalFormatting sqref="A1">
    <cfRule type="duplicateValues" dxfId="9" priority="138"/>
  </conditionalFormatting>
  <conditionalFormatting sqref="AA1:AD1">
    <cfRule type="colorScale" priority="169">
      <colorScale>
        <cfvo type="min"/>
        <cfvo type="percentile" val="50"/>
        <cfvo type="max"/>
        <color rgb="FFF8696B"/>
        <color rgb="FFFFEB84"/>
        <color rgb="FF63BE7B"/>
      </colorScale>
    </cfRule>
  </conditionalFormatting>
  <conditionalFormatting sqref="K1:K1048576">
    <cfRule type="expression" priority="325">
      <formula>#REF! &lt;&gt; #REF!</formula>
    </cfRule>
  </conditionalFormatting>
  <conditionalFormatting sqref="K2:K756">
    <cfRule type="expression" dxfId="8" priority="328">
      <formula>$K$2:$K$756 &lt;&gt;$F$2:$F$756</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7C8C-A114-4B8C-B222-01114460D964}">
  <sheetPr codeName="Sheet10"/>
  <dimension ref="A1:K197"/>
  <sheetViews>
    <sheetView topLeftCell="A34" workbookViewId="0">
      <selection activeCell="A50" sqref="A50:XFD50"/>
    </sheetView>
  </sheetViews>
  <sheetFormatPr defaultRowHeight="15" x14ac:dyDescent="0.25"/>
  <cols>
    <col min="1" max="1" width="24.5703125" bestFit="1" customWidth="1"/>
    <col min="6" max="6" width="14.7109375" bestFit="1" customWidth="1"/>
    <col min="7" max="7" width="11.42578125" customWidth="1"/>
  </cols>
  <sheetData>
    <row r="1" spans="1:11" ht="15.75" thickBot="1" x14ac:dyDescent="0.3">
      <c r="A1" s="3" t="s">
        <v>0</v>
      </c>
      <c r="B1" s="3" t="s">
        <v>54</v>
      </c>
      <c r="C1" s="3" t="s">
        <v>55</v>
      </c>
      <c r="D1" s="53" t="s">
        <v>120</v>
      </c>
      <c r="E1" s="53" t="s">
        <v>121</v>
      </c>
      <c r="F1" s="3" t="s">
        <v>53</v>
      </c>
      <c r="G1" s="3" t="s">
        <v>143</v>
      </c>
      <c r="H1" s="3" t="s">
        <v>148</v>
      </c>
      <c r="I1" s="4" t="s">
        <v>70</v>
      </c>
      <c r="J1" s="4" t="s">
        <v>151</v>
      </c>
      <c r="K1" s="4" t="s">
        <v>123</v>
      </c>
    </row>
    <row r="2" spans="1:11" ht="15.75" thickBot="1" x14ac:dyDescent="0.3">
      <c r="A2" t="s">
        <v>238</v>
      </c>
      <c r="B2" s="95">
        <v>28</v>
      </c>
      <c r="C2" s="96" t="s">
        <v>74</v>
      </c>
      <c r="D2" s="68" t="s">
        <v>102</v>
      </c>
      <c r="E2" s="57"/>
      <c r="F2" t="s">
        <v>5</v>
      </c>
      <c r="I2" s="10">
        <f>INDEX(Std[],MATCH(LW[[#This Row],[Player]],Std[Player],0),20)</f>
        <v>1881.0758987697498</v>
      </c>
      <c r="J2">
        <f>_xlfn.RANK.EQ(LW[[#This Row],[Value]],LW[Value])</f>
        <v>1</v>
      </c>
      <c r="K2" s="10">
        <f>LW[[#This Row],[Value]]-_xlfn.XLOOKUP($D$185,LW[Value Rk],LW[Value],,-1)</f>
        <v>1409.531174379501</v>
      </c>
    </row>
    <row r="3" spans="1:11" ht="15.75" thickBot="1" x14ac:dyDescent="0.3">
      <c r="A3" t="s">
        <v>242</v>
      </c>
      <c r="B3" s="97">
        <v>24</v>
      </c>
      <c r="C3" s="98" t="s">
        <v>102</v>
      </c>
      <c r="D3" s="57"/>
      <c r="E3" s="57"/>
      <c r="F3" t="s">
        <v>23</v>
      </c>
      <c r="I3" s="10">
        <f>INDEX(Std[],MATCH(LW[[#This Row],[Player]],Std[Player],0),20)</f>
        <v>1598.6320815465933</v>
      </c>
      <c r="J3">
        <f>_xlfn.RANK.EQ(LW[[#This Row],[Value]],LW[Value])</f>
        <v>3</v>
      </c>
      <c r="K3" s="10">
        <f>LW[[#This Row],[Value]]-_xlfn.XLOOKUP($D$185,LW[Value Rk],LW[Value],,-1)</f>
        <v>1127.0873571563445</v>
      </c>
    </row>
    <row r="4" spans="1:11" ht="15.75" thickBot="1" x14ac:dyDescent="0.3">
      <c r="A4" t="s">
        <v>268</v>
      </c>
      <c r="B4" s="97">
        <v>26</v>
      </c>
      <c r="C4" s="98" t="s">
        <v>102</v>
      </c>
      <c r="D4" s="57"/>
      <c r="E4" s="57"/>
      <c r="F4" t="s">
        <v>21</v>
      </c>
      <c r="I4" s="10">
        <f>INDEX(Std[],MATCH(LW[[#This Row],[Player]],Std[Player],0),20)</f>
        <v>1539.8039021364791</v>
      </c>
      <c r="J4">
        <f>_xlfn.RANK.EQ(LW[[#This Row],[Value]],LW[Value])</f>
        <v>4</v>
      </c>
      <c r="K4" s="10">
        <f>LW[[#This Row],[Value]]-_xlfn.XLOOKUP($D$185,LW[Value Rk],LW[Value],,-1)</f>
        <v>1068.2591777462303</v>
      </c>
    </row>
    <row r="5" spans="1:11" ht="15.75" thickBot="1" x14ac:dyDescent="0.3">
      <c r="A5" t="s">
        <v>239</v>
      </c>
      <c r="B5" s="99">
        <v>26</v>
      </c>
      <c r="C5" s="100" t="s">
        <v>102</v>
      </c>
      <c r="D5" s="57"/>
      <c r="E5" s="56"/>
      <c r="F5" t="s">
        <v>16</v>
      </c>
      <c r="I5" s="10">
        <f>INDEX(Std[],MATCH(LW[[#This Row],[Player]],Std[Player],0),20)</f>
        <v>1852.1125890723724</v>
      </c>
      <c r="J5">
        <f>_xlfn.RANK.EQ(LW[[#This Row],[Value]],LW[Value])</f>
        <v>2</v>
      </c>
      <c r="K5" s="10">
        <f>LW[[#This Row],[Value]]-_xlfn.XLOOKUP($D$185,LW[Value Rk],LW[Value],,-1)</f>
        <v>1380.5678646821236</v>
      </c>
    </row>
    <row r="6" spans="1:11" ht="15.75" thickBot="1" x14ac:dyDescent="0.3">
      <c r="A6" t="s">
        <v>285</v>
      </c>
      <c r="B6" s="97">
        <v>24</v>
      </c>
      <c r="C6" s="98" t="s">
        <v>102</v>
      </c>
      <c r="D6" s="57"/>
      <c r="E6" s="57"/>
      <c r="F6" t="s">
        <v>7</v>
      </c>
      <c r="I6" s="10">
        <f>INDEX(Std[],MATCH(LW[[#This Row],[Player]],Std[Player],0),20)</f>
        <v>1211.9357643435978</v>
      </c>
      <c r="J6">
        <f>_xlfn.RANK.EQ(LW[[#This Row],[Value]],LW[Value])</f>
        <v>5</v>
      </c>
      <c r="K6" s="10">
        <f>LW[[#This Row],[Value]]-_xlfn.XLOOKUP($D$185,LW[Value Rk],LW[Value],,-1)</f>
        <v>740.39103995334904</v>
      </c>
    </row>
    <row r="7" spans="1:11" ht="15.75" thickBot="1" x14ac:dyDescent="0.3">
      <c r="A7" t="s">
        <v>269</v>
      </c>
      <c r="B7" s="97">
        <v>38</v>
      </c>
      <c r="C7" s="98" t="s">
        <v>102</v>
      </c>
      <c r="D7" s="57"/>
      <c r="E7" s="57"/>
      <c r="F7" t="s">
        <v>25</v>
      </c>
      <c r="I7" s="10">
        <f>INDEX(Std[],MATCH(LW[[#This Row],[Player]],Std[Player],0),20)</f>
        <v>1161.3455667678479</v>
      </c>
      <c r="J7">
        <f>_xlfn.RANK.EQ(LW[[#This Row],[Value]],LW[Value])</f>
        <v>8</v>
      </c>
      <c r="K7" s="10">
        <f>LW[[#This Row],[Value]]-_xlfn.XLOOKUP($D$185,LW[Value Rk],LW[Value],,-1)</f>
        <v>689.80084237759911</v>
      </c>
    </row>
    <row r="8" spans="1:11" ht="15.75" thickBot="1" x14ac:dyDescent="0.3">
      <c r="A8" t="s">
        <v>422</v>
      </c>
      <c r="B8" s="97">
        <v>26</v>
      </c>
      <c r="C8" s="98" t="s">
        <v>102</v>
      </c>
      <c r="D8" s="57" t="s">
        <v>103</v>
      </c>
      <c r="E8" s="57"/>
      <c r="F8" t="s">
        <v>29</v>
      </c>
      <c r="I8" s="10">
        <f>INDEX(Std[],MATCH(LW[[#This Row],[Player]],Std[Player],0),20)</f>
        <v>1189.3458489330492</v>
      </c>
      <c r="J8">
        <f>_xlfn.RANK.EQ(LW[[#This Row],[Value]],LW[Value])</f>
        <v>7</v>
      </c>
      <c r="K8" s="10">
        <f>LW[[#This Row],[Value]]-_xlfn.XLOOKUP($D$185,LW[Value Rk],LW[Value],,-1)</f>
        <v>717.80112454280038</v>
      </c>
    </row>
    <row r="9" spans="1:11" ht="15.75" thickBot="1" x14ac:dyDescent="0.3">
      <c r="A9" t="s">
        <v>264</v>
      </c>
      <c r="B9" s="97">
        <v>22</v>
      </c>
      <c r="C9" s="98" t="s">
        <v>74</v>
      </c>
      <c r="D9" s="57" t="s">
        <v>102</v>
      </c>
      <c r="E9" s="56"/>
      <c r="F9" t="s">
        <v>11</v>
      </c>
      <c r="I9" s="10">
        <f>INDEX(Std[],MATCH(LW[[#This Row],[Player]],Std[Player],0),20)</f>
        <v>1087.9270446509481</v>
      </c>
      <c r="J9">
        <f>_xlfn.RANK.EQ(LW[[#This Row],[Value]],LW[Value])</f>
        <v>10</v>
      </c>
      <c r="K9" s="10">
        <f>LW[[#This Row],[Value]]-_xlfn.XLOOKUP($D$185,LW[Value Rk],LW[Value],,-1)</f>
        <v>616.38232026069932</v>
      </c>
    </row>
    <row r="10" spans="1:11" ht="15.75" thickBot="1" x14ac:dyDescent="0.3">
      <c r="A10" t="s">
        <v>257</v>
      </c>
      <c r="B10" s="99">
        <v>29</v>
      </c>
      <c r="C10" s="100" t="s">
        <v>102</v>
      </c>
      <c r="D10" s="57"/>
      <c r="E10" s="57"/>
      <c r="F10" t="s">
        <v>8</v>
      </c>
      <c r="I10" s="10">
        <f>INDEX(Std[],MATCH(LW[[#This Row],[Player]],Std[Player],0),20)</f>
        <v>1190.3770607465021</v>
      </c>
      <c r="J10">
        <f>_xlfn.RANK.EQ(LW[[#This Row],[Value]],LW[Value])</f>
        <v>6</v>
      </c>
      <c r="K10" s="10">
        <f>LW[[#This Row],[Value]]-_xlfn.XLOOKUP($D$185,LW[Value Rk],LW[Value],,-1)</f>
        <v>718.83233635625334</v>
      </c>
    </row>
    <row r="11" spans="1:11" ht="15.75" thickBot="1" x14ac:dyDescent="0.3">
      <c r="A11" t="s">
        <v>252</v>
      </c>
      <c r="B11" s="99">
        <v>35</v>
      </c>
      <c r="C11" s="100" t="s">
        <v>102</v>
      </c>
      <c r="D11" s="57"/>
      <c r="E11" s="56"/>
      <c r="F11" t="s">
        <v>11</v>
      </c>
      <c r="I11" s="10">
        <f>INDEX(Std[],MATCH(LW[[#This Row],[Player]],Std[Player],0),20)</f>
        <v>966.96843884462419</v>
      </c>
      <c r="J11">
        <f>_xlfn.RANK.EQ(LW[[#This Row],[Value]],LW[Value])</f>
        <v>11</v>
      </c>
      <c r="K11" s="10">
        <f>LW[[#This Row],[Value]]-_xlfn.XLOOKUP($D$185,LW[Value Rk],LW[Value],,-1)</f>
        <v>495.42371445437533</v>
      </c>
    </row>
    <row r="12" spans="1:11" ht="15.75" thickBot="1" x14ac:dyDescent="0.3">
      <c r="A12" t="s">
        <v>336</v>
      </c>
      <c r="B12" s="99">
        <v>22</v>
      </c>
      <c r="C12" s="100" t="s">
        <v>74</v>
      </c>
      <c r="D12" s="57" t="s">
        <v>102</v>
      </c>
      <c r="E12" s="57"/>
      <c r="F12" t="s">
        <v>11</v>
      </c>
      <c r="I12" s="10">
        <f>INDEX(Std[],MATCH(LW[[#This Row],[Player]],Std[Player],0),20)</f>
        <v>950.43908113301893</v>
      </c>
      <c r="J12">
        <f>_xlfn.RANK.EQ(LW[[#This Row],[Value]],LW[Value])</f>
        <v>12</v>
      </c>
      <c r="K12" s="10">
        <f>LW[[#This Row],[Value]]-_xlfn.XLOOKUP($D$185,LW[Value Rk],LW[Value],,-1)</f>
        <v>478.89435674277007</v>
      </c>
    </row>
    <row r="13" spans="1:11" ht="15.75" thickBot="1" x14ac:dyDescent="0.3">
      <c r="A13" t="s">
        <v>312</v>
      </c>
      <c r="B13" s="99">
        <v>32</v>
      </c>
      <c r="C13" s="100" t="s">
        <v>102</v>
      </c>
      <c r="D13" s="57"/>
      <c r="E13" s="56"/>
      <c r="F13" t="s">
        <v>156</v>
      </c>
      <c r="I13" s="10">
        <f>INDEX(Std[],MATCH(LW[[#This Row],[Player]],Std[Player],0),20)</f>
        <v>1145.7435323622633</v>
      </c>
      <c r="J13">
        <f>_xlfn.RANK.EQ(LW[[#This Row],[Value]],LW[Value])</f>
        <v>9</v>
      </c>
      <c r="K13" s="10">
        <f>LW[[#This Row],[Value]]-_xlfn.XLOOKUP($D$185,LW[Value Rk],LW[Value],,-1)</f>
        <v>674.19880797201449</v>
      </c>
    </row>
    <row r="14" spans="1:11" ht="15.75" thickBot="1" x14ac:dyDescent="0.3">
      <c r="A14" t="s">
        <v>255</v>
      </c>
      <c r="B14" s="97">
        <v>31</v>
      </c>
      <c r="C14" s="98" t="s">
        <v>102</v>
      </c>
      <c r="D14" s="57"/>
      <c r="E14" s="57"/>
      <c r="F14" s="67"/>
      <c r="I14" s="10">
        <f>INDEX(Std[],MATCH(LW[[#This Row],[Player]],Std[Player],0),20)</f>
        <v>936.88025885824084</v>
      </c>
      <c r="J14">
        <f>_xlfn.RANK.EQ(LW[[#This Row],[Value]],LW[Value])</f>
        <v>14</v>
      </c>
      <c r="K14" s="10">
        <f>LW[[#This Row],[Value]]-_xlfn.XLOOKUP($D$185,LW[Value Rk],LW[Value],,-1)</f>
        <v>465.33553446799198</v>
      </c>
    </row>
    <row r="15" spans="1:11" ht="15.75" thickBot="1" x14ac:dyDescent="0.3">
      <c r="A15" t="s">
        <v>371</v>
      </c>
      <c r="B15" s="97">
        <v>32</v>
      </c>
      <c r="C15" s="98" t="s">
        <v>102</v>
      </c>
      <c r="D15" s="57"/>
      <c r="E15" s="56"/>
      <c r="F15" t="s">
        <v>9</v>
      </c>
      <c r="I15" s="10">
        <f>INDEX(Std[],MATCH(LW[[#This Row],[Player]],Std[Player],0),20)</f>
        <v>895.74761678463392</v>
      </c>
      <c r="J15">
        <f>_xlfn.RANK.EQ(LW[[#This Row],[Value]],LW[Value])</f>
        <v>16</v>
      </c>
      <c r="K15" s="10">
        <f>LW[[#This Row],[Value]]-_xlfn.XLOOKUP($D$185,LW[Value Rk],LW[Value],,-1)</f>
        <v>424.20289239438506</v>
      </c>
    </row>
    <row r="16" spans="1:11" ht="15.75" thickBot="1" x14ac:dyDescent="0.3">
      <c r="A16" t="s">
        <v>276</v>
      </c>
      <c r="B16" s="97">
        <v>30</v>
      </c>
      <c r="C16" s="98" t="s">
        <v>74</v>
      </c>
      <c r="D16" s="57" t="s">
        <v>102</v>
      </c>
      <c r="E16" s="56"/>
      <c r="F16" t="s">
        <v>20</v>
      </c>
      <c r="I16" s="10">
        <f>INDEX(Std[],MATCH(LW[[#This Row],[Player]],Std[Player],0),20)</f>
        <v>880.93288025045331</v>
      </c>
      <c r="J16">
        <f>_xlfn.RANK.EQ(LW[[#This Row],[Value]],LW[Value])</f>
        <v>18</v>
      </c>
      <c r="K16" s="10">
        <f>LW[[#This Row],[Value]]-_xlfn.XLOOKUP($D$185,LW[Value Rk],LW[Value],,-1)</f>
        <v>409.38815586020445</v>
      </c>
    </row>
    <row r="17" spans="1:11" ht="15.75" thickBot="1" x14ac:dyDescent="0.3">
      <c r="A17" t="s">
        <v>372</v>
      </c>
      <c r="B17" s="99">
        <v>27</v>
      </c>
      <c r="C17" s="100" t="s">
        <v>102</v>
      </c>
      <c r="D17" s="57"/>
      <c r="E17" s="57"/>
      <c r="F17" t="s">
        <v>2</v>
      </c>
      <c r="I17" s="10">
        <f>INDEX(Std[],MATCH(LW[[#This Row],[Player]],Std[Player],0),20)</f>
        <v>894.06532577046301</v>
      </c>
      <c r="J17">
        <f>_xlfn.RANK.EQ(LW[[#This Row],[Value]],LW[Value])</f>
        <v>17</v>
      </c>
      <c r="K17" s="10">
        <f>LW[[#This Row],[Value]]-_xlfn.XLOOKUP($D$185,LW[Value Rk],LW[Value],,-1)</f>
        <v>422.52060138021415</v>
      </c>
    </row>
    <row r="18" spans="1:11" ht="15.75" thickBot="1" x14ac:dyDescent="0.3">
      <c r="A18" t="s">
        <v>260</v>
      </c>
      <c r="B18" s="97">
        <v>29</v>
      </c>
      <c r="C18" s="98" t="s">
        <v>102</v>
      </c>
      <c r="D18" s="57"/>
      <c r="E18" s="56"/>
      <c r="F18" t="s">
        <v>13</v>
      </c>
      <c r="I18" s="10">
        <f>INDEX(Std[],MATCH(LW[[#This Row],[Player]],Std[Player],0),20)</f>
        <v>864.68401859711469</v>
      </c>
      <c r="J18">
        <f>_xlfn.RANK.EQ(LW[[#This Row],[Value]],LW[Value])</f>
        <v>20</v>
      </c>
      <c r="K18" s="10">
        <f>LW[[#This Row],[Value]]-_xlfn.XLOOKUP($D$185,LW[Value Rk],LW[Value],,-1)</f>
        <v>393.13929420686583</v>
      </c>
    </row>
    <row r="19" spans="1:11" ht="15.75" thickBot="1" x14ac:dyDescent="0.3">
      <c r="A19" t="s">
        <v>398</v>
      </c>
      <c r="B19" s="99">
        <v>25</v>
      </c>
      <c r="C19" s="100" t="s">
        <v>74</v>
      </c>
      <c r="D19" s="57" t="s">
        <v>102</v>
      </c>
      <c r="E19" s="57"/>
      <c r="F19" t="s">
        <v>16</v>
      </c>
      <c r="I19" s="10">
        <f>INDEX(Std[],MATCH(LW[[#This Row],[Player]],Std[Player],0),20)</f>
        <v>866.82575107084915</v>
      </c>
      <c r="J19">
        <f>_xlfn.RANK.EQ(LW[[#This Row],[Value]],LW[Value])</f>
        <v>19</v>
      </c>
      <c r="K19" s="10">
        <f>LW[[#This Row],[Value]]-_xlfn.XLOOKUP($D$185,LW[Value Rk],LW[Value],,-1)</f>
        <v>395.28102668060029</v>
      </c>
    </row>
    <row r="20" spans="1:11" ht="15.75" thickBot="1" x14ac:dyDescent="0.3">
      <c r="A20" t="s">
        <v>339</v>
      </c>
      <c r="B20" s="99">
        <v>27</v>
      </c>
      <c r="C20" s="100" t="s">
        <v>102</v>
      </c>
      <c r="D20" s="57"/>
      <c r="E20" s="57"/>
      <c r="F20" t="s">
        <v>154</v>
      </c>
      <c r="I20" s="10">
        <f>INDEX(Std[],MATCH(LW[[#This Row],[Player]],Std[Player],0),20)</f>
        <v>947.32896167795479</v>
      </c>
      <c r="J20">
        <f>_xlfn.RANK.EQ(LW[[#This Row],[Value]],LW[Value])</f>
        <v>13</v>
      </c>
      <c r="K20" s="10">
        <f>LW[[#This Row],[Value]]-_xlfn.XLOOKUP($D$185,LW[Value Rk],LW[Value],,-1)</f>
        <v>475.78423728770593</v>
      </c>
    </row>
    <row r="21" spans="1:11" ht="15.75" thickBot="1" x14ac:dyDescent="0.3">
      <c r="A21" t="s">
        <v>250</v>
      </c>
      <c r="B21" s="97">
        <v>32</v>
      </c>
      <c r="C21" s="98" t="s">
        <v>102</v>
      </c>
      <c r="D21" s="57"/>
      <c r="E21" s="56"/>
      <c r="F21" t="s">
        <v>17</v>
      </c>
      <c r="I21" s="10">
        <f>INDEX(Std[],MATCH(LW[[#This Row],[Player]],Std[Player],0),20)</f>
        <v>775.77724472274906</v>
      </c>
      <c r="J21">
        <f>_xlfn.RANK.EQ(LW[[#This Row],[Value]],LW[Value])</f>
        <v>22</v>
      </c>
      <c r="K21" s="10">
        <f>LW[[#This Row],[Value]]-_xlfn.XLOOKUP($D$185,LW[Value Rk],LW[Value],,-1)</f>
        <v>304.2325203325002</v>
      </c>
    </row>
    <row r="22" spans="1:11" ht="15.75" thickBot="1" x14ac:dyDescent="0.3">
      <c r="A22" t="s">
        <v>419</v>
      </c>
      <c r="B22" s="97">
        <v>34</v>
      </c>
      <c r="C22" s="98" t="s">
        <v>102</v>
      </c>
      <c r="D22" s="57"/>
      <c r="E22" s="56"/>
      <c r="F22" t="s">
        <v>30</v>
      </c>
      <c r="I22" s="10">
        <f>INDEX(Std[],MATCH(LW[[#This Row],[Player]],Std[Player],0),20)</f>
        <v>738.46067696725311</v>
      </c>
      <c r="J22">
        <f>_xlfn.RANK.EQ(LW[[#This Row],[Value]],LW[Value])</f>
        <v>25</v>
      </c>
      <c r="K22" s="10">
        <f>LW[[#This Row],[Value]]-_xlfn.XLOOKUP($D$185,LW[Value Rk],LW[Value],,-1)</f>
        <v>266.91595257700425</v>
      </c>
    </row>
    <row r="23" spans="1:11" ht="15.75" thickBot="1" x14ac:dyDescent="0.3">
      <c r="A23" t="s">
        <v>272</v>
      </c>
      <c r="B23" s="97">
        <v>35</v>
      </c>
      <c r="C23" s="98" t="s">
        <v>102</v>
      </c>
      <c r="D23" s="57" t="s">
        <v>103</v>
      </c>
      <c r="E23" s="57"/>
      <c r="F23" t="s">
        <v>2</v>
      </c>
      <c r="I23" s="10">
        <f>INDEX(Std[],MATCH(LW[[#This Row],[Player]],Std[Player],0),20)</f>
        <v>744.18661104809701</v>
      </c>
      <c r="J23">
        <f>_xlfn.RANK.EQ(LW[[#This Row],[Value]],LW[Value])</f>
        <v>24</v>
      </c>
      <c r="K23" s="10">
        <f>LW[[#This Row],[Value]]-_xlfn.XLOOKUP($D$185,LW[Value Rk],LW[Value],,-1)</f>
        <v>272.64188665784815</v>
      </c>
    </row>
    <row r="24" spans="1:11" ht="15.75" thickBot="1" x14ac:dyDescent="0.3">
      <c r="A24" t="s">
        <v>862</v>
      </c>
      <c r="B24" s="99">
        <v>28</v>
      </c>
      <c r="C24" s="100" t="s">
        <v>102</v>
      </c>
      <c r="D24" s="57"/>
      <c r="E24" s="57"/>
      <c r="F24" t="s">
        <v>2</v>
      </c>
      <c r="I24" s="10">
        <f>INDEX(Std[],MATCH(LW[[#This Row],[Player]],Std[Player],0),20)</f>
        <v>723.72838613931503</v>
      </c>
      <c r="J24">
        <f>_xlfn.RANK.EQ(LW[[#This Row],[Value]],LW[Value])</f>
        <v>27</v>
      </c>
      <c r="K24" s="10">
        <f>LW[[#This Row],[Value]]-_xlfn.XLOOKUP($D$185,LW[Value Rk],LW[Value],,-1)</f>
        <v>252.18366174906618</v>
      </c>
    </row>
    <row r="25" spans="1:11" ht="15.75" thickBot="1" x14ac:dyDescent="0.3">
      <c r="A25" t="s">
        <v>464</v>
      </c>
      <c r="B25" s="99">
        <v>25</v>
      </c>
      <c r="C25" s="100" t="s">
        <v>102</v>
      </c>
      <c r="D25" s="57" t="s">
        <v>103</v>
      </c>
      <c r="E25" s="56"/>
      <c r="F25" t="s">
        <v>18</v>
      </c>
      <c r="I25" s="10">
        <f>INDEX(Std[],MATCH(LW[[#This Row],[Player]],Std[Player],0),20)</f>
        <v>734.6338543102986</v>
      </c>
      <c r="J25">
        <f>_xlfn.RANK.EQ(LW[[#This Row],[Value]],LW[Value])</f>
        <v>26</v>
      </c>
      <c r="K25" s="10">
        <f>LW[[#This Row],[Value]]-_xlfn.XLOOKUP($D$185,LW[Value Rk],LW[Value],,-1)</f>
        <v>263.08912992004974</v>
      </c>
    </row>
    <row r="26" spans="1:11" ht="15.75" thickBot="1" x14ac:dyDescent="0.3">
      <c r="A26" t="s">
        <v>301</v>
      </c>
      <c r="B26" s="97">
        <v>22</v>
      </c>
      <c r="C26" s="98" t="s">
        <v>102</v>
      </c>
      <c r="D26" s="57"/>
      <c r="E26" s="57"/>
      <c r="F26" t="s">
        <v>20</v>
      </c>
      <c r="I26" s="10">
        <f>INDEX(Std[],MATCH(LW[[#This Row],[Player]],Std[Player],0),20)</f>
        <v>711.00225090236268</v>
      </c>
      <c r="J26">
        <f>_xlfn.RANK.EQ(LW[[#This Row],[Value]],LW[Value])</f>
        <v>28</v>
      </c>
      <c r="K26" s="10">
        <f>LW[[#This Row],[Value]]-_xlfn.XLOOKUP($D$185,LW[Value Rk],LW[Value],,-1)</f>
        <v>239.45752651211382</v>
      </c>
    </row>
    <row r="27" spans="1:11" ht="15.75" thickBot="1" x14ac:dyDescent="0.3">
      <c r="A27" t="s">
        <v>359</v>
      </c>
      <c r="B27" s="99">
        <v>28</v>
      </c>
      <c r="C27" s="100" t="s">
        <v>74</v>
      </c>
      <c r="D27" s="57" t="s">
        <v>102</v>
      </c>
      <c r="E27" s="56"/>
      <c r="F27" t="s">
        <v>12</v>
      </c>
      <c r="I27" s="10">
        <f>INDEX(Std[],MATCH(LW[[#This Row],[Player]],Std[Player],0),20)</f>
        <v>804.27768911733392</v>
      </c>
      <c r="J27">
        <f>_xlfn.RANK.EQ(LW[[#This Row],[Value]],LW[Value])</f>
        <v>21</v>
      </c>
      <c r="K27" s="10">
        <f>LW[[#This Row],[Value]]-_xlfn.XLOOKUP($D$185,LW[Value Rk],LW[Value],,-1)</f>
        <v>332.73296472708506</v>
      </c>
    </row>
    <row r="28" spans="1:11" ht="15.75" thickBot="1" x14ac:dyDescent="0.3">
      <c r="A28" t="s">
        <v>324</v>
      </c>
      <c r="B28" s="99">
        <v>27</v>
      </c>
      <c r="C28" s="100" t="s">
        <v>102</v>
      </c>
      <c r="D28" s="57"/>
      <c r="E28" s="56"/>
      <c r="F28" t="s">
        <v>154</v>
      </c>
      <c r="I28" s="10">
        <f>INDEX(Std[],MATCH(LW[[#This Row],[Player]],Std[Player],0),20)</f>
        <v>678.39666288017543</v>
      </c>
      <c r="J28">
        <f>_xlfn.RANK.EQ(LW[[#This Row],[Value]],LW[Value])</f>
        <v>30</v>
      </c>
      <c r="K28" s="10">
        <f>LW[[#This Row],[Value]]-_xlfn.XLOOKUP($D$185,LW[Value Rk],LW[Value],,-1)</f>
        <v>206.85193848992657</v>
      </c>
    </row>
    <row r="29" spans="1:11" ht="15.75" thickBot="1" x14ac:dyDescent="0.3">
      <c r="A29" t="s">
        <v>978</v>
      </c>
      <c r="B29" s="97">
        <v>30</v>
      </c>
      <c r="C29" s="98" t="s">
        <v>102</v>
      </c>
      <c r="D29" s="57"/>
      <c r="E29" s="57"/>
      <c r="F29" t="s">
        <v>8</v>
      </c>
      <c r="I29" s="10">
        <f>INDEX(Std[],MATCH(LW[[#This Row],[Player]],Std[Player],0),20)</f>
        <v>653.58133103134492</v>
      </c>
      <c r="J29">
        <f>_xlfn.RANK.EQ(LW[[#This Row],[Value]],LW[Value])</f>
        <v>31</v>
      </c>
      <c r="K29" s="10">
        <f>LW[[#This Row],[Value]]-_xlfn.XLOOKUP($D$185,LW[Value Rk],LW[Value],,-1)</f>
        <v>182.03660664109606</v>
      </c>
    </row>
    <row r="30" spans="1:11" ht="15.75" thickBot="1" x14ac:dyDescent="0.3">
      <c r="A30" t="s">
        <v>601</v>
      </c>
      <c r="B30" s="97">
        <v>26</v>
      </c>
      <c r="C30" s="98" t="s">
        <v>102</v>
      </c>
      <c r="D30" s="57"/>
      <c r="E30" s="57"/>
      <c r="F30" t="s">
        <v>10</v>
      </c>
      <c r="I30" s="10">
        <f>INDEX(Std[],MATCH(LW[[#This Row],[Player]],Std[Player],0),20)</f>
        <v>609.27696741598049</v>
      </c>
      <c r="J30">
        <f>_xlfn.RANK.EQ(LW[[#This Row],[Value]],LW[Value])</f>
        <v>34</v>
      </c>
      <c r="K30" s="10">
        <f>LW[[#This Row],[Value]]-_xlfn.XLOOKUP($D$185,LW[Value Rk],LW[Value],,-1)</f>
        <v>137.73224302573163</v>
      </c>
    </row>
    <row r="31" spans="1:11" ht="15.75" thickBot="1" x14ac:dyDescent="0.3">
      <c r="A31" t="s">
        <v>358</v>
      </c>
      <c r="B31" s="97">
        <v>32</v>
      </c>
      <c r="C31" s="98" t="s">
        <v>74</v>
      </c>
      <c r="D31" s="57" t="s">
        <v>102</v>
      </c>
      <c r="E31" s="56"/>
      <c r="F31" t="s">
        <v>87</v>
      </c>
      <c r="I31" s="10">
        <f>INDEX(Std[],MATCH(LW[[#This Row],[Player]],Std[Player],0),20)</f>
        <v>615.0716271833503</v>
      </c>
      <c r="J31">
        <f>_xlfn.RANK.EQ(LW[[#This Row],[Value]],LW[Value])</f>
        <v>33</v>
      </c>
      <c r="K31" s="10">
        <f>LW[[#This Row],[Value]]-_xlfn.XLOOKUP($D$185,LW[Value Rk],LW[Value],,-1)</f>
        <v>143.52690279310144</v>
      </c>
    </row>
    <row r="32" spans="1:11" ht="15.75" thickBot="1" x14ac:dyDescent="0.3">
      <c r="A32" t="s">
        <v>258</v>
      </c>
      <c r="B32" s="99">
        <v>33</v>
      </c>
      <c r="C32" s="100" t="s">
        <v>102</v>
      </c>
      <c r="D32" s="57"/>
      <c r="E32" s="56"/>
      <c r="F32" t="s">
        <v>16</v>
      </c>
      <c r="I32" s="10">
        <f>INDEX(Std[],MATCH(LW[[#This Row],[Player]],Std[Player],0),20)</f>
        <v>575.89754638844261</v>
      </c>
      <c r="J32">
        <f>_xlfn.RANK.EQ(LW[[#This Row],[Value]],LW[Value])</f>
        <v>35</v>
      </c>
      <c r="K32" s="10">
        <f>LW[[#This Row],[Value]]-_xlfn.XLOOKUP($D$185,LW[Value Rk],LW[Value],,-1)</f>
        <v>104.35282199819375</v>
      </c>
    </row>
    <row r="33" spans="1:11" ht="15.75" thickBot="1" x14ac:dyDescent="0.3">
      <c r="A33" t="s">
        <v>313</v>
      </c>
      <c r="B33" s="97">
        <v>35</v>
      </c>
      <c r="C33" s="98" t="s">
        <v>102</v>
      </c>
      <c r="D33" s="57"/>
      <c r="E33" s="56"/>
      <c r="F33" t="s">
        <v>23</v>
      </c>
      <c r="I33" s="10">
        <f>INDEX(Std[],MATCH(LW[[#This Row],[Player]],Std[Player],0),20)</f>
        <v>753.70939984185611</v>
      </c>
      <c r="J33">
        <f>_xlfn.RANK.EQ(LW[[#This Row],[Value]],LW[Value])</f>
        <v>23</v>
      </c>
      <c r="K33" s="10">
        <f>LW[[#This Row],[Value]]-_xlfn.XLOOKUP($D$185,LW[Value Rk],LW[Value],,-1)</f>
        <v>282.16467545160725</v>
      </c>
    </row>
    <row r="34" spans="1:11" ht="15.75" thickBot="1" x14ac:dyDescent="0.3">
      <c r="A34" t="s">
        <v>295</v>
      </c>
      <c r="B34" s="99">
        <v>28</v>
      </c>
      <c r="C34" s="100" t="s">
        <v>102</v>
      </c>
      <c r="D34" s="57"/>
      <c r="E34" s="57"/>
      <c r="F34" t="s">
        <v>23</v>
      </c>
      <c r="I34" s="10">
        <f>INDEX(Std[],MATCH(LW[[#This Row],[Player]],Std[Player],0),20)</f>
        <v>535.5221589804446</v>
      </c>
      <c r="J34">
        <f>_xlfn.RANK.EQ(LW[[#This Row],[Value]],LW[Value])</f>
        <v>37</v>
      </c>
      <c r="K34" s="10">
        <f>LW[[#This Row],[Value]]-_xlfn.XLOOKUP($D$185,LW[Value Rk],LW[Value],,-1)</f>
        <v>63.977434590195742</v>
      </c>
    </row>
    <row r="35" spans="1:11" ht="15.75" thickBot="1" x14ac:dyDescent="0.3">
      <c r="A35" t="s">
        <v>409</v>
      </c>
      <c r="B35" s="99">
        <v>27</v>
      </c>
      <c r="C35" s="100" t="s">
        <v>102</v>
      </c>
      <c r="D35" s="57"/>
      <c r="E35" s="57"/>
      <c r="F35" t="s">
        <v>20</v>
      </c>
      <c r="I35" s="10">
        <f>INDEX(Std[],MATCH(LW[[#This Row],[Player]],Std[Player],0),20)</f>
        <v>917.1342913729992</v>
      </c>
      <c r="J35">
        <f>_xlfn.RANK.EQ(LW[[#This Row],[Value]],LW[Value])</f>
        <v>15</v>
      </c>
      <c r="K35" s="10">
        <f>LW[[#This Row],[Value]]-_xlfn.XLOOKUP($D$185,LW[Value Rk],LW[Value],,-1)</f>
        <v>445.58956698275034</v>
      </c>
    </row>
    <row r="36" spans="1:11" ht="15.75" thickBot="1" x14ac:dyDescent="0.3">
      <c r="A36" t="s">
        <v>248</v>
      </c>
      <c r="B36" s="97">
        <v>26</v>
      </c>
      <c r="C36" s="98" t="s">
        <v>102</v>
      </c>
      <c r="D36" s="57"/>
      <c r="E36" s="57"/>
      <c r="F36" t="s">
        <v>4</v>
      </c>
      <c r="I36" s="10">
        <f>INDEX(Std[],MATCH(LW[[#This Row],[Player]],Std[Player],0),20)</f>
        <v>491.35210593405259</v>
      </c>
      <c r="J36">
        <f>_xlfn.RANK.EQ(LW[[#This Row],[Value]],LW[Value])</f>
        <v>38</v>
      </c>
      <c r="K36" s="10">
        <f>LW[[#This Row],[Value]]-_xlfn.XLOOKUP($D$185,LW[Value Rk],LW[Value],,-1)</f>
        <v>19.807381543803729</v>
      </c>
    </row>
    <row r="37" spans="1:11" ht="15.75" thickBot="1" x14ac:dyDescent="0.3">
      <c r="A37" t="s">
        <v>340</v>
      </c>
      <c r="B37" s="99">
        <v>28</v>
      </c>
      <c r="C37" s="100" t="s">
        <v>102</v>
      </c>
      <c r="D37" s="57"/>
      <c r="E37" s="57"/>
      <c r="F37" t="s">
        <v>156</v>
      </c>
      <c r="I37" s="10">
        <f>INDEX(Std[],MATCH(LW[[#This Row],[Player]],Std[Player],0),20)</f>
        <v>700.05947972818285</v>
      </c>
      <c r="J37">
        <f>_xlfn.RANK.EQ(LW[[#This Row],[Value]],LW[Value])</f>
        <v>29</v>
      </c>
      <c r="K37" s="10">
        <f>LW[[#This Row],[Value]]-_xlfn.XLOOKUP($D$185,LW[Value Rk],LW[Value],,-1)</f>
        <v>228.51475533793399</v>
      </c>
    </row>
    <row r="38" spans="1:11" ht="15.75" thickBot="1" x14ac:dyDescent="0.3">
      <c r="A38" t="s">
        <v>571</v>
      </c>
      <c r="B38" s="97">
        <v>25</v>
      </c>
      <c r="C38" s="98" t="s">
        <v>102</v>
      </c>
      <c r="D38" s="57"/>
      <c r="E38" s="57"/>
      <c r="F38" t="s">
        <v>4</v>
      </c>
      <c r="I38" s="10">
        <f>INDEX(Std[],MATCH(LW[[#This Row],[Player]],Std[Player],0),20)</f>
        <v>475.43708762990684</v>
      </c>
      <c r="J38">
        <f>_xlfn.RANK.EQ(LW[[#This Row],[Value]],LW[Value])</f>
        <v>41</v>
      </c>
      <c r="K38" s="10">
        <f>LW[[#This Row],[Value]]-_xlfn.XLOOKUP($D$185,LW[Value Rk],LW[Value],,-1)</f>
        <v>3.8923632396579819</v>
      </c>
    </row>
    <row r="39" spans="1:11" ht="15.75" thickBot="1" x14ac:dyDescent="0.3">
      <c r="A39" t="s">
        <v>382</v>
      </c>
      <c r="B39" s="97">
        <v>28</v>
      </c>
      <c r="C39" s="98" t="s">
        <v>102</v>
      </c>
      <c r="D39" s="57"/>
      <c r="E39" s="57"/>
      <c r="F39" t="s">
        <v>31</v>
      </c>
      <c r="I39" s="10">
        <f>INDEX(Std[],MATCH(LW[[#This Row],[Player]],Std[Player],0),20)</f>
        <v>471.54472439024886</v>
      </c>
      <c r="J39">
        <f>_xlfn.RANK.EQ(LW[[#This Row],[Value]],LW[Value])</f>
        <v>42</v>
      </c>
      <c r="K39" s="10">
        <f>LW[[#This Row],[Value]]-_xlfn.XLOOKUP($D$185,LW[Value Rk],LW[Value],,-1)</f>
        <v>0</v>
      </c>
    </row>
    <row r="40" spans="1:11" ht="15.75" thickBot="1" x14ac:dyDescent="0.3">
      <c r="A40" t="s">
        <v>475</v>
      </c>
      <c r="B40" s="97">
        <v>25</v>
      </c>
      <c r="C40" s="98" t="s">
        <v>102</v>
      </c>
      <c r="D40" s="57" t="s">
        <v>103</v>
      </c>
      <c r="E40" s="57"/>
      <c r="F40" t="s">
        <v>10</v>
      </c>
      <c r="I40" s="10">
        <f>INDEX(Std[],MATCH(LW[[#This Row],[Player]],Std[Player],0),20)</f>
        <v>456.19788305585018</v>
      </c>
      <c r="J40">
        <f>_xlfn.RANK.EQ(LW[[#This Row],[Value]],LW[Value])</f>
        <v>46</v>
      </c>
      <c r="K40" s="10">
        <f>LW[[#This Row],[Value]]-_xlfn.XLOOKUP($D$185,LW[Value Rk],LW[Value],,-1)</f>
        <v>-15.346841334398675</v>
      </c>
    </row>
    <row r="41" spans="1:11" ht="15.75" thickBot="1" x14ac:dyDescent="0.3">
      <c r="A41" t="s">
        <v>253</v>
      </c>
      <c r="B41" s="97">
        <v>30</v>
      </c>
      <c r="C41" s="98" t="s">
        <v>102</v>
      </c>
      <c r="D41" s="57"/>
      <c r="E41" s="56"/>
      <c r="F41" t="s">
        <v>34</v>
      </c>
      <c r="I41" s="10">
        <f>INDEX(Std[],MATCH(LW[[#This Row],[Player]],Std[Player],0),20)</f>
        <v>464.16648613332649</v>
      </c>
      <c r="J41">
        <f>_xlfn.RANK.EQ(LW[[#This Row],[Value]],LW[Value])</f>
        <v>44</v>
      </c>
      <c r="K41" s="10">
        <f>LW[[#This Row],[Value]]-_xlfn.XLOOKUP($D$185,LW[Value Rk],LW[Value],,-1)</f>
        <v>-7.3782382569223728</v>
      </c>
    </row>
    <row r="42" spans="1:11" ht="15.75" thickBot="1" x14ac:dyDescent="0.3">
      <c r="A42" t="s">
        <v>283</v>
      </c>
      <c r="B42" s="97">
        <v>32</v>
      </c>
      <c r="C42" s="98" t="s">
        <v>102</v>
      </c>
      <c r="D42" s="57"/>
      <c r="E42" s="56"/>
      <c r="F42" t="s">
        <v>13</v>
      </c>
      <c r="I42" s="10">
        <f>INDEX(Std[],MATCH(LW[[#This Row],[Player]],Std[Player],0),20)</f>
        <v>450.57093001477176</v>
      </c>
      <c r="J42">
        <f>_xlfn.RANK.EQ(LW[[#This Row],[Value]],LW[Value])</f>
        <v>47</v>
      </c>
      <c r="K42" s="10">
        <f>LW[[#This Row],[Value]]-_xlfn.XLOOKUP($D$185,LW[Value Rk],LW[Value],,-1)</f>
        <v>-20.973794375477098</v>
      </c>
    </row>
    <row r="43" spans="1:11" ht="15.75" thickBot="1" x14ac:dyDescent="0.3">
      <c r="A43" t="s">
        <v>423</v>
      </c>
      <c r="B43" s="97">
        <v>31</v>
      </c>
      <c r="C43" s="98" t="s">
        <v>102</v>
      </c>
      <c r="D43" s="57"/>
      <c r="E43" s="57"/>
      <c r="F43" t="s">
        <v>20</v>
      </c>
      <c r="I43" s="10">
        <f>INDEX(Std[],MATCH(LW[[#This Row],[Player]],Std[Player],0),20)</f>
        <v>432.04091442939739</v>
      </c>
      <c r="J43">
        <f>_xlfn.RANK.EQ(LW[[#This Row],[Value]],LW[Value])</f>
        <v>48</v>
      </c>
      <c r="K43" s="10">
        <f>LW[[#This Row],[Value]]-_xlfn.XLOOKUP($D$185,LW[Value Rk],LW[Value],,-1)</f>
        <v>-39.50380996085147</v>
      </c>
    </row>
    <row r="44" spans="1:11" ht="15.75" thickBot="1" x14ac:dyDescent="0.3">
      <c r="A44" t="s">
        <v>310</v>
      </c>
      <c r="B44" s="99">
        <v>28</v>
      </c>
      <c r="C44" s="100" t="s">
        <v>102</v>
      </c>
      <c r="D44" s="57"/>
      <c r="E44" s="57"/>
      <c r="F44" t="s">
        <v>11</v>
      </c>
      <c r="I44" s="10">
        <f>INDEX(Std[],MATCH(LW[[#This Row],[Player]],Std[Player],0),20)</f>
        <v>425.45624821757252</v>
      </c>
      <c r="J44">
        <f>_xlfn.RANK.EQ(LW[[#This Row],[Value]],LW[Value])</f>
        <v>50</v>
      </c>
      <c r="K44" s="10">
        <f>LW[[#This Row],[Value]]-_xlfn.XLOOKUP($D$185,LW[Value Rk],LW[Value],,-1)</f>
        <v>-46.088476172676337</v>
      </c>
    </row>
    <row r="45" spans="1:11" ht="15.75" thickBot="1" x14ac:dyDescent="0.3">
      <c r="A45" t="s">
        <v>909</v>
      </c>
      <c r="B45" s="97">
        <v>30</v>
      </c>
      <c r="C45" s="98" t="s">
        <v>102</v>
      </c>
      <c r="D45" s="57"/>
      <c r="E45" s="57"/>
      <c r="F45" s="67"/>
      <c r="I45" s="10">
        <f>INDEX(Std[],MATCH(LW[[#This Row],[Player]],Std[Player],0),20)</f>
        <v>479.58963138346917</v>
      </c>
      <c r="J45">
        <f>_xlfn.RANK.EQ(LW[[#This Row],[Value]],LW[Value])</f>
        <v>40</v>
      </c>
      <c r="K45" s="10">
        <f>LW[[#This Row],[Value]]-_xlfn.XLOOKUP($D$185,LW[Value Rk],LW[Value],,-1)</f>
        <v>8.0449069932203088</v>
      </c>
    </row>
    <row r="46" spans="1:11" ht="15.75" thickBot="1" x14ac:dyDescent="0.3">
      <c r="A46" t="s">
        <v>1217</v>
      </c>
      <c r="B46" s="97"/>
      <c r="C46" s="98"/>
      <c r="D46" s="57"/>
      <c r="E46" s="56"/>
      <c r="F46" s="67"/>
      <c r="I46" s="10">
        <f>INDEX(Std[],MATCH(LW[[#This Row],[Player]],Std[Player],0),20)</f>
        <v>487.25542962484656</v>
      </c>
      <c r="J46">
        <f>_xlfn.RANK.EQ(LW[[#This Row],[Value]],LW[Value])</f>
        <v>39</v>
      </c>
      <c r="K46" s="10">
        <f>LW[[#This Row],[Value]]-_xlfn.XLOOKUP($D$185,LW[Value Rk],LW[Value],,-1)</f>
        <v>15.710705234597697</v>
      </c>
    </row>
    <row r="47" spans="1:11" ht="15.75" thickBot="1" x14ac:dyDescent="0.3">
      <c r="A47" t="s">
        <v>298</v>
      </c>
      <c r="B47" s="97">
        <v>28</v>
      </c>
      <c r="C47" s="98" t="s">
        <v>74</v>
      </c>
      <c r="D47" s="57" t="s">
        <v>102</v>
      </c>
      <c r="E47" s="56"/>
      <c r="F47" t="s">
        <v>7</v>
      </c>
      <c r="I47" s="10">
        <f>INDEX(Std[],MATCH(LW[[#This Row],[Player]],Std[Player],0),20)</f>
        <v>616.63781418209919</v>
      </c>
      <c r="J47">
        <f>_xlfn.RANK.EQ(LW[[#This Row],[Value]],LW[Value])</f>
        <v>32</v>
      </c>
      <c r="K47" s="10">
        <f>LW[[#This Row],[Value]]-_xlfn.XLOOKUP($D$185,LW[Value Rk],LW[Value],,-1)</f>
        <v>145.09308979185033</v>
      </c>
    </row>
    <row r="48" spans="1:11" ht="15.75" thickBot="1" x14ac:dyDescent="0.3">
      <c r="A48" t="s">
        <v>587</v>
      </c>
      <c r="B48" s="99">
        <v>28</v>
      </c>
      <c r="C48" s="100" t="s">
        <v>102</v>
      </c>
      <c r="D48" s="57"/>
      <c r="E48" s="57"/>
      <c r="F48" s="67"/>
      <c r="I48" s="10">
        <f>INDEX(Std[],MATCH(LW[[#This Row],[Player]],Std[Player],0),20)</f>
        <v>389.51530867233708</v>
      </c>
      <c r="J48">
        <f>_xlfn.RANK.EQ(LW[[#This Row],[Value]],LW[Value])</f>
        <v>53</v>
      </c>
      <c r="K48" s="10">
        <f>LW[[#This Row],[Value]]-_xlfn.XLOOKUP($D$185,LW[Value Rk],LW[Value],,-1)</f>
        <v>-82.029415717911775</v>
      </c>
    </row>
    <row r="49" spans="1:11" ht="15.75" thickBot="1" x14ac:dyDescent="0.3">
      <c r="A49" t="s">
        <v>1096</v>
      </c>
      <c r="B49" s="97">
        <v>21</v>
      </c>
      <c r="C49" s="98" t="s">
        <v>74</v>
      </c>
      <c r="D49" s="57" t="s">
        <v>102</v>
      </c>
      <c r="E49" s="57"/>
      <c r="F49" t="s">
        <v>13</v>
      </c>
      <c r="I49" s="10">
        <f>INDEX(Std[],MATCH(LW[[#This Row],[Player]],Std[Player],0),20)</f>
        <v>391.33624351837881</v>
      </c>
      <c r="J49">
        <f>_xlfn.RANK.EQ(LW[[#This Row],[Value]],LW[Value])</f>
        <v>52</v>
      </c>
      <c r="K49" s="10">
        <f>LW[[#This Row],[Value]]-_xlfn.XLOOKUP($D$185,LW[Value Rk],LW[Value],,-1)</f>
        <v>-80.208480871870051</v>
      </c>
    </row>
    <row r="50" spans="1:11" ht="15.75" thickBot="1" x14ac:dyDescent="0.3">
      <c r="A50" t="s">
        <v>262</v>
      </c>
      <c r="B50" s="97"/>
      <c r="C50" s="98"/>
      <c r="D50" s="57"/>
      <c r="E50" s="56"/>
      <c r="F50" s="67"/>
      <c r="I50" s="10">
        <f>INDEX(Std[],MATCH(LW[[#This Row],[Player]],Std[Player],0),20)</f>
        <v>465.79600980411209</v>
      </c>
      <c r="J50">
        <f>_xlfn.RANK.EQ(LW[[#This Row],[Value]],LW[Value])</f>
        <v>43</v>
      </c>
      <c r="K50" s="10">
        <f>LW[[#This Row],[Value]]-_xlfn.XLOOKUP($D$185,LW[Value Rk],LW[Value],,-1)</f>
        <v>-5.7487145861367708</v>
      </c>
    </row>
    <row r="51" spans="1:11" ht="15.75" thickBot="1" x14ac:dyDescent="0.3">
      <c r="A51" t="s">
        <v>330</v>
      </c>
      <c r="B51" s="97">
        <v>27</v>
      </c>
      <c r="C51" s="98" t="s">
        <v>102</v>
      </c>
      <c r="D51" s="57"/>
      <c r="E51" s="56"/>
      <c r="F51" t="s">
        <v>14</v>
      </c>
      <c r="I51" s="10">
        <f>INDEX(Std[],MATCH(LW[[#This Row],[Player]],Std[Player],0),20)</f>
        <v>328.53339106437977</v>
      </c>
      <c r="J51">
        <f>_xlfn.RANK.EQ(LW[[#This Row],[Value]],LW[Value])</f>
        <v>55</v>
      </c>
      <c r="K51" s="10">
        <f>LW[[#This Row],[Value]]-_xlfn.XLOOKUP($D$185,LW[Value Rk],LW[Value],,-1)</f>
        <v>-143.01133332586909</v>
      </c>
    </row>
    <row r="52" spans="1:11" ht="15.75" thickBot="1" x14ac:dyDescent="0.3">
      <c r="A52" t="s">
        <v>430</v>
      </c>
      <c r="B52" s="97">
        <v>32</v>
      </c>
      <c r="C52" s="98" t="s">
        <v>102</v>
      </c>
      <c r="D52" s="57"/>
      <c r="E52" s="56"/>
      <c r="F52" t="s">
        <v>15</v>
      </c>
      <c r="I52" s="10">
        <f>INDEX(Std[],MATCH(LW[[#This Row],[Player]],Std[Player],0),20)</f>
        <v>316.73345274116099</v>
      </c>
      <c r="J52">
        <f>_xlfn.RANK.EQ(LW[[#This Row],[Value]],LW[Value])</f>
        <v>56</v>
      </c>
      <c r="K52" s="10">
        <f>LW[[#This Row],[Value]]-_xlfn.XLOOKUP($D$185,LW[Value Rk],LW[Value],,-1)</f>
        <v>-154.81127164908787</v>
      </c>
    </row>
    <row r="53" spans="1:11" ht="15.75" thickBot="1" x14ac:dyDescent="0.3">
      <c r="A53" t="s">
        <v>452</v>
      </c>
      <c r="B53" s="97">
        <v>28</v>
      </c>
      <c r="C53" s="98" t="s">
        <v>74</v>
      </c>
      <c r="D53" s="57" t="s">
        <v>102</v>
      </c>
      <c r="E53" s="57"/>
      <c r="F53" t="s">
        <v>15</v>
      </c>
      <c r="I53" s="10">
        <f>INDEX(Std[],MATCH(LW[[#This Row],[Player]],Std[Player],0),20)</f>
        <v>298.56785338017119</v>
      </c>
      <c r="J53">
        <f>_xlfn.RANK.EQ(LW[[#This Row],[Value]],LW[Value])</f>
        <v>59</v>
      </c>
      <c r="K53" s="10">
        <f>LW[[#This Row],[Value]]-_xlfn.XLOOKUP($D$185,LW[Value Rk],LW[Value],,-1)</f>
        <v>-172.97687101007767</v>
      </c>
    </row>
    <row r="54" spans="1:11" ht="15.75" thickBot="1" x14ac:dyDescent="0.3">
      <c r="A54" t="s">
        <v>501</v>
      </c>
      <c r="B54" s="97">
        <v>21</v>
      </c>
      <c r="C54" s="98" t="s">
        <v>102</v>
      </c>
      <c r="D54" s="57" t="s">
        <v>103</v>
      </c>
      <c r="E54" s="56"/>
      <c r="F54" t="s">
        <v>8</v>
      </c>
      <c r="I54" s="10">
        <f>INDEX(Std[],MATCH(LW[[#This Row],[Player]],Std[Player],0),20)</f>
        <v>290.83085567509033</v>
      </c>
      <c r="J54">
        <f>_xlfn.RANK.EQ(LW[[#This Row],[Value]],LW[Value])</f>
        <v>63</v>
      </c>
      <c r="K54" s="10">
        <f>LW[[#This Row],[Value]]-_xlfn.XLOOKUP($D$185,LW[Value Rk],LW[Value],,-1)</f>
        <v>-180.71386871515853</v>
      </c>
    </row>
    <row r="55" spans="1:11" ht="15.75" thickBot="1" x14ac:dyDescent="0.3">
      <c r="A55" t="s">
        <v>311</v>
      </c>
      <c r="B55" s="99">
        <v>19</v>
      </c>
      <c r="C55" s="100" t="s">
        <v>102</v>
      </c>
      <c r="D55" s="57"/>
      <c r="E55" s="56"/>
      <c r="F55" t="s">
        <v>14</v>
      </c>
      <c r="I55" s="10">
        <f>INDEX(Std[],MATCH(LW[[#This Row],[Player]],Std[Player],0),20)</f>
        <v>280.29208455290541</v>
      </c>
      <c r="J55">
        <f>_xlfn.RANK.EQ(LW[[#This Row],[Value]],LW[Value])</f>
        <v>64</v>
      </c>
      <c r="K55" s="10">
        <f>LW[[#This Row],[Value]]-_xlfn.XLOOKUP($D$185,LW[Value Rk],LW[Value],,-1)</f>
        <v>-191.25263983734345</v>
      </c>
    </row>
    <row r="56" spans="1:11" ht="15.75" thickBot="1" x14ac:dyDescent="0.3">
      <c r="A56" t="s">
        <v>355</v>
      </c>
      <c r="B56" s="99">
        <v>27</v>
      </c>
      <c r="C56" s="100" t="s">
        <v>102</v>
      </c>
      <c r="D56" s="57"/>
      <c r="E56" s="57"/>
      <c r="F56" t="s">
        <v>10</v>
      </c>
      <c r="I56" s="10">
        <f>INDEX(Std[],MATCH(LW[[#This Row],[Player]],Std[Player],0),20)</f>
        <v>278.35282470661554</v>
      </c>
      <c r="J56">
        <f>_xlfn.RANK.EQ(LW[[#This Row],[Value]],LW[Value])</f>
        <v>65</v>
      </c>
      <c r="K56" s="10">
        <f>LW[[#This Row],[Value]]-_xlfn.XLOOKUP($D$185,LW[Value Rk],LW[Value],,-1)</f>
        <v>-193.19189968363332</v>
      </c>
    </row>
    <row r="57" spans="1:11" ht="15.75" thickBot="1" x14ac:dyDescent="0.3">
      <c r="A57" t="s">
        <v>1001</v>
      </c>
      <c r="B57" s="97">
        <v>32</v>
      </c>
      <c r="C57" s="98" t="s">
        <v>102</v>
      </c>
      <c r="D57" s="57"/>
      <c r="E57" s="56"/>
      <c r="F57" t="s">
        <v>29</v>
      </c>
      <c r="I57" s="10">
        <f>INDEX(Std[],MATCH(LW[[#This Row],[Player]],Std[Player],0),20)</f>
        <v>295.04208364585179</v>
      </c>
      <c r="J57">
        <f>_xlfn.RANK.EQ(LW[[#This Row],[Value]],LW[Value])</f>
        <v>60</v>
      </c>
      <c r="K57" s="10">
        <f>LW[[#This Row],[Value]]-_xlfn.XLOOKUP($D$185,LW[Value Rk],LW[Value],,-1)</f>
        <v>-176.50264074439707</v>
      </c>
    </row>
    <row r="58" spans="1:11" ht="15.75" thickBot="1" x14ac:dyDescent="0.3">
      <c r="A58" t="s">
        <v>540</v>
      </c>
      <c r="B58" s="97">
        <v>23</v>
      </c>
      <c r="C58" s="98" t="s">
        <v>102</v>
      </c>
      <c r="D58" s="57"/>
      <c r="E58" s="56"/>
      <c r="F58" t="s">
        <v>7</v>
      </c>
      <c r="I58" s="10">
        <f>INDEX(Std[],MATCH(LW[[#This Row],[Player]],Std[Player],0),20)</f>
        <v>252.00167902899119</v>
      </c>
      <c r="J58">
        <f>_xlfn.RANK.EQ(LW[[#This Row],[Value]],LW[Value])</f>
        <v>70</v>
      </c>
      <c r="K58" s="10">
        <f>LW[[#This Row],[Value]]-_xlfn.XLOOKUP($D$185,LW[Value Rk],LW[Value],,-1)</f>
        <v>-219.54304536125767</v>
      </c>
    </row>
    <row r="59" spans="1:11" ht="15.75" thickBot="1" x14ac:dyDescent="0.3">
      <c r="A59" t="s">
        <v>457</v>
      </c>
      <c r="B59" s="99">
        <v>28</v>
      </c>
      <c r="C59" s="100" t="s">
        <v>102</v>
      </c>
      <c r="D59" s="57"/>
      <c r="E59" s="57"/>
      <c r="F59" t="s">
        <v>87</v>
      </c>
      <c r="I59" s="10">
        <f>INDEX(Std[],MATCH(LW[[#This Row],[Player]],Std[Player],0),20)</f>
        <v>264.97684256065691</v>
      </c>
      <c r="J59">
        <f>_xlfn.RANK.EQ(LW[[#This Row],[Value]],LW[Value])</f>
        <v>67</v>
      </c>
      <c r="K59" s="10">
        <f>LW[[#This Row],[Value]]-_xlfn.XLOOKUP($D$185,LW[Value Rk],LW[Value],,-1)</f>
        <v>-206.56788182959195</v>
      </c>
    </row>
    <row r="60" spans="1:11" ht="15.75" thickBot="1" x14ac:dyDescent="0.3">
      <c r="A60" t="s">
        <v>547</v>
      </c>
      <c r="B60" s="99">
        <v>25</v>
      </c>
      <c r="C60" s="100" t="s">
        <v>102</v>
      </c>
      <c r="D60" s="57"/>
      <c r="E60" s="56"/>
      <c r="F60" t="s">
        <v>153</v>
      </c>
      <c r="I60" s="10">
        <f>INDEX(Std[],MATCH(LW[[#This Row],[Player]],Std[Player],0),20)</f>
        <v>254.55110353161891</v>
      </c>
      <c r="J60">
        <f>_xlfn.RANK.EQ(LW[[#This Row],[Value]],LW[Value])</f>
        <v>69</v>
      </c>
      <c r="K60" s="10">
        <f>LW[[#This Row],[Value]]-_xlfn.XLOOKUP($D$185,LW[Value Rk],LW[Value],,-1)</f>
        <v>-216.99362085862995</v>
      </c>
    </row>
    <row r="61" spans="1:11" ht="15.75" thickBot="1" x14ac:dyDescent="0.3">
      <c r="A61" t="s">
        <v>518</v>
      </c>
      <c r="B61" s="97">
        <v>32</v>
      </c>
      <c r="C61" s="98" t="s">
        <v>102</v>
      </c>
      <c r="D61" s="57"/>
      <c r="E61" s="57"/>
      <c r="F61" t="s">
        <v>32</v>
      </c>
      <c r="I61" s="10">
        <f>INDEX(Std[],MATCH(LW[[#This Row],[Player]],Std[Player],0),20)</f>
        <v>266.91833360259363</v>
      </c>
      <c r="J61">
        <f>_xlfn.RANK.EQ(LW[[#This Row],[Value]],LW[Value])</f>
        <v>66</v>
      </c>
      <c r="K61" s="10">
        <f>LW[[#This Row],[Value]]-_xlfn.XLOOKUP($D$185,LW[Value Rk],LW[Value],,-1)</f>
        <v>-204.62639078765523</v>
      </c>
    </row>
    <row r="62" spans="1:11" ht="15.75" thickBot="1" x14ac:dyDescent="0.3">
      <c r="A62" t="s">
        <v>353</v>
      </c>
      <c r="B62" s="99">
        <v>28</v>
      </c>
      <c r="C62" s="100" t="s">
        <v>102</v>
      </c>
      <c r="D62" s="57"/>
      <c r="E62" s="57"/>
      <c r="F62" t="s">
        <v>4</v>
      </c>
      <c r="I62" s="10">
        <f>INDEX(Std[],MATCH(LW[[#This Row],[Player]],Std[Player],0),20)</f>
        <v>227.5526315233713</v>
      </c>
      <c r="J62">
        <f>_xlfn.RANK.EQ(LW[[#This Row],[Value]],LW[Value])</f>
        <v>74</v>
      </c>
      <c r="K62" s="10">
        <f>LW[[#This Row],[Value]]-_xlfn.XLOOKUP($D$185,LW[Value Rk],LW[Value],,-1)</f>
        <v>-243.99209286687756</v>
      </c>
    </row>
    <row r="63" spans="1:11" ht="15.75" thickBot="1" x14ac:dyDescent="0.3">
      <c r="A63" t="s">
        <v>933</v>
      </c>
      <c r="B63" s="99">
        <v>28</v>
      </c>
      <c r="C63" s="100" t="s">
        <v>102</v>
      </c>
      <c r="D63" s="57"/>
      <c r="E63" s="56"/>
      <c r="F63" t="s">
        <v>23</v>
      </c>
      <c r="I63" s="10">
        <f>INDEX(Std[],MATCH(LW[[#This Row],[Player]],Std[Player],0),20)</f>
        <v>246.66210920538879</v>
      </c>
      <c r="J63">
        <f>_xlfn.RANK.EQ(LW[[#This Row],[Value]],LW[Value])</f>
        <v>71</v>
      </c>
      <c r="K63" s="10">
        <f>LW[[#This Row],[Value]]-_xlfn.XLOOKUP($D$185,LW[Value Rk],LW[Value],,-1)</f>
        <v>-224.88261518486007</v>
      </c>
    </row>
    <row r="64" spans="1:11" ht="15.75" thickBot="1" x14ac:dyDescent="0.3">
      <c r="A64" t="s">
        <v>612</v>
      </c>
      <c r="B64" s="99">
        <v>21</v>
      </c>
      <c r="C64" s="100" t="s">
        <v>74</v>
      </c>
      <c r="D64" s="57" t="s">
        <v>102</v>
      </c>
      <c r="E64" s="57"/>
      <c r="F64" s="67"/>
      <c r="I64" s="10">
        <f>INDEX(Std[],MATCH(LW[[#This Row],[Player]],Std[Player],0),20)</f>
        <v>300.59098053590037</v>
      </c>
      <c r="J64">
        <f>_xlfn.RANK.EQ(LW[[#This Row],[Value]],LW[Value])</f>
        <v>58</v>
      </c>
      <c r="K64" s="10">
        <f>LW[[#This Row],[Value]]-_xlfn.XLOOKUP($D$185,LW[Value Rk],LW[Value],,-1)</f>
        <v>-170.95374385434849</v>
      </c>
    </row>
    <row r="65" spans="1:11" ht="15.75" thickBot="1" x14ac:dyDescent="0.3">
      <c r="A65" t="s">
        <v>1002</v>
      </c>
      <c r="B65" s="99">
        <v>30</v>
      </c>
      <c r="C65" s="100" t="s">
        <v>102</v>
      </c>
      <c r="D65" s="57"/>
      <c r="E65" s="56"/>
      <c r="F65" t="s">
        <v>9</v>
      </c>
      <c r="I65" s="10">
        <f>INDEX(Std[],MATCH(LW[[#This Row],[Player]],Std[Player],0),20)</f>
        <v>232.47889882906537</v>
      </c>
      <c r="J65">
        <f>_xlfn.RANK.EQ(LW[[#This Row],[Value]],LW[Value])</f>
        <v>73</v>
      </c>
      <c r="K65" s="10">
        <f>LW[[#This Row],[Value]]-_xlfn.XLOOKUP($D$185,LW[Value Rk],LW[Value],,-1)</f>
        <v>-239.06582556118349</v>
      </c>
    </row>
    <row r="66" spans="1:11" ht="15.75" thickBot="1" x14ac:dyDescent="0.3">
      <c r="A66" t="s">
        <v>434</v>
      </c>
      <c r="B66" s="99">
        <v>32</v>
      </c>
      <c r="C66" s="100" t="s">
        <v>102</v>
      </c>
      <c r="D66" s="57"/>
      <c r="E66" s="57"/>
      <c r="F66" t="s">
        <v>21</v>
      </c>
      <c r="I66" s="10">
        <f>INDEX(Std[],MATCH(LW[[#This Row],[Player]],Std[Player],0),20)</f>
        <v>462.10340164868046</v>
      </c>
      <c r="J66">
        <f>_xlfn.RANK.EQ(LW[[#This Row],[Value]],LW[Value])</f>
        <v>45</v>
      </c>
      <c r="K66" s="10">
        <f>LW[[#This Row],[Value]]-_xlfn.XLOOKUP($D$185,LW[Value Rk],LW[Value],,-1)</f>
        <v>-9.4413227415683991</v>
      </c>
    </row>
    <row r="67" spans="1:11" ht="15.75" thickBot="1" x14ac:dyDescent="0.3">
      <c r="A67" t="s">
        <v>1126</v>
      </c>
      <c r="B67" s="99">
        <v>28</v>
      </c>
      <c r="C67" s="100" t="s">
        <v>102</v>
      </c>
      <c r="D67" s="57"/>
      <c r="E67" s="56"/>
      <c r="F67" t="s">
        <v>21</v>
      </c>
      <c r="I67" s="10">
        <f>INDEX(Std[],MATCH(LW[[#This Row],[Player]],Std[Player],0),20)</f>
        <v>347.82118499710418</v>
      </c>
      <c r="J67">
        <f>_xlfn.RANK.EQ(LW[[#This Row],[Value]],LW[Value])</f>
        <v>54</v>
      </c>
      <c r="K67" s="10">
        <f>LW[[#This Row],[Value]]-_xlfn.XLOOKUP($D$185,LW[Value Rk],LW[Value],,-1)</f>
        <v>-123.72353939314468</v>
      </c>
    </row>
    <row r="68" spans="1:11" ht="15.75" thickBot="1" x14ac:dyDescent="0.3">
      <c r="A68" t="s">
        <v>362</v>
      </c>
      <c r="B68" s="97">
        <v>28</v>
      </c>
      <c r="C68" s="98" t="s">
        <v>102</v>
      </c>
      <c r="D68" s="57" t="s">
        <v>103</v>
      </c>
      <c r="E68" s="56"/>
      <c r="F68" t="s">
        <v>7</v>
      </c>
      <c r="I68" s="10">
        <f>INDEX(Std[],MATCH(LW[[#This Row],[Player]],Std[Player],0),20)</f>
        <v>196.07629110414254</v>
      </c>
      <c r="J68">
        <f>_xlfn.RANK.EQ(LW[[#This Row],[Value]],LW[Value])</f>
        <v>76</v>
      </c>
      <c r="K68" s="10">
        <f>LW[[#This Row],[Value]]-_xlfn.XLOOKUP($D$185,LW[Value Rk],LW[Value],,-1)</f>
        <v>-275.46843328610635</v>
      </c>
    </row>
    <row r="69" spans="1:11" ht="15.75" thickBot="1" x14ac:dyDescent="0.3">
      <c r="A69" t="s">
        <v>522</v>
      </c>
      <c r="B69" s="99">
        <v>32</v>
      </c>
      <c r="C69" s="100" t="s">
        <v>102</v>
      </c>
      <c r="D69" s="57"/>
      <c r="E69" s="57"/>
      <c r="F69" t="s">
        <v>15</v>
      </c>
      <c r="I69" s="10">
        <f>INDEX(Std[],MATCH(LW[[#This Row],[Player]],Std[Player],0),20)</f>
        <v>201.26939610505792</v>
      </c>
      <c r="J69">
        <f>_xlfn.RANK.EQ(LW[[#This Row],[Value]],LW[Value])</f>
        <v>75</v>
      </c>
      <c r="K69" s="10">
        <f>LW[[#This Row],[Value]]-_xlfn.XLOOKUP($D$185,LW[Value Rk],LW[Value],,-1)</f>
        <v>-270.27532828519094</v>
      </c>
    </row>
    <row r="70" spans="1:11" ht="15.75" thickBot="1" x14ac:dyDescent="0.3">
      <c r="A70" t="s">
        <v>1004</v>
      </c>
      <c r="B70" s="97">
        <v>27</v>
      </c>
      <c r="C70" s="98" t="s">
        <v>102</v>
      </c>
      <c r="D70" s="57"/>
      <c r="E70" s="56"/>
      <c r="F70" t="s">
        <v>155</v>
      </c>
      <c r="I70" s="10">
        <f>INDEX(Std[],MATCH(LW[[#This Row],[Player]],Std[Player],0),20)</f>
        <v>188.09325458465986</v>
      </c>
      <c r="J70">
        <f>_xlfn.RANK.EQ(LW[[#This Row],[Value]],LW[Value])</f>
        <v>78</v>
      </c>
      <c r="K70" s="10">
        <f>LW[[#This Row],[Value]]-_xlfn.XLOOKUP($D$185,LW[Value Rk],LW[Value],,-1)</f>
        <v>-283.451469805589</v>
      </c>
    </row>
    <row r="71" spans="1:11" ht="15.75" thickBot="1" x14ac:dyDescent="0.3">
      <c r="A71" t="s">
        <v>879</v>
      </c>
      <c r="B71" s="99">
        <v>35</v>
      </c>
      <c r="C71" s="100" t="s">
        <v>102</v>
      </c>
      <c r="D71" s="57"/>
      <c r="E71" s="56"/>
      <c r="F71" t="s">
        <v>32</v>
      </c>
      <c r="I71" s="10">
        <f>INDEX(Std[],MATCH(LW[[#This Row],[Player]],Std[Player],0),20)</f>
        <v>188.83894106077656</v>
      </c>
      <c r="J71">
        <f>_xlfn.RANK.EQ(LW[[#This Row],[Value]],LW[Value])</f>
        <v>77</v>
      </c>
      <c r="K71" s="10">
        <f>LW[[#This Row],[Value]]-_xlfn.XLOOKUP($D$185,LW[Value Rk],LW[Value],,-1)</f>
        <v>-282.7057833294723</v>
      </c>
    </row>
    <row r="72" spans="1:11" ht="15.75" thickBot="1" x14ac:dyDescent="0.3">
      <c r="A72" t="s">
        <v>529</v>
      </c>
      <c r="B72" s="97">
        <v>30</v>
      </c>
      <c r="C72" s="98" t="s">
        <v>102</v>
      </c>
      <c r="D72" s="57"/>
      <c r="E72" s="56"/>
      <c r="F72" t="s">
        <v>12</v>
      </c>
      <c r="I72" s="10">
        <f>INDEX(Std[],MATCH(LW[[#This Row],[Player]],Std[Player],0),20)</f>
        <v>560.47513951911264</v>
      </c>
      <c r="J72">
        <f>_xlfn.RANK.EQ(LW[[#This Row],[Value]],LW[Value])</f>
        <v>36</v>
      </c>
      <c r="K72" s="10">
        <f>LW[[#This Row],[Value]]-_xlfn.XLOOKUP($D$185,LW[Value Rk],LW[Value],,-1)</f>
        <v>88.930415128863785</v>
      </c>
    </row>
    <row r="73" spans="1:11" ht="15.75" thickBot="1" x14ac:dyDescent="0.3">
      <c r="A73" t="s">
        <v>636</v>
      </c>
      <c r="B73" s="97">
        <v>32</v>
      </c>
      <c r="C73" s="98" t="s">
        <v>102</v>
      </c>
      <c r="D73" s="57"/>
      <c r="E73" s="57"/>
      <c r="F73" t="s">
        <v>87</v>
      </c>
      <c r="I73" s="10">
        <f>INDEX(Std[],MATCH(LW[[#This Row],[Player]],Std[Player],0),20)</f>
        <v>185.19833231236086</v>
      </c>
      <c r="J73">
        <f>_xlfn.RANK.EQ(LW[[#This Row],[Value]],LW[Value])</f>
        <v>79</v>
      </c>
      <c r="K73" s="10">
        <f>LW[[#This Row],[Value]]-_xlfn.XLOOKUP($D$185,LW[Value Rk],LW[Value],,-1)</f>
        <v>-286.34639207788803</v>
      </c>
    </row>
    <row r="74" spans="1:11" ht="15.75" thickBot="1" x14ac:dyDescent="0.3">
      <c r="A74" t="s">
        <v>891</v>
      </c>
      <c r="B74" s="99">
        <v>24</v>
      </c>
      <c r="C74" s="100" t="s">
        <v>102</v>
      </c>
      <c r="D74" s="57"/>
      <c r="E74" s="56"/>
      <c r="F74" t="s">
        <v>17</v>
      </c>
      <c r="I74" s="10">
        <f>INDEX(Std[],MATCH(LW[[#This Row],[Player]],Std[Player],0),20)</f>
        <v>427.12873973534391</v>
      </c>
      <c r="J74">
        <f>_xlfn.RANK.EQ(LW[[#This Row],[Value]],LW[Value])</f>
        <v>49</v>
      </c>
      <c r="K74" s="10">
        <f>LW[[#This Row],[Value]]-_xlfn.XLOOKUP($D$185,LW[Value Rk],LW[Value],,-1)</f>
        <v>-44.415984654904946</v>
      </c>
    </row>
    <row r="75" spans="1:11" ht="15.75" thickBot="1" x14ac:dyDescent="0.3">
      <c r="A75" t="s">
        <v>429</v>
      </c>
      <c r="B75" s="99">
        <v>22</v>
      </c>
      <c r="C75" s="100" t="s">
        <v>102</v>
      </c>
      <c r="D75" s="57"/>
      <c r="E75" s="57"/>
      <c r="F75" t="s">
        <v>16</v>
      </c>
      <c r="I75" s="10">
        <f>INDEX(Std[],MATCH(LW[[#This Row],[Player]],Std[Player],0),20)</f>
        <v>169.79704806887969</v>
      </c>
      <c r="J75">
        <f>_xlfn.RANK.EQ(LW[[#This Row],[Value]],LW[Value])</f>
        <v>83</v>
      </c>
      <c r="K75" s="10">
        <f>LW[[#This Row],[Value]]-_xlfn.XLOOKUP($D$185,LW[Value Rk],LW[Value],,-1)</f>
        <v>-301.74767632136917</v>
      </c>
    </row>
    <row r="76" spans="1:11" ht="15.75" thickBot="1" x14ac:dyDescent="0.3">
      <c r="A76" t="s">
        <v>580</v>
      </c>
      <c r="B76" s="97">
        <v>33</v>
      </c>
      <c r="C76" s="98" t="s">
        <v>102</v>
      </c>
      <c r="D76" s="57"/>
      <c r="E76" s="57"/>
      <c r="F76" t="s">
        <v>30</v>
      </c>
      <c r="I76" s="10">
        <f>INDEX(Std[],MATCH(LW[[#This Row],[Player]],Std[Player],0),20)</f>
        <v>184.07483162746331</v>
      </c>
      <c r="J76">
        <f>_xlfn.RANK.EQ(LW[[#This Row],[Value]],LW[Value])</f>
        <v>80</v>
      </c>
      <c r="K76" s="10">
        <f>LW[[#This Row],[Value]]-_xlfn.XLOOKUP($D$185,LW[Value Rk],LW[Value],,-1)</f>
        <v>-287.46989276278555</v>
      </c>
    </row>
    <row r="77" spans="1:11" ht="15.75" thickBot="1" x14ac:dyDescent="0.3">
      <c r="A77" t="s">
        <v>396</v>
      </c>
      <c r="B77" s="97">
        <v>29</v>
      </c>
      <c r="C77" s="98" t="s">
        <v>102</v>
      </c>
      <c r="D77" s="57"/>
      <c r="E77" s="57"/>
      <c r="F77" s="67"/>
      <c r="I77" s="10">
        <f>INDEX(Std[],MATCH(LW[[#This Row],[Player]],Std[Player],0),20)</f>
        <v>178.87846006783761</v>
      </c>
      <c r="J77">
        <f>_xlfn.RANK.EQ(LW[[#This Row],[Value]],LW[Value])</f>
        <v>81</v>
      </c>
      <c r="K77" s="10">
        <f>LW[[#This Row],[Value]]-_xlfn.XLOOKUP($D$185,LW[Value Rk],LW[Value],,-1)</f>
        <v>-292.66626432241128</v>
      </c>
    </row>
    <row r="78" spans="1:11" ht="15.75" thickBot="1" x14ac:dyDescent="0.3">
      <c r="A78" t="s">
        <v>563</v>
      </c>
      <c r="B78" s="99">
        <v>21</v>
      </c>
      <c r="C78" s="100" t="s">
        <v>102</v>
      </c>
      <c r="D78" s="57"/>
      <c r="E78" s="57"/>
      <c r="F78" t="s">
        <v>16</v>
      </c>
      <c r="I78" s="10">
        <f>INDEX(Std[],MATCH(LW[[#This Row],[Player]],Std[Player],0),20)</f>
        <v>416.91635165374583</v>
      </c>
      <c r="J78">
        <f>_xlfn.RANK.EQ(LW[[#This Row],[Value]],LW[Value])</f>
        <v>51</v>
      </c>
      <c r="K78" s="10">
        <f>LW[[#This Row],[Value]]-_xlfn.XLOOKUP($D$185,LW[Value Rk],LW[Value],,-1)</f>
        <v>-54.628372736503024</v>
      </c>
    </row>
    <row r="79" spans="1:11" ht="15.75" thickBot="1" x14ac:dyDescent="0.3">
      <c r="A79" t="s">
        <v>1072</v>
      </c>
      <c r="B79" s="99">
        <v>29</v>
      </c>
      <c r="C79" s="100" t="s">
        <v>102</v>
      </c>
      <c r="D79" s="57"/>
      <c r="E79" s="56"/>
      <c r="F79" t="s">
        <v>156</v>
      </c>
      <c r="I79" s="10">
        <f>INDEX(Std[],MATCH(LW[[#This Row],[Player]],Std[Player],0),20)</f>
        <v>152.95075811175951</v>
      </c>
      <c r="J79">
        <f>_xlfn.RANK.EQ(LW[[#This Row],[Value]],LW[Value])</f>
        <v>85</v>
      </c>
      <c r="K79" s="10">
        <f>LW[[#This Row],[Value]]-_xlfn.XLOOKUP($D$185,LW[Value Rk],LW[Value],,-1)</f>
        <v>-318.59396627848935</v>
      </c>
    </row>
    <row r="80" spans="1:11" ht="15.75" thickBot="1" x14ac:dyDescent="0.3">
      <c r="A80" t="s">
        <v>327</v>
      </c>
      <c r="B80" s="99">
        <v>29</v>
      </c>
      <c r="C80" s="100" t="s">
        <v>102</v>
      </c>
      <c r="D80" s="57"/>
      <c r="E80" s="57"/>
      <c r="F80" t="s">
        <v>18</v>
      </c>
      <c r="I80" s="10">
        <f>INDEX(Std[],MATCH(LW[[#This Row],[Player]],Std[Player],0),20)</f>
        <v>142.44104916593662</v>
      </c>
      <c r="J80">
        <f>_xlfn.RANK.EQ(LW[[#This Row],[Value]],LW[Value])</f>
        <v>87</v>
      </c>
      <c r="K80" s="10">
        <f>LW[[#This Row],[Value]]-_xlfn.XLOOKUP($D$185,LW[Value Rk],LW[Value],,-1)</f>
        <v>-329.10367522431227</v>
      </c>
    </row>
    <row r="81" spans="1:11" ht="15.75" thickBot="1" x14ac:dyDescent="0.3">
      <c r="A81" t="s">
        <v>507</v>
      </c>
      <c r="B81" s="99">
        <v>27</v>
      </c>
      <c r="C81" s="100" t="s">
        <v>102</v>
      </c>
      <c r="D81" s="57"/>
      <c r="E81" s="56"/>
      <c r="F81" t="s">
        <v>18</v>
      </c>
      <c r="I81" s="10">
        <f>INDEX(Std[],MATCH(LW[[#This Row],[Player]],Std[Player],0),20)</f>
        <v>136.90459927786333</v>
      </c>
      <c r="J81">
        <f>_xlfn.RANK.EQ(LW[[#This Row],[Value]],LW[Value])</f>
        <v>88</v>
      </c>
      <c r="K81" s="10">
        <f>LW[[#This Row],[Value]]-_xlfn.XLOOKUP($D$185,LW[Value Rk],LW[Value],,-1)</f>
        <v>-334.64012511238553</v>
      </c>
    </row>
    <row r="82" spans="1:11" ht="15.75" thickBot="1" x14ac:dyDescent="0.3">
      <c r="A82" t="s">
        <v>1010</v>
      </c>
      <c r="B82" s="99">
        <v>21</v>
      </c>
      <c r="C82" s="100" t="s">
        <v>102</v>
      </c>
      <c r="D82" s="57"/>
      <c r="E82" s="57"/>
      <c r="F82" t="s">
        <v>25</v>
      </c>
      <c r="I82" s="10">
        <f>INDEX(Std[],MATCH(LW[[#This Row],[Player]],Std[Player],0),20)</f>
        <v>142.64329088258367</v>
      </c>
      <c r="J82">
        <f>_xlfn.RANK.EQ(LW[[#This Row],[Value]],LW[Value])</f>
        <v>86</v>
      </c>
      <c r="K82" s="10">
        <f>LW[[#This Row],[Value]]-_xlfn.XLOOKUP($D$185,LW[Value Rk],LW[Value],,-1)</f>
        <v>-328.90143350766516</v>
      </c>
    </row>
    <row r="83" spans="1:11" ht="15.75" thickBot="1" x14ac:dyDescent="0.3">
      <c r="A83" t="s">
        <v>476</v>
      </c>
      <c r="B83" s="99">
        <v>34</v>
      </c>
      <c r="C83" s="100" t="s">
        <v>102</v>
      </c>
      <c r="D83" s="57"/>
      <c r="E83" s="57"/>
      <c r="F83" t="s">
        <v>8</v>
      </c>
      <c r="I83" s="10">
        <f>INDEX(Std[],MATCH(LW[[#This Row],[Player]],Std[Player],0),20)</f>
        <v>124.89185369649583</v>
      </c>
      <c r="J83">
        <f>_xlfn.RANK.EQ(LW[[#This Row],[Value]],LW[Value])</f>
        <v>90</v>
      </c>
      <c r="K83" s="10">
        <f>LW[[#This Row],[Value]]-_xlfn.XLOOKUP($D$185,LW[Value Rk],LW[Value],,-1)</f>
        <v>-346.65287069375302</v>
      </c>
    </row>
    <row r="84" spans="1:11" ht="15.75" thickBot="1" x14ac:dyDescent="0.3">
      <c r="A84" t="s">
        <v>458</v>
      </c>
      <c r="B84" s="99">
        <v>29</v>
      </c>
      <c r="C84" s="100" t="s">
        <v>102</v>
      </c>
      <c r="D84" s="57"/>
      <c r="E84" s="56"/>
      <c r="F84" t="s">
        <v>25</v>
      </c>
      <c r="I84" s="10">
        <f>INDEX(Std[],MATCH(LW[[#This Row],[Player]],Std[Player],0),20)</f>
        <v>123.52434329020674</v>
      </c>
      <c r="J84">
        <f>_xlfn.RANK.EQ(LW[[#This Row],[Value]],LW[Value])</f>
        <v>91</v>
      </c>
      <c r="K84" s="10">
        <f>LW[[#This Row],[Value]]-_xlfn.XLOOKUP($D$185,LW[Value Rk],LW[Value],,-1)</f>
        <v>-348.02038110004213</v>
      </c>
    </row>
    <row r="85" spans="1:11" ht="15.75" thickBot="1" x14ac:dyDescent="0.3">
      <c r="A85" t="s">
        <v>649</v>
      </c>
      <c r="B85" s="99">
        <v>31</v>
      </c>
      <c r="C85" s="100" t="s">
        <v>102</v>
      </c>
      <c r="D85" s="57"/>
      <c r="E85" s="56"/>
      <c r="F85" t="s">
        <v>25</v>
      </c>
      <c r="I85" s="10">
        <f>INDEX(Std[],MATCH(LW[[#This Row],[Player]],Std[Player],0),20)</f>
        <v>235.24019513508864</v>
      </c>
      <c r="J85">
        <f>_xlfn.RANK.EQ(LW[[#This Row],[Value]],LW[Value])</f>
        <v>72</v>
      </c>
      <c r="K85" s="10">
        <f>LW[[#This Row],[Value]]-_xlfn.XLOOKUP($D$185,LW[Value Rk],LW[Value],,-1)</f>
        <v>-236.30452925516022</v>
      </c>
    </row>
    <row r="86" spans="1:11" ht="15.75" thickBot="1" x14ac:dyDescent="0.3">
      <c r="A86" t="s">
        <v>377</v>
      </c>
      <c r="B86" s="99">
        <v>39</v>
      </c>
      <c r="C86" s="100" t="s">
        <v>102</v>
      </c>
      <c r="D86" s="57"/>
      <c r="E86" s="57"/>
      <c r="F86" s="67"/>
      <c r="I86" s="10">
        <f>INDEX(Std[],MATCH(LW[[#This Row],[Player]],Std[Player],0),20)</f>
        <v>132.95952056740646</v>
      </c>
      <c r="J86">
        <f>_xlfn.RANK.EQ(LW[[#This Row],[Value]],LW[Value])</f>
        <v>89</v>
      </c>
      <c r="K86" s="10">
        <f>LW[[#This Row],[Value]]-_xlfn.XLOOKUP($D$185,LW[Value Rk],LW[Value],,-1)</f>
        <v>-338.5852038228424</v>
      </c>
    </row>
    <row r="87" spans="1:11" ht="15.75" thickBot="1" x14ac:dyDescent="0.3">
      <c r="A87" t="s">
        <v>366</v>
      </c>
      <c r="B87" s="97">
        <v>28</v>
      </c>
      <c r="C87" s="98" t="s">
        <v>102</v>
      </c>
      <c r="D87" s="57"/>
      <c r="E87" s="57"/>
      <c r="F87" t="s">
        <v>17</v>
      </c>
      <c r="I87" s="10">
        <f>INDEX(Std[],MATCH(LW[[#This Row],[Player]],Std[Player],0),20)</f>
        <v>261.15452483260151</v>
      </c>
      <c r="J87">
        <f>_xlfn.RANK.EQ(LW[[#This Row],[Value]],LW[Value])</f>
        <v>68</v>
      </c>
      <c r="K87" s="10">
        <f>LW[[#This Row],[Value]]-_xlfn.XLOOKUP($D$185,LW[Value Rk],LW[Value],,-1)</f>
        <v>-210.39019955764735</v>
      </c>
    </row>
    <row r="88" spans="1:11" ht="15.75" thickBot="1" x14ac:dyDescent="0.3">
      <c r="A88" t="s">
        <v>1016</v>
      </c>
      <c r="B88" s="99">
        <v>20</v>
      </c>
      <c r="C88" s="100" t="s">
        <v>102</v>
      </c>
      <c r="D88" s="57"/>
      <c r="E88" s="57"/>
      <c r="F88" t="s">
        <v>18</v>
      </c>
      <c r="I88" s="10">
        <f>INDEX(Std[],MATCH(LW[[#This Row],[Player]],Std[Player],0),20)</f>
        <v>157.7297799479926</v>
      </c>
      <c r="J88">
        <f>_xlfn.RANK.EQ(LW[[#This Row],[Value]],LW[Value])</f>
        <v>84</v>
      </c>
      <c r="K88" s="10">
        <f>LW[[#This Row],[Value]]-_xlfn.XLOOKUP($D$185,LW[Value Rk],LW[Value],,-1)</f>
        <v>-313.81494444225626</v>
      </c>
    </row>
    <row r="89" spans="1:11" ht="15.75" thickBot="1" x14ac:dyDescent="0.3">
      <c r="A89" t="s">
        <v>698</v>
      </c>
      <c r="B89" s="97">
        <v>27</v>
      </c>
      <c r="C89" s="98" t="s">
        <v>102</v>
      </c>
      <c r="D89" s="57"/>
      <c r="E89" s="57"/>
      <c r="F89" t="s">
        <v>156</v>
      </c>
      <c r="I89" s="10">
        <f>INDEX(Std[],MATCH(LW[[#This Row],[Player]],Std[Player],0),20)</f>
        <v>100.41437671581815</v>
      </c>
      <c r="J89">
        <f>_xlfn.RANK.EQ(LW[[#This Row],[Value]],LW[Value])</f>
        <v>93</v>
      </c>
      <c r="K89" s="10">
        <f>LW[[#This Row],[Value]]-_xlfn.XLOOKUP($D$185,LW[Value Rk],LW[Value],,-1)</f>
        <v>-371.13034767443071</v>
      </c>
    </row>
    <row r="90" spans="1:11" ht="15.75" thickBot="1" x14ac:dyDescent="0.3">
      <c r="A90" t="s">
        <v>558</v>
      </c>
      <c r="B90" s="99">
        <v>28</v>
      </c>
      <c r="C90" s="100" t="s">
        <v>102</v>
      </c>
      <c r="D90" s="57"/>
      <c r="E90" s="57"/>
      <c r="F90" t="s">
        <v>5</v>
      </c>
      <c r="I90" s="10">
        <f>INDEX(Std[],MATCH(LW[[#This Row],[Player]],Std[Player],0),20)</f>
        <v>101.48891347502489</v>
      </c>
      <c r="J90">
        <f>_xlfn.RANK.EQ(LW[[#This Row],[Value]],LW[Value])</f>
        <v>92</v>
      </c>
      <c r="K90" s="10">
        <f>LW[[#This Row],[Value]]-_xlfn.XLOOKUP($D$185,LW[Value Rk],LW[Value],,-1)</f>
        <v>-370.05581091522396</v>
      </c>
    </row>
    <row r="91" spans="1:11" ht="15.75" thickBot="1" x14ac:dyDescent="0.3">
      <c r="A91" t="s">
        <v>628</v>
      </c>
      <c r="B91" s="99">
        <v>25</v>
      </c>
      <c r="C91" s="100" t="s">
        <v>102</v>
      </c>
      <c r="D91" s="57"/>
      <c r="E91" s="56"/>
      <c r="F91" t="s">
        <v>14</v>
      </c>
      <c r="I91" s="10">
        <f>INDEX(Std[],MATCH(LW[[#This Row],[Player]],Std[Player],0),20)</f>
        <v>79.36982032093205</v>
      </c>
      <c r="J91">
        <f>_xlfn.RANK.EQ(LW[[#This Row],[Value]],LW[Value])</f>
        <v>96</v>
      </c>
      <c r="K91" s="10">
        <f>LW[[#This Row],[Value]]-_xlfn.XLOOKUP($D$185,LW[Value Rk],LW[Value],,-1)</f>
        <v>-392.17490406931682</v>
      </c>
    </row>
    <row r="92" spans="1:11" ht="15.75" thickBot="1" x14ac:dyDescent="0.3">
      <c r="A92" t="s">
        <v>497</v>
      </c>
      <c r="B92" s="99">
        <v>25</v>
      </c>
      <c r="C92" s="100" t="s">
        <v>102</v>
      </c>
      <c r="D92" s="57"/>
      <c r="E92" s="57"/>
      <c r="F92" t="s">
        <v>14</v>
      </c>
      <c r="I92" s="10">
        <f>INDEX(Std[],MATCH(LW[[#This Row],[Player]],Std[Player],0),20)</f>
        <v>98.868007171364098</v>
      </c>
      <c r="J92">
        <f>_xlfn.RANK.EQ(LW[[#This Row],[Value]],LW[Value])</f>
        <v>94</v>
      </c>
      <c r="K92" s="10">
        <f>LW[[#This Row],[Value]]-_xlfn.XLOOKUP($D$185,LW[Value Rk],LW[Value],,-1)</f>
        <v>-372.67671721888473</v>
      </c>
    </row>
    <row r="93" spans="1:11" ht="15.75" thickBot="1" x14ac:dyDescent="0.3">
      <c r="A93" t="s">
        <v>406</v>
      </c>
      <c r="B93" s="97">
        <v>34</v>
      </c>
      <c r="C93" s="98" t="s">
        <v>102</v>
      </c>
      <c r="D93" s="57"/>
      <c r="E93" s="56"/>
      <c r="F93" t="s">
        <v>12</v>
      </c>
      <c r="I93" s="10">
        <f>INDEX(Std[],MATCH(LW[[#This Row],[Player]],Std[Player],0),20)</f>
        <v>177.97511783329969</v>
      </c>
      <c r="J93">
        <f>_xlfn.RANK.EQ(LW[[#This Row],[Value]],LW[Value])</f>
        <v>82</v>
      </c>
      <c r="K93" s="10">
        <f>LW[[#This Row],[Value]]-_xlfn.XLOOKUP($D$185,LW[Value Rk],LW[Value],,-1)</f>
        <v>-293.56960655694917</v>
      </c>
    </row>
    <row r="94" spans="1:11" ht="15.75" thickBot="1" x14ac:dyDescent="0.3">
      <c r="A94" t="s">
        <v>581</v>
      </c>
      <c r="B94" s="97">
        <v>28</v>
      </c>
      <c r="C94" s="98" t="s">
        <v>102</v>
      </c>
      <c r="D94" s="57"/>
      <c r="E94" s="56"/>
      <c r="F94" t="s">
        <v>29</v>
      </c>
      <c r="I94" s="10">
        <f>INDEX(Std[],MATCH(LW[[#This Row],[Player]],Std[Player],0),20)</f>
        <v>294.57375562383248</v>
      </c>
      <c r="J94">
        <f>_xlfn.RANK.EQ(LW[[#This Row],[Value]],LW[Value])</f>
        <v>61</v>
      </c>
      <c r="K94" s="10">
        <f>LW[[#This Row],[Value]]-_xlfn.XLOOKUP($D$185,LW[Value Rk],LW[Value],,-1)</f>
        <v>-176.97096876641638</v>
      </c>
    </row>
    <row r="95" spans="1:11" ht="15.75" thickBot="1" x14ac:dyDescent="0.3">
      <c r="A95" t="s">
        <v>502</v>
      </c>
      <c r="B95" s="97">
        <v>32</v>
      </c>
      <c r="C95" s="98" t="s">
        <v>102</v>
      </c>
      <c r="D95" s="57"/>
      <c r="E95" s="57"/>
      <c r="F95" t="s">
        <v>20</v>
      </c>
      <c r="I95" s="10">
        <f>INDEX(Std[],MATCH(LW[[#This Row],[Player]],Std[Player],0),20)</f>
        <v>59.175753832861488</v>
      </c>
      <c r="J95">
        <f>_xlfn.RANK.EQ(LW[[#This Row],[Value]],LW[Value])</f>
        <v>98</v>
      </c>
      <c r="K95" s="10">
        <f>LW[[#This Row],[Value]]-_xlfn.XLOOKUP($D$185,LW[Value Rk],LW[Value],,-1)</f>
        <v>-412.36897055738734</v>
      </c>
    </row>
    <row r="96" spans="1:11" ht="15.75" thickBot="1" x14ac:dyDescent="0.3">
      <c r="A96" t="s">
        <v>426</v>
      </c>
      <c r="B96" s="97">
        <v>26</v>
      </c>
      <c r="C96" s="98" t="s">
        <v>102</v>
      </c>
      <c r="D96" s="57"/>
      <c r="E96" s="56"/>
      <c r="F96" t="s">
        <v>17</v>
      </c>
      <c r="I96" s="10">
        <f>INDEX(Std[],MATCH(LW[[#This Row],[Player]],Std[Player],0),20)</f>
        <v>31.928122004553554</v>
      </c>
      <c r="J96">
        <f>_xlfn.RANK.EQ(LW[[#This Row],[Value]],LW[Value])</f>
        <v>99</v>
      </c>
      <c r="K96" s="10">
        <f>LW[[#This Row],[Value]]-_xlfn.XLOOKUP($D$185,LW[Value Rk],LW[Value],,-1)</f>
        <v>-439.61660238569533</v>
      </c>
    </row>
    <row r="97" spans="1:11" ht="15.75" thickBot="1" x14ac:dyDescent="0.3">
      <c r="A97" t="s">
        <v>460</v>
      </c>
      <c r="B97" s="99">
        <v>35</v>
      </c>
      <c r="C97" s="100" t="s">
        <v>102</v>
      </c>
      <c r="D97" s="57"/>
      <c r="E97" s="57"/>
      <c r="F97" t="s">
        <v>5</v>
      </c>
      <c r="I97" s="10">
        <f>INDEX(Std[],MATCH(LW[[#This Row],[Player]],Std[Player],0),20)</f>
        <v>61.138631659359419</v>
      </c>
      <c r="J97">
        <f>_xlfn.RANK.EQ(LW[[#This Row],[Value]],LW[Value])</f>
        <v>97</v>
      </c>
      <c r="K97" s="10">
        <f>LW[[#This Row],[Value]]-_xlfn.XLOOKUP($D$185,LW[Value Rk],LW[Value],,-1)</f>
        <v>-410.40609273088944</v>
      </c>
    </row>
    <row r="98" spans="1:11" ht="15.75" thickBot="1" x14ac:dyDescent="0.3">
      <c r="A98" t="s">
        <v>883</v>
      </c>
      <c r="B98" s="97">
        <v>36</v>
      </c>
      <c r="C98" s="98" t="s">
        <v>102</v>
      </c>
      <c r="D98" s="57"/>
      <c r="E98" s="56"/>
      <c r="F98" t="s">
        <v>154</v>
      </c>
      <c r="I98" s="10">
        <f>INDEX(Std[],MATCH(LW[[#This Row],[Player]],Std[Player],0),20)</f>
        <v>294.02228993600016</v>
      </c>
      <c r="J98">
        <f>_xlfn.RANK.EQ(LW[[#This Row],[Value]],LW[Value])</f>
        <v>62</v>
      </c>
      <c r="K98" s="10">
        <f>LW[[#This Row],[Value]]-_xlfn.XLOOKUP($D$185,LW[Value Rk],LW[Value],,-1)</f>
        <v>-177.5224344542487</v>
      </c>
    </row>
    <row r="99" spans="1:11" ht="15.75" thickBot="1" x14ac:dyDescent="0.3">
      <c r="A99" t="s">
        <v>930</v>
      </c>
      <c r="B99" s="99">
        <v>24</v>
      </c>
      <c r="C99" s="100" t="s">
        <v>102</v>
      </c>
      <c r="D99" s="57"/>
      <c r="E99" s="57"/>
      <c r="F99" t="s">
        <v>30</v>
      </c>
      <c r="I99" s="10">
        <f>INDEX(Std[],MATCH(LW[[#This Row],[Player]],Std[Player],0),20)</f>
        <v>9.1665377501489296</v>
      </c>
      <c r="J99">
        <f>_xlfn.RANK.EQ(LW[[#This Row],[Value]],LW[Value])</f>
        <v>101</v>
      </c>
      <c r="K99" s="10">
        <f>LW[[#This Row],[Value]]-_xlfn.XLOOKUP($D$185,LW[Value Rk],LW[Value],,-1)</f>
        <v>-462.37818664009995</v>
      </c>
    </row>
    <row r="100" spans="1:11" ht="15.75" thickBot="1" x14ac:dyDescent="0.3">
      <c r="A100" t="s">
        <v>717</v>
      </c>
      <c r="B100" s="97">
        <v>27</v>
      </c>
      <c r="C100" s="98" t="s">
        <v>102</v>
      </c>
      <c r="D100" s="57"/>
      <c r="E100" s="57"/>
      <c r="F100" t="s">
        <v>154</v>
      </c>
      <c r="I100" s="10">
        <f>INDEX(Std[],MATCH(LW[[#This Row],[Player]],Std[Player],0),20)</f>
        <v>8.0505700593059277</v>
      </c>
      <c r="J100">
        <f>_xlfn.RANK.EQ(LW[[#This Row],[Value]],LW[Value])</f>
        <v>102</v>
      </c>
      <c r="K100" s="10">
        <f>LW[[#This Row],[Value]]-_xlfn.XLOOKUP($D$185,LW[Value Rk],LW[Value],,-1)</f>
        <v>-463.49415433094293</v>
      </c>
    </row>
    <row r="101" spans="1:11" ht="15.75" thickBot="1" x14ac:dyDescent="0.3">
      <c r="A101" t="s">
        <v>787</v>
      </c>
      <c r="B101" s="99">
        <v>23</v>
      </c>
      <c r="C101" s="100" t="s">
        <v>102</v>
      </c>
      <c r="D101" s="57"/>
      <c r="E101" s="56"/>
      <c r="F101" t="s">
        <v>11</v>
      </c>
      <c r="I101" s="10">
        <f>INDEX(Std[],MATCH(LW[[#This Row],[Player]],Std[Player],0),20)</f>
        <v>-8.4668625754848144</v>
      </c>
      <c r="J101">
        <f>_xlfn.RANK.EQ(LW[[#This Row],[Value]],LW[Value])</f>
        <v>103</v>
      </c>
      <c r="K101" s="10">
        <f>LW[[#This Row],[Value]]-_xlfn.XLOOKUP($D$185,LW[Value Rk],LW[Value],,-1)</f>
        <v>-480.01158696573367</v>
      </c>
    </row>
    <row r="102" spans="1:11" ht="15.75" thickBot="1" x14ac:dyDescent="0.3">
      <c r="A102" t="s">
        <v>685</v>
      </c>
      <c r="B102" s="99">
        <v>22</v>
      </c>
      <c r="C102" s="100" t="s">
        <v>102</v>
      </c>
      <c r="D102" s="57"/>
      <c r="E102" s="56"/>
      <c r="F102" t="s">
        <v>21</v>
      </c>
      <c r="I102" s="10">
        <f>INDEX(Std[],MATCH(LW[[#This Row],[Player]],Std[Player],0),20)</f>
        <v>310.50485347995567</v>
      </c>
      <c r="J102">
        <f>_xlfn.RANK.EQ(LW[[#This Row],[Value]],LW[Value])</f>
        <v>57</v>
      </c>
      <c r="K102" s="10">
        <f>LW[[#This Row],[Value]]-_xlfn.XLOOKUP($D$185,LW[Value Rk],LW[Value],,-1)</f>
        <v>-161.03987091029319</v>
      </c>
    </row>
    <row r="103" spans="1:11" ht="15.75" thickBot="1" x14ac:dyDescent="0.3">
      <c r="A103" t="s">
        <v>576</v>
      </c>
      <c r="B103" s="99">
        <v>27</v>
      </c>
      <c r="C103" s="100" t="s">
        <v>102</v>
      </c>
      <c r="D103" s="57"/>
      <c r="E103" s="56"/>
      <c r="F103" t="s">
        <v>21</v>
      </c>
      <c r="I103" s="10">
        <f>INDEX(Std[],MATCH(LW[[#This Row],[Player]],Std[Player],0),20)</f>
        <v>-10.535193329737384</v>
      </c>
      <c r="J103">
        <f>_xlfn.RANK.EQ(LW[[#This Row],[Value]],LW[Value])</f>
        <v>104</v>
      </c>
      <c r="K103" s="10">
        <f>LW[[#This Row],[Value]]-_xlfn.XLOOKUP($D$185,LW[Value Rk],LW[Value],,-1)</f>
        <v>-482.07991771998627</v>
      </c>
    </row>
    <row r="104" spans="1:11" ht="15.75" thickBot="1" x14ac:dyDescent="0.3">
      <c r="A104" t="s">
        <v>1166</v>
      </c>
      <c r="B104" s="99">
        <v>34</v>
      </c>
      <c r="C104" s="100" t="s">
        <v>102</v>
      </c>
      <c r="D104" s="57"/>
      <c r="E104" s="56"/>
      <c r="F104" t="s">
        <v>6</v>
      </c>
      <c r="I104" s="10">
        <f>INDEX(Std[],MATCH(LW[[#This Row],[Player]],Std[Player],0),20)</f>
        <v>-18.946069250353791</v>
      </c>
      <c r="J104">
        <f>_xlfn.RANK.EQ(LW[[#This Row],[Value]],LW[Value])</f>
        <v>105</v>
      </c>
      <c r="K104" s="10">
        <f>LW[[#This Row],[Value]]-_xlfn.XLOOKUP($D$185,LW[Value Rk],LW[Value],,-1)</f>
        <v>-490.49079364060265</v>
      </c>
    </row>
    <row r="105" spans="1:11" ht="15.75" thickBot="1" x14ac:dyDescent="0.3">
      <c r="A105" t="s">
        <v>816</v>
      </c>
      <c r="B105" s="99">
        <v>26</v>
      </c>
      <c r="C105" s="100" t="s">
        <v>102</v>
      </c>
      <c r="D105" s="57"/>
      <c r="E105" s="56"/>
      <c r="F105" t="s">
        <v>28</v>
      </c>
      <c r="I105" s="10">
        <f>INDEX(Std[],MATCH(LW[[#This Row],[Player]],Std[Player],0),20)</f>
        <v>-49.822250593105721</v>
      </c>
      <c r="J105">
        <f>_xlfn.RANK.EQ(LW[[#This Row],[Value]],LW[Value])</f>
        <v>107</v>
      </c>
      <c r="K105" s="10">
        <f>LW[[#This Row],[Value]]-_xlfn.XLOOKUP($D$185,LW[Value Rk],LW[Value],,-1)</f>
        <v>-521.36697498335457</v>
      </c>
    </row>
    <row r="106" spans="1:11" ht="15.75" thickBot="1" x14ac:dyDescent="0.3">
      <c r="A106" t="s">
        <v>769</v>
      </c>
      <c r="B106" s="97">
        <v>27</v>
      </c>
      <c r="C106" s="98" t="s">
        <v>102</v>
      </c>
      <c r="D106" s="57"/>
      <c r="E106" s="57"/>
      <c r="F106" t="s">
        <v>22</v>
      </c>
      <c r="I106" s="10">
        <f>INDEX(Std[],MATCH(LW[[#This Row],[Player]],Std[Player],0),20)</f>
        <v>-47.515123374327132</v>
      </c>
      <c r="J106">
        <f>_xlfn.RANK.EQ(LW[[#This Row],[Value]],LW[Value])</f>
        <v>106</v>
      </c>
      <c r="K106" s="10">
        <f>LW[[#This Row],[Value]]-_xlfn.XLOOKUP($D$185,LW[Value Rk],LW[Value],,-1)</f>
        <v>-519.05984776457603</v>
      </c>
    </row>
    <row r="107" spans="1:11" ht="15.75" thickBot="1" x14ac:dyDescent="0.3">
      <c r="A107" t="s">
        <v>517</v>
      </c>
      <c r="B107" s="99">
        <v>25</v>
      </c>
      <c r="C107" s="100" t="s">
        <v>102</v>
      </c>
      <c r="D107" s="57"/>
      <c r="E107" s="56"/>
      <c r="F107" t="s">
        <v>2</v>
      </c>
      <c r="I107" s="10">
        <f>INDEX(Std[],MATCH(LW[[#This Row],[Player]],Std[Player],0),20)</f>
        <v>-94.559956274901012</v>
      </c>
      <c r="J107">
        <f>_xlfn.RANK.EQ(LW[[#This Row],[Value]],LW[Value])</f>
        <v>114</v>
      </c>
      <c r="K107" s="10">
        <f>LW[[#This Row],[Value]]-_xlfn.XLOOKUP($D$185,LW[Value Rk],LW[Value],,-1)</f>
        <v>-566.10468066514989</v>
      </c>
    </row>
    <row r="108" spans="1:11" ht="15.75" thickBot="1" x14ac:dyDescent="0.3">
      <c r="A108" t="s">
        <v>1015</v>
      </c>
      <c r="B108" s="97">
        <v>31</v>
      </c>
      <c r="C108" s="98" t="s">
        <v>102</v>
      </c>
      <c r="D108" s="57"/>
      <c r="E108" s="56"/>
      <c r="F108" t="s">
        <v>12</v>
      </c>
      <c r="I108" s="10">
        <f>INDEX(Std[],MATCH(LW[[#This Row],[Player]],Std[Player],0),20)</f>
        <v>-71.35449910913907</v>
      </c>
      <c r="J108">
        <f>_xlfn.RANK.EQ(LW[[#This Row],[Value]],LW[Value])</f>
        <v>109</v>
      </c>
      <c r="K108" s="10">
        <f>LW[[#This Row],[Value]]-_xlfn.XLOOKUP($D$185,LW[Value Rk],LW[Value],,-1)</f>
        <v>-542.89922349938797</v>
      </c>
    </row>
    <row r="109" spans="1:11" ht="15.75" thickBot="1" x14ac:dyDescent="0.3">
      <c r="A109" t="s">
        <v>817</v>
      </c>
      <c r="B109" s="97">
        <v>34</v>
      </c>
      <c r="C109" s="98" t="s">
        <v>102</v>
      </c>
      <c r="D109" s="57"/>
      <c r="E109" s="56"/>
      <c r="F109" t="s">
        <v>25</v>
      </c>
      <c r="I109" s="10">
        <f>INDEX(Std[],MATCH(LW[[#This Row],[Player]],Std[Player],0),20)</f>
        <v>-90.98026991218336</v>
      </c>
      <c r="J109">
        <f>_xlfn.RANK.EQ(LW[[#This Row],[Value]],LW[Value])</f>
        <v>113</v>
      </c>
      <c r="K109" s="10">
        <f>LW[[#This Row],[Value]]-_xlfn.XLOOKUP($D$185,LW[Value Rk],LW[Value],,-1)</f>
        <v>-562.52499430243222</v>
      </c>
    </row>
    <row r="110" spans="1:11" ht="15.75" thickBot="1" x14ac:dyDescent="0.3">
      <c r="A110" t="s">
        <v>1210</v>
      </c>
      <c r="B110" s="97">
        <v>31</v>
      </c>
      <c r="C110" s="98" t="s">
        <v>102</v>
      </c>
      <c r="D110" s="57"/>
      <c r="E110" s="57"/>
      <c r="F110" t="s">
        <v>22</v>
      </c>
      <c r="I110" s="10">
        <f>INDEX(Std[],MATCH(LW[[#This Row],[Player]],Std[Player],0),20)</f>
        <v>-84.948034008593936</v>
      </c>
      <c r="J110">
        <f>_xlfn.RANK.EQ(LW[[#This Row],[Value]],LW[Value])</f>
        <v>112</v>
      </c>
      <c r="K110" s="10">
        <f>LW[[#This Row],[Value]]-_xlfn.XLOOKUP($D$185,LW[Value Rk],LW[Value],,-1)</f>
        <v>-556.49275839884285</v>
      </c>
    </row>
    <row r="111" spans="1:11" ht="15.75" thickBot="1" x14ac:dyDescent="0.3">
      <c r="A111" t="s">
        <v>1117</v>
      </c>
      <c r="B111" s="97">
        <v>29</v>
      </c>
      <c r="C111" s="98" t="s">
        <v>102</v>
      </c>
      <c r="D111" s="57"/>
      <c r="E111" s="57"/>
      <c r="F111" t="s">
        <v>13</v>
      </c>
      <c r="I111" s="10">
        <f>INDEX(Std[],MATCH(LW[[#This Row],[Player]],Std[Player],0),20)</f>
        <v>-83.156167378650068</v>
      </c>
      <c r="J111">
        <f>_xlfn.RANK.EQ(LW[[#This Row],[Value]],LW[Value])</f>
        <v>111</v>
      </c>
      <c r="K111" s="10">
        <f>LW[[#This Row],[Value]]-_xlfn.XLOOKUP($D$185,LW[Value Rk],LW[Value],,-1)</f>
        <v>-554.70089176889894</v>
      </c>
    </row>
    <row r="112" spans="1:11" ht="15.75" thickBot="1" x14ac:dyDescent="0.3">
      <c r="A112" t="s">
        <v>778</v>
      </c>
      <c r="B112" s="97">
        <v>34</v>
      </c>
      <c r="C112" s="98" t="s">
        <v>102</v>
      </c>
      <c r="D112" s="57"/>
      <c r="E112" s="56"/>
      <c r="F112" t="s">
        <v>22</v>
      </c>
      <c r="I112" s="10">
        <f>INDEX(Std[],MATCH(LW[[#This Row],[Player]],Std[Player],0),20)</f>
        <v>-61.088146123760609</v>
      </c>
      <c r="J112">
        <f>_xlfn.RANK.EQ(LW[[#This Row],[Value]],LW[Value])</f>
        <v>108</v>
      </c>
      <c r="K112" s="10">
        <f>LW[[#This Row],[Value]]-_xlfn.XLOOKUP($D$185,LW[Value Rk],LW[Value],,-1)</f>
        <v>-532.63287051400948</v>
      </c>
    </row>
    <row r="113" spans="1:11" ht="15.75" thickBot="1" x14ac:dyDescent="0.3">
      <c r="A113" t="s">
        <v>733</v>
      </c>
      <c r="B113" s="97">
        <v>28</v>
      </c>
      <c r="C113" s="98" t="s">
        <v>102</v>
      </c>
      <c r="D113" s="57"/>
      <c r="E113" s="57"/>
      <c r="F113" s="67"/>
      <c r="I113" s="10">
        <f>INDEX(Std[],MATCH(LW[[#This Row],[Player]],Std[Player],0),20)</f>
        <v>-112.44394601056233</v>
      </c>
      <c r="J113">
        <f>_xlfn.RANK.EQ(LW[[#This Row],[Value]],LW[Value])</f>
        <v>117</v>
      </c>
      <c r="K113" s="10">
        <f>LW[[#This Row],[Value]]-_xlfn.XLOOKUP($D$185,LW[Value Rk],LW[Value],,-1)</f>
        <v>-583.9886704008112</v>
      </c>
    </row>
    <row r="114" spans="1:11" ht="15.75" thickBot="1" x14ac:dyDescent="0.3">
      <c r="A114" t="s">
        <v>1018</v>
      </c>
      <c r="B114" s="97">
        <v>22</v>
      </c>
      <c r="C114" s="98" t="s">
        <v>102</v>
      </c>
      <c r="D114" s="57"/>
      <c r="E114" s="56"/>
      <c r="F114" t="s">
        <v>6</v>
      </c>
      <c r="I114" s="10">
        <f>INDEX(Std[],MATCH(LW[[#This Row],[Player]],Std[Player],0),20)</f>
        <v>-111.142541210902</v>
      </c>
      <c r="J114">
        <f>_xlfn.RANK.EQ(LW[[#This Row],[Value]],LW[Value])</f>
        <v>116</v>
      </c>
      <c r="K114" s="10">
        <f>LW[[#This Row],[Value]]-_xlfn.XLOOKUP($D$185,LW[Value Rk],LW[Value],,-1)</f>
        <v>-582.6872656011509</v>
      </c>
    </row>
    <row r="115" spans="1:11" ht="15.75" thickBot="1" x14ac:dyDescent="0.3">
      <c r="A115" t="s">
        <v>345</v>
      </c>
      <c r="B115" s="99">
        <v>23</v>
      </c>
      <c r="C115" s="100" t="s">
        <v>102</v>
      </c>
      <c r="D115" s="57"/>
      <c r="E115" s="56"/>
      <c r="F115" t="s">
        <v>31</v>
      </c>
      <c r="I115" s="10">
        <f>INDEX(Std[],MATCH(LW[[#This Row],[Player]],Std[Player],0),20)</f>
        <v>90.352506317609553</v>
      </c>
      <c r="J115">
        <f>_xlfn.RANK.EQ(LW[[#This Row],[Value]],LW[Value])</f>
        <v>95</v>
      </c>
      <c r="K115" s="10">
        <f>LW[[#This Row],[Value]]-_xlfn.XLOOKUP($D$185,LW[Value Rk],LW[Value],,-1)</f>
        <v>-381.19221807263932</v>
      </c>
    </row>
    <row r="116" spans="1:11" ht="15.75" thickBot="1" x14ac:dyDescent="0.3">
      <c r="A116" t="s">
        <v>866</v>
      </c>
      <c r="B116" s="99">
        <v>27</v>
      </c>
      <c r="C116" s="100" t="s">
        <v>102</v>
      </c>
      <c r="D116" s="57"/>
      <c r="E116" s="57"/>
      <c r="F116" s="67"/>
      <c r="I116" s="10">
        <f>INDEX(Std[],MATCH(LW[[#This Row],[Player]],Std[Player],0),20)</f>
        <v>-80.458425639598076</v>
      </c>
      <c r="J116">
        <f>_xlfn.RANK.EQ(LW[[#This Row],[Value]],LW[Value])</f>
        <v>110</v>
      </c>
      <c r="K116" s="10">
        <f>LW[[#This Row],[Value]]-_xlfn.XLOOKUP($D$185,LW[Value Rk],LW[Value],,-1)</f>
        <v>-552.00315002984689</v>
      </c>
    </row>
    <row r="117" spans="1:11" ht="15.75" thickBot="1" x14ac:dyDescent="0.3">
      <c r="A117" t="s">
        <v>718</v>
      </c>
      <c r="B117" s="97">
        <v>28</v>
      </c>
      <c r="C117" s="98" t="s">
        <v>102</v>
      </c>
      <c r="D117" s="57"/>
      <c r="E117" s="56"/>
      <c r="F117" t="s">
        <v>31</v>
      </c>
      <c r="I117" s="10">
        <f>INDEX(Std[],MATCH(LW[[#This Row],[Player]],Std[Player],0),20)</f>
        <v>-118.67242934310111</v>
      </c>
      <c r="J117">
        <f>_xlfn.RANK.EQ(LW[[#This Row],[Value]],LW[Value])</f>
        <v>119</v>
      </c>
      <c r="K117" s="10">
        <f>LW[[#This Row],[Value]]-_xlfn.XLOOKUP($D$185,LW[Value Rk],LW[Value],,-1)</f>
        <v>-590.21715373334996</v>
      </c>
    </row>
    <row r="118" spans="1:11" ht="15.75" thickBot="1" x14ac:dyDescent="0.3">
      <c r="A118" t="s">
        <v>1162</v>
      </c>
      <c r="B118" s="99">
        <v>28</v>
      </c>
      <c r="C118" s="100" t="s">
        <v>102</v>
      </c>
      <c r="D118" s="57"/>
      <c r="E118" s="57"/>
      <c r="F118" s="67"/>
      <c r="I118" s="10">
        <f>INDEX(Std[],MATCH(LW[[#This Row],[Player]],Std[Player],0),20)</f>
        <v>-103.20800951168016</v>
      </c>
      <c r="J118">
        <f>_xlfn.RANK.EQ(LW[[#This Row],[Value]],LW[Value])</f>
        <v>115</v>
      </c>
      <c r="K118" s="10">
        <f>LW[[#This Row],[Value]]-_xlfn.XLOOKUP($D$185,LW[Value Rk],LW[Value],,-1)</f>
        <v>-574.75273390192899</v>
      </c>
    </row>
    <row r="119" spans="1:11" ht="15.75" thickBot="1" x14ac:dyDescent="0.3">
      <c r="A119" t="s">
        <v>1169</v>
      </c>
      <c r="B119" s="99">
        <v>25</v>
      </c>
      <c r="C119" s="100" t="s">
        <v>102</v>
      </c>
      <c r="D119" s="57"/>
      <c r="E119" s="57"/>
      <c r="F119" t="s">
        <v>154</v>
      </c>
      <c r="I119" s="10">
        <f>INDEX(Std[],MATCH(LW[[#This Row],[Player]],Std[Player],0),20)</f>
        <v>-127.83133268048181</v>
      </c>
      <c r="J119">
        <f>_xlfn.RANK.EQ(LW[[#This Row],[Value]],LW[Value])</f>
        <v>120</v>
      </c>
      <c r="K119" s="10">
        <f>LW[[#This Row],[Value]]-_xlfn.XLOOKUP($D$185,LW[Value Rk],LW[Value],,-1)</f>
        <v>-599.37605707073067</v>
      </c>
    </row>
    <row r="120" spans="1:11" ht="15.75" thickBot="1" x14ac:dyDescent="0.3">
      <c r="A120" t="s">
        <v>399</v>
      </c>
      <c r="B120" s="97">
        <v>21</v>
      </c>
      <c r="C120" s="98" t="s">
        <v>74</v>
      </c>
      <c r="D120" s="57" t="s">
        <v>102</v>
      </c>
      <c r="E120" s="57"/>
      <c r="F120" t="s">
        <v>22</v>
      </c>
      <c r="I120" s="10">
        <f>INDEX(Std[],MATCH(LW[[#This Row],[Player]],Std[Player],0),20)</f>
        <v>-141.20383806033954</v>
      </c>
      <c r="J120">
        <f>_xlfn.RANK.EQ(LW[[#This Row],[Value]],LW[Value])</f>
        <v>121</v>
      </c>
      <c r="K120" s="10">
        <f>LW[[#This Row],[Value]]-_xlfn.XLOOKUP($D$185,LW[Value Rk],LW[Value],,-1)</f>
        <v>-612.74856245058845</v>
      </c>
    </row>
    <row r="121" spans="1:11" ht="15.75" thickBot="1" x14ac:dyDescent="0.3">
      <c r="A121" t="s">
        <v>1031</v>
      </c>
      <c r="B121" s="97">
        <v>24</v>
      </c>
      <c r="C121" s="98" t="s">
        <v>102</v>
      </c>
      <c r="D121" s="57"/>
      <c r="E121" s="57"/>
      <c r="F121" t="s">
        <v>14</v>
      </c>
      <c r="I121" s="10">
        <f>INDEX(Std[],MATCH(LW[[#This Row],[Player]],Std[Player],0),20)</f>
        <v>-152.36823913272767</v>
      </c>
      <c r="J121">
        <f>_xlfn.RANK.EQ(LW[[#This Row],[Value]],LW[Value])</f>
        <v>122</v>
      </c>
      <c r="K121" s="10">
        <f>LW[[#This Row],[Value]]-_xlfn.XLOOKUP($D$185,LW[Value Rk],LW[Value],,-1)</f>
        <v>-623.9129635229765</v>
      </c>
    </row>
    <row r="122" spans="1:11" ht="15.75" thickBot="1" x14ac:dyDescent="0.3">
      <c r="A122" t="s">
        <v>493</v>
      </c>
      <c r="B122" s="97">
        <v>30</v>
      </c>
      <c r="C122" s="98" t="s">
        <v>102</v>
      </c>
      <c r="D122" s="57"/>
      <c r="E122" s="57"/>
      <c r="F122" t="s">
        <v>17</v>
      </c>
      <c r="I122" s="10">
        <f>INDEX(Std[],MATCH(LW[[#This Row],[Player]],Std[Player],0),20)</f>
        <v>-155.84987803575294</v>
      </c>
      <c r="J122">
        <f>_xlfn.RANK.EQ(LW[[#This Row],[Value]],LW[Value])</f>
        <v>123</v>
      </c>
      <c r="K122" s="10">
        <f>LW[[#This Row],[Value]]-_xlfn.XLOOKUP($D$185,LW[Value Rk],LW[Value],,-1)</f>
        <v>-627.39460242600182</v>
      </c>
    </row>
    <row r="123" spans="1:11" ht="15.75" thickBot="1" x14ac:dyDescent="0.3">
      <c r="A123" t="s">
        <v>959</v>
      </c>
      <c r="B123" s="99">
        <v>33</v>
      </c>
      <c r="C123" s="100" t="s">
        <v>102</v>
      </c>
      <c r="D123" s="57"/>
      <c r="E123" s="56"/>
      <c r="F123" t="s">
        <v>18</v>
      </c>
      <c r="I123" s="10">
        <f>INDEX(Std[],MATCH(LW[[#This Row],[Player]],Std[Player],0),20)</f>
        <v>-268.01399173029552</v>
      </c>
      <c r="J123">
        <f>_xlfn.RANK.EQ(LW[[#This Row],[Value]],LW[Value])</f>
        <v>140</v>
      </c>
      <c r="K123" s="10">
        <f>LW[[#This Row],[Value]]-_xlfn.XLOOKUP($D$185,LW[Value Rk],LW[Value],,-1)</f>
        <v>-739.55871612054443</v>
      </c>
    </row>
    <row r="124" spans="1:11" ht="15.75" thickBot="1" x14ac:dyDescent="0.3">
      <c r="A124" t="s">
        <v>991</v>
      </c>
      <c r="B124" s="99">
        <v>28</v>
      </c>
      <c r="C124" s="100" t="s">
        <v>102</v>
      </c>
      <c r="D124" s="57"/>
      <c r="E124" s="57"/>
      <c r="F124" t="s">
        <v>32</v>
      </c>
      <c r="I124" s="10">
        <f>INDEX(Std[],MATCH(LW[[#This Row],[Player]],Std[Player],0),20)</f>
        <v>-175.09626380490548</v>
      </c>
      <c r="J124">
        <f>_xlfn.RANK.EQ(LW[[#This Row],[Value]],LW[Value])</f>
        <v>125</v>
      </c>
      <c r="K124" s="10">
        <f>LW[[#This Row],[Value]]-_xlfn.XLOOKUP($D$185,LW[Value Rk],LW[Value],,-1)</f>
        <v>-646.64098819515436</v>
      </c>
    </row>
    <row r="125" spans="1:11" ht="15.75" thickBot="1" x14ac:dyDescent="0.3">
      <c r="A125" t="s">
        <v>739</v>
      </c>
      <c r="B125" s="99">
        <v>25</v>
      </c>
      <c r="C125" s="100" t="s">
        <v>102</v>
      </c>
      <c r="D125" s="57"/>
      <c r="E125" s="56"/>
      <c r="F125" t="s">
        <v>153</v>
      </c>
      <c r="I125" s="10">
        <f>INDEX(Std[],MATCH(LW[[#This Row],[Player]],Std[Player],0),20)</f>
        <v>-164.89695699503989</v>
      </c>
      <c r="J125">
        <f>_xlfn.RANK.EQ(LW[[#This Row],[Value]],LW[Value])</f>
        <v>124</v>
      </c>
      <c r="K125" s="10">
        <f>LW[[#This Row],[Value]]-_xlfn.XLOOKUP($D$185,LW[Value Rk],LW[Value],,-1)</f>
        <v>-636.4416813852888</v>
      </c>
    </row>
    <row r="126" spans="1:11" ht="15.75" thickBot="1" x14ac:dyDescent="0.3">
      <c r="A126" t="s">
        <v>669</v>
      </c>
      <c r="B126" s="99">
        <v>27</v>
      </c>
      <c r="C126" s="100" t="s">
        <v>102</v>
      </c>
      <c r="D126" s="57"/>
      <c r="E126" s="56"/>
      <c r="F126" t="s">
        <v>16</v>
      </c>
      <c r="I126" s="10">
        <f>INDEX(Std[],MATCH(LW[[#This Row],[Player]],Std[Player],0),20)</f>
        <v>-116.84891373313562</v>
      </c>
      <c r="J126">
        <f>_xlfn.RANK.EQ(LW[[#This Row],[Value]],LW[Value])</f>
        <v>118</v>
      </c>
      <c r="K126" s="10">
        <f>LW[[#This Row],[Value]]-_xlfn.XLOOKUP($D$185,LW[Value Rk],LW[Value],,-1)</f>
        <v>-588.39363812338445</v>
      </c>
    </row>
    <row r="127" spans="1:11" ht="15.75" thickBot="1" x14ac:dyDescent="0.3">
      <c r="A127" t="s">
        <v>453</v>
      </c>
      <c r="B127" s="97">
        <v>31</v>
      </c>
      <c r="C127" s="98" t="s">
        <v>102</v>
      </c>
      <c r="D127" s="57"/>
      <c r="E127" s="56"/>
      <c r="F127" t="s">
        <v>29</v>
      </c>
      <c r="I127" s="10">
        <f>INDEX(Std[],MATCH(LW[[#This Row],[Player]],Std[Player],0),20)</f>
        <v>-188.64302674578431</v>
      </c>
      <c r="J127">
        <f>_xlfn.RANK.EQ(LW[[#This Row],[Value]],LW[Value])</f>
        <v>126</v>
      </c>
      <c r="K127" s="10">
        <f>LW[[#This Row],[Value]]-_xlfn.XLOOKUP($D$185,LW[Value Rk],LW[Value],,-1)</f>
        <v>-660.18775113603317</v>
      </c>
    </row>
    <row r="128" spans="1:11" ht="15.75" thickBot="1" x14ac:dyDescent="0.3">
      <c r="A128" t="s">
        <v>542</v>
      </c>
      <c r="B128" s="97">
        <v>23</v>
      </c>
      <c r="C128" s="98" t="s">
        <v>102</v>
      </c>
      <c r="D128" s="57"/>
      <c r="E128" s="56"/>
      <c r="F128" t="s">
        <v>6</v>
      </c>
      <c r="I128" s="10">
        <f>INDEX(Std[],MATCH(LW[[#This Row],[Player]],Std[Player],0),20)</f>
        <v>-218.66816705535587</v>
      </c>
      <c r="J128">
        <f>_xlfn.RANK.EQ(LW[[#This Row],[Value]],LW[Value])</f>
        <v>129</v>
      </c>
      <c r="K128" s="10">
        <f>LW[[#This Row],[Value]]-_xlfn.XLOOKUP($D$185,LW[Value Rk],LW[Value],,-1)</f>
        <v>-690.21289144560478</v>
      </c>
    </row>
    <row r="129" spans="1:11" ht="15.75" thickBot="1" x14ac:dyDescent="0.3">
      <c r="A129" t="s">
        <v>764</v>
      </c>
      <c r="B129" s="97">
        <v>25</v>
      </c>
      <c r="C129" s="98" t="s">
        <v>102</v>
      </c>
      <c r="D129" s="57"/>
      <c r="E129" s="57"/>
      <c r="F129" t="s">
        <v>153</v>
      </c>
      <c r="I129" s="10">
        <f>INDEX(Std[],MATCH(LW[[#This Row],[Player]],Std[Player],0),20)</f>
        <v>-235.71688703143428</v>
      </c>
      <c r="J129">
        <f>_xlfn.RANK.EQ(LW[[#This Row],[Value]],LW[Value])</f>
        <v>130</v>
      </c>
      <c r="K129" s="10">
        <f>LW[[#This Row],[Value]]-_xlfn.XLOOKUP($D$185,LW[Value Rk],LW[Value],,-1)</f>
        <v>-707.26161142168314</v>
      </c>
    </row>
    <row r="130" spans="1:11" ht="15.75" thickBot="1" x14ac:dyDescent="0.3">
      <c r="A130" t="s">
        <v>1049</v>
      </c>
      <c r="B130" s="97">
        <v>23</v>
      </c>
      <c r="C130" s="98" t="s">
        <v>102</v>
      </c>
      <c r="D130" s="57"/>
      <c r="E130" s="57"/>
      <c r="F130" t="s">
        <v>12</v>
      </c>
      <c r="I130" s="10">
        <f>INDEX(Std[],MATCH(LW[[#This Row],[Player]],Std[Player],0),20)</f>
        <v>-239.84339911929902</v>
      </c>
      <c r="J130">
        <f>_xlfn.RANK.EQ(LW[[#This Row],[Value]],LW[Value])</f>
        <v>133</v>
      </c>
      <c r="K130" s="10">
        <f>LW[[#This Row],[Value]]-_xlfn.XLOOKUP($D$185,LW[Value Rk],LW[Value],,-1)</f>
        <v>-711.38812350954788</v>
      </c>
    </row>
    <row r="131" spans="1:11" ht="15.75" thickBot="1" x14ac:dyDescent="0.3">
      <c r="A131" t="s">
        <v>536</v>
      </c>
      <c r="B131" s="99">
        <v>28</v>
      </c>
      <c r="C131" s="100" t="s">
        <v>102</v>
      </c>
      <c r="D131" s="57"/>
      <c r="E131" s="57"/>
      <c r="F131" t="s">
        <v>21</v>
      </c>
      <c r="I131" s="10">
        <f>INDEX(Std[],MATCH(LW[[#This Row],[Player]],Std[Player],0),20)</f>
        <v>-209.3058502959808</v>
      </c>
      <c r="J131">
        <f>_xlfn.RANK.EQ(LW[[#This Row],[Value]],LW[Value])</f>
        <v>128</v>
      </c>
      <c r="K131" s="10">
        <f>LW[[#This Row],[Value]]-_xlfn.XLOOKUP($D$185,LW[Value Rk],LW[Value],,-1)</f>
        <v>-680.85057468622972</v>
      </c>
    </row>
    <row r="132" spans="1:11" ht="15.75" thickBot="1" x14ac:dyDescent="0.3">
      <c r="A132" t="s">
        <v>665</v>
      </c>
      <c r="B132" s="99">
        <v>31</v>
      </c>
      <c r="C132" s="100" t="s">
        <v>102</v>
      </c>
      <c r="D132" s="57"/>
      <c r="E132" s="57"/>
      <c r="F132" t="s">
        <v>7</v>
      </c>
      <c r="I132" s="10">
        <f>INDEX(Std[],MATCH(LW[[#This Row],[Player]],Std[Player],0),20)</f>
        <v>-237.25787436905873</v>
      </c>
      <c r="J132">
        <f>_xlfn.RANK.EQ(LW[[#This Row],[Value]],LW[Value])</f>
        <v>131</v>
      </c>
      <c r="K132" s="10">
        <f>LW[[#This Row],[Value]]-_xlfn.XLOOKUP($D$185,LW[Value Rk],LW[Value],,-1)</f>
        <v>-708.80259875930756</v>
      </c>
    </row>
    <row r="133" spans="1:11" ht="15.75" thickBot="1" x14ac:dyDescent="0.3">
      <c r="A133" t="s">
        <v>603</v>
      </c>
      <c r="B133" s="99">
        <v>30</v>
      </c>
      <c r="C133" s="100" t="s">
        <v>102</v>
      </c>
      <c r="D133" s="57"/>
      <c r="E133" s="57"/>
      <c r="F133" t="s">
        <v>9</v>
      </c>
      <c r="I133" s="10">
        <f>INDEX(Std[],MATCH(LW[[#This Row],[Player]],Std[Player],0),20)</f>
        <v>-252.39165195285267</v>
      </c>
      <c r="J133">
        <f>_xlfn.RANK.EQ(LW[[#This Row],[Value]],LW[Value])</f>
        <v>134</v>
      </c>
      <c r="K133" s="10">
        <f>LW[[#This Row],[Value]]-_xlfn.XLOOKUP($D$185,LW[Value Rk],LW[Value],,-1)</f>
        <v>-723.93637634310153</v>
      </c>
    </row>
    <row r="134" spans="1:11" ht="15.75" thickBot="1" x14ac:dyDescent="0.3">
      <c r="A134" t="s">
        <v>568</v>
      </c>
      <c r="B134" s="97">
        <v>21</v>
      </c>
      <c r="C134" s="98" t="s">
        <v>102</v>
      </c>
      <c r="D134" s="57"/>
      <c r="E134" s="56"/>
      <c r="F134" t="s">
        <v>154</v>
      </c>
      <c r="I134" s="10">
        <f>INDEX(Std[],MATCH(LW[[#This Row],[Player]],Std[Player],0),20)</f>
        <v>-238.89241491952978</v>
      </c>
      <c r="J134">
        <f>_xlfn.RANK.EQ(LW[[#This Row],[Value]],LW[Value])</f>
        <v>132</v>
      </c>
      <c r="K134" s="10">
        <f>LW[[#This Row],[Value]]-_xlfn.XLOOKUP($D$185,LW[Value Rk],LW[Value],,-1)</f>
        <v>-710.43713930977867</v>
      </c>
    </row>
    <row r="135" spans="1:11" ht="15.75" thickBot="1" x14ac:dyDescent="0.3">
      <c r="A135" t="s">
        <v>446</v>
      </c>
      <c r="B135" s="97">
        <v>27</v>
      </c>
      <c r="C135" s="98" t="s">
        <v>102</v>
      </c>
      <c r="D135" s="57"/>
      <c r="E135" s="57"/>
      <c r="F135" t="s">
        <v>156</v>
      </c>
      <c r="I135" s="10">
        <f>INDEX(Std[],MATCH(LW[[#This Row],[Player]],Std[Player],0),20)</f>
        <v>14.14770922853087</v>
      </c>
      <c r="J135">
        <f>_xlfn.RANK.EQ(LW[[#This Row],[Value]],LW[Value])</f>
        <v>100</v>
      </c>
      <c r="K135" s="10">
        <f>LW[[#This Row],[Value]]-_xlfn.XLOOKUP($D$185,LW[Value Rk],LW[Value],,-1)</f>
        <v>-457.397015161718</v>
      </c>
    </row>
    <row r="136" spans="1:11" ht="15.75" thickBot="1" x14ac:dyDescent="0.3">
      <c r="A136" t="s">
        <v>575</v>
      </c>
      <c r="B136" s="99">
        <v>28</v>
      </c>
      <c r="C136" s="100" t="s">
        <v>102</v>
      </c>
      <c r="D136" s="57"/>
      <c r="E136" s="56"/>
      <c r="F136" t="s">
        <v>5</v>
      </c>
      <c r="I136" s="10">
        <f>INDEX(Std[],MATCH(LW[[#This Row],[Player]],Std[Player],0),20)</f>
        <v>-260.32617771070574</v>
      </c>
      <c r="J136">
        <f>_xlfn.RANK.EQ(LW[[#This Row],[Value]],LW[Value])</f>
        <v>137</v>
      </c>
      <c r="K136" s="10">
        <f>LW[[#This Row],[Value]]-_xlfn.XLOOKUP($D$185,LW[Value Rk],LW[Value],,-1)</f>
        <v>-731.87090210095459</v>
      </c>
    </row>
    <row r="137" spans="1:11" ht="15.75" thickBot="1" x14ac:dyDescent="0.3">
      <c r="A137" t="s">
        <v>682</v>
      </c>
      <c r="B137" s="99">
        <v>29</v>
      </c>
      <c r="C137" s="100" t="s">
        <v>102</v>
      </c>
      <c r="D137" s="57"/>
      <c r="E137" s="57"/>
      <c r="F137" t="s">
        <v>4</v>
      </c>
      <c r="I137" s="10">
        <f>INDEX(Std[],MATCH(LW[[#This Row],[Player]],Std[Player],0),20)</f>
        <v>-258.86183778402733</v>
      </c>
      <c r="J137">
        <f>_xlfn.RANK.EQ(LW[[#This Row],[Value]],LW[Value])</f>
        <v>136</v>
      </c>
      <c r="K137" s="10">
        <f>LW[[#This Row],[Value]]-_xlfn.XLOOKUP($D$185,LW[Value Rk],LW[Value],,-1)</f>
        <v>-730.40656217427613</v>
      </c>
    </row>
    <row r="138" spans="1:11" ht="15.75" thickBot="1" x14ac:dyDescent="0.3">
      <c r="A138" t="s">
        <v>627</v>
      </c>
      <c r="B138" s="99">
        <v>27</v>
      </c>
      <c r="C138" s="100" t="s">
        <v>102</v>
      </c>
      <c r="D138" s="57"/>
      <c r="E138" s="56"/>
      <c r="F138" t="s">
        <v>9</v>
      </c>
      <c r="I138" s="10">
        <f>INDEX(Std[],MATCH(LW[[#This Row],[Player]],Std[Player],0),20)</f>
        <v>-265.62153644719467</v>
      </c>
      <c r="J138">
        <f>_xlfn.RANK.EQ(LW[[#This Row],[Value]],LW[Value])</f>
        <v>139</v>
      </c>
      <c r="K138" s="10">
        <f>LW[[#This Row],[Value]]-_xlfn.XLOOKUP($D$185,LW[Value Rk],LW[Value],,-1)</f>
        <v>-737.16626083744359</v>
      </c>
    </row>
    <row r="139" spans="1:11" ht="15.75" thickBot="1" x14ac:dyDescent="0.3">
      <c r="A139" t="s">
        <v>830</v>
      </c>
      <c r="B139" s="99">
        <v>30</v>
      </c>
      <c r="C139" s="100" t="s">
        <v>102</v>
      </c>
      <c r="D139" s="57"/>
      <c r="E139" s="56"/>
      <c r="F139" t="s">
        <v>153</v>
      </c>
      <c r="I139" s="10">
        <f>INDEX(Std[],MATCH(LW[[#This Row],[Player]],Std[Player],0),20)</f>
        <v>-255.56675753504038</v>
      </c>
      <c r="J139">
        <f>_xlfn.RANK.EQ(LW[[#This Row],[Value]],LW[Value])</f>
        <v>135</v>
      </c>
      <c r="K139" s="10">
        <f>LW[[#This Row],[Value]]-_xlfn.XLOOKUP($D$185,LW[Value Rk],LW[Value],,-1)</f>
        <v>-727.11148192528924</v>
      </c>
    </row>
    <row r="140" spans="1:11" ht="15.75" thickBot="1" x14ac:dyDescent="0.3">
      <c r="A140" t="s">
        <v>523</v>
      </c>
      <c r="B140" s="99">
        <v>30</v>
      </c>
      <c r="C140" s="100" t="s">
        <v>102</v>
      </c>
      <c r="D140" s="57"/>
      <c r="E140" s="57"/>
      <c r="F140" s="67"/>
      <c r="I140" s="10">
        <f>INDEX(Std[],MATCH(LW[[#This Row],[Player]],Std[Player],0),20)</f>
        <v>-261.80839632297887</v>
      </c>
      <c r="J140">
        <f>_xlfn.RANK.EQ(LW[[#This Row],[Value]],LW[Value])</f>
        <v>138</v>
      </c>
      <c r="K140" s="10">
        <f>LW[[#This Row],[Value]]-_xlfn.XLOOKUP($D$185,LW[Value Rk],LW[Value],,-1)</f>
        <v>-733.35312071322778</v>
      </c>
    </row>
    <row r="141" spans="1:11" ht="15.75" thickBot="1" x14ac:dyDescent="0.3">
      <c r="A141" t="s">
        <v>490</v>
      </c>
      <c r="B141" s="97">
        <v>31</v>
      </c>
      <c r="C141" s="98" t="s">
        <v>102</v>
      </c>
      <c r="D141" s="57"/>
      <c r="E141" s="57"/>
      <c r="F141" t="s">
        <v>13</v>
      </c>
      <c r="I141" s="10">
        <f>INDEX(Std[],MATCH(LW[[#This Row],[Player]],Std[Player],0),20)</f>
        <v>-301.63678451204413</v>
      </c>
      <c r="J141">
        <f>_xlfn.RANK.EQ(LW[[#This Row],[Value]],LW[Value])</f>
        <v>142</v>
      </c>
      <c r="K141" s="10">
        <f>LW[[#This Row],[Value]]-_xlfn.XLOOKUP($D$185,LW[Value Rk],LW[Value],,-1)</f>
        <v>-773.18150890229299</v>
      </c>
    </row>
    <row r="142" spans="1:11" ht="15.75" thickBot="1" x14ac:dyDescent="0.3">
      <c r="A142" t="s">
        <v>916</v>
      </c>
      <c r="B142" s="99">
        <v>28</v>
      </c>
      <c r="C142" s="100" t="s">
        <v>102</v>
      </c>
      <c r="D142" s="57"/>
      <c r="E142" s="56"/>
      <c r="F142" t="s">
        <v>6</v>
      </c>
      <c r="I142" s="10">
        <f>INDEX(Std[],MATCH(LW[[#This Row],[Player]],Std[Player],0),20)</f>
        <v>-199.96230012125383</v>
      </c>
      <c r="J142">
        <f>_xlfn.RANK.EQ(LW[[#This Row],[Value]],LW[Value])</f>
        <v>127</v>
      </c>
      <c r="K142" s="10">
        <f>LW[[#This Row],[Value]]-_xlfn.XLOOKUP($D$185,LW[Value Rk],LW[Value],,-1)</f>
        <v>-671.50702451150266</v>
      </c>
    </row>
    <row r="143" spans="1:11" ht="15.75" thickBot="1" x14ac:dyDescent="0.3">
      <c r="A143" t="s">
        <v>768</v>
      </c>
      <c r="B143" s="99">
        <v>27</v>
      </c>
      <c r="C143" s="100" t="s">
        <v>102</v>
      </c>
      <c r="D143" s="57"/>
      <c r="E143" s="57"/>
      <c r="F143" t="s">
        <v>32</v>
      </c>
      <c r="I143" s="10">
        <f>INDEX(Std[],MATCH(LW[[#This Row],[Player]],Std[Player],0),20)</f>
        <v>-305.17780036215089</v>
      </c>
      <c r="J143">
        <f>_xlfn.RANK.EQ(LW[[#This Row],[Value]],LW[Value])</f>
        <v>143</v>
      </c>
      <c r="K143" s="10">
        <f>LW[[#This Row],[Value]]-_xlfn.XLOOKUP($D$185,LW[Value Rk],LW[Value],,-1)</f>
        <v>-776.72252475239975</v>
      </c>
    </row>
    <row r="144" spans="1:11" ht="15.75" thickBot="1" x14ac:dyDescent="0.3">
      <c r="A144" t="s">
        <v>611</v>
      </c>
      <c r="B144" s="99">
        <v>24</v>
      </c>
      <c r="C144" s="100" t="s">
        <v>102</v>
      </c>
      <c r="D144" s="57"/>
      <c r="E144" s="57"/>
      <c r="F144" t="s">
        <v>87</v>
      </c>
      <c r="I144" s="10">
        <f>INDEX(Std[],MATCH(LW[[#This Row],[Player]],Std[Player],0),20)</f>
        <v>-289.39816750392612</v>
      </c>
      <c r="J144">
        <f>_xlfn.RANK.EQ(LW[[#This Row],[Value]],LW[Value])</f>
        <v>141</v>
      </c>
      <c r="K144" s="10">
        <f>LW[[#This Row],[Value]]-_xlfn.XLOOKUP($D$185,LW[Value Rk],LW[Value],,-1)</f>
        <v>-760.94289189417498</v>
      </c>
    </row>
    <row r="145" spans="1:11" ht="15.75" thickBot="1" x14ac:dyDescent="0.3">
      <c r="A145" t="s">
        <v>761</v>
      </c>
      <c r="B145" s="97">
        <v>24</v>
      </c>
      <c r="C145" s="98" t="s">
        <v>102</v>
      </c>
      <c r="D145" s="57" t="s">
        <v>103</v>
      </c>
      <c r="E145" s="57"/>
      <c r="F145" t="s">
        <v>10</v>
      </c>
      <c r="I145" s="10">
        <f>INDEX(Std[],MATCH(LW[[#This Row],[Player]],Std[Player],0),20)</f>
        <v>-329.04757948383013</v>
      </c>
      <c r="J145">
        <f>_xlfn.RANK.EQ(LW[[#This Row],[Value]],LW[Value])</f>
        <v>145</v>
      </c>
      <c r="K145" s="10">
        <f>LW[[#This Row],[Value]]-_xlfn.XLOOKUP($D$185,LW[Value Rk],LW[Value],,-1)</f>
        <v>-800.59230387407899</v>
      </c>
    </row>
    <row r="146" spans="1:11" ht="15.75" thickBot="1" x14ac:dyDescent="0.3">
      <c r="A146" t="s">
        <v>511</v>
      </c>
      <c r="B146" s="99">
        <v>29</v>
      </c>
      <c r="C146" s="100" t="s">
        <v>74</v>
      </c>
      <c r="D146" s="57" t="s">
        <v>102</v>
      </c>
      <c r="E146" s="56"/>
      <c r="F146" t="s">
        <v>13</v>
      </c>
      <c r="I146" s="10">
        <f>INDEX(Std[],MATCH(LW[[#This Row],[Player]],Std[Player],0),20)</f>
        <v>-350.01578378392139</v>
      </c>
      <c r="J146">
        <f>_xlfn.RANK.EQ(LW[[#This Row],[Value]],LW[Value])</f>
        <v>148</v>
      </c>
      <c r="K146" s="10">
        <f>LW[[#This Row],[Value]]-_xlfn.XLOOKUP($D$185,LW[Value Rk],LW[Value],,-1)</f>
        <v>-821.56050817417031</v>
      </c>
    </row>
    <row r="147" spans="1:11" ht="15.75" thickBot="1" x14ac:dyDescent="0.3">
      <c r="A147" t="s">
        <v>487</v>
      </c>
      <c r="B147" s="99">
        <v>34</v>
      </c>
      <c r="C147" s="100" t="s">
        <v>102</v>
      </c>
      <c r="D147" s="57"/>
      <c r="E147" s="57"/>
      <c r="F147" t="s">
        <v>13</v>
      </c>
      <c r="I147" s="10">
        <f>INDEX(Std[],MATCH(LW[[#This Row],[Player]],Std[Player],0),20)</f>
        <v>-356.58710208780701</v>
      </c>
      <c r="J147">
        <f>_xlfn.RANK.EQ(LW[[#This Row],[Value]],LW[Value])</f>
        <v>150</v>
      </c>
      <c r="K147" s="10">
        <f>LW[[#This Row],[Value]]-_xlfn.XLOOKUP($D$185,LW[Value Rk],LW[Value],,-1)</f>
        <v>-828.13182647805593</v>
      </c>
    </row>
    <row r="148" spans="1:11" ht="15.75" thickBot="1" x14ac:dyDescent="0.3">
      <c r="A148" t="s">
        <v>829</v>
      </c>
      <c r="B148" s="97">
        <v>38</v>
      </c>
      <c r="C148" s="98" t="s">
        <v>102</v>
      </c>
      <c r="D148" s="57"/>
      <c r="E148" s="56"/>
      <c r="F148" t="s">
        <v>10</v>
      </c>
      <c r="I148" s="10">
        <f>INDEX(Std[],MATCH(LW[[#This Row],[Player]],Std[Player],0),20)</f>
        <v>-341.50621606007053</v>
      </c>
      <c r="J148">
        <f>_xlfn.RANK.EQ(LW[[#This Row],[Value]],LW[Value])</f>
        <v>147</v>
      </c>
      <c r="K148" s="10">
        <f>LW[[#This Row],[Value]]-_xlfn.XLOOKUP($D$185,LW[Value Rk],LW[Value],,-1)</f>
        <v>-813.05094045031933</v>
      </c>
    </row>
    <row r="149" spans="1:11" ht="15.75" thickBot="1" x14ac:dyDescent="0.3">
      <c r="A149" t="s">
        <v>1005</v>
      </c>
      <c r="B149" s="97">
        <v>29</v>
      </c>
      <c r="C149" s="98" t="s">
        <v>102</v>
      </c>
      <c r="D149" s="57"/>
      <c r="E149" s="57"/>
      <c r="F149" t="s">
        <v>13</v>
      </c>
      <c r="I149" s="10">
        <f>INDEX(Std[],MATCH(LW[[#This Row],[Player]],Std[Player],0),20)</f>
        <v>-332.01904955239945</v>
      </c>
      <c r="J149">
        <f>_xlfn.RANK.EQ(LW[[#This Row],[Value]],LW[Value])</f>
        <v>146</v>
      </c>
      <c r="K149" s="10">
        <f>LW[[#This Row],[Value]]-_xlfn.XLOOKUP($D$185,LW[Value Rk],LW[Value],,-1)</f>
        <v>-803.56377394264837</v>
      </c>
    </row>
    <row r="150" spans="1:11" ht="15.75" thickBot="1" x14ac:dyDescent="0.3">
      <c r="A150" t="s">
        <v>655</v>
      </c>
      <c r="B150" s="97">
        <v>33</v>
      </c>
      <c r="C150" s="98" t="s">
        <v>102</v>
      </c>
      <c r="D150" s="57"/>
      <c r="E150" s="56"/>
      <c r="F150" t="s">
        <v>14</v>
      </c>
      <c r="I150" s="10">
        <f>INDEX(Std[],MATCH(LW[[#This Row],[Player]],Std[Player],0),20)</f>
        <v>-308.30459493382244</v>
      </c>
      <c r="J150">
        <f>_xlfn.RANK.EQ(LW[[#This Row],[Value]],LW[Value])</f>
        <v>144</v>
      </c>
      <c r="K150" s="10">
        <f>LW[[#This Row],[Value]]-_xlfn.XLOOKUP($D$185,LW[Value Rk],LW[Value],,-1)</f>
        <v>-779.8493193240713</v>
      </c>
    </row>
    <row r="151" spans="1:11" ht="15.75" thickBot="1" x14ac:dyDescent="0.3">
      <c r="A151" t="s">
        <v>1069</v>
      </c>
      <c r="B151" s="99">
        <v>29</v>
      </c>
      <c r="C151" s="100" t="s">
        <v>102</v>
      </c>
      <c r="D151" s="57"/>
      <c r="E151" s="56"/>
      <c r="F151" t="s">
        <v>14</v>
      </c>
      <c r="I151" s="10">
        <f>INDEX(Std[],MATCH(LW[[#This Row],[Player]],Std[Player],0),20)</f>
        <v>-353.3028806551041</v>
      </c>
      <c r="J151">
        <f>_xlfn.RANK.EQ(LW[[#This Row],[Value]],LW[Value])</f>
        <v>149</v>
      </c>
      <c r="K151" s="10">
        <f>LW[[#This Row],[Value]]-_xlfn.XLOOKUP($D$185,LW[Value Rk],LW[Value],,-1)</f>
        <v>-824.84760504535302</v>
      </c>
    </row>
    <row r="152" spans="1:11" ht="15.75" thickBot="1" x14ac:dyDescent="0.3">
      <c r="A152" t="s">
        <v>1014</v>
      </c>
      <c r="B152" s="99">
        <v>25</v>
      </c>
      <c r="C152" s="100" t="s">
        <v>102</v>
      </c>
      <c r="D152" s="57"/>
      <c r="E152" s="56"/>
      <c r="F152" t="s">
        <v>31</v>
      </c>
      <c r="I152" s="10">
        <f>INDEX(Std[],MATCH(LW[[#This Row],[Player]],Std[Player],0),20)</f>
        <v>-363.47486648941214</v>
      </c>
      <c r="J152">
        <f>_xlfn.RANK.EQ(LW[[#This Row],[Value]],LW[Value])</f>
        <v>151</v>
      </c>
      <c r="K152" s="10">
        <f>LW[[#This Row],[Value]]-_xlfn.XLOOKUP($D$185,LW[Value Rk],LW[Value],,-1)</f>
        <v>-835.019590879661</v>
      </c>
    </row>
    <row r="153" spans="1:11" ht="15.75" thickBot="1" x14ac:dyDescent="0.3">
      <c r="A153" t="s">
        <v>589</v>
      </c>
      <c r="B153" s="97">
        <v>35</v>
      </c>
      <c r="C153" s="98" t="s">
        <v>102</v>
      </c>
      <c r="D153" s="57"/>
      <c r="E153" s="56"/>
      <c r="F153" t="s">
        <v>153</v>
      </c>
      <c r="I153" s="10">
        <f>INDEX(Std[],MATCH(LW[[#This Row],[Player]],Std[Player],0),20)</f>
        <v>-414.95480643755565</v>
      </c>
      <c r="J153">
        <f>_xlfn.RANK.EQ(LW[[#This Row],[Value]],LW[Value])</f>
        <v>153</v>
      </c>
      <c r="K153" s="10">
        <f>LW[[#This Row],[Value]]-_xlfn.XLOOKUP($D$185,LW[Value Rk],LW[Value],,-1)</f>
        <v>-886.49953082780451</v>
      </c>
    </row>
    <row r="154" spans="1:11" ht="15.75" thickBot="1" x14ac:dyDescent="0.3">
      <c r="A154" t="s">
        <v>749</v>
      </c>
      <c r="B154" s="97">
        <v>29</v>
      </c>
      <c r="C154" s="98" t="s">
        <v>102</v>
      </c>
      <c r="D154" s="57"/>
      <c r="E154" s="57"/>
      <c r="F154" s="67"/>
      <c r="I154" s="10">
        <f>INDEX(Std[],MATCH(LW[[#This Row],[Player]],Std[Player],0),20)</f>
        <v>-428.2699677615052</v>
      </c>
      <c r="J154">
        <f>_xlfn.RANK.EQ(LW[[#This Row],[Value]],LW[Value])</f>
        <v>155</v>
      </c>
      <c r="K154" s="10">
        <f>LW[[#This Row],[Value]]-_xlfn.XLOOKUP($D$185,LW[Value Rk],LW[Value],,-1)</f>
        <v>-899.81469215175412</v>
      </c>
    </row>
    <row r="155" spans="1:11" ht="15.75" thickBot="1" x14ac:dyDescent="0.3">
      <c r="A155" t="s">
        <v>556</v>
      </c>
      <c r="B155" s="99">
        <v>27</v>
      </c>
      <c r="C155" s="100" t="s">
        <v>102</v>
      </c>
      <c r="D155" s="57"/>
      <c r="E155" s="56"/>
      <c r="F155" t="s">
        <v>16</v>
      </c>
      <c r="I155" s="10">
        <f>INDEX(Std[],MATCH(LW[[#This Row],[Player]],Std[Player],0),20)</f>
        <v>-399.40051404749255</v>
      </c>
      <c r="J155">
        <f>_xlfn.RANK.EQ(LW[[#This Row],[Value]],LW[Value])</f>
        <v>152</v>
      </c>
      <c r="K155" s="10">
        <f>LW[[#This Row],[Value]]-_xlfn.XLOOKUP($D$185,LW[Value Rk],LW[Value],,-1)</f>
        <v>-870.94523843774141</v>
      </c>
    </row>
    <row r="156" spans="1:11" ht="15.75" thickBot="1" x14ac:dyDescent="0.3">
      <c r="A156" t="s">
        <v>736</v>
      </c>
      <c r="B156" s="99">
        <v>23</v>
      </c>
      <c r="C156" s="100" t="s">
        <v>102</v>
      </c>
      <c r="D156" s="57"/>
      <c r="E156" s="57"/>
      <c r="F156" t="s">
        <v>34</v>
      </c>
      <c r="I156" s="10">
        <f>INDEX(Std[],MATCH(LW[[#This Row],[Player]],Std[Player],0),20)</f>
        <v>-429.15123078509811</v>
      </c>
      <c r="J156">
        <f>_xlfn.RANK.EQ(LW[[#This Row],[Value]],LW[Value])</f>
        <v>156</v>
      </c>
      <c r="K156" s="10">
        <f>LW[[#This Row],[Value]]-_xlfn.XLOOKUP($D$185,LW[Value Rk],LW[Value],,-1)</f>
        <v>-900.69595517534697</v>
      </c>
    </row>
    <row r="157" spans="1:11" ht="15.75" thickBot="1" x14ac:dyDescent="0.3">
      <c r="A157" t="s">
        <v>657</v>
      </c>
      <c r="B157" s="97">
        <v>31</v>
      </c>
      <c r="C157" s="98" t="s">
        <v>102</v>
      </c>
      <c r="D157" s="57"/>
      <c r="E157" s="57"/>
      <c r="F157" t="s">
        <v>155</v>
      </c>
      <c r="I157" s="10">
        <f>INDEX(Std[],MATCH(LW[[#This Row],[Player]],Std[Player],0),20)</f>
        <v>-431.51019313494129</v>
      </c>
      <c r="J157">
        <f>_xlfn.RANK.EQ(LW[[#This Row],[Value]],LW[Value])</f>
        <v>157</v>
      </c>
      <c r="K157" s="10">
        <f>LW[[#This Row],[Value]]-_xlfn.XLOOKUP($D$185,LW[Value Rk],LW[Value],,-1)</f>
        <v>-903.05491752519015</v>
      </c>
    </row>
    <row r="158" spans="1:11" ht="15.75" thickBot="1" x14ac:dyDescent="0.3">
      <c r="A158" t="s">
        <v>561</v>
      </c>
      <c r="B158" s="97">
        <v>25</v>
      </c>
      <c r="C158" s="98" t="s">
        <v>102</v>
      </c>
      <c r="D158" s="57"/>
      <c r="E158" s="56"/>
      <c r="F158" t="s">
        <v>4</v>
      </c>
      <c r="I158" s="10">
        <f>INDEX(Std[],MATCH(LW[[#This Row],[Player]],Std[Player],0),20)</f>
        <v>-446.92613969585278</v>
      </c>
      <c r="J158">
        <f>_xlfn.RANK.EQ(LW[[#This Row],[Value]],LW[Value])</f>
        <v>159</v>
      </c>
      <c r="K158" s="10">
        <f>LW[[#This Row],[Value]]-_xlfn.XLOOKUP($D$185,LW[Value Rk],LW[Value],,-1)</f>
        <v>-918.47086408610164</v>
      </c>
    </row>
    <row r="159" spans="1:11" ht="15.75" thickBot="1" x14ac:dyDescent="0.3">
      <c r="A159" t="s">
        <v>662</v>
      </c>
      <c r="B159" s="99">
        <v>27</v>
      </c>
      <c r="C159" s="100" t="s">
        <v>102</v>
      </c>
      <c r="D159" s="57"/>
      <c r="E159" s="57"/>
      <c r="F159" t="s">
        <v>34</v>
      </c>
      <c r="I159" s="10">
        <f>INDEX(Std[],MATCH(LW[[#This Row],[Player]],Std[Player],0),20)</f>
        <v>-453.10763466452045</v>
      </c>
      <c r="J159">
        <f>_xlfn.RANK.EQ(LW[[#This Row],[Value]],LW[Value])</f>
        <v>161</v>
      </c>
      <c r="K159" s="10">
        <f>LW[[#This Row],[Value]]-_xlfn.XLOOKUP($D$185,LW[Value Rk],LW[Value],,-1)</f>
        <v>-924.65235905476925</v>
      </c>
    </row>
    <row r="160" spans="1:11" ht="15.75" thickBot="1" x14ac:dyDescent="0.3">
      <c r="A160" t="s">
        <v>600</v>
      </c>
      <c r="B160" s="97">
        <v>25</v>
      </c>
      <c r="C160" s="98" t="s">
        <v>102</v>
      </c>
      <c r="D160" s="57"/>
      <c r="E160" s="57"/>
      <c r="F160" t="s">
        <v>30</v>
      </c>
      <c r="I160" s="10">
        <f>INDEX(Std[],MATCH(LW[[#This Row],[Player]],Std[Player],0),20)</f>
        <v>-450.86928570802314</v>
      </c>
      <c r="J160">
        <f>_xlfn.RANK.EQ(LW[[#This Row],[Value]],LW[Value])</f>
        <v>160</v>
      </c>
      <c r="K160" s="10">
        <f>LW[[#This Row],[Value]]-_xlfn.XLOOKUP($D$185,LW[Value Rk],LW[Value],,-1)</f>
        <v>-922.414010098272</v>
      </c>
    </row>
    <row r="161" spans="1:11" ht="15.75" thickBot="1" x14ac:dyDescent="0.3">
      <c r="A161" t="s">
        <v>857</v>
      </c>
      <c r="B161" s="97">
        <v>28</v>
      </c>
      <c r="C161" s="98" t="s">
        <v>102</v>
      </c>
      <c r="D161" s="57"/>
      <c r="E161" s="56"/>
      <c r="F161" t="s">
        <v>2</v>
      </c>
      <c r="I161" s="10">
        <f>INDEX(Std[],MATCH(LW[[#This Row],[Player]],Std[Player],0),20)</f>
        <v>-442.57356023185628</v>
      </c>
      <c r="J161">
        <f>_xlfn.RANK.EQ(LW[[#This Row],[Value]],LW[Value])</f>
        <v>158</v>
      </c>
      <c r="K161" s="10">
        <f>LW[[#This Row],[Value]]-_xlfn.XLOOKUP($D$185,LW[Value Rk],LW[Value],,-1)</f>
        <v>-914.11828462210519</v>
      </c>
    </row>
    <row r="162" spans="1:11" ht="15.75" thickBot="1" x14ac:dyDescent="0.3">
      <c r="A162" t="s">
        <v>1035</v>
      </c>
      <c r="B162" s="97">
        <v>25</v>
      </c>
      <c r="C162" s="98" t="s">
        <v>102</v>
      </c>
      <c r="D162" s="57"/>
      <c r="E162" s="57"/>
      <c r="F162" t="s">
        <v>155</v>
      </c>
      <c r="I162" s="10">
        <f>INDEX(Std[],MATCH(LW[[#This Row],[Player]],Std[Player],0),20)</f>
        <v>-532.23680201555237</v>
      </c>
      <c r="J162">
        <f>_xlfn.RANK.EQ(LW[[#This Row],[Value]],LW[Value])</f>
        <v>162</v>
      </c>
      <c r="K162" s="10">
        <f>LW[[#This Row],[Value]]-_xlfn.XLOOKUP($D$185,LW[Value Rk],LW[Value],,-1)</f>
        <v>-1003.7815264058013</v>
      </c>
    </row>
    <row r="163" spans="1:11" ht="15.75" thickBot="1" x14ac:dyDescent="0.3">
      <c r="A163" t="s">
        <v>825</v>
      </c>
      <c r="B163" s="97">
        <v>22</v>
      </c>
      <c r="C163" s="98" t="s">
        <v>102</v>
      </c>
      <c r="D163" s="57"/>
      <c r="E163" s="57"/>
      <c r="F163" t="s">
        <v>32</v>
      </c>
      <c r="I163" s="10">
        <f>INDEX(Std[],MATCH(LW[[#This Row],[Player]],Std[Player],0),20)</f>
        <v>-533.85201385995663</v>
      </c>
      <c r="J163">
        <f>_xlfn.RANK.EQ(LW[[#This Row],[Value]],LW[Value])</f>
        <v>163</v>
      </c>
      <c r="K163" s="10">
        <f>LW[[#This Row],[Value]]-_xlfn.XLOOKUP($D$185,LW[Value Rk],LW[Value],,-1)</f>
        <v>-1005.3967382502055</v>
      </c>
    </row>
    <row r="164" spans="1:11" ht="15.75" thickBot="1" x14ac:dyDescent="0.3">
      <c r="A164" t="s">
        <v>766</v>
      </c>
      <c r="B164" s="97">
        <v>25</v>
      </c>
      <c r="C164" s="98" t="s">
        <v>102</v>
      </c>
      <c r="D164" s="57"/>
      <c r="E164" s="56"/>
      <c r="F164" t="s">
        <v>34</v>
      </c>
      <c r="I164" s="10">
        <f>INDEX(Std[],MATCH(LW[[#This Row],[Player]],Std[Player],0),20)</f>
        <v>-418.41440506776746</v>
      </c>
      <c r="J164">
        <f>_xlfn.RANK.EQ(LW[[#This Row],[Value]],LW[Value])</f>
        <v>154</v>
      </c>
      <c r="K164" s="10">
        <f>LW[[#This Row],[Value]]-_xlfn.XLOOKUP($D$185,LW[Value Rk],LW[Value],,-1)</f>
        <v>-889.95912945801638</v>
      </c>
    </row>
    <row r="165" spans="1:11" ht="15.75" thickBot="1" x14ac:dyDescent="0.3">
      <c r="A165" t="s">
        <v>809</v>
      </c>
      <c r="B165" s="99">
        <v>25</v>
      </c>
      <c r="C165" s="100" t="s">
        <v>102</v>
      </c>
      <c r="D165" s="57"/>
      <c r="E165" s="57"/>
      <c r="F165" t="s">
        <v>8</v>
      </c>
      <c r="I165" s="10">
        <f>INDEX(Std[],MATCH(LW[[#This Row],[Player]],Std[Player],0),20)</f>
        <v>-593.68440513454857</v>
      </c>
      <c r="J165">
        <f>_xlfn.RANK.EQ(LW[[#This Row],[Value]],LW[Value])</f>
        <v>166</v>
      </c>
      <c r="K165" s="10">
        <f>LW[[#This Row],[Value]]-_xlfn.XLOOKUP($D$185,LW[Value Rk],LW[Value],,-1)</f>
        <v>-1065.2291295247974</v>
      </c>
    </row>
    <row r="166" spans="1:11" ht="15.75" thickBot="1" x14ac:dyDescent="0.3">
      <c r="A166" t="s">
        <v>872</v>
      </c>
      <c r="B166" s="97">
        <v>29</v>
      </c>
      <c r="C166" s="98" t="s">
        <v>102</v>
      </c>
      <c r="D166" s="58"/>
      <c r="E166" s="57"/>
      <c r="F166" t="s">
        <v>21</v>
      </c>
      <c r="I166" s="10">
        <f>INDEX(Std[],MATCH(LW[[#This Row],[Player]],Std[Player],0),20)</f>
        <v>-592.48052386112101</v>
      </c>
      <c r="J166">
        <f>_xlfn.RANK.EQ(LW[[#This Row],[Value]],LW[Value])</f>
        <v>165</v>
      </c>
      <c r="K166" s="10">
        <f>LW[[#This Row],[Value]]-_xlfn.XLOOKUP($D$185,LW[Value Rk],LW[Value],,-1)</f>
        <v>-1064.0252482513699</v>
      </c>
    </row>
    <row r="167" spans="1:11" ht="15.75" thickBot="1" x14ac:dyDescent="0.3">
      <c r="A167" t="s">
        <v>684</v>
      </c>
      <c r="B167" s="99">
        <v>25</v>
      </c>
      <c r="C167" s="100" t="s">
        <v>102</v>
      </c>
      <c r="D167" s="57"/>
      <c r="E167" s="57"/>
      <c r="F167" s="2" t="s">
        <v>156</v>
      </c>
      <c r="I167" s="10">
        <f>INDEX(Std[],MATCH(LW[[#This Row],[Player]],Std[Player],0),20)</f>
        <v>-667.75867776976088</v>
      </c>
      <c r="J167">
        <f>_xlfn.RANK.EQ(LW[[#This Row],[Value]],LW[Value])</f>
        <v>167</v>
      </c>
      <c r="K167" s="10">
        <f>LW[[#This Row],[Value]]-_xlfn.XLOOKUP($D$185,LW[Value Rk],LW[Value],,-1)</f>
        <v>-1139.3034021600097</v>
      </c>
    </row>
    <row r="168" spans="1:11" ht="15.75" thickBot="1" x14ac:dyDescent="0.3">
      <c r="A168" t="s">
        <v>780</v>
      </c>
      <c r="B168" s="97">
        <v>30</v>
      </c>
      <c r="C168" s="98" t="s">
        <v>74</v>
      </c>
      <c r="D168" s="57" t="s">
        <v>102</v>
      </c>
      <c r="E168" s="57"/>
      <c r="F168" s="2" t="s">
        <v>5</v>
      </c>
      <c r="I168" s="10">
        <f>INDEX(Std[],MATCH(LW[[#This Row],[Player]],Std[Player],0),20)</f>
        <v>-672.45515896343704</v>
      </c>
      <c r="J168">
        <f>_xlfn.RANK.EQ(LW[[#This Row],[Value]],LW[Value])</f>
        <v>168</v>
      </c>
      <c r="K168" s="10">
        <f>LW[[#This Row],[Value]]-_xlfn.XLOOKUP($D$185,LW[Value Rk],LW[Value],,-1)</f>
        <v>-1143.9998833536858</v>
      </c>
    </row>
    <row r="169" spans="1:11" ht="15.75" thickBot="1" x14ac:dyDescent="0.3">
      <c r="A169" t="s">
        <v>1037</v>
      </c>
      <c r="B169" s="99">
        <v>28</v>
      </c>
      <c r="C169" s="100" t="s">
        <v>102</v>
      </c>
      <c r="D169" s="57"/>
      <c r="E169" s="56"/>
      <c r="F169" s="2" t="s">
        <v>18</v>
      </c>
      <c r="I169" s="10">
        <f>INDEX(Std[],MATCH(LW[[#This Row],[Player]],Std[Player],0),20)</f>
        <v>-692.74223195021523</v>
      </c>
      <c r="J169">
        <f>_xlfn.RANK.EQ(LW[[#This Row],[Value]],LW[Value])</f>
        <v>169</v>
      </c>
      <c r="K169" s="10">
        <f>LW[[#This Row],[Value]]-_xlfn.XLOOKUP($D$185,LW[Value Rk],LW[Value],,-1)</f>
        <v>-1164.286956340464</v>
      </c>
    </row>
    <row r="170" spans="1:11" ht="15.75" thickBot="1" x14ac:dyDescent="0.3">
      <c r="A170" t="s">
        <v>1130</v>
      </c>
      <c r="B170" s="99">
        <v>29</v>
      </c>
      <c r="C170" s="100" t="s">
        <v>102</v>
      </c>
      <c r="D170" s="57"/>
      <c r="E170" s="57"/>
      <c r="F170" s="2" t="s">
        <v>155</v>
      </c>
      <c r="I170" s="10">
        <f>INDEX(Std[],MATCH(LW[[#This Row],[Player]],Std[Player],0),20)</f>
        <v>-706.34648942315766</v>
      </c>
      <c r="J170">
        <f>_xlfn.RANK.EQ(LW[[#This Row],[Value]],LW[Value])</f>
        <v>170</v>
      </c>
      <c r="K170" s="10">
        <f>LW[[#This Row],[Value]]-_xlfn.XLOOKUP($D$185,LW[Value Rk],LW[Value],,-1)</f>
        <v>-1177.8912138134065</v>
      </c>
    </row>
    <row r="171" spans="1:11" ht="15.75" thickBot="1" x14ac:dyDescent="0.3">
      <c r="A171" t="s">
        <v>485</v>
      </c>
      <c r="B171" s="97">
        <v>27</v>
      </c>
      <c r="C171" s="98" t="s">
        <v>102</v>
      </c>
      <c r="D171" s="57"/>
      <c r="E171" s="56"/>
      <c r="F171" s="2" t="s">
        <v>10</v>
      </c>
      <c r="I171" s="10">
        <f>INDEX(Std[],MATCH(LW[[#This Row],[Player]],Std[Player],0),20)</f>
        <v>-724.8405432348718</v>
      </c>
      <c r="J171">
        <f>_xlfn.RANK.EQ(LW[[#This Row],[Value]],LW[Value])</f>
        <v>171</v>
      </c>
      <c r="K171" s="10">
        <f>LW[[#This Row],[Value]]-_xlfn.XLOOKUP($D$185,LW[Value Rk],LW[Value],,-1)</f>
        <v>-1196.3852676251206</v>
      </c>
    </row>
    <row r="172" spans="1:11" ht="15.75" thickBot="1" x14ac:dyDescent="0.3">
      <c r="A172" t="s">
        <v>788</v>
      </c>
      <c r="B172" s="99">
        <v>22</v>
      </c>
      <c r="C172" s="100" t="s">
        <v>102</v>
      </c>
      <c r="D172" s="57"/>
      <c r="E172" s="56"/>
      <c r="F172" s="2" t="s">
        <v>15</v>
      </c>
      <c r="I172" s="10">
        <f>INDEX(Std[],MATCH(LW[[#This Row],[Player]],Std[Player],0),20)</f>
        <v>-592.20011119272954</v>
      </c>
      <c r="J172">
        <f>_xlfn.RANK.EQ(LW[[#This Row],[Value]],LW[Value])</f>
        <v>164</v>
      </c>
      <c r="K172" s="10">
        <f>LW[[#This Row],[Value]]-_xlfn.XLOOKUP($D$185,LW[Value Rk],LW[Value],,-1)</f>
        <v>-1063.7448355829783</v>
      </c>
    </row>
    <row r="173" spans="1:11" ht="15.75" thickBot="1" x14ac:dyDescent="0.3">
      <c r="A173" t="s">
        <v>1154</v>
      </c>
      <c r="B173" s="99">
        <v>27</v>
      </c>
      <c r="C173" s="100" t="s">
        <v>102</v>
      </c>
      <c r="D173" s="57"/>
      <c r="E173" s="56"/>
      <c r="F173" s="2" t="s">
        <v>28</v>
      </c>
      <c r="I173" s="10">
        <f>INDEX(Std[],MATCH(LW[[#This Row],[Player]],Std[Player],0),20)</f>
        <v>-828.80834944409423</v>
      </c>
      <c r="J173">
        <f>_xlfn.RANK.EQ(LW[[#This Row],[Value]],LW[Value])</f>
        <v>172</v>
      </c>
      <c r="K173" s="10">
        <f>LW[[#This Row],[Value]]-_xlfn.XLOOKUP($D$185,LW[Value Rk],LW[Value],,-1)</f>
        <v>-1300.3530738343431</v>
      </c>
    </row>
    <row r="174" spans="1:11" ht="15.75" thickBot="1" x14ac:dyDescent="0.3">
      <c r="A174" t="s">
        <v>1146</v>
      </c>
      <c r="B174" s="99">
        <v>23</v>
      </c>
      <c r="C174" s="100" t="s">
        <v>102</v>
      </c>
      <c r="D174" s="57"/>
      <c r="E174" s="57"/>
      <c r="F174" s="2" t="s">
        <v>15</v>
      </c>
      <c r="I174" s="10">
        <f>INDEX(Std[],MATCH(LW[[#This Row],[Player]],Std[Player],0),20)</f>
        <v>-850.53726696446392</v>
      </c>
      <c r="J174">
        <f>_xlfn.RANK.EQ(LW[[#This Row],[Value]],LW[Value])</f>
        <v>174</v>
      </c>
      <c r="K174" s="10">
        <f>LW[[#This Row],[Value]]-_xlfn.XLOOKUP($D$185,LW[Value Rk],LW[Value],,-1)</f>
        <v>-1322.0819913547127</v>
      </c>
    </row>
    <row r="175" spans="1:11" ht="15.75" thickBot="1" x14ac:dyDescent="0.3">
      <c r="A175" t="s">
        <v>566</v>
      </c>
      <c r="B175" s="99">
        <v>22</v>
      </c>
      <c r="C175" s="100" t="s">
        <v>102</v>
      </c>
      <c r="D175" s="57"/>
      <c r="E175" s="57"/>
      <c r="F175" s="2" t="s">
        <v>23</v>
      </c>
      <c r="I175" s="10">
        <f>INDEX(Std[],MATCH(LW[[#This Row],[Player]],Std[Player],0),20)</f>
        <v>-841.29762822778105</v>
      </c>
      <c r="J175">
        <f>_xlfn.RANK.EQ(LW[[#This Row],[Value]],LW[Value])</f>
        <v>173</v>
      </c>
      <c r="K175" s="10">
        <f>LW[[#This Row],[Value]]-_xlfn.XLOOKUP($D$185,LW[Value Rk],LW[Value],,-1)</f>
        <v>-1312.84235261803</v>
      </c>
    </row>
    <row r="176" spans="1:11" ht="15.75" thickBot="1" x14ac:dyDescent="0.3">
      <c r="A176" t="s">
        <v>832</v>
      </c>
      <c r="B176" s="97">
        <v>27</v>
      </c>
      <c r="C176" s="98" t="s">
        <v>102</v>
      </c>
      <c r="D176" s="57"/>
      <c r="E176" s="57"/>
      <c r="F176" s="2" t="s">
        <v>9</v>
      </c>
      <c r="I176" s="10">
        <f>INDEX(Std[],MATCH(LW[[#This Row],[Player]],Std[Player],0),20)</f>
        <v>-898.1335544115534</v>
      </c>
      <c r="J176">
        <f>_xlfn.RANK.EQ(LW[[#This Row],[Value]],LW[Value])</f>
        <v>175</v>
      </c>
      <c r="K176" s="10">
        <f>LW[[#This Row],[Value]]-_xlfn.XLOOKUP($D$185,LW[Value Rk],LW[Value],,-1)</f>
        <v>-1369.6782788018022</v>
      </c>
    </row>
    <row r="177" spans="1:11" x14ac:dyDescent="0.25">
      <c r="A177" t="s">
        <v>1033</v>
      </c>
      <c r="B177" s="103"/>
      <c r="C177" s="59"/>
      <c r="D177" s="57"/>
      <c r="E177" s="56"/>
      <c r="F177" s="17"/>
      <c r="I177" s="10">
        <f>INDEX(Std[],MATCH(LW[[#This Row],[Player]],Std[Player],0),20)</f>
        <v>-914.65812209810201</v>
      </c>
      <c r="J177">
        <f>_xlfn.RANK.EQ(LW[[#This Row],[Value]],LW[Value])</f>
        <v>176</v>
      </c>
      <c r="K177" s="10">
        <f>LW[[#This Row],[Value]]-_xlfn.XLOOKUP($D$185,LW[Value Rk],LW[Value],,-1)</f>
        <v>-1386.2028464883508</v>
      </c>
    </row>
    <row r="178" spans="1:11" x14ac:dyDescent="0.25">
      <c r="A178" t="s">
        <v>755</v>
      </c>
      <c r="B178" s="103">
        <v>25</v>
      </c>
      <c r="C178" s="59" t="s">
        <v>102</v>
      </c>
      <c r="D178" s="57"/>
      <c r="E178" s="57"/>
      <c r="F178" s="2" t="s">
        <v>25</v>
      </c>
      <c r="I178" s="10">
        <f>INDEX(Std[],MATCH(LW[[#This Row],[Player]],Std[Player],0),20)</f>
        <v>-976.23362409986464</v>
      </c>
      <c r="J178">
        <f>_xlfn.RANK.EQ(LW[[#This Row],[Value]],LW[Value])</f>
        <v>178</v>
      </c>
      <c r="K178" s="10">
        <f>LW[[#This Row],[Value]]-_xlfn.XLOOKUP($D$185,LW[Value Rk],LW[Value],,-1)</f>
        <v>-1447.7783484901136</v>
      </c>
    </row>
    <row r="179" spans="1:11" x14ac:dyDescent="0.25">
      <c r="A179" s="72" t="s">
        <v>1148</v>
      </c>
      <c r="B179" s="103">
        <v>27</v>
      </c>
      <c r="C179" s="59" t="s">
        <v>102</v>
      </c>
      <c r="D179" s="57"/>
      <c r="E179" s="56"/>
      <c r="F179" s="2" t="s">
        <v>2</v>
      </c>
      <c r="I179" s="10">
        <f>INDEX(Std[],MATCH(LW[[#This Row],[Player]],Std[Player],0),20)</f>
        <v>-968.51040267299129</v>
      </c>
      <c r="J179">
        <f>_xlfn.RANK.EQ(LW[[#This Row],[Value]],LW[Value])</f>
        <v>177</v>
      </c>
      <c r="K179" s="10">
        <f>LW[[#This Row],[Value]]-_xlfn.XLOOKUP($D$185,LW[Value Rk],LW[Value],,-1)</f>
        <v>-1440.0551270632402</v>
      </c>
    </row>
    <row r="180" spans="1:11" x14ac:dyDescent="0.25">
      <c r="A180" s="72" t="s">
        <v>1135</v>
      </c>
      <c r="B180" s="103"/>
      <c r="C180" s="59"/>
      <c r="D180" s="57"/>
      <c r="E180" s="56"/>
      <c r="F180" s="17"/>
      <c r="I180" s="10">
        <f>INDEX(Std[],MATCH(LW[[#This Row],[Player]],Std[Player],0),20)</f>
        <v>-1021.2879348868903</v>
      </c>
      <c r="J180">
        <f>_xlfn.RANK.EQ(LW[[#This Row],[Value]],LW[Value])</f>
        <v>179</v>
      </c>
      <c r="K180" s="10">
        <f>LW[[#This Row],[Value]]-_xlfn.XLOOKUP($D$185,LW[Value Rk],LW[Value],,-1)</f>
        <v>-1492.8326592771391</v>
      </c>
    </row>
    <row r="181" spans="1:11" x14ac:dyDescent="0.25">
      <c r="D181" s="59"/>
      <c r="E181" s="74"/>
      <c r="I181" s="10"/>
      <c r="K181" s="10"/>
    </row>
    <row r="182" spans="1:11" x14ac:dyDescent="0.25">
      <c r="D182" s="59"/>
      <c r="E182" s="74"/>
      <c r="I182" s="10"/>
      <c r="K182" s="10"/>
    </row>
    <row r="183" spans="1:11" x14ac:dyDescent="0.25">
      <c r="D183" s="59"/>
      <c r="E183" s="74"/>
      <c r="I183" s="10"/>
      <c r="K183" s="10"/>
    </row>
    <row r="184" spans="1:11" x14ac:dyDescent="0.25">
      <c r="A184" t="s">
        <v>147</v>
      </c>
      <c r="C184" t="s">
        <v>145</v>
      </c>
    </row>
    <row r="185" spans="1:11" x14ac:dyDescent="0.25">
      <c r="A185">
        <f>COUNTIFS(LW[Pos P Rank], "&gt;"&amp;$D$185,LW[Pos P Rank], "&lt;="&amp;($D$185+31))</f>
        <v>0</v>
      </c>
      <c r="C185" t="s">
        <v>102</v>
      </c>
      <c r="D185">
        <f>'League Inputs'!O16*'League Inputs'!$N$13</f>
        <v>42</v>
      </c>
      <c r="F185" s="9">
        <f>_xlfn.XLOOKUP($D$185,LW[Value Rk],LW[Value],,-1)</f>
        <v>471.54472439024886</v>
      </c>
    </row>
    <row r="186" spans="1:11" x14ac:dyDescent="0.25">
      <c r="A186">
        <f>COUNTIFS(LW[Pos P Rank], "&lt;"&amp;$D$185)</f>
        <v>0</v>
      </c>
      <c r="D186">
        <f>A185+D185</f>
        <v>42</v>
      </c>
    </row>
    <row r="187" spans="1:11" x14ac:dyDescent="0.25">
      <c r="A187">
        <f>COUNTIFS(LW[Value Rk], "&gt;"&amp;$D$185,LW[Value Rk], "&lt;="&amp;($D$185+31))</f>
        <v>31</v>
      </c>
    </row>
    <row r="188" spans="1:11" x14ac:dyDescent="0.25">
      <c r="A188">
        <f>COUNTIFS(LW[Value Rk], "&lt;"&amp;$D$185)</f>
        <v>41</v>
      </c>
    </row>
    <row r="191" spans="1:11" x14ac:dyDescent="0.25">
      <c r="D191" t="s">
        <v>146</v>
      </c>
    </row>
    <row r="193" spans="3:8" x14ac:dyDescent="0.25">
      <c r="C193" s="27"/>
      <c r="D193" s="60" t="s">
        <v>51</v>
      </c>
      <c r="E193" s="60" t="s">
        <v>45</v>
      </c>
      <c r="F193" s="60" t="s">
        <v>50</v>
      </c>
      <c r="G193" s="60" t="s">
        <v>64</v>
      </c>
      <c r="H193" s="60" t="s">
        <v>65</v>
      </c>
    </row>
    <row r="194" spans="3:8" x14ac:dyDescent="0.25">
      <c r="C194" s="29" t="s">
        <v>85</v>
      </c>
      <c r="D194" s="61" t="e">
        <f>AVERAGEIFS(#REF!,LW[Pos P Rank], "&gt;"&amp;$D$185,LW[Pos P Rank], "&lt;="&amp;($D$185+31))</f>
        <v>#REF!</v>
      </c>
      <c r="E194" s="61" t="e">
        <f>AVERAGEIFS(#REF!,LW[Pos P Rank], "&gt;"&amp;$D$185,LW[Pos P Rank], "&lt;="&amp;($D$185+31))</f>
        <v>#REF!</v>
      </c>
      <c r="F194" s="61" t="e">
        <f>AVERAGEIFS(#REF!,LW[Pos P Rank], "&gt;"&amp;$D$185,LW[Pos P Rank], "&lt;="&amp;($D$185+31))</f>
        <v>#REF!</v>
      </c>
      <c r="G194" s="61" t="e">
        <f>AVERAGEIFS(#REF!,LW[Pos P Rank], "&gt;"&amp;$D$185,LW[Pos P Rank], "&lt;="&amp;($D$185+31))</f>
        <v>#REF!</v>
      </c>
      <c r="H194" s="61" t="e">
        <f>AVERAGEIFS(#REF!,LW[Pos P Rank], "&gt;"&amp;$D$185,LW[Pos P Rank], "&lt;="&amp;($D$185+31))</f>
        <v>#REF!</v>
      </c>
    </row>
    <row r="195" spans="3:8" x14ac:dyDescent="0.25">
      <c r="C195" s="19" t="s">
        <v>86</v>
      </c>
      <c r="D195" s="9" t="e">
        <f>SQRT((SUMIFS(#REF!,LW[Pos P Rank], "&lt;"&amp;$D$185)-(SUMIFS(#REF!,LW[Pos P Rank], "&lt;"&amp;$D$185)^2)/$A$186)/($A$186-1))</f>
        <v>#REF!</v>
      </c>
      <c r="E195" s="9" t="e">
        <f>SQRT((SUMIFS(#REF!,LW[Pos P Rank], "&lt;"&amp;$D$185)-(SUMIFS(#REF!,LW[Pos P Rank], "&lt;"&amp;$D$185)^2)/$A$186)/($A$186-1))</f>
        <v>#REF!</v>
      </c>
      <c r="F195" s="9" t="e">
        <f>SQRT((SUMIFS(#REF!,LW[Pos P Rank], "&lt;"&amp;$D$185)-(SUMIFS(#REF!,LW[Pos P Rank], "&lt;"&amp;$D$185)^2)/$A$186)/($A$186-1))</f>
        <v>#REF!</v>
      </c>
      <c r="G195" s="9" t="e">
        <f>SQRT((SUMIFS(#REF!,LW[Pos P Rank], "&lt;"&amp;$D$185)-(SUMIFS(#REF!,LW[Pos P Rank], "&lt;"&amp;$D$185)^2)/$A$186)/($A$186-1))</f>
        <v>#REF!</v>
      </c>
      <c r="H195" s="9" t="e">
        <f>SQRT((SUMIFS(#REF!,LW[Pos P Rank], "&lt;"&amp;$D$185)-(SUMIFS(#REF!,LW[Pos P Rank], "&lt;"&amp;$D$185)^2)/$A$186)/($A$186-1))</f>
        <v>#REF!</v>
      </c>
    </row>
    <row r="197" spans="3:8" x14ac:dyDescent="0.25">
      <c r="D197" s="62"/>
      <c r="E197" s="62"/>
      <c r="F197" s="62"/>
      <c r="G197" s="62"/>
      <c r="H197" s="62"/>
    </row>
  </sheetData>
  <protectedRanges>
    <protectedRange sqref="B1:H1 D193:H193" name="Range2_1_2"/>
  </protectedRanges>
  <phoneticPr fontId="18" type="noConversion"/>
  <conditionalFormatting sqref="A181:A183">
    <cfRule type="duplicateValues" dxfId="7" priority="221"/>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6D33E-5939-46E0-9074-A2819D63836C}">
  <sheetPr codeName="Sheet11"/>
  <dimension ref="A1:M180"/>
  <sheetViews>
    <sheetView topLeftCell="A39" workbookViewId="0">
      <selection activeCell="J61" sqref="J61"/>
    </sheetView>
  </sheetViews>
  <sheetFormatPr defaultRowHeight="15" x14ac:dyDescent="0.25"/>
  <cols>
    <col min="1" max="1" width="24.5703125" bestFit="1" customWidth="1"/>
    <col min="6" max="6" width="14.7109375" bestFit="1" customWidth="1"/>
    <col min="7" max="8" width="14.7109375" customWidth="1"/>
  </cols>
  <sheetData>
    <row r="1" spans="1:13" ht="15.75" thickBot="1" x14ac:dyDescent="0.3">
      <c r="A1" s="3" t="s">
        <v>0</v>
      </c>
      <c r="B1" s="3" t="s">
        <v>54</v>
      </c>
      <c r="C1" s="3" t="s">
        <v>55</v>
      </c>
      <c r="D1" s="53" t="s">
        <v>120</v>
      </c>
      <c r="E1" s="53" t="s">
        <v>121</v>
      </c>
      <c r="F1" s="3" t="s">
        <v>53</v>
      </c>
      <c r="G1" s="3" t="s">
        <v>143</v>
      </c>
      <c r="H1" s="3" t="s">
        <v>148</v>
      </c>
      <c r="I1" s="4" t="s">
        <v>70</v>
      </c>
      <c r="J1" s="63" t="s">
        <v>151</v>
      </c>
      <c r="K1" s="63" t="s">
        <v>123</v>
      </c>
    </row>
    <row r="2" spans="1:13" ht="15.75" thickBot="1" x14ac:dyDescent="0.3">
      <c r="A2" t="s">
        <v>242</v>
      </c>
      <c r="B2" s="101">
        <v>27</v>
      </c>
      <c r="C2" s="102" t="s">
        <v>103</v>
      </c>
      <c r="E2" s="57"/>
      <c r="F2" t="s">
        <v>8</v>
      </c>
      <c r="I2" s="8">
        <f>INDEX(Std[],MATCH(RW[[#This Row],[Player]],Std[Player],0),20)</f>
        <v>1598.6320815465933</v>
      </c>
      <c r="J2">
        <f>_xlfn.RANK.EQ(RW[[#This Row],[Value]],RW[Value])</f>
        <v>2</v>
      </c>
      <c r="K2" s="10">
        <f>RW[[#This Row],[Value]]-LW!$F$185+25</f>
        <v>1152.0873571563445</v>
      </c>
      <c r="M2" s="8"/>
    </row>
    <row r="3" spans="1:13" ht="15.75" thickBot="1" x14ac:dyDescent="0.3">
      <c r="A3" t="s">
        <v>243</v>
      </c>
      <c r="B3" s="97">
        <v>27</v>
      </c>
      <c r="C3" s="98" t="s">
        <v>103</v>
      </c>
      <c r="E3" s="56"/>
      <c r="F3" t="s">
        <v>23</v>
      </c>
      <c r="I3" s="8">
        <f>INDEX(Std[],MATCH(RW[[#This Row],[Player]],Std[Player],0),20)</f>
        <v>1575.9895936240796</v>
      </c>
      <c r="J3">
        <f>_xlfn.RANK.EQ(RW[[#This Row],[Value]],RW[Value])</f>
        <v>4</v>
      </c>
      <c r="K3" s="10">
        <f>RW[[#This Row],[Value]]-LW!$F$185+25</f>
        <v>1129.4448692338308</v>
      </c>
    </row>
    <row r="4" spans="1:13" ht="15.75" thickBot="1" x14ac:dyDescent="0.3">
      <c r="A4" t="s">
        <v>245</v>
      </c>
      <c r="B4" s="97">
        <v>30</v>
      </c>
      <c r="C4" s="98" t="s">
        <v>74</v>
      </c>
      <c r="D4" t="s">
        <v>103</v>
      </c>
      <c r="E4" s="57"/>
      <c r="F4" t="s">
        <v>11</v>
      </c>
      <c r="I4" s="8">
        <f>INDEX(Std[],MATCH(RW[[#This Row],[Player]],Std[Player],0),20)</f>
        <v>1595.0209598662304</v>
      </c>
      <c r="J4">
        <f>_xlfn.RANK.EQ(RW[[#This Row],[Value]],RW[Value])</f>
        <v>3</v>
      </c>
      <c r="K4" s="10">
        <f>RW[[#This Row],[Value]]-LW!$F$185+25</f>
        <v>1148.4762354759816</v>
      </c>
    </row>
    <row r="5" spans="1:13" ht="15.75" thickBot="1" x14ac:dyDescent="0.3">
      <c r="A5" t="s">
        <v>884</v>
      </c>
      <c r="B5" s="99">
        <v>30</v>
      </c>
      <c r="C5" s="100" t="s">
        <v>103</v>
      </c>
      <c r="E5" s="57"/>
      <c r="F5" t="s">
        <v>21</v>
      </c>
      <c r="I5" s="8">
        <f>INDEX(Std[],MATCH(RW[[#This Row],[Player]],Std[Player],0),20)</f>
        <v>1836.9356467682803</v>
      </c>
      <c r="J5">
        <f>_xlfn.RANK.EQ(RW[[#This Row],[Value]],RW[Value])</f>
        <v>1</v>
      </c>
      <c r="K5" s="10">
        <f>RW[[#This Row],[Value]]-LW!$F$185+25</f>
        <v>1390.3909223780315</v>
      </c>
    </row>
    <row r="6" spans="1:13" ht="15.75" thickBot="1" x14ac:dyDescent="0.3">
      <c r="A6" t="s">
        <v>249</v>
      </c>
      <c r="B6" s="97">
        <v>23</v>
      </c>
      <c r="C6" s="98" t="s">
        <v>103</v>
      </c>
      <c r="E6" s="56"/>
      <c r="F6" t="s">
        <v>30</v>
      </c>
      <c r="I6" s="8">
        <f>INDEX(Std[],MATCH(RW[[#This Row],[Player]],Std[Player],0),20)</f>
        <v>1436.8378062907393</v>
      </c>
      <c r="J6">
        <f>_xlfn.RANK.EQ(RW[[#This Row],[Value]],RW[Value])</f>
        <v>5</v>
      </c>
      <c r="K6" s="10">
        <f>RW[[#This Row],[Value]]-LW!$F$185+25</f>
        <v>990.29308190049051</v>
      </c>
    </row>
    <row r="7" spans="1:13" ht="15.75" thickBot="1" x14ac:dyDescent="0.3">
      <c r="A7" t="s">
        <v>263</v>
      </c>
      <c r="B7" s="99">
        <v>26</v>
      </c>
      <c r="C7" s="100" t="s">
        <v>103</v>
      </c>
      <c r="E7" s="57"/>
      <c r="F7" t="s">
        <v>13</v>
      </c>
      <c r="I7" s="8">
        <f>INDEX(Std[],MATCH(RW[[#This Row],[Player]],Std[Player],0),20)</f>
        <v>1047.2878468461483</v>
      </c>
      <c r="J7">
        <f>_xlfn.RANK.EQ(RW[[#This Row],[Value]],RW[Value])</f>
        <v>7</v>
      </c>
      <c r="K7" s="10">
        <f>RW[[#This Row],[Value]]-LW!$F$185+25</f>
        <v>600.74312245589954</v>
      </c>
    </row>
    <row r="8" spans="1:13" ht="15.75" thickBot="1" x14ac:dyDescent="0.3">
      <c r="A8" t="s">
        <v>290</v>
      </c>
      <c r="B8" s="99">
        <v>29</v>
      </c>
      <c r="C8" s="100" t="s">
        <v>103</v>
      </c>
      <c r="D8" s="59"/>
      <c r="E8" s="57"/>
      <c r="I8" s="8">
        <f>INDEX(Std[],MATCH(RW[[#This Row],[Player]],Std[Player],0),20)</f>
        <v>1032.5774377670323</v>
      </c>
      <c r="J8">
        <f>_xlfn.RANK.EQ(RW[[#This Row],[Value]],RW[Value])</f>
        <v>8</v>
      </c>
      <c r="K8" s="10">
        <f>RW[[#This Row],[Value]]-LW!$F$185+25</f>
        <v>586.03271337678348</v>
      </c>
    </row>
    <row r="9" spans="1:13" ht="15.75" thickBot="1" x14ac:dyDescent="0.3">
      <c r="A9" t="s">
        <v>341</v>
      </c>
      <c r="B9" s="97">
        <v>26</v>
      </c>
      <c r="C9" s="98" t="s">
        <v>102</v>
      </c>
      <c r="D9" t="s">
        <v>103</v>
      </c>
      <c r="E9" s="56"/>
      <c r="F9" t="s">
        <v>153</v>
      </c>
      <c r="I9" s="8">
        <f>INDEX(Std[],MATCH(RW[[#This Row],[Player]],Std[Player],0),20)</f>
        <v>1076.8795304324876</v>
      </c>
      <c r="J9">
        <f>_xlfn.RANK.EQ(RW[[#This Row],[Value]],RW[Value])</f>
        <v>6</v>
      </c>
      <c r="K9" s="10">
        <f>RW[[#This Row],[Value]]-LW!$F$185+25</f>
        <v>630.33480604223882</v>
      </c>
    </row>
    <row r="10" spans="1:13" ht="15.75" thickBot="1" x14ac:dyDescent="0.3">
      <c r="A10" t="s">
        <v>371</v>
      </c>
      <c r="B10" s="99">
        <v>27</v>
      </c>
      <c r="C10" s="100" t="s">
        <v>103</v>
      </c>
      <c r="D10" s="59"/>
      <c r="E10" s="57"/>
      <c r="I10" s="8">
        <f>INDEX(Std[],MATCH(RW[[#This Row],[Player]],Std[Player],0),20)</f>
        <v>895.74761678463392</v>
      </c>
      <c r="J10">
        <f>_xlfn.RANK.EQ(RW[[#This Row],[Value]],RW[Value])</f>
        <v>10</v>
      </c>
      <c r="K10" s="10">
        <f>RW[[#This Row],[Value]]-LW!$F$185+25</f>
        <v>449.20289239438506</v>
      </c>
    </row>
    <row r="11" spans="1:13" ht="15.75" thickBot="1" x14ac:dyDescent="0.3">
      <c r="A11" t="s">
        <v>597</v>
      </c>
      <c r="B11" s="97">
        <v>27</v>
      </c>
      <c r="C11" s="98" t="s">
        <v>103</v>
      </c>
      <c r="D11" s="59"/>
      <c r="E11" s="57"/>
      <c r="I11" s="8">
        <f>INDEX(Std[],MATCH(RW[[#This Row],[Player]],Std[Player],0),20)</f>
        <v>885.69786223429503</v>
      </c>
      <c r="J11">
        <f>_xlfn.RANK.EQ(RW[[#This Row],[Value]],RW[Value])</f>
        <v>12</v>
      </c>
      <c r="K11" s="10">
        <f>RW[[#This Row],[Value]]-LW!$F$185+25</f>
        <v>439.15313784404617</v>
      </c>
    </row>
    <row r="12" spans="1:13" ht="15.75" thickBot="1" x14ac:dyDescent="0.3">
      <c r="A12" t="s">
        <v>372</v>
      </c>
      <c r="B12" s="97">
        <v>25</v>
      </c>
      <c r="C12" s="98" t="s">
        <v>103</v>
      </c>
      <c r="E12" s="57"/>
      <c r="F12" t="s">
        <v>32</v>
      </c>
      <c r="I12" s="8">
        <f>INDEX(Std[],MATCH(RW[[#This Row],[Player]],Std[Player],0),20)</f>
        <v>894.06532577046301</v>
      </c>
      <c r="J12">
        <f>_xlfn.RANK.EQ(RW[[#This Row],[Value]],RW[Value])</f>
        <v>11</v>
      </c>
      <c r="K12" s="10">
        <f>RW[[#This Row],[Value]]-LW!$F$185+25</f>
        <v>447.52060138021415</v>
      </c>
    </row>
    <row r="13" spans="1:13" ht="15.75" thickBot="1" x14ac:dyDescent="0.3">
      <c r="A13" t="s">
        <v>260</v>
      </c>
      <c r="B13" s="97">
        <v>28</v>
      </c>
      <c r="C13" s="98" t="s">
        <v>74</v>
      </c>
      <c r="D13" t="s">
        <v>103</v>
      </c>
      <c r="E13" s="57"/>
      <c r="F13" t="s">
        <v>20</v>
      </c>
      <c r="I13" s="8">
        <f>INDEX(Std[],MATCH(RW[[#This Row],[Player]],Std[Player],0),20)</f>
        <v>864.68401859711469</v>
      </c>
      <c r="J13">
        <f>_xlfn.RANK.EQ(RW[[#This Row],[Value]],RW[Value])</f>
        <v>15</v>
      </c>
      <c r="K13" s="10">
        <f>RW[[#This Row],[Value]]-LW!$F$185+25</f>
        <v>418.13929420686583</v>
      </c>
    </row>
    <row r="14" spans="1:13" ht="15.75" thickBot="1" x14ac:dyDescent="0.3">
      <c r="A14" t="s">
        <v>398</v>
      </c>
      <c r="B14" s="97">
        <v>26</v>
      </c>
      <c r="C14" s="98" t="s">
        <v>103</v>
      </c>
      <c r="D14" s="59"/>
      <c r="E14" s="57"/>
      <c r="I14" s="8">
        <f>INDEX(Std[],MATCH(RW[[#This Row],[Player]],Std[Player],0),20)</f>
        <v>866.82575107084915</v>
      </c>
      <c r="J14">
        <f>_xlfn.RANK.EQ(RW[[#This Row],[Value]],RW[Value])</f>
        <v>14</v>
      </c>
      <c r="K14" s="10">
        <f>RW[[#This Row],[Value]]-LW!$F$185+25</f>
        <v>420.28102668060029</v>
      </c>
    </row>
    <row r="15" spans="1:13" ht="15.75" thickBot="1" x14ac:dyDescent="0.3">
      <c r="A15" t="s">
        <v>335</v>
      </c>
      <c r="B15" s="99">
        <v>39</v>
      </c>
      <c r="C15" s="100" t="s">
        <v>74</v>
      </c>
      <c r="D15" t="s">
        <v>103</v>
      </c>
      <c r="E15" s="56"/>
      <c r="F15" t="s">
        <v>21</v>
      </c>
      <c r="I15" s="8">
        <f>INDEX(Std[],MATCH(RW[[#This Row],[Player]],Std[Player],0),20)</f>
        <v>845.37471597967556</v>
      </c>
      <c r="J15">
        <f>_xlfn.RANK.EQ(RW[[#This Row],[Value]],RW[Value])</f>
        <v>16</v>
      </c>
      <c r="K15" s="10">
        <f>RW[[#This Row],[Value]]-LW!$F$185+25</f>
        <v>398.8299915894267</v>
      </c>
    </row>
    <row r="16" spans="1:13" ht="15.75" thickBot="1" x14ac:dyDescent="0.3">
      <c r="A16" t="s">
        <v>437</v>
      </c>
      <c r="B16" s="99">
        <v>27</v>
      </c>
      <c r="C16" s="100" t="s">
        <v>74</v>
      </c>
      <c r="D16" t="s">
        <v>103</v>
      </c>
      <c r="E16" s="57"/>
      <c r="F16" t="s">
        <v>11</v>
      </c>
      <c r="I16" s="8">
        <f>INDEX(Std[],MATCH(RW[[#This Row],[Player]],Std[Player],0),20)</f>
        <v>814.92403928026431</v>
      </c>
      <c r="J16">
        <f>_xlfn.RANK.EQ(RW[[#This Row],[Value]],RW[Value])</f>
        <v>17</v>
      </c>
      <c r="K16" s="10">
        <f>RW[[#This Row],[Value]]-LW!$F$185+25</f>
        <v>368.37931489001545</v>
      </c>
    </row>
    <row r="17" spans="1:11" ht="15.75" thickBot="1" x14ac:dyDescent="0.3">
      <c r="A17" t="s">
        <v>250</v>
      </c>
      <c r="B17" s="97">
        <v>36</v>
      </c>
      <c r="C17" s="98" t="s">
        <v>74</v>
      </c>
      <c r="D17" t="s">
        <v>103</v>
      </c>
      <c r="E17" s="57"/>
      <c r="F17" t="s">
        <v>29</v>
      </c>
      <c r="I17" s="8">
        <f>INDEX(Std[],MATCH(RW[[#This Row],[Player]],Std[Player],0),20)</f>
        <v>775.77724472274906</v>
      </c>
      <c r="J17">
        <f>_xlfn.RANK.EQ(RW[[#This Row],[Value]],RW[Value])</f>
        <v>18</v>
      </c>
      <c r="K17" s="10">
        <f>RW[[#This Row],[Value]]-LW!$F$185+25</f>
        <v>329.2325203325002</v>
      </c>
    </row>
    <row r="18" spans="1:11" ht="15.75" thickBot="1" x14ac:dyDescent="0.3">
      <c r="A18" t="s">
        <v>419</v>
      </c>
      <c r="B18" s="99">
        <v>35</v>
      </c>
      <c r="C18" s="100" t="s">
        <v>102</v>
      </c>
      <c r="D18" t="s">
        <v>103</v>
      </c>
      <c r="E18" s="57"/>
      <c r="F18" t="s">
        <v>5</v>
      </c>
      <c r="I18" s="8">
        <f>INDEX(Std[],MATCH(RW[[#This Row],[Player]],Std[Player],0),20)</f>
        <v>738.46067696725311</v>
      </c>
      <c r="J18">
        <f>_xlfn.RANK.EQ(RW[[#This Row],[Value]],RW[Value])</f>
        <v>20</v>
      </c>
      <c r="K18" s="10">
        <f>RW[[#This Row],[Value]]-LW!$F$185+25</f>
        <v>291.91595257700425</v>
      </c>
    </row>
    <row r="19" spans="1:11" ht="15.75" thickBot="1" x14ac:dyDescent="0.3">
      <c r="A19" t="s">
        <v>397</v>
      </c>
      <c r="B19" s="97">
        <v>36</v>
      </c>
      <c r="C19" s="98" t="s">
        <v>103</v>
      </c>
      <c r="E19" s="56"/>
      <c r="F19" t="s">
        <v>7</v>
      </c>
      <c r="I19" s="8">
        <f>INDEX(Std[],MATCH(RW[[#This Row],[Player]],Std[Player],0),20)</f>
        <v>741.12511146051918</v>
      </c>
      <c r="J19">
        <f>_xlfn.RANK.EQ(RW[[#This Row],[Value]],RW[Value])</f>
        <v>19</v>
      </c>
      <c r="K19" s="10">
        <f>RW[[#This Row],[Value]]-LW!$F$185+25</f>
        <v>294.58038707027032</v>
      </c>
    </row>
    <row r="20" spans="1:11" ht="15.75" thickBot="1" x14ac:dyDescent="0.3">
      <c r="A20" t="s">
        <v>301</v>
      </c>
      <c r="B20" s="99">
        <v>25</v>
      </c>
      <c r="C20" s="100" t="s">
        <v>102</v>
      </c>
      <c r="D20" t="s">
        <v>103</v>
      </c>
      <c r="E20" s="56"/>
      <c r="F20" t="s">
        <v>6</v>
      </c>
      <c r="I20" s="8">
        <f>INDEX(Std[],MATCH(RW[[#This Row],[Player]],Std[Player],0),20)</f>
        <v>711.00225090236268</v>
      </c>
      <c r="J20">
        <f>_xlfn.RANK.EQ(RW[[#This Row],[Value]],RW[Value])</f>
        <v>21</v>
      </c>
      <c r="K20" s="10">
        <f>RW[[#This Row],[Value]]-LW!$F$185+25</f>
        <v>264.45752651211382</v>
      </c>
    </row>
    <row r="21" spans="1:11" ht="15.75" thickBot="1" x14ac:dyDescent="0.3">
      <c r="A21" t="s">
        <v>413</v>
      </c>
      <c r="B21" s="97">
        <v>31</v>
      </c>
      <c r="C21" s="98" t="s">
        <v>103</v>
      </c>
      <c r="D21" s="59"/>
      <c r="E21" s="57"/>
      <c r="I21" s="8">
        <f>INDEX(Std[],MATCH(RW[[#This Row],[Player]],Std[Player],0),20)</f>
        <v>880.56653708474903</v>
      </c>
      <c r="J21">
        <f>_xlfn.RANK.EQ(RW[[#This Row],[Value]],RW[Value])</f>
        <v>13</v>
      </c>
      <c r="K21" s="10">
        <f>RW[[#This Row],[Value]]-LW!$F$185+25</f>
        <v>434.02181269450017</v>
      </c>
    </row>
    <row r="22" spans="1:11" ht="15.75" thickBot="1" x14ac:dyDescent="0.3">
      <c r="A22" t="s">
        <v>308</v>
      </c>
      <c r="B22" s="99">
        <v>26</v>
      </c>
      <c r="C22" s="100" t="s">
        <v>74</v>
      </c>
      <c r="D22" t="s">
        <v>103</v>
      </c>
      <c r="E22" s="56"/>
      <c r="F22" t="s">
        <v>6</v>
      </c>
      <c r="I22" s="8">
        <f>INDEX(Std[],MATCH(RW[[#This Row],[Player]],Std[Player],0),20)</f>
        <v>685.57825176834592</v>
      </c>
      <c r="J22">
        <f>_xlfn.RANK.EQ(RW[[#This Row],[Value]],RW[Value])</f>
        <v>22</v>
      </c>
      <c r="K22" s="10">
        <f>RW[[#This Row],[Value]]-LW!$F$185+25</f>
        <v>239.03352737809706</v>
      </c>
    </row>
    <row r="23" spans="1:11" ht="15.75" thickBot="1" x14ac:dyDescent="0.3">
      <c r="A23" t="s">
        <v>324</v>
      </c>
      <c r="B23" s="97">
        <v>30</v>
      </c>
      <c r="C23" s="98" t="s">
        <v>103</v>
      </c>
      <c r="E23" s="57"/>
      <c r="F23" t="s">
        <v>2</v>
      </c>
      <c r="I23" s="8">
        <f>INDEX(Std[],MATCH(RW[[#This Row],[Player]],Std[Player],0),20)</f>
        <v>678.39666288017543</v>
      </c>
      <c r="J23">
        <f>_xlfn.RANK.EQ(RW[[#This Row],[Value]],RW[Value])</f>
        <v>23</v>
      </c>
      <c r="K23" s="10">
        <f>RW[[#This Row],[Value]]-LW!$F$185+25</f>
        <v>231.85193848992657</v>
      </c>
    </row>
    <row r="24" spans="1:11" ht="15.75" thickBot="1" x14ac:dyDescent="0.3">
      <c r="A24" t="s">
        <v>978</v>
      </c>
      <c r="B24" s="99">
        <v>25</v>
      </c>
      <c r="C24" s="100" t="s">
        <v>74</v>
      </c>
      <c r="D24" t="s">
        <v>103</v>
      </c>
      <c r="E24" s="57"/>
      <c r="F24" t="s">
        <v>34</v>
      </c>
      <c r="I24" s="8">
        <f>INDEX(Std[],MATCH(RW[[#This Row],[Player]],Std[Player],0),20)</f>
        <v>653.58133103134492</v>
      </c>
      <c r="J24">
        <f>_xlfn.RANK.EQ(RW[[#This Row],[Value]],RW[Value])</f>
        <v>24</v>
      </c>
      <c r="K24" s="10">
        <f>RW[[#This Row],[Value]]-LW!$F$185+25</f>
        <v>207.03660664109606</v>
      </c>
    </row>
    <row r="25" spans="1:11" ht="15.75" thickBot="1" x14ac:dyDescent="0.3">
      <c r="A25" s="106" t="s">
        <v>484</v>
      </c>
      <c r="B25" s="99">
        <v>27</v>
      </c>
      <c r="C25" s="100" t="s">
        <v>103</v>
      </c>
      <c r="E25" s="56"/>
      <c r="F25" t="s">
        <v>30</v>
      </c>
      <c r="I25" s="8">
        <f>INDEX(Std[],MATCH(RW[[#This Row],[Player]],Std[Player],0),20)</f>
        <v>580.86928338134112</v>
      </c>
      <c r="J25">
        <f>_xlfn.RANK.EQ(RW[[#This Row],[Value]],RW[Value])</f>
        <v>28</v>
      </c>
      <c r="K25" s="10">
        <f>RW[[#This Row],[Value]]-LW!$F$185+25</f>
        <v>134.32455899109226</v>
      </c>
    </row>
    <row r="26" spans="1:11" ht="15.75" thickBot="1" x14ac:dyDescent="0.3">
      <c r="A26" t="s">
        <v>1150</v>
      </c>
      <c r="B26" s="97">
        <v>25</v>
      </c>
      <c r="C26" s="98" t="s">
        <v>102</v>
      </c>
      <c r="D26" t="s">
        <v>103</v>
      </c>
      <c r="E26" s="57"/>
      <c r="F26" t="s">
        <v>34</v>
      </c>
      <c r="I26" s="8">
        <f>INDEX(Std[],MATCH(RW[[#This Row],[Player]],Std[Player],0),20)</f>
        <v>603.1958837509352</v>
      </c>
      <c r="J26">
        <f>_xlfn.RANK.EQ(RW[[#This Row],[Value]],RW[Value])</f>
        <v>25</v>
      </c>
      <c r="K26" s="10">
        <f>RW[[#This Row],[Value]]-LW!$F$185+25</f>
        <v>156.65115936068634</v>
      </c>
    </row>
    <row r="27" spans="1:11" ht="15.75" thickBot="1" x14ac:dyDescent="0.3">
      <c r="A27" t="s">
        <v>370</v>
      </c>
      <c r="B27" s="99">
        <v>37</v>
      </c>
      <c r="C27" s="100" t="s">
        <v>103</v>
      </c>
      <c r="E27" s="57"/>
      <c r="F27" t="s">
        <v>15</v>
      </c>
      <c r="I27" s="8">
        <f>INDEX(Std[],MATCH(RW[[#This Row],[Player]],Std[Player],0),20)</f>
        <v>912.942477233967</v>
      </c>
      <c r="J27">
        <f>_xlfn.RANK.EQ(RW[[#This Row],[Value]],RW[Value])</f>
        <v>9</v>
      </c>
      <c r="K27" s="10">
        <f>RW[[#This Row],[Value]]-LW!$F$185+25</f>
        <v>466.39775284371814</v>
      </c>
    </row>
    <row r="28" spans="1:11" ht="15.75" thickBot="1" x14ac:dyDescent="0.3">
      <c r="A28" t="s">
        <v>295</v>
      </c>
      <c r="B28" s="99">
        <v>33</v>
      </c>
      <c r="C28" s="100" t="s">
        <v>103</v>
      </c>
      <c r="E28" s="56"/>
      <c r="F28" t="s">
        <v>153</v>
      </c>
      <c r="I28" s="8">
        <f>INDEX(Std[],MATCH(RW[[#This Row],[Player]],Std[Player],0),20)</f>
        <v>535.5221589804446</v>
      </c>
      <c r="J28">
        <f>_xlfn.RANK.EQ(RW[[#This Row],[Value]],RW[Value])</f>
        <v>30</v>
      </c>
      <c r="K28" s="10">
        <f>RW[[#This Row],[Value]]-LW!$F$185+25</f>
        <v>88.977434590195742</v>
      </c>
    </row>
    <row r="29" spans="1:11" ht="15.75" thickBot="1" x14ac:dyDescent="0.3">
      <c r="A29" t="s">
        <v>546</v>
      </c>
      <c r="B29" s="97">
        <v>31</v>
      </c>
      <c r="C29" s="98" t="s">
        <v>103</v>
      </c>
      <c r="E29" s="57"/>
      <c r="F29" t="s">
        <v>10</v>
      </c>
      <c r="I29" s="8">
        <f>INDEX(Std[],MATCH(RW[[#This Row],[Player]],Std[Player],0),20)</f>
        <v>539.63294291124191</v>
      </c>
      <c r="J29">
        <f>_xlfn.RANK.EQ(RW[[#This Row],[Value]],RW[Value])</f>
        <v>29</v>
      </c>
      <c r="K29" s="10">
        <f>RW[[#This Row],[Value]]-LW!$F$185+25</f>
        <v>93.088218520993053</v>
      </c>
    </row>
    <row r="30" spans="1:11" ht="15.75" thickBot="1" x14ac:dyDescent="0.3">
      <c r="A30" t="s">
        <v>386</v>
      </c>
      <c r="B30" s="97">
        <v>25</v>
      </c>
      <c r="C30" s="98" t="s">
        <v>74</v>
      </c>
      <c r="D30" t="s">
        <v>103</v>
      </c>
      <c r="E30" s="57"/>
      <c r="F30" t="s">
        <v>20</v>
      </c>
      <c r="I30" s="8">
        <f>INDEX(Std[],MATCH(RW[[#This Row],[Player]],Std[Player],0),20)</f>
        <v>489.79421416183141</v>
      </c>
      <c r="J30">
        <f>_xlfn.RANK.EQ(RW[[#This Row],[Value]],RW[Value])</f>
        <v>31</v>
      </c>
      <c r="K30" s="10">
        <f>RW[[#This Row],[Value]]-LW!$F$185+25</f>
        <v>43.249489771582546</v>
      </c>
    </row>
    <row r="31" spans="1:11" ht="15.75" thickBot="1" x14ac:dyDescent="0.3">
      <c r="A31" t="s">
        <v>571</v>
      </c>
      <c r="B31" s="99">
        <v>29</v>
      </c>
      <c r="C31" s="100" t="s">
        <v>74</v>
      </c>
      <c r="D31" t="s">
        <v>103</v>
      </c>
      <c r="E31" s="56"/>
      <c r="F31" t="s">
        <v>30</v>
      </c>
      <c r="I31" s="8">
        <f>INDEX(Std[],MATCH(RW[[#This Row],[Player]],Std[Player],0),20)</f>
        <v>475.43708762990684</v>
      </c>
      <c r="J31">
        <f>_xlfn.RANK.EQ(RW[[#This Row],[Value]],RW[Value])</f>
        <v>32</v>
      </c>
      <c r="K31" s="10">
        <f>RW[[#This Row],[Value]]-LW!$F$185+25</f>
        <v>28.892363239657982</v>
      </c>
    </row>
    <row r="32" spans="1:11" ht="15.75" thickBot="1" x14ac:dyDescent="0.3">
      <c r="A32" t="s">
        <v>382</v>
      </c>
      <c r="B32" s="97">
        <v>37</v>
      </c>
      <c r="C32" s="98" t="s">
        <v>103</v>
      </c>
      <c r="D32" s="59"/>
      <c r="E32" s="57"/>
      <c r="I32" s="8">
        <f>INDEX(Std[],MATCH(RW[[#This Row],[Player]],Std[Player],0),20)</f>
        <v>471.54472439024886</v>
      </c>
      <c r="J32">
        <f>_xlfn.RANK.EQ(RW[[#This Row],[Value]],RW[Value])</f>
        <v>33</v>
      </c>
      <c r="K32" s="10">
        <f>RW[[#This Row],[Value]]-LW!$F$185+25</f>
        <v>25</v>
      </c>
    </row>
    <row r="33" spans="1:11" ht="15.75" thickBot="1" x14ac:dyDescent="0.3">
      <c r="A33" t="s">
        <v>373</v>
      </c>
      <c r="B33" s="97">
        <v>23</v>
      </c>
      <c r="C33" s="98" t="s">
        <v>103</v>
      </c>
      <c r="E33" s="56"/>
      <c r="F33" t="s">
        <v>28</v>
      </c>
      <c r="I33" s="8">
        <f>INDEX(Std[],MATCH(RW[[#This Row],[Player]],Std[Player],0),20)</f>
        <v>468.87897162274214</v>
      </c>
      <c r="J33">
        <f>_xlfn.RANK.EQ(RW[[#This Row],[Value]],RW[Value])</f>
        <v>35</v>
      </c>
      <c r="K33" s="10">
        <f>RW[[#This Row],[Value]]-LW!$F$185+25</f>
        <v>22.334247232493283</v>
      </c>
    </row>
    <row r="34" spans="1:11" ht="15.75" thickBot="1" x14ac:dyDescent="0.3">
      <c r="A34" t="s">
        <v>475</v>
      </c>
      <c r="B34" s="97">
        <v>35</v>
      </c>
      <c r="C34" s="98" t="s">
        <v>103</v>
      </c>
      <c r="E34" s="57"/>
      <c r="F34" t="s">
        <v>6</v>
      </c>
      <c r="I34" s="8">
        <f>INDEX(Std[],MATCH(RW[[#This Row],[Player]],Std[Player],0),20)</f>
        <v>456.19788305585018</v>
      </c>
      <c r="J34">
        <f>_xlfn.RANK.EQ(RW[[#This Row],[Value]],RW[Value])</f>
        <v>36</v>
      </c>
      <c r="K34" s="10">
        <f>RW[[#This Row],[Value]]-LW!$F$185+25</f>
        <v>9.6531586656013246</v>
      </c>
    </row>
    <row r="35" spans="1:11" ht="15.75" thickBot="1" x14ac:dyDescent="0.3">
      <c r="A35" t="s">
        <v>967</v>
      </c>
      <c r="B35" s="97">
        <v>31</v>
      </c>
      <c r="C35" s="98" t="s">
        <v>103</v>
      </c>
      <c r="E35" s="56"/>
      <c r="F35" t="s">
        <v>30</v>
      </c>
      <c r="I35" s="8">
        <f>INDEX(Std[],MATCH(RW[[#This Row],[Player]],Std[Player],0),20)</f>
        <v>589.43160156179772</v>
      </c>
      <c r="J35">
        <f>_xlfn.RANK.EQ(RW[[#This Row],[Value]],RW[Value])</f>
        <v>26</v>
      </c>
      <c r="K35" s="10">
        <f>RW[[#This Row],[Value]]-LW!$F$185+25</f>
        <v>142.88687717154886</v>
      </c>
    </row>
    <row r="36" spans="1:11" ht="15.75" thickBot="1" x14ac:dyDescent="0.3">
      <c r="A36" t="s">
        <v>254</v>
      </c>
      <c r="B36" s="97">
        <v>26</v>
      </c>
      <c r="C36" s="98" t="s">
        <v>103</v>
      </c>
      <c r="E36" s="57"/>
      <c r="F36" t="s">
        <v>2</v>
      </c>
      <c r="I36" s="8">
        <f>INDEX(Std[],MATCH(RW[[#This Row],[Player]],Std[Player],0),20)</f>
        <v>439.43276027658032</v>
      </c>
      <c r="J36">
        <f>_xlfn.RANK.EQ(RW[[#This Row],[Value]],RW[Value])</f>
        <v>39</v>
      </c>
      <c r="K36" s="10">
        <f>RW[[#This Row],[Value]]-LW!$F$185+25</f>
        <v>-7.1119641136685345</v>
      </c>
    </row>
    <row r="37" spans="1:11" ht="15.75" thickBot="1" x14ac:dyDescent="0.3">
      <c r="A37" t="s">
        <v>292</v>
      </c>
      <c r="B37" s="97">
        <v>23</v>
      </c>
      <c r="C37" s="98" t="s">
        <v>103</v>
      </c>
      <c r="E37" s="57"/>
      <c r="F37" t="s">
        <v>22</v>
      </c>
      <c r="I37" s="8">
        <f>INDEX(Std[],MATCH(RW[[#This Row],[Player]],Std[Player],0),20)</f>
        <v>431.15218058459544</v>
      </c>
      <c r="J37">
        <f>_xlfn.RANK.EQ(RW[[#This Row],[Value]],RW[Value])</f>
        <v>41</v>
      </c>
      <c r="K37" s="10">
        <f>RW[[#This Row],[Value]]-LW!$F$185+25</f>
        <v>-15.392543805653418</v>
      </c>
    </row>
    <row r="38" spans="1:11" ht="15.75" thickBot="1" x14ac:dyDescent="0.3">
      <c r="A38" t="s">
        <v>1213</v>
      </c>
      <c r="B38" s="97">
        <v>31</v>
      </c>
      <c r="C38" s="98" t="s">
        <v>103</v>
      </c>
      <c r="E38" s="56"/>
      <c r="F38" t="s">
        <v>17</v>
      </c>
      <c r="I38" s="8">
        <f>INDEX(Std[],MATCH(RW[[#This Row],[Player]],Std[Player],0),20)</f>
        <v>444.98108826770738</v>
      </c>
      <c r="J38">
        <f>_xlfn.RANK.EQ(RW[[#This Row],[Value]],RW[Value])</f>
        <v>37</v>
      </c>
      <c r="K38" s="10">
        <f>RW[[#This Row],[Value]]-LW!$F$185+25</f>
        <v>-1.5636361225414817</v>
      </c>
    </row>
    <row r="39" spans="1:11" ht="15.75" thickBot="1" x14ac:dyDescent="0.3">
      <c r="A39" t="s">
        <v>407</v>
      </c>
      <c r="B39" s="99">
        <v>29</v>
      </c>
      <c r="C39" s="100" t="s">
        <v>103</v>
      </c>
      <c r="E39" s="57"/>
      <c r="F39" t="s">
        <v>15</v>
      </c>
      <c r="I39" s="8">
        <f>INDEX(Std[],MATCH(RW[[#This Row],[Player]],Std[Player],0),20)</f>
        <v>427.18980768513342</v>
      </c>
      <c r="J39">
        <f>_xlfn.RANK.EQ(RW[[#This Row],[Value]],RW[Value])</f>
        <v>42</v>
      </c>
      <c r="K39" s="10">
        <f>RW[[#This Row],[Value]]-LW!$F$185+25</f>
        <v>-19.354916705115443</v>
      </c>
    </row>
    <row r="40" spans="1:11" ht="15.75" thickBot="1" x14ac:dyDescent="0.3">
      <c r="A40" t="s">
        <v>337</v>
      </c>
      <c r="B40" s="99">
        <v>28</v>
      </c>
      <c r="C40" s="100" t="s">
        <v>103</v>
      </c>
      <c r="D40" s="59"/>
      <c r="E40" s="57"/>
      <c r="I40" s="8">
        <f>INDEX(Std[],MATCH(RW[[#This Row],[Player]],Std[Player],0),20)</f>
        <v>588.16085263792775</v>
      </c>
      <c r="J40">
        <f>_xlfn.RANK.EQ(RW[[#This Row],[Value]],RW[Value])</f>
        <v>27</v>
      </c>
      <c r="K40" s="10">
        <f>RW[[#This Row],[Value]]-LW!$F$185+25</f>
        <v>141.61612824767889</v>
      </c>
    </row>
    <row r="41" spans="1:11" ht="15.75" thickBot="1" x14ac:dyDescent="0.3">
      <c r="A41" t="s">
        <v>467</v>
      </c>
      <c r="B41" s="99">
        <v>32</v>
      </c>
      <c r="C41" s="100" t="s">
        <v>103</v>
      </c>
      <c r="D41" s="59"/>
      <c r="E41" s="57"/>
      <c r="I41" s="8">
        <f>INDEX(Std[],MATCH(RW[[#This Row],[Player]],Std[Player],0),20)</f>
        <v>441.09187262441003</v>
      </c>
      <c r="J41">
        <f>_xlfn.RANK.EQ(RW[[#This Row],[Value]],RW[Value])</f>
        <v>38</v>
      </c>
      <c r="K41" s="10">
        <f>RW[[#This Row],[Value]]-LW!$F$185+25</f>
        <v>-5.4528517658388296</v>
      </c>
    </row>
    <row r="42" spans="1:11" ht="15.75" thickBot="1" x14ac:dyDescent="0.3">
      <c r="A42" t="s">
        <v>1000</v>
      </c>
      <c r="B42" s="97">
        <v>22</v>
      </c>
      <c r="C42" s="98" t="s">
        <v>74</v>
      </c>
      <c r="D42" t="s">
        <v>103</v>
      </c>
      <c r="E42" s="56"/>
      <c r="F42" t="s">
        <v>32</v>
      </c>
      <c r="I42" s="8">
        <f>INDEX(Std[],MATCH(RW[[#This Row],[Player]],Std[Player],0),20)</f>
        <v>433.84827681759469</v>
      </c>
      <c r="J42">
        <f>_xlfn.RANK.EQ(RW[[#This Row],[Value]],RW[Value])</f>
        <v>40</v>
      </c>
      <c r="K42" s="10">
        <f>RW[[#This Row],[Value]]-LW!$F$185+25</f>
        <v>-12.696447572654165</v>
      </c>
    </row>
    <row r="43" spans="1:11" ht="15.75" thickBot="1" x14ac:dyDescent="0.3">
      <c r="A43" t="s">
        <v>587</v>
      </c>
      <c r="B43" s="99">
        <v>21</v>
      </c>
      <c r="C43" s="100" t="s">
        <v>102</v>
      </c>
      <c r="D43" t="s">
        <v>103</v>
      </c>
      <c r="E43" s="56"/>
      <c r="F43" t="s">
        <v>21</v>
      </c>
      <c r="I43" s="8">
        <f>INDEX(Std[],MATCH(RW[[#This Row],[Player]],Std[Player],0),20)</f>
        <v>389.51530867233708</v>
      </c>
      <c r="J43">
        <f>_xlfn.RANK.EQ(RW[[#This Row],[Value]],RW[Value])</f>
        <v>44</v>
      </c>
      <c r="K43" s="10">
        <f>RW[[#This Row],[Value]]-LW!$F$185+25</f>
        <v>-57.029415717911775</v>
      </c>
    </row>
    <row r="44" spans="1:11" ht="15.75" thickBot="1" x14ac:dyDescent="0.3">
      <c r="A44" t="s">
        <v>592</v>
      </c>
      <c r="B44" s="99">
        <v>26</v>
      </c>
      <c r="C44" s="100" t="s">
        <v>103</v>
      </c>
      <c r="E44" s="57"/>
      <c r="F44" t="s">
        <v>10</v>
      </c>
      <c r="I44" s="8">
        <f>INDEX(Std[],MATCH(RW[[#This Row],[Player]],Std[Player],0),20)</f>
        <v>357.95285617100927</v>
      </c>
      <c r="J44">
        <f>_xlfn.RANK.EQ(RW[[#This Row],[Value]],RW[Value])</f>
        <v>46</v>
      </c>
      <c r="K44" s="10">
        <f>RW[[#This Row],[Value]]-LW!$F$185+25</f>
        <v>-88.591868219239586</v>
      </c>
    </row>
    <row r="45" spans="1:11" ht="15.75" thickBot="1" x14ac:dyDescent="0.3">
      <c r="A45" t="s">
        <v>504</v>
      </c>
      <c r="B45" s="99">
        <v>24</v>
      </c>
      <c r="C45" s="100" t="s">
        <v>103</v>
      </c>
      <c r="E45" s="57"/>
      <c r="F45" t="s">
        <v>20</v>
      </c>
      <c r="I45" s="8">
        <f>INDEX(Std[],MATCH(RW[[#This Row],[Player]],Std[Player],0),20)</f>
        <v>332.636515753521</v>
      </c>
      <c r="J45">
        <f>_xlfn.RANK.EQ(RW[[#This Row],[Value]],RW[Value])</f>
        <v>48</v>
      </c>
      <c r="K45" s="10">
        <f>RW[[#This Row],[Value]]-LW!$F$185+25</f>
        <v>-113.90820863672786</v>
      </c>
    </row>
    <row r="46" spans="1:11" ht="15.75" thickBot="1" x14ac:dyDescent="0.3">
      <c r="A46" t="s">
        <v>330</v>
      </c>
      <c r="B46" s="99">
        <v>27</v>
      </c>
      <c r="C46" s="100" t="s">
        <v>74</v>
      </c>
      <c r="D46" t="s">
        <v>103</v>
      </c>
      <c r="E46" s="56"/>
      <c r="F46" t="s">
        <v>20</v>
      </c>
      <c r="I46" s="8">
        <f>INDEX(Std[],MATCH(RW[[#This Row],[Player]],Std[Player],0),20)</f>
        <v>328.53339106437977</v>
      </c>
      <c r="J46">
        <f>_xlfn.RANK.EQ(RW[[#This Row],[Value]],RW[Value])</f>
        <v>49</v>
      </c>
      <c r="K46" s="10">
        <f>RW[[#This Row],[Value]]-LW!$F$185+25</f>
        <v>-118.01133332586909</v>
      </c>
    </row>
    <row r="47" spans="1:11" ht="15.75" thickBot="1" x14ac:dyDescent="0.3">
      <c r="A47" t="s">
        <v>388</v>
      </c>
      <c r="B47" s="99">
        <v>28</v>
      </c>
      <c r="C47" s="100" t="s">
        <v>102</v>
      </c>
      <c r="D47" t="s">
        <v>103</v>
      </c>
      <c r="E47" s="57"/>
      <c r="F47" t="s">
        <v>156</v>
      </c>
      <c r="I47" s="8">
        <f>INDEX(Std[],MATCH(RW[[#This Row],[Player]],Std[Player],0),20)</f>
        <v>310.71321615727783</v>
      </c>
      <c r="J47">
        <f>_xlfn.RANK.EQ(RW[[#This Row],[Value]],RW[Value])</f>
        <v>51</v>
      </c>
      <c r="K47" s="10">
        <f>RW[[#This Row],[Value]]-LW!$F$185+25</f>
        <v>-135.83150823297103</v>
      </c>
    </row>
    <row r="48" spans="1:11" ht="15.75" thickBot="1" x14ac:dyDescent="0.3">
      <c r="A48" t="s">
        <v>311</v>
      </c>
      <c r="B48" s="99">
        <v>32</v>
      </c>
      <c r="C48" s="100" t="s">
        <v>103</v>
      </c>
      <c r="E48" s="57"/>
      <c r="F48" t="s">
        <v>8</v>
      </c>
      <c r="I48" s="8">
        <f>INDEX(Std[],MATCH(RW[[#This Row],[Player]],Std[Player],0),20)</f>
        <v>280.29208455290541</v>
      </c>
      <c r="J48">
        <f>_xlfn.RANK.EQ(RW[[#This Row],[Value]],RW[Value])</f>
        <v>54</v>
      </c>
      <c r="K48" s="10">
        <f>RW[[#This Row],[Value]]-LW!$F$185+25</f>
        <v>-166.25263983734345</v>
      </c>
    </row>
    <row r="49" spans="1:11" ht="15.75" thickBot="1" x14ac:dyDescent="0.3">
      <c r="A49" t="s">
        <v>355</v>
      </c>
      <c r="B49" s="99">
        <v>28</v>
      </c>
      <c r="C49" s="100" t="s">
        <v>103</v>
      </c>
      <c r="E49" s="56"/>
      <c r="F49" t="s">
        <v>13</v>
      </c>
      <c r="I49" s="8">
        <f>INDEX(Std[],MATCH(RW[[#This Row],[Player]],Std[Player],0),20)</f>
        <v>278.35282470661554</v>
      </c>
      <c r="J49">
        <f>_xlfn.RANK.EQ(RW[[#This Row],[Value]],RW[Value])</f>
        <v>55</v>
      </c>
      <c r="K49" s="10">
        <f>RW[[#This Row],[Value]]-LW!$F$185+25</f>
        <v>-168.19189968363332</v>
      </c>
    </row>
    <row r="50" spans="1:11" ht="15.75" thickBot="1" x14ac:dyDescent="0.3">
      <c r="A50" t="s">
        <v>410</v>
      </c>
      <c r="B50" s="97">
        <v>22</v>
      </c>
      <c r="C50" s="98" t="s">
        <v>103</v>
      </c>
      <c r="E50" s="57"/>
      <c r="F50" t="s">
        <v>32</v>
      </c>
      <c r="I50" s="8">
        <f>INDEX(Std[],MATCH(RW[[#This Row],[Player]],Std[Player],0),20)</f>
        <v>328.25757646712901</v>
      </c>
      <c r="J50">
        <f>_xlfn.RANK.EQ(RW[[#This Row],[Value]],RW[Value])</f>
        <v>50</v>
      </c>
      <c r="K50" s="10">
        <f>RW[[#This Row],[Value]]-LW!$F$185+25</f>
        <v>-118.28714792311985</v>
      </c>
    </row>
    <row r="51" spans="1:11" ht="15.75" thickBot="1" x14ac:dyDescent="0.3">
      <c r="A51" t="s">
        <v>547</v>
      </c>
      <c r="B51" s="99">
        <v>34</v>
      </c>
      <c r="C51" s="100" t="s">
        <v>103</v>
      </c>
      <c r="E51" s="57"/>
      <c r="F51" t="s">
        <v>28</v>
      </c>
      <c r="I51" s="8">
        <f>INDEX(Std[],MATCH(RW[[#This Row],[Player]],Std[Player],0),20)</f>
        <v>254.55110353161891</v>
      </c>
      <c r="J51">
        <f>_xlfn.RANK.EQ(RW[[#This Row],[Value]],RW[Value])</f>
        <v>56</v>
      </c>
      <c r="K51" s="10">
        <f>RW[[#This Row],[Value]]-LW!$F$185+25</f>
        <v>-191.99362085862995</v>
      </c>
    </row>
    <row r="52" spans="1:11" ht="15.75" thickBot="1" x14ac:dyDescent="0.3">
      <c r="A52" t="s">
        <v>641</v>
      </c>
      <c r="B52" s="99">
        <v>26</v>
      </c>
      <c r="C52" s="100" t="s">
        <v>103</v>
      </c>
      <c r="E52" s="56"/>
      <c r="F52" t="s">
        <v>154</v>
      </c>
      <c r="I52" s="8">
        <f>INDEX(Std[],MATCH(RW[[#This Row],[Player]],Std[Player],0),20)</f>
        <v>283.5669307567187</v>
      </c>
      <c r="J52">
        <f>_xlfn.RANK.EQ(RW[[#This Row],[Value]],RW[Value])</f>
        <v>53</v>
      </c>
      <c r="K52" s="10">
        <f>RW[[#This Row],[Value]]-LW!$F$185+25</f>
        <v>-162.97779363353015</v>
      </c>
    </row>
    <row r="53" spans="1:11" ht="15.75" thickBot="1" x14ac:dyDescent="0.3">
      <c r="A53" t="s">
        <v>461</v>
      </c>
      <c r="B53" s="99">
        <v>21</v>
      </c>
      <c r="C53" s="100" t="s">
        <v>74</v>
      </c>
      <c r="D53" s="59" t="s">
        <v>103</v>
      </c>
      <c r="E53" s="57"/>
      <c r="F53" t="s">
        <v>154</v>
      </c>
      <c r="I53" s="8">
        <f>INDEX(Std[],MATCH(RW[[#This Row],[Player]],Std[Player],0),20)</f>
        <v>231.15701815831483</v>
      </c>
      <c r="J53">
        <f>_xlfn.RANK.EQ(RW[[#This Row],[Value]],RW[Value])</f>
        <v>60</v>
      </c>
      <c r="K53" s="10">
        <f>RW[[#This Row],[Value]]-LW!$F$185+25</f>
        <v>-215.38770623193403</v>
      </c>
    </row>
    <row r="54" spans="1:11" ht="15.75" thickBot="1" x14ac:dyDescent="0.3">
      <c r="A54" t="s">
        <v>447</v>
      </c>
      <c r="B54" s="99">
        <v>32</v>
      </c>
      <c r="C54" s="100" t="s">
        <v>103</v>
      </c>
      <c r="E54" s="56"/>
      <c r="F54" t="s">
        <v>8</v>
      </c>
      <c r="I54" s="8">
        <f>INDEX(Std[],MATCH(RW[[#This Row],[Player]],Std[Player],0),20)</f>
        <v>469.93029876190474</v>
      </c>
      <c r="J54">
        <f>_xlfn.RANK.EQ(RW[[#This Row],[Value]],RW[Value])</f>
        <v>34</v>
      </c>
      <c r="K54" s="10">
        <f>RW[[#This Row],[Value]]-LW!$F$185+25</f>
        <v>23.385574371655878</v>
      </c>
    </row>
    <row r="55" spans="1:11" ht="15.75" thickBot="1" x14ac:dyDescent="0.3">
      <c r="A55" t="s">
        <v>1002</v>
      </c>
      <c r="B55" s="97">
        <v>31</v>
      </c>
      <c r="C55" s="98" t="s">
        <v>103</v>
      </c>
      <c r="E55" s="56"/>
      <c r="F55" t="s">
        <v>156</v>
      </c>
      <c r="I55" s="8">
        <f>INDEX(Std[],MATCH(RW[[#This Row],[Player]],Std[Player],0),20)</f>
        <v>232.47889882906537</v>
      </c>
      <c r="J55">
        <f>_xlfn.RANK.EQ(RW[[#This Row],[Value]],RW[Value])</f>
        <v>59</v>
      </c>
      <c r="K55" s="10">
        <f>RW[[#This Row],[Value]]-LW!$F$185+25</f>
        <v>-214.06582556118349</v>
      </c>
    </row>
    <row r="56" spans="1:11" ht="15.75" thickBot="1" x14ac:dyDescent="0.3">
      <c r="A56" t="s">
        <v>451</v>
      </c>
      <c r="B56" s="99">
        <v>26</v>
      </c>
      <c r="C56" s="100" t="s">
        <v>103</v>
      </c>
      <c r="D56" s="59"/>
      <c r="E56" s="57"/>
      <c r="I56" s="8">
        <f>INDEX(Std[],MATCH(RW[[#This Row],[Player]],Std[Player],0),20)</f>
        <v>220.59988973742253</v>
      </c>
      <c r="J56">
        <f>_xlfn.RANK.EQ(RW[[#This Row],[Value]],RW[Value])</f>
        <v>62</v>
      </c>
      <c r="K56" s="10">
        <f>RW[[#This Row],[Value]]-LW!$F$185+25</f>
        <v>-225.94483465282633</v>
      </c>
    </row>
    <row r="57" spans="1:11" ht="15.75" thickBot="1" x14ac:dyDescent="0.3">
      <c r="A57" t="s">
        <v>364</v>
      </c>
      <c r="B57" s="99">
        <v>33</v>
      </c>
      <c r="C57" s="100" t="s">
        <v>103</v>
      </c>
      <c r="E57" s="57"/>
      <c r="F57" t="s">
        <v>13</v>
      </c>
      <c r="I57" s="8">
        <f>INDEX(Std[],MATCH(RW[[#This Row],[Player]],Std[Player],0),20)</f>
        <v>360.418486053143</v>
      </c>
      <c r="J57">
        <f>_xlfn.RANK.EQ(RW[[#This Row],[Value]],RW[Value])</f>
        <v>45</v>
      </c>
      <c r="K57" s="10">
        <f>RW[[#This Row],[Value]]-LW!$F$185+25</f>
        <v>-86.12623833710586</v>
      </c>
    </row>
    <row r="58" spans="1:11" ht="15.75" thickBot="1" x14ac:dyDescent="0.3">
      <c r="A58" t="s">
        <v>362</v>
      </c>
      <c r="B58" s="97">
        <v>27</v>
      </c>
      <c r="C58" s="98" t="s">
        <v>103</v>
      </c>
      <c r="E58" s="56"/>
      <c r="F58" t="s">
        <v>11</v>
      </c>
      <c r="I58" s="8">
        <f>INDEX(Std[],MATCH(RW[[#This Row],[Player]],Std[Player],0),20)</f>
        <v>196.07629110414254</v>
      </c>
      <c r="J58">
        <f>_xlfn.RANK.EQ(RW[[#This Row],[Value]],RW[Value])</f>
        <v>65</v>
      </c>
      <c r="K58" s="10">
        <f>RW[[#This Row],[Value]]-LW!$F$185+25</f>
        <v>-250.46843328610635</v>
      </c>
    </row>
    <row r="59" spans="1:11" ht="15.75" thickBot="1" x14ac:dyDescent="0.3">
      <c r="A59" t="s">
        <v>522</v>
      </c>
      <c r="B59" s="97">
        <v>21</v>
      </c>
      <c r="C59" s="98" t="s">
        <v>103</v>
      </c>
      <c r="E59" s="57"/>
      <c r="F59" t="s">
        <v>10</v>
      </c>
      <c r="I59" s="8">
        <f>INDEX(Std[],MATCH(RW[[#This Row],[Player]],Std[Player],0),20)</f>
        <v>201.26939610505792</v>
      </c>
      <c r="J59">
        <f>_xlfn.RANK.EQ(RW[[#This Row],[Value]],RW[Value])</f>
        <v>63</v>
      </c>
      <c r="K59" s="10">
        <f>RW[[#This Row],[Value]]-LW!$F$185+25</f>
        <v>-245.27532828519094</v>
      </c>
    </row>
    <row r="60" spans="1:11" ht="15.75" thickBot="1" x14ac:dyDescent="0.3">
      <c r="A60" t="s">
        <v>807</v>
      </c>
      <c r="B60" s="99">
        <v>32</v>
      </c>
      <c r="C60" s="100" t="s">
        <v>103</v>
      </c>
      <c r="E60" s="56"/>
      <c r="F60" t="s">
        <v>10</v>
      </c>
      <c r="I60" s="8">
        <f>INDEX(Std[],MATCH(RW[[#This Row],[Player]],Std[Player],0),20)</f>
        <v>229.30729303336071</v>
      </c>
      <c r="J60">
        <f>_xlfn.RANK.EQ(RW[[#This Row],[Value]],RW[Value])</f>
        <v>61</v>
      </c>
      <c r="K60" s="10">
        <f>RW[[#This Row],[Value]]-LW!$F$185+25</f>
        <v>-217.23743135688815</v>
      </c>
    </row>
    <row r="61" spans="1:11" ht="15.75" thickBot="1" x14ac:dyDescent="0.3">
      <c r="A61" t="s">
        <v>1004</v>
      </c>
      <c r="B61" s="97">
        <v>23</v>
      </c>
      <c r="C61" s="98" t="s">
        <v>103</v>
      </c>
      <c r="E61" s="57"/>
      <c r="F61" t="s">
        <v>154</v>
      </c>
      <c r="I61" s="8">
        <f>INDEX(Std[],MATCH(RW[[#This Row],[Player]],Std[Player],0),20)</f>
        <v>188.09325458465986</v>
      </c>
      <c r="J61">
        <f>_xlfn.RANK.EQ(RW[[#This Row],[Value]],RW[Value])</f>
        <v>67</v>
      </c>
      <c r="K61" s="10">
        <f>RW[[#This Row],[Value]]-LW!$F$185+25</f>
        <v>-258.451469805589</v>
      </c>
    </row>
    <row r="62" spans="1:11" ht="15.75" thickBot="1" x14ac:dyDescent="0.3">
      <c r="A62" t="s">
        <v>879</v>
      </c>
      <c r="B62" s="97">
        <v>26</v>
      </c>
      <c r="C62" s="98" t="s">
        <v>103</v>
      </c>
      <c r="D62" s="59"/>
      <c r="E62" s="57"/>
      <c r="I62" s="8">
        <f>INDEX(Std[],MATCH(RW[[#This Row],[Player]],Std[Player],0),20)</f>
        <v>188.83894106077656</v>
      </c>
      <c r="J62">
        <f>_xlfn.RANK.EQ(RW[[#This Row],[Value]],RW[Value])</f>
        <v>66</v>
      </c>
      <c r="K62" s="10">
        <f>RW[[#This Row],[Value]]-LW!$F$185+25</f>
        <v>-257.7057833294723</v>
      </c>
    </row>
    <row r="63" spans="1:11" ht="15.75" thickBot="1" x14ac:dyDescent="0.3">
      <c r="A63" t="s">
        <v>331</v>
      </c>
      <c r="B63" s="97">
        <v>26</v>
      </c>
      <c r="C63" s="98" t="s">
        <v>103</v>
      </c>
      <c r="E63" s="57"/>
      <c r="F63" t="s">
        <v>23</v>
      </c>
      <c r="I63" s="8">
        <f>INDEX(Std[],MATCH(RW[[#This Row],[Player]],Std[Player],0),20)</f>
        <v>182.56283122006417</v>
      </c>
      <c r="J63">
        <f>_xlfn.RANK.EQ(RW[[#This Row],[Value]],RW[Value])</f>
        <v>69</v>
      </c>
      <c r="K63" s="10">
        <f>RW[[#This Row],[Value]]-LW!$F$185+25</f>
        <v>-263.98189317018466</v>
      </c>
    </row>
    <row r="64" spans="1:11" ht="15.75" thickBot="1" x14ac:dyDescent="0.3">
      <c r="A64" t="s">
        <v>636</v>
      </c>
      <c r="B64" s="99">
        <v>30</v>
      </c>
      <c r="C64" s="100" t="s">
        <v>103</v>
      </c>
      <c r="E64" s="57"/>
      <c r="F64" t="s">
        <v>28</v>
      </c>
      <c r="I64" s="8">
        <f>INDEX(Std[],MATCH(RW[[#This Row],[Player]],Std[Player],0),20)</f>
        <v>185.19833231236086</v>
      </c>
      <c r="J64">
        <f>_xlfn.RANK.EQ(RW[[#This Row],[Value]],RW[Value])</f>
        <v>68</v>
      </c>
      <c r="K64" s="10">
        <f>RW[[#This Row],[Value]]-LW!$F$185+25</f>
        <v>-261.34639207788803</v>
      </c>
    </row>
    <row r="65" spans="1:11" ht="15.75" thickBot="1" x14ac:dyDescent="0.3">
      <c r="A65" t="s">
        <v>1007</v>
      </c>
      <c r="B65" s="99">
        <v>34</v>
      </c>
      <c r="C65" s="100" t="s">
        <v>103</v>
      </c>
      <c r="E65" s="57"/>
      <c r="F65" t="s">
        <v>20</v>
      </c>
      <c r="I65" s="8">
        <f>INDEX(Std[],MATCH(RW[[#This Row],[Player]],Std[Player],0),20)</f>
        <v>166.45357201186798</v>
      </c>
      <c r="J65">
        <f>_xlfn.RANK.EQ(RW[[#This Row],[Value]],RW[Value])</f>
        <v>74</v>
      </c>
      <c r="K65" s="10">
        <f>RW[[#This Row],[Value]]-LW!$F$185+25</f>
        <v>-280.09115237838091</v>
      </c>
    </row>
    <row r="66" spans="1:11" ht="15.75" thickBot="1" x14ac:dyDescent="0.3">
      <c r="A66" t="s">
        <v>982</v>
      </c>
      <c r="B66" s="99">
        <v>21</v>
      </c>
      <c r="C66" s="100" t="s">
        <v>103</v>
      </c>
      <c r="E66" s="56"/>
      <c r="F66" t="s">
        <v>32</v>
      </c>
      <c r="I66" s="8">
        <f>INDEX(Std[],MATCH(RW[[#This Row],[Player]],Std[Player],0),20)</f>
        <v>55.495988173855835</v>
      </c>
      <c r="J66">
        <f>_xlfn.RANK.EQ(RW[[#This Row],[Value]],RW[Value])</f>
        <v>88</v>
      </c>
      <c r="K66" s="10">
        <f>RW[[#This Row],[Value]]-LW!$F$185+25</f>
        <v>-391.04873621639302</v>
      </c>
    </row>
    <row r="67" spans="1:11" ht="15.75" thickBot="1" x14ac:dyDescent="0.3">
      <c r="A67" t="s">
        <v>1070</v>
      </c>
      <c r="B67" s="99">
        <v>26</v>
      </c>
      <c r="C67" s="100" t="s">
        <v>103</v>
      </c>
      <c r="E67" s="57"/>
      <c r="F67" t="s">
        <v>13</v>
      </c>
      <c r="I67" s="8">
        <f>INDEX(Std[],MATCH(RW[[#This Row],[Player]],Std[Player],0),20)</f>
        <v>169.64204635015844</v>
      </c>
      <c r="J67">
        <f>_xlfn.RANK.EQ(RW[[#This Row],[Value]],RW[Value])</f>
        <v>73</v>
      </c>
      <c r="K67" s="10">
        <f>RW[[#This Row],[Value]]-LW!$F$185+25</f>
        <v>-276.90267804009045</v>
      </c>
    </row>
    <row r="68" spans="1:11" ht="15.75" thickBot="1" x14ac:dyDescent="0.3">
      <c r="A68" t="s">
        <v>598</v>
      </c>
      <c r="B68" s="99">
        <v>38</v>
      </c>
      <c r="C68" s="100" t="s">
        <v>103</v>
      </c>
      <c r="E68" s="57"/>
      <c r="F68" t="s">
        <v>15</v>
      </c>
      <c r="I68" s="8">
        <f>INDEX(Std[],MATCH(RW[[#This Row],[Player]],Std[Player],0),20)</f>
        <v>150.61032362498366</v>
      </c>
      <c r="J68">
        <f>_xlfn.RANK.EQ(RW[[#This Row],[Value]],RW[Value])</f>
        <v>75</v>
      </c>
      <c r="K68" s="10">
        <f>RW[[#This Row],[Value]]-LW!$F$185+25</f>
        <v>-295.9344007652652</v>
      </c>
    </row>
    <row r="69" spans="1:11" ht="15.75" thickBot="1" x14ac:dyDescent="0.3">
      <c r="A69" t="s">
        <v>429</v>
      </c>
      <c r="B69" s="97">
        <v>36</v>
      </c>
      <c r="C69" s="98" t="s">
        <v>103</v>
      </c>
      <c r="E69" s="57"/>
      <c r="F69" t="s">
        <v>18</v>
      </c>
      <c r="I69" s="8">
        <f>INDEX(Std[],MATCH(RW[[#This Row],[Player]],Std[Player],0),20)</f>
        <v>169.79704806887969</v>
      </c>
      <c r="J69">
        <f>_xlfn.RANK.EQ(RW[[#This Row],[Value]],RW[Value])</f>
        <v>72</v>
      </c>
      <c r="K69" s="10">
        <f>RW[[#This Row],[Value]]-LW!$F$185+25</f>
        <v>-276.74767632136917</v>
      </c>
    </row>
    <row r="70" spans="1:11" ht="15.75" thickBot="1" x14ac:dyDescent="0.3">
      <c r="A70" t="s">
        <v>396</v>
      </c>
      <c r="B70" s="97">
        <v>25</v>
      </c>
      <c r="C70" s="98" t="s">
        <v>103</v>
      </c>
      <c r="E70" s="57"/>
      <c r="F70" t="s">
        <v>87</v>
      </c>
      <c r="I70" s="8">
        <f>INDEX(Std[],MATCH(RW[[#This Row],[Player]],Std[Player],0),20)</f>
        <v>178.87846006783761</v>
      </c>
      <c r="J70">
        <f>_xlfn.RANK.EQ(RW[[#This Row],[Value]],RW[Value])</f>
        <v>70</v>
      </c>
      <c r="K70" s="10">
        <f>RW[[#This Row],[Value]]-LW!$F$185+25</f>
        <v>-267.66626432241128</v>
      </c>
    </row>
    <row r="71" spans="1:11" ht="15.75" thickBot="1" x14ac:dyDescent="0.3">
      <c r="A71" t="s">
        <v>352</v>
      </c>
      <c r="B71" s="99">
        <v>24</v>
      </c>
      <c r="C71" s="100" t="s">
        <v>103</v>
      </c>
      <c r="E71" s="57"/>
      <c r="F71" t="s">
        <v>23</v>
      </c>
      <c r="I71" s="8">
        <f>INDEX(Std[],MATCH(RW[[#This Row],[Player]],Std[Player],0),20)</f>
        <v>354.88169011789876</v>
      </c>
      <c r="J71">
        <f>_xlfn.RANK.EQ(RW[[#This Row],[Value]],RW[Value])</f>
        <v>47</v>
      </c>
      <c r="K71" s="10">
        <f>RW[[#This Row],[Value]]-LW!$F$185+25</f>
        <v>-91.663034272350103</v>
      </c>
    </row>
    <row r="72" spans="1:11" ht="15.75" thickBot="1" x14ac:dyDescent="0.3">
      <c r="A72" t="s">
        <v>593</v>
      </c>
      <c r="B72" s="97">
        <v>25</v>
      </c>
      <c r="C72" s="98" t="s">
        <v>103</v>
      </c>
      <c r="E72" s="56"/>
      <c r="F72" t="s">
        <v>34</v>
      </c>
      <c r="I72" s="8">
        <f>INDEX(Std[],MATCH(RW[[#This Row],[Player]],Std[Player],0),20)</f>
        <v>197.60623468781512</v>
      </c>
      <c r="J72">
        <f>_xlfn.RANK.EQ(RW[[#This Row],[Value]],RW[Value])</f>
        <v>64</v>
      </c>
      <c r="K72" s="10">
        <f>RW[[#This Row],[Value]]-LW!$F$185+25</f>
        <v>-248.93848970243374</v>
      </c>
    </row>
    <row r="73" spans="1:11" ht="15.75" thickBot="1" x14ac:dyDescent="0.3">
      <c r="A73" t="s">
        <v>327</v>
      </c>
      <c r="B73" s="97">
        <v>29</v>
      </c>
      <c r="C73" s="98" t="s">
        <v>103</v>
      </c>
      <c r="E73" s="56"/>
      <c r="F73" t="s">
        <v>32</v>
      </c>
      <c r="I73" s="8">
        <f>INDEX(Std[],MATCH(RW[[#This Row],[Player]],Std[Player],0),20)</f>
        <v>142.44104916593662</v>
      </c>
      <c r="J73">
        <f>_xlfn.RANK.EQ(RW[[#This Row],[Value]],RW[Value])</f>
        <v>76</v>
      </c>
      <c r="K73" s="10">
        <f>RW[[#This Row],[Value]]-LW!$F$185+25</f>
        <v>-304.10367522431227</v>
      </c>
    </row>
    <row r="74" spans="1:11" ht="15.75" thickBot="1" x14ac:dyDescent="0.3">
      <c r="A74" t="s">
        <v>402</v>
      </c>
      <c r="B74" s="97">
        <v>33</v>
      </c>
      <c r="C74" s="98" t="s">
        <v>74</v>
      </c>
      <c r="D74" t="s">
        <v>103</v>
      </c>
      <c r="E74" s="56"/>
      <c r="F74" t="s">
        <v>23</v>
      </c>
      <c r="I74" s="8">
        <f>INDEX(Std[],MATCH(RW[[#This Row],[Player]],Std[Player],0),20)</f>
        <v>110.16739332417353</v>
      </c>
      <c r="J74">
        <f>_xlfn.RANK.EQ(RW[[#This Row],[Value]],RW[Value])</f>
        <v>77</v>
      </c>
      <c r="K74" s="10">
        <f>RW[[#This Row],[Value]]-LW!$F$185+25</f>
        <v>-336.37733106607533</v>
      </c>
    </row>
    <row r="75" spans="1:11" ht="15.75" thickBot="1" x14ac:dyDescent="0.3">
      <c r="A75" t="s">
        <v>698</v>
      </c>
      <c r="B75" s="99">
        <v>30</v>
      </c>
      <c r="C75" s="100" t="s">
        <v>103</v>
      </c>
      <c r="E75" s="57"/>
      <c r="F75" t="s">
        <v>9</v>
      </c>
      <c r="I75" s="8">
        <f>INDEX(Std[],MATCH(RW[[#This Row],[Player]],Std[Player],0),20)</f>
        <v>100.41437671581815</v>
      </c>
      <c r="J75">
        <f>_xlfn.RANK.EQ(RW[[#This Row],[Value]],RW[Value])</f>
        <v>78</v>
      </c>
      <c r="K75" s="10">
        <f>RW[[#This Row],[Value]]-LW!$F$185+25</f>
        <v>-346.13034767443071</v>
      </c>
    </row>
    <row r="76" spans="1:11" ht="15.75" thickBot="1" x14ac:dyDescent="0.3">
      <c r="A76" t="s">
        <v>404</v>
      </c>
      <c r="B76" s="97">
        <v>31</v>
      </c>
      <c r="C76" s="98" t="s">
        <v>103</v>
      </c>
      <c r="E76" s="56"/>
      <c r="F76" t="s">
        <v>154</v>
      </c>
      <c r="I76" s="8">
        <f>INDEX(Std[],MATCH(RW[[#This Row],[Player]],Std[Player],0),20)</f>
        <v>92.111092545278183</v>
      </c>
      <c r="J76">
        <f>_xlfn.RANK.EQ(RW[[#This Row],[Value]],RW[Value])</f>
        <v>80</v>
      </c>
      <c r="K76" s="10">
        <f>RW[[#This Row],[Value]]-LW!$F$185+25</f>
        <v>-354.43363184497071</v>
      </c>
    </row>
    <row r="77" spans="1:11" ht="15.75" thickBot="1" x14ac:dyDescent="0.3">
      <c r="A77" t="s">
        <v>416</v>
      </c>
      <c r="B77" s="99">
        <v>23</v>
      </c>
      <c r="C77" s="100" t="s">
        <v>103</v>
      </c>
      <c r="E77" s="57"/>
      <c r="F77" t="s">
        <v>156</v>
      </c>
      <c r="I77" s="8">
        <f>INDEX(Std[],MATCH(RW[[#This Row],[Player]],Std[Player],0),20)</f>
        <v>86.429073361095391</v>
      </c>
      <c r="J77">
        <f>_xlfn.RANK.EQ(RW[[#This Row],[Value]],RW[Value])</f>
        <v>81</v>
      </c>
      <c r="K77" s="10">
        <f>RW[[#This Row],[Value]]-LW!$F$185+25</f>
        <v>-360.11565102915347</v>
      </c>
    </row>
    <row r="78" spans="1:11" ht="15.75" thickBot="1" x14ac:dyDescent="0.3">
      <c r="A78" t="s">
        <v>440</v>
      </c>
      <c r="B78" s="97">
        <v>26</v>
      </c>
      <c r="C78" s="98" t="s">
        <v>103</v>
      </c>
      <c r="E78" s="57"/>
      <c r="F78" t="s">
        <v>14</v>
      </c>
      <c r="I78" s="8">
        <f>INDEX(Std[],MATCH(RW[[#This Row],[Player]],Std[Player],0),20)</f>
        <v>83.197922512675973</v>
      </c>
      <c r="J78">
        <f>_xlfn.RANK.EQ(RW[[#This Row],[Value]],RW[Value])</f>
        <v>82</v>
      </c>
      <c r="K78" s="10">
        <f>RW[[#This Row],[Value]]-LW!$F$185+25</f>
        <v>-363.34680187757289</v>
      </c>
    </row>
    <row r="79" spans="1:11" ht="15.75" thickBot="1" x14ac:dyDescent="0.3">
      <c r="A79" t="s">
        <v>772</v>
      </c>
      <c r="B79" s="97">
        <v>24</v>
      </c>
      <c r="C79" s="98" t="s">
        <v>103</v>
      </c>
      <c r="E79" s="56"/>
      <c r="F79" t="s">
        <v>87</v>
      </c>
      <c r="I79" s="8">
        <f>INDEX(Std[],MATCH(RW[[#This Row],[Player]],Std[Player],0),20)</f>
        <v>240.43819922455492</v>
      </c>
      <c r="J79">
        <f>_xlfn.RANK.EQ(RW[[#This Row],[Value]],RW[Value])</f>
        <v>57</v>
      </c>
      <c r="K79" s="10">
        <f>RW[[#This Row],[Value]]-LW!$F$185+25</f>
        <v>-206.10652516569394</v>
      </c>
    </row>
    <row r="80" spans="1:11" ht="15.75" thickBot="1" x14ac:dyDescent="0.3">
      <c r="A80" t="s">
        <v>1215</v>
      </c>
      <c r="B80" s="99"/>
      <c r="C80" s="100"/>
      <c r="D80" s="59"/>
      <c r="E80" s="57"/>
      <c r="I80" s="8">
        <f>INDEX(Std[],MATCH(RW[[#This Row],[Player]],Std[Player],0),20)</f>
        <v>82.268467192247826</v>
      </c>
      <c r="J80">
        <f>_xlfn.RANK.EQ(RW[[#This Row],[Value]],RW[Value])</f>
        <v>83</v>
      </c>
      <c r="K80" s="10">
        <f>RW[[#This Row],[Value]]-LW!$F$185+25</f>
        <v>-364.27625719800102</v>
      </c>
    </row>
    <row r="81" spans="1:11" ht="15.75" thickBot="1" x14ac:dyDescent="0.3">
      <c r="A81" t="s">
        <v>853</v>
      </c>
      <c r="B81" s="97">
        <v>22</v>
      </c>
      <c r="C81" s="98" t="s">
        <v>103</v>
      </c>
      <c r="E81" s="57"/>
      <c r="F81" t="s">
        <v>87</v>
      </c>
      <c r="I81" s="8">
        <f>INDEX(Std[],MATCH(RW[[#This Row],[Player]],Std[Player],0),20)</f>
        <v>75.333860071549125</v>
      </c>
      <c r="J81">
        <f>_xlfn.RANK.EQ(RW[[#This Row],[Value]],RW[Value])</f>
        <v>84</v>
      </c>
      <c r="K81" s="10">
        <f>RW[[#This Row],[Value]]-LW!$F$185+25</f>
        <v>-371.21086431869975</v>
      </c>
    </row>
    <row r="82" spans="1:11" ht="15.75" thickBot="1" x14ac:dyDescent="0.3">
      <c r="A82" t="s">
        <v>794</v>
      </c>
      <c r="B82" s="97">
        <v>27</v>
      </c>
      <c r="C82" s="98" t="s">
        <v>103</v>
      </c>
      <c r="E82" s="57"/>
      <c r="F82" t="s">
        <v>29</v>
      </c>
      <c r="I82" s="8">
        <f>INDEX(Std[],MATCH(RW[[#This Row],[Player]],Std[Player],0),20)</f>
        <v>415.95109291082809</v>
      </c>
      <c r="J82">
        <f>_xlfn.RANK.EQ(RW[[#This Row],[Value]],RW[Value])</f>
        <v>43</v>
      </c>
      <c r="K82" s="10">
        <f>RW[[#This Row],[Value]]-LW!$F$185+25</f>
        <v>-30.593631479420765</v>
      </c>
    </row>
    <row r="83" spans="1:11" ht="15.75" thickBot="1" x14ac:dyDescent="0.3">
      <c r="A83" t="s">
        <v>502</v>
      </c>
      <c r="B83" s="99">
        <v>27</v>
      </c>
      <c r="C83" s="100" t="s">
        <v>103</v>
      </c>
      <c r="E83" s="57"/>
      <c r="F83" t="s">
        <v>4</v>
      </c>
      <c r="I83" s="8">
        <f>INDEX(Std[],MATCH(RW[[#This Row],[Player]],Std[Player],0),20)</f>
        <v>59.175753832861488</v>
      </c>
      <c r="J83">
        <f>_xlfn.RANK.EQ(RW[[#This Row],[Value]],RW[Value])</f>
        <v>87</v>
      </c>
      <c r="K83" s="10">
        <f>RW[[#This Row],[Value]]-LW!$F$185+25</f>
        <v>-387.36897055738734</v>
      </c>
    </row>
    <row r="84" spans="1:11" ht="15.75" thickBot="1" x14ac:dyDescent="0.3">
      <c r="A84" t="s">
        <v>510</v>
      </c>
      <c r="B84" s="97">
        <v>22</v>
      </c>
      <c r="C84" s="98" t="s">
        <v>103</v>
      </c>
      <c r="E84" s="57"/>
      <c r="F84" t="s">
        <v>34</v>
      </c>
      <c r="I84" s="8">
        <f>INDEX(Std[],MATCH(RW[[#This Row],[Player]],Std[Player],0),20)</f>
        <v>35.030564692397348</v>
      </c>
      <c r="J84">
        <f>_xlfn.RANK.EQ(RW[[#This Row],[Value]],RW[Value])</f>
        <v>89</v>
      </c>
      <c r="K84" s="10">
        <f>RW[[#This Row],[Value]]-LW!$F$185+25</f>
        <v>-411.51415969785148</v>
      </c>
    </row>
    <row r="85" spans="1:11" ht="15.75" thickBot="1" x14ac:dyDescent="0.3">
      <c r="A85" t="s">
        <v>883</v>
      </c>
      <c r="B85" s="99">
        <v>36</v>
      </c>
      <c r="C85" s="100" t="s">
        <v>103</v>
      </c>
      <c r="E85" s="57"/>
      <c r="F85" t="s">
        <v>4</v>
      </c>
      <c r="I85" s="8">
        <f>INDEX(Std[],MATCH(RW[[#This Row],[Player]],Std[Player],0),20)</f>
        <v>294.02228993600016</v>
      </c>
      <c r="J85">
        <f>_xlfn.RANK.EQ(RW[[#This Row],[Value]],RW[Value])</f>
        <v>52</v>
      </c>
      <c r="K85" s="10">
        <f>RW[[#This Row],[Value]]-LW!$F$185+25</f>
        <v>-152.5224344542487</v>
      </c>
    </row>
    <row r="86" spans="1:11" ht="15.75" thickBot="1" x14ac:dyDescent="0.3">
      <c r="A86" t="s">
        <v>860</v>
      </c>
      <c r="B86" s="97">
        <v>26</v>
      </c>
      <c r="C86" s="98" t="s">
        <v>103</v>
      </c>
      <c r="E86" s="57"/>
      <c r="F86" t="s">
        <v>32</v>
      </c>
      <c r="I86" s="8">
        <f>INDEX(Std[],MATCH(RW[[#This Row],[Player]],Std[Player],0),20)</f>
        <v>28.427285048514918</v>
      </c>
      <c r="J86">
        <f>_xlfn.RANK.EQ(RW[[#This Row],[Value]],RW[Value])</f>
        <v>90</v>
      </c>
      <c r="K86" s="10">
        <f>RW[[#This Row],[Value]]-LW!$F$185+25</f>
        <v>-418.11743934173393</v>
      </c>
    </row>
    <row r="87" spans="1:11" ht="15.75" thickBot="1" x14ac:dyDescent="0.3">
      <c r="A87" t="s">
        <v>562</v>
      </c>
      <c r="B87" s="97">
        <v>22</v>
      </c>
      <c r="C87" s="98" t="s">
        <v>103</v>
      </c>
      <c r="D87" s="59"/>
      <c r="E87" s="57"/>
      <c r="I87" s="8">
        <f>INDEX(Std[],MATCH(RW[[#This Row],[Player]],Std[Player],0),20)</f>
        <v>233.07304492236568</v>
      </c>
      <c r="J87">
        <f>_xlfn.RANK.EQ(RW[[#This Row],[Value]],RW[Value])</f>
        <v>58</v>
      </c>
      <c r="K87" s="10">
        <f>RW[[#This Row],[Value]]-LW!$F$185+25</f>
        <v>-213.47167946788318</v>
      </c>
    </row>
    <row r="88" spans="1:11" ht="15.75" thickBot="1" x14ac:dyDescent="0.3">
      <c r="A88" t="s">
        <v>747</v>
      </c>
      <c r="B88" s="97">
        <v>21</v>
      </c>
      <c r="C88" s="98" t="s">
        <v>103</v>
      </c>
      <c r="E88" s="57"/>
      <c r="F88" t="s">
        <v>18</v>
      </c>
      <c r="I88" s="8">
        <f>INDEX(Std[],MATCH(RW[[#This Row],[Player]],Std[Player],0),20)</f>
        <v>63.29087227005801</v>
      </c>
      <c r="J88">
        <f>_xlfn.RANK.EQ(RW[[#This Row],[Value]],RW[Value])</f>
        <v>85</v>
      </c>
      <c r="K88" s="10">
        <f>RW[[#This Row],[Value]]-LW!$F$185+25</f>
        <v>-383.25385212019086</v>
      </c>
    </row>
    <row r="89" spans="1:11" ht="15.75" thickBot="1" x14ac:dyDescent="0.3">
      <c r="A89" t="s">
        <v>526</v>
      </c>
      <c r="B89" s="99">
        <v>26</v>
      </c>
      <c r="C89" s="100" t="s">
        <v>103</v>
      </c>
      <c r="E89" s="57"/>
      <c r="F89" t="s">
        <v>25</v>
      </c>
      <c r="I89" s="8">
        <f>INDEX(Std[],MATCH(RW[[#This Row],[Player]],Std[Player],0),20)</f>
        <v>-7.2145322488648134E-2</v>
      </c>
      <c r="J89">
        <f>_xlfn.RANK.EQ(RW[[#This Row],[Value]],RW[Value])</f>
        <v>92</v>
      </c>
      <c r="K89" s="10">
        <f>RW[[#This Row],[Value]]-LW!$F$185+25</f>
        <v>-446.61686971273753</v>
      </c>
    </row>
    <row r="90" spans="1:11" ht="15.75" thickBot="1" x14ac:dyDescent="0.3">
      <c r="A90" t="s">
        <v>1109</v>
      </c>
      <c r="B90" s="97">
        <v>35</v>
      </c>
      <c r="C90" s="98" t="s">
        <v>103</v>
      </c>
      <c r="E90" s="57"/>
      <c r="F90" t="s">
        <v>5</v>
      </c>
      <c r="I90" s="8">
        <f>INDEX(Std[],MATCH(RW[[#This Row],[Player]],Std[Player],0),20)</f>
        <v>2.8100992920597645</v>
      </c>
      <c r="J90">
        <f>_xlfn.RANK.EQ(RW[[#This Row],[Value]],RW[Value])</f>
        <v>91</v>
      </c>
      <c r="K90" s="10">
        <f>RW[[#This Row],[Value]]-LW!$F$185+25</f>
        <v>-443.7346250981891</v>
      </c>
    </row>
    <row r="91" spans="1:11" ht="15.75" thickBot="1" x14ac:dyDescent="0.3">
      <c r="A91" t="s">
        <v>576</v>
      </c>
      <c r="B91" s="97">
        <v>25</v>
      </c>
      <c r="C91" s="98" t="s">
        <v>103</v>
      </c>
      <c r="E91" s="56"/>
      <c r="F91" t="s">
        <v>18</v>
      </c>
      <c r="I91" s="8">
        <f>INDEX(Std[],MATCH(RW[[#This Row],[Player]],Std[Player],0),20)</f>
        <v>-10.535193329737384</v>
      </c>
      <c r="J91">
        <f>_xlfn.RANK.EQ(RW[[#This Row],[Value]],RW[Value])</f>
        <v>93</v>
      </c>
      <c r="K91" s="10">
        <f>RW[[#This Row],[Value]]-LW!$F$185+25</f>
        <v>-457.07991771998627</v>
      </c>
    </row>
    <row r="92" spans="1:11" ht="15.75" thickBot="1" x14ac:dyDescent="0.3">
      <c r="A92" t="s">
        <v>1254</v>
      </c>
      <c r="B92" s="99"/>
      <c r="C92" s="100"/>
      <c r="D92" s="59"/>
      <c r="E92" s="57"/>
      <c r="I92" s="8">
        <f>INDEX(Std[],MATCH(RW[[#This Row],[Player]],Std[Player],0),20)</f>
        <v>59.302504819277125</v>
      </c>
      <c r="J92">
        <f>_xlfn.RANK.EQ(RW[[#This Row],[Value]],RW[Value])</f>
        <v>86</v>
      </c>
      <c r="K92" s="10">
        <f>RW[[#This Row],[Value]]-LW!$F$185+25</f>
        <v>-387.24221957097171</v>
      </c>
    </row>
    <row r="93" spans="1:11" ht="15.75" thickBot="1" x14ac:dyDescent="0.3">
      <c r="A93" t="s">
        <v>505</v>
      </c>
      <c r="B93" s="97">
        <v>26</v>
      </c>
      <c r="C93" s="98" t="s">
        <v>103</v>
      </c>
      <c r="E93" s="57"/>
      <c r="F93" t="s">
        <v>6</v>
      </c>
      <c r="I93" s="8">
        <f>INDEX(Std[],MATCH(RW[[#This Row],[Player]],Std[Player],0),20)</f>
        <v>172.78010185289412</v>
      </c>
      <c r="J93">
        <f>_xlfn.RANK.EQ(RW[[#This Row],[Value]],RW[Value])</f>
        <v>71</v>
      </c>
      <c r="K93" s="10">
        <f>RW[[#This Row],[Value]]-LW!$F$185+25</f>
        <v>-273.76462253735474</v>
      </c>
    </row>
    <row r="94" spans="1:11" ht="15.75" thickBot="1" x14ac:dyDescent="0.3">
      <c r="A94" t="s">
        <v>456</v>
      </c>
      <c r="B94" s="99">
        <v>22</v>
      </c>
      <c r="C94" s="100" t="s">
        <v>103</v>
      </c>
      <c r="E94" s="57"/>
      <c r="F94" t="s">
        <v>2</v>
      </c>
      <c r="I94" s="8">
        <f>INDEX(Std[],MATCH(RW[[#This Row],[Player]],Std[Player],0),20)</f>
        <v>-45.714034596822984</v>
      </c>
      <c r="J94">
        <f>_xlfn.RANK.EQ(RW[[#This Row],[Value]],RW[Value])</f>
        <v>95</v>
      </c>
      <c r="K94" s="10">
        <f>RW[[#This Row],[Value]]-LW!$F$185+25</f>
        <v>-492.25875898707181</v>
      </c>
    </row>
    <row r="95" spans="1:11" ht="15.75" thickBot="1" x14ac:dyDescent="0.3">
      <c r="A95" t="s">
        <v>555</v>
      </c>
      <c r="B95" s="97">
        <v>33</v>
      </c>
      <c r="C95" s="98" t="s">
        <v>103</v>
      </c>
      <c r="E95" s="57"/>
      <c r="F95" t="s">
        <v>23</v>
      </c>
      <c r="I95" s="8">
        <f>INDEX(Std[],MATCH(RW[[#This Row],[Player]],Std[Player],0),20)</f>
        <v>-52.84353989141146</v>
      </c>
      <c r="J95">
        <f>_xlfn.RANK.EQ(RW[[#This Row],[Value]],RW[Value])</f>
        <v>98</v>
      </c>
      <c r="K95" s="10">
        <f>RW[[#This Row],[Value]]-LW!$F$185+25</f>
        <v>-499.38826428166033</v>
      </c>
    </row>
    <row r="96" spans="1:11" ht="15.75" thickBot="1" x14ac:dyDescent="0.3">
      <c r="A96" t="s">
        <v>728</v>
      </c>
      <c r="B96" s="99">
        <v>29</v>
      </c>
      <c r="C96" s="100" t="s">
        <v>103</v>
      </c>
      <c r="E96" s="56"/>
      <c r="F96" t="s">
        <v>15</v>
      </c>
      <c r="I96" s="8">
        <f>INDEX(Std[],MATCH(RW[[#This Row],[Player]],Std[Player],0),20)</f>
        <v>-46.30118682330373</v>
      </c>
      <c r="J96">
        <f>_xlfn.RANK.EQ(RW[[#This Row],[Value]],RW[Value])</f>
        <v>96</v>
      </c>
      <c r="K96" s="10">
        <f>RW[[#This Row],[Value]]-LW!$F$185+25</f>
        <v>-492.84591121355254</v>
      </c>
    </row>
    <row r="97" spans="1:11" ht="15.75" thickBot="1" x14ac:dyDescent="0.3">
      <c r="A97" t="s">
        <v>1211</v>
      </c>
      <c r="B97" s="99">
        <v>28</v>
      </c>
      <c r="C97" s="100" t="s">
        <v>103</v>
      </c>
      <c r="E97" s="57"/>
      <c r="F97" t="s">
        <v>17</v>
      </c>
      <c r="I97" s="8">
        <f>INDEX(Std[],MATCH(RW[[#This Row],[Player]],Std[Player],0),20)</f>
        <v>-36.825578549054342</v>
      </c>
      <c r="J97">
        <f>_xlfn.RANK.EQ(RW[[#This Row],[Value]],RW[Value])</f>
        <v>94</v>
      </c>
      <c r="K97" s="10">
        <f>RW[[#This Row],[Value]]-LW!$F$185+25</f>
        <v>-483.3703029393032</v>
      </c>
    </row>
    <row r="98" spans="1:11" ht="15.75" thickBot="1" x14ac:dyDescent="0.3">
      <c r="A98" t="s">
        <v>914</v>
      </c>
      <c r="B98" s="99">
        <v>24</v>
      </c>
      <c r="C98" s="100" t="s">
        <v>103</v>
      </c>
      <c r="E98" s="57"/>
      <c r="F98" t="s">
        <v>87</v>
      </c>
      <c r="I98" s="8">
        <f>INDEX(Std[],MATCH(RW[[#This Row],[Player]],Std[Player],0),20)</f>
        <v>96.167033521140425</v>
      </c>
      <c r="J98">
        <f>_xlfn.RANK.EQ(RW[[#This Row],[Value]],RW[Value])</f>
        <v>79</v>
      </c>
      <c r="K98" s="10">
        <f>RW[[#This Row],[Value]]-LW!$F$185+25</f>
        <v>-350.37769086910845</v>
      </c>
    </row>
    <row r="99" spans="1:11" ht="15.75" thickBot="1" x14ac:dyDescent="0.3">
      <c r="A99" t="s">
        <v>300</v>
      </c>
      <c r="B99" s="97">
        <v>31</v>
      </c>
      <c r="C99" s="98" t="s">
        <v>103</v>
      </c>
      <c r="E99" s="56"/>
      <c r="F99" t="s">
        <v>28</v>
      </c>
      <c r="I99" s="8">
        <f>INDEX(Std[],MATCH(RW[[#This Row],[Player]],Std[Player],0),20)</f>
        <v>-51.283480275288404</v>
      </c>
      <c r="J99">
        <f>_xlfn.RANK.EQ(RW[[#This Row],[Value]],RW[Value])</f>
        <v>97</v>
      </c>
      <c r="K99" s="10">
        <f>RW[[#This Row],[Value]]-LW!$F$185+25</f>
        <v>-497.82820466553721</v>
      </c>
    </row>
    <row r="100" spans="1:11" ht="15.75" thickBot="1" x14ac:dyDescent="0.3">
      <c r="A100" t="s">
        <v>525</v>
      </c>
      <c r="B100" s="97">
        <v>37</v>
      </c>
      <c r="C100" s="98" t="s">
        <v>103</v>
      </c>
      <c r="E100" s="57"/>
      <c r="F100" t="s">
        <v>21</v>
      </c>
      <c r="I100" s="8">
        <f>INDEX(Std[],MATCH(RW[[#This Row],[Player]],Std[Player],0),20)</f>
        <v>-86.830862663216763</v>
      </c>
      <c r="J100">
        <f>_xlfn.RANK.EQ(RW[[#This Row],[Value]],RW[Value])</f>
        <v>102</v>
      </c>
      <c r="K100" s="10">
        <f>RW[[#This Row],[Value]]-LW!$F$185+25</f>
        <v>-533.37558705346567</v>
      </c>
    </row>
    <row r="101" spans="1:11" ht="15.75" thickBot="1" x14ac:dyDescent="0.3">
      <c r="A101" t="s">
        <v>1015</v>
      </c>
      <c r="B101" s="99">
        <v>32</v>
      </c>
      <c r="C101" s="100" t="s">
        <v>103</v>
      </c>
      <c r="E101" s="56"/>
      <c r="F101" t="s">
        <v>22</v>
      </c>
      <c r="I101" s="8">
        <f>INDEX(Std[],MATCH(RW[[#This Row],[Player]],Std[Player],0),20)</f>
        <v>-71.35449910913907</v>
      </c>
      <c r="J101">
        <f>_xlfn.RANK.EQ(RW[[#This Row],[Value]],RW[Value])</f>
        <v>100</v>
      </c>
      <c r="K101" s="10">
        <f>RW[[#This Row],[Value]]-LW!$F$185+25</f>
        <v>-517.89922349938797</v>
      </c>
    </row>
    <row r="102" spans="1:11" ht="15.75" thickBot="1" x14ac:dyDescent="0.3">
      <c r="A102" t="s">
        <v>1210</v>
      </c>
      <c r="B102" s="97">
        <v>27</v>
      </c>
      <c r="C102" s="98" t="s">
        <v>103</v>
      </c>
      <c r="E102" s="57"/>
      <c r="F102" t="s">
        <v>7</v>
      </c>
      <c r="I102" s="8">
        <f>INDEX(Std[],MATCH(RW[[#This Row],[Player]],Std[Player],0),20)</f>
        <v>-84.948034008593936</v>
      </c>
      <c r="J102">
        <f>_xlfn.RANK.EQ(RW[[#This Row],[Value]],RW[Value])</f>
        <v>101</v>
      </c>
      <c r="K102" s="10">
        <f>RW[[#This Row],[Value]]-LW!$F$185+25</f>
        <v>-531.49275839884285</v>
      </c>
    </row>
    <row r="103" spans="1:11" ht="15.75" thickBot="1" x14ac:dyDescent="0.3">
      <c r="A103" t="s">
        <v>727</v>
      </c>
      <c r="B103" s="97">
        <v>30</v>
      </c>
      <c r="C103" s="98" t="s">
        <v>103</v>
      </c>
      <c r="E103" s="57"/>
      <c r="F103" t="s">
        <v>87</v>
      </c>
      <c r="I103" s="8">
        <f>INDEX(Std[],MATCH(RW[[#This Row],[Player]],Std[Player],0),20)</f>
        <v>-106.94229964191607</v>
      </c>
      <c r="J103">
        <f>_xlfn.RANK.EQ(RW[[#This Row],[Value]],RW[Value])</f>
        <v>103</v>
      </c>
      <c r="K103" s="10">
        <f>RW[[#This Row],[Value]]-LW!$F$185+25</f>
        <v>-553.48702403216498</v>
      </c>
    </row>
    <row r="104" spans="1:11" ht="15.75" thickBot="1" x14ac:dyDescent="0.3">
      <c r="A104" t="s">
        <v>417</v>
      </c>
      <c r="B104" s="97">
        <v>24</v>
      </c>
      <c r="C104" s="98" t="s">
        <v>103</v>
      </c>
      <c r="E104" s="57"/>
      <c r="F104" t="s">
        <v>2</v>
      </c>
      <c r="I104" s="8">
        <f>INDEX(Std[],MATCH(RW[[#This Row],[Player]],Std[Player],0),20)</f>
        <v>-118.13191052469358</v>
      </c>
      <c r="J104">
        <f>_xlfn.RANK.EQ(RW[[#This Row],[Value]],RW[Value])</f>
        <v>104</v>
      </c>
      <c r="K104" s="10">
        <f>RW[[#This Row],[Value]]-LW!$F$185+25</f>
        <v>-564.6766349149425</v>
      </c>
    </row>
    <row r="105" spans="1:11" ht="15.75" thickBot="1" x14ac:dyDescent="0.3">
      <c r="A105" t="s">
        <v>472</v>
      </c>
      <c r="B105" s="97">
        <v>25</v>
      </c>
      <c r="C105" s="98" t="s">
        <v>103</v>
      </c>
      <c r="E105" s="56"/>
      <c r="F105" t="s">
        <v>7</v>
      </c>
      <c r="I105" s="8">
        <f>INDEX(Std[],MATCH(RW[[#This Row],[Player]],Std[Player],0),20)</f>
        <v>-123.01440306845639</v>
      </c>
      <c r="J105">
        <f>_xlfn.RANK.EQ(RW[[#This Row],[Value]],RW[Value])</f>
        <v>105</v>
      </c>
      <c r="K105" s="10">
        <f>RW[[#This Row],[Value]]-LW!$F$185+25</f>
        <v>-569.55912745870523</v>
      </c>
    </row>
    <row r="106" spans="1:11" ht="15.75" thickBot="1" x14ac:dyDescent="0.3">
      <c r="A106" t="s">
        <v>1011</v>
      </c>
      <c r="B106" s="99">
        <v>26</v>
      </c>
      <c r="C106" s="100" t="s">
        <v>103</v>
      </c>
      <c r="E106" s="56"/>
      <c r="F106" t="s">
        <v>87</v>
      </c>
      <c r="I106" s="8">
        <f>INDEX(Std[],MATCH(RW[[#This Row],[Player]],Std[Player],0),20)</f>
        <v>-133.36046390767632</v>
      </c>
      <c r="J106">
        <f>_xlfn.RANK.EQ(RW[[#This Row],[Value]],RW[Value])</f>
        <v>106</v>
      </c>
      <c r="K106" s="10">
        <f>RW[[#This Row],[Value]]-LW!$F$185+25</f>
        <v>-579.90518829792518</v>
      </c>
    </row>
    <row r="107" spans="1:11" ht="15.75" thickBot="1" x14ac:dyDescent="0.3">
      <c r="A107" t="s">
        <v>609</v>
      </c>
      <c r="B107" s="97">
        <v>30</v>
      </c>
      <c r="C107" s="98" t="s">
        <v>103</v>
      </c>
      <c r="E107" s="57"/>
      <c r="F107" t="s">
        <v>156</v>
      </c>
      <c r="I107" s="8">
        <f>INDEX(Std[],MATCH(RW[[#This Row],[Player]],Std[Player],0),20)</f>
        <v>-152.14120093407649</v>
      </c>
      <c r="J107">
        <f>_xlfn.RANK.EQ(RW[[#This Row],[Value]],RW[Value])</f>
        <v>107</v>
      </c>
      <c r="K107" s="10">
        <f>RW[[#This Row],[Value]]-LW!$F$185+25</f>
        <v>-598.68592532432535</v>
      </c>
    </row>
    <row r="108" spans="1:11" ht="15.75" thickBot="1" x14ac:dyDescent="0.3">
      <c r="A108" t="s">
        <v>569</v>
      </c>
      <c r="B108" s="99">
        <v>28</v>
      </c>
      <c r="C108" s="100" t="s">
        <v>103</v>
      </c>
      <c r="E108" s="57"/>
      <c r="F108" t="s">
        <v>25</v>
      </c>
      <c r="I108" s="8">
        <f>INDEX(Std[],MATCH(RW[[#This Row],[Player]],Std[Player],0),20)</f>
        <v>-156.41221824805166</v>
      </c>
      <c r="J108">
        <f>_xlfn.RANK.EQ(RW[[#This Row],[Value]],RW[Value])</f>
        <v>108</v>
      </c>
      <c r="K108" s="10">
        <f>RW[[#This Row],[Value]]-LW!$F$185+25</f>
        <v>-602.95694263830046</v>
      </c>
    </row>
    <row r="109" spans="1:11" ht="15.75" thickBot="1" x14ac:dyDescent="0.3">
      <c r="A109" t="s">
        <v>714</v>
      </c>
      <c r="B109" s="99">
        <v>29</v>
      </c>
      <c r="C109" s="100" t="s">
        <v>103</v>
      </c>
      <c r="E109" s="57"/>
      <c r="F109" t="s">
        <v>5</v>
      </c>
      <c r="I109" s="8">
        <f>INDEX(Std[],MATCH(RW[[#This Row],[Player]],Std[Player],0),20)</f>
        <v>-61.371862624439459</v>
      </c>
      <c r="J109">
        <f>_xlfn.RANK.EQ(RW[[#This Row],[Value]],RW[Value])</f>
        <v>99</v>
      </c>
      <c r="K109" s="10">
        <f>RW[[#This Row],[Value]]-LW!$F$185+25</f>
        <v>-507.91658701468828</v>
      </c>
    </row>
    <row r="110" spans="1:11" ht="15.75" thickBot="1" x14ac:dyDescent="0.3">
      <c r="A110" t="s">
        <v>474</v>
      </c>
      <c r="B110" s="99">
        <v>24</v>
      </c>
      <c r="C110" s="100" t="s">
        <v>102</v>
      </c>
      <c r="D110" t="s">
        <v>103</v>
      </c>
      <c r="E110" s="57"/>
      <c r="F110" t="s">
        <v>29</v>
      </c>
      <c r="I110" s="8">
        <f>INDEX(Std[],MATCH(RW[[#This Row],[Player]],Std[Player],0),20)</f>
        <v>-189.94677751983679</v>
      </c>
      <c r="J110">
        <f>_xlfn.RANK.EQ(RW[[#This Row],[Value]],RW[Value])</f>
        <v>110</v>
      </c>
      <c r="K110" s="10">
        <f>RW[[#This Row],[Value]]-LW!$F$185+25</f>
        <v>-636.49150191008562</v>
      </c>
    </row>
    <row r="111" spans="1:11" ht="15.75" thickBot="1" x14ac:dyDescent="0.3">
      <c r="A111" t="s">
        <v>1123</v>
      </c>
      <c r="B111" s="99">
        <v>22</v>
      </c>
      <c r="C111" s="100" t="s">
        <v>103</v>
      </c>
      <c r="D111" s="59"/>
      <c r="E111" s="57"/>
      <c r="I111" s="8">
        <f>INDEX(Std[],MATCH(RW[[#This Row],[Player]],Std[Player],0),20)</f>
        <v>-167.19950648660742</v>
      </c>
      <c r="J111">
        <f>_xlfn.RANK.EQ(RW[[#This Row],[Value]],RW[Value])</f>
        <v>109</v>
      </c>
      <c r="K111" s="10">
        <f>RW[[#This Row],[Value]]-LW!$F$185+25</f>
        <v>-613.74423087685625</v>
      </c>
    </row>
    <row r="112" spans="1:11" ht="15.75" thickBot="1" x14ac:dyDescent="0.3">
      <c r="A112" t="s">
        <v>798</v>
      </c>
      <c r="B112" s="97">
        <v>30</v>
      </c>
      <c r="C112" s="98" t="s">
        <v>103</v>
      </c>
      <c r="E112" s="57"/>
      <c r="F112" t="s">
        <v>4</v>
      </c>
      <c r="I112" s="8">
        <f>INDEX(Std[],MATCH(RW[[#This Row],[Player]],Std[Player],0),20)</f>
        <v>-200.66014784739403</v>
      </c>
      <c r="J112">
        <f>_xlfn.RANK.EQ(RW[[#This Row],[Value]],RW[Value])</f>
        <v>112</v>
      </c>
      <c r="K112" s="10">
        <f>RW[[#This Row],[Value]]-LW!$F$185+25</f>
        <v>-647.20487223764292</v>
      </c>
    </row>
    <row r="113" spans="1:11" ht="15.75" thickBot="1" x14ac:dyDescent="0.3">
      <c r="A113" t="s">
        <v>670</v>
      </c>
      <c r="B113" s="97">
        <v>24</v>
      </c>
      <c r="C113" s="98" t="s">
        <v>103</v>
      </c>
      <c r="E113" s="56"/>
      <c r="F113" t="s">
        <v>155</v>
      </c>
      <c r="I113" s="8">
        <f>INDEX(Std[],MATCH(RW[[#This Row],[Player]],Std[Player],0),20)</f>
        <v>-196.57828565297595</v>
      </c>
      <c r="J113">
        <f>_xlfn.RANK.EQ(RW[[#This Row],[Value]],RW[Value])</f>
        <v>111</v>
      </c>
      <c r="K113" s="10">
        <f>RW[[#This Row],[Value]]-LW!$F$185+25</f>
        <v>-643.12301004322478</v>
      </c>
    </row>
    <row r="114" spans="1:11" ht="15.75" thickBot="1" x14ac:dyDescent="0.3">
      <c r="A114" t="s">
        <v>813</v>
      </c>
      <c r="B114" s="97">
        <v>28</v>
      </c>
      <c r="C114" s="98" t="s">
        <v>103</v>
      </c>
      <c r="E114" s="57"/>
      <c r="F114" t="s">
        <v>20</v>
      </c>
      <c r="I114" s="8">
        <f>INDEX(Std[],MATCH(RW[[#This Row],[Player]],Std[Player],0),20)</f>
        <v>-222.77169553888766</v>
      </c>
      <c r="J114">
        <f>_xlfn.RANK.EQ(RW[[#This Row],[Value]],RW[Value])</f>
        <v>116</v>
      </c>
      <c r="K114" s="10">
        <f>RW[[#This Row],[Value]]-LW!$F$185+25</f>
        <v>-669.31641992913649</v>
      </c>
    </row>
    <row r="115" spans="1:11" ht="15.75" thickBot="1" x14ac:dyDescent="0.3">
      <c r="A115" t="s">
        <v>715</v>
      </c>
      <c r="B115" s="99">
        <v>24</v>
      </c>
      <c r="C115" s="100" t="s">
        <v>103</v>
      </c>
      <c r="E115" s="56"/>
      <c r="F115" t="s">
        <v>23</v>
      </c>
      <c r="I115" s="8">
        <f>INDEX(Std[],MATCH(RW[[#This Row],[Player]],Std[Player],0),20)</f>
        <v>-233.17525915578977</v>
      </c>
      <c r="J115">
        <f>_xlfn.RANK.EQ(RW[[#This Row],[Value]],RW[Value])</f>
        <v>118</v>
      </c>
      <c r="K115" s="10">
        <f>RW[[#This Row],[Value]]-LW!$F$185+25</f>
        <v>-679.71998354603863</v>
      </c>
    </row>
    <row r="116" spans="1:11" ht="15.75" thickBot="1" x14ac:dyDescent="0.3">
      <c r="A116" t="s">
        <v>1164</v>
      </c>
      <c r="B116" s="97">
        <v>23</v>
      </c>
      <c r="C116" s="98" t="s">
        <v>103</v>
      </c>
      <c r="E116" s="57"/>
      <c r="F116" t="s">
        <v>29</v>
      </c>
      <c r="I116" s="8">
        <f>INDEX(Std[],MATCH(RW[[#This Row],[Player]],Std[Player],0),20)</f>
        <v>-221.72431100983277</v>
      </c>
      <c r="J116">
        <f>_xlfn.RANK.EQ(RW[[#This Row],[Value]],RW[Value])</f>
        <v>115</v>
      </c>
      <c r="K116" s="10">
        <f>RW[[#This Row],[Value]]-LW!$F$185+25</f>
        <v>-668.26903540008163</v>
      </c>
    </row>
    <row r="117" spans="1:11" ht="15.75" thickBot="1" x14ac:dyDescent="0.3">
      <c r="A117" t="s">
        <v>1008</v>
      </c>
      <c r="B117" s="99">
        <v>25</v>
      </c>
      <c r="C117" s="100" t="s">
        <v>103</v>
      </c>
      <c r="E117" s="57"/>
      <c r="F117" t="s">
        <v>8</v>
      </c>
      <c r="I117" s="8">
        <f>INDEX(Std[],MATCH(RW[[#This Row],[Player]],Std[Player],0),20)</f>
        <v>-223.20891940146828</v>
      </c>
      <c r="J117">
        <f>_xlfn.RANK.EQ(RW[[#This Row],[Value]],RW[Value])</f>
        <v>117</v>
      </c>
      <c r="K117" s="10">
        <f>RW[[#This Row],[Value]]-LW!$F$185+25</f>
        <v>-669.7536437917172</v>
      </c>
    </row>
    <row r="118" spans="1:11" ht="15.75" thickBot="1" x14ac:dyDescent="0.3">
      <c r="A118" t="s">
        <v>811</v>
      </c>
      <c r="B118" s="97">
        <v>33</v>
      </c>
      <c r="C118" s="98" t="s">
        <v>103</v>
      </c>
      <c r="D118" s="57"/>
      <c r="E118" s="57"/>
      <c r="F118" s="2"/>
      <c r="I118" s="8">
        <f>INDEX(Std[],MATCH(RW[[#This Row],[Player]],Std[Player],0),20)</f>
        <v>-248.46803758414686</v>
      </c>
      <c r="J118">
        <f>_xlfn.RANK.EQ(RW[[#This Row],[Value]],RW[Value])</f>
        <v>121</v>
      </c>
      <c r="K118" s="10">
        <f>RW[[#This Row],[Value]]-LW!$F$185+25</f>
        <v>-695.01276197439574</v>
      </c>
    </row>
    <row r="119" spans="1:11" ht="15.75" thickBot="1" x14ac:dyDescent="0.3">
      <c r="A119" t="s">
        <v>481</v>
      </c>
      <c r="B119" s="99">
        <v>26</v>
      </c>
      <c r="C119" s="100" t="s">
        <v>103</v>
      </c>
      <c r="D119" s="2"/>
      <c r="E119" s="57"/>
      <c r="F119" s="2" t="s">
        <v>14</v>
      </c>
      <c r="I119" s="8">
        <f>INDEX(Std[],MATCH(RW[[#This Row],[Player]],Std[Player],0),20)</f>
        <v>-245.91400586588242</v>
      </c>
      <c r="J119">
        <f>_xlfn.RANK.EQ(RW[[#This Row],[Value]],RW[Value])</f>
        <v>120</v>
      </c>
      <c r="K119" s="10">
        <f>RW[[#This Row],[Value]]-LW!$F$185+25</f>
        <v>-692.45873025613128</v>
      </c>
    </row>
    <row r="120" spans="1:11" ht="15.75" thickBot="1" x14ac:dyDescent="0.3">
      <c r="A120" t="s">
        <v>744</v>
      </c>
      <c r="B120" s="99">
        <v>22</v>
      </c>
      <c r="C120" s="100" t="s">
        <v>103</v>
      </c>
      <c r="D120" s="2"/>
      <c r="E120" s="56"/>
      <c r="F120" s="2" t="s">
        <v>6</v>
      </c>
      <c r="I120" s="8">
        <f>INDEX(Std[],MATCH(RW[[#This Row],[Player]],Std[Player],0),20)</f>
        <v>-265.43993734702724</v>
      </c>
      <c r="J120">
        <f>_xlfn.RANK.EQ(RW[[#This Row],[Value]],RW[Value])</f>
        <v>123</v>
      </c>
      <c r="K120" s="10">
        <f>RW[[#This Row],[Value]]-LW!$F$185+25</f>
        <v>-711.98466173727616</v>
      </c>
    </row>
    <row r="121" spans="1:11" ht="15.75" thickBot="1" x14ac:dyDescent="0.3">
      <c r="A121" t="s">
        <v>650</v>
      </c>
      <c r="B121" s="99">
        <v>33</v>
      </c>
      <c r="C121" s="100" t="s">
        <v>103</v>
      </c>
      <c r="D121" s="2"/>
      <c r="E121" s="56"/>
      <c r="F121" s="2" t="s">
        <v>8</v>
      </c>
      <c r="I121" s="8">
        <f>INDEX(Std[],MATCH(RW[[#This Row],[Player]],Std[Player],0),20)</f>
        <v>-215.0862629107869</v>
      </c>
      <c r="J121">
        <f>_xlfn.RANK.EQ(RW[[#This Row],[Value]],RW[Value])</f>
        <v>114</v>
      </c>
      <c r="K121" s="10">
        <f>RW[[#This Row],[Value]]-LW!$F$185+25</f>
        <v>-661.6309873010357</v>
      </c>
    </row>
    <row r="122" spans="1:11" ht="15.75" thickBot="1" x14ac:dyDescent="0.3">
      <c r="A122" t="s">
        <v>523</v>
      </c>
      <c r="B122" s="99">
        <v>26</v>
      </c>
      <c r="C122" s="100" t="s">
        <v>103</v>
      </c>
      <c r="D122" s="57"/>
      <c r="E122" s="57"/>
      <c r="F122" s="2"/>
      <c r="I122" s="8">
        <f>INDEX(Std[],MATCH(RW[[#This Row],[Player]],Std[Player],0),20)</f>
        <v>-261.80839632297887</v>
      </c>
      <c r="J122">
        <f>_xlfn.RANK.EQ(RW[[#This Row],[Value]],RW[Value])</f>
        <v>122</v>
      </c>
      <c r="K122" s="10">
        <f>RW[[#This Row],[Value]]-LW!$F$185+25</f>
        <v>-708.35312071322778</v>
      </c>
    </row>
    <row r="123" spans="1:11" ht="15.75" thickBot="1" x14ac:dyDescent="0.3">
      <c r="A123" t="s">
        <v>997</v>
      </c>
      <c r="B123" s="99"/>
      <c r="C123" s="100"/>
      <c r="D123" s="57"/>
      <c r="E123" s="57"/>
      <c r="F123" s="2"/>
      <c r="I123" s="8">
        <f>INDEX(Std[],MATCH(RW[[#This Row],[Player]],Std[Player],0),20)</f>
        <v>-274.71607904786248</v>
      </c>
      <c r="J123">
        <f>_xlfn.RANK.EQ(RW[[#This Row],[Value]],RW[Value])</f>
        <v>124</v>
      </c>
      <c r="K123" s="10">
        <f>RW[[#This Row],[Value]]-LW!$F$185+25</f>
        <v>-721.26080343811134</v>
      </c>
    </row>
    <row r="124" spans="1:11" ht="15.75" thickBot="1" x14ac:dyDescent="0.3">
      <c r="A124" t="s">
        <v>1216</v>
      </c>
      <c r="B124" s="99"/>
      <c r="C124" s="100"/>
      <c r="D124" s="57"/>
      <c r="E124" s="57"/>
      <c r="F124" s="2"/>
      <c r="I124" s="8">
        <f>INDEX(Std[],MATCH(RW[[#This Row],[Player]],Std[Player],0),20)</f>
        <v>-286.59020691753426</v>
      </c>
      <c r="J124">
        <f>_xlfn.RANK.EQ(RW[[#This Row],[Value]],RW[Value])</f>
        <v>126</v>
      </c>
      <c r="K124" s="10">
        <f>RW[[#This Row],[Value]]-LW!$F$185+25</f>
        <v>-733.13493130778306</v>
      </c>
    </row>
    <row r="125" spans="1:11" ht="15.75" thickBot="1" x14ac:dyDescent="0.3">
      <c r="A125" t="s">
        <v>987</v>
      </c>
      <c r="B125" s="97">
        <v>32</v>
      </c>
      <c r="C125" s="98" t="s">
        <v>103</v>
      </c>
      <c r="D125" s="2"/>
      <c r="E125" s="57"/>
      <c r="F125" s="2" t="s">
        <v>12</v>
      </c>
      <c r="I125" s="8">
        <f>INDEX(Std[],MATCH(RW[[#This Row],[Player]],Std[Player],0),20)</f>
        <v>-213.16676781177713</v>
      </c>
      <c r="J125">
        <f>_xlfn.RANK.EQ(RW[[#This Row],[Value]],RW[Value])</f>
        <v>113</v>
      </c>
      <c r="K125" s="10">
        <f>RW[[#This Row],[Value]]-LW!$F$185+25</f>
        <v>-659.71149220202597</v>
      </c>
    </row>
    <row r="126" spans="1:11" ht="15.75" thickBot="1" x14ac:dyDescent="0.3">
      <c r="A126" t="s">
        <v>1141</v>
      </c>
      <c r="B126" s="99">
        <v>26</v>
      </c>
      <c r="C126" s="100" t="s">
        <v>103</v>
      </c>
      <c r="D126" s="2"/>
      <c r="E126" s="57"/>
      <c r="F126" s="2" t="s">
        <v>9</v>
      </c>
      <c r="I126" s="8">
        <f>INDEX(Std[],MATCH(RW[[#This Row],[Player]],Std[Player],0),20)</f>
        <v>-276.6682601192166</v>
      </c>
      <c r="J126">
        <f>_xlfn.RANK.EQ(RW[[#This Row],[Value]],RW[Value])</f>
        <v>125</v>
      </c>
      <c r="K126" s="10">
        <f>RW[[#This Row],[Value]]-LW!$F$185+25</f>
        <v>-723.21298450946551</v>
      </c>
    </row>
    <row r="127" spans="1:11" ht="15.75" thickBot="1" x14ac:dyDescent="0.3">
      <c r="A127" t="s">
        <v>680</v>
      </c>
      <c r="B127" s="99">
        <v>24</v>
      </c>
      <c r="C127" s="100" t="s">
        <v>103</v>
      </c>
      <c r="D127" s="2"/>
      <c r="E127" s="56"/>
      <c r="F127" s="2" t="s">
        <v>21</v>
      </c>
      <c r="I127" s="8">
        <f>INDEX(Std[],MATCH(RW[[#This Row],[Player]],Std[Player],0),20)</f>
        <v>-300.56991491581471</v>
      </c>
      <c r="J127">
        <f>_xlfn.RANK.EQ(RW[[#This Row],[Value]],RW[Value])</f>
        <v>128</v>
      </c>
      <c r="K127" s="10">
        <f>RW[[#This Row],[Value]]-LW!$F$185+25</f>
        <v>-747.11463930606351</v>
      </c>
    </row>
    <row r="128" spans="1:11" ht="15.75" thickBot="1" x14ac:dyDescent="0.3">
      <c r="A128" t="s">
        <v>716</v>
      </c>
      <c r="B128" s="97">
        <v>24</v>
      </c>
      <c r="C128" s="98" t="s">
        <v>103</v>
      </c>
      <c r="D128" s="2"/>
      <c r="E128" s="57"/>
      <c r="F128" s="2" t="s">
        <v>2</v>
      </c>
      <c r="I128" s="8">
        <f>INDEX(Std[],MATCH(RW[[#This Row],[Player]],Std[Player],0),20)</f>
        <v>-298.74213672324311</v>
      </c>
      <c r="J128">
        <f>_xlfn.RANK.EQ(RW[[#This Row],[Value]],RW[Value])</f>
        <v>127</v>
      </c>
      <c r="K128" s="10">
        <f>RW[[#This Row],[Value]]-LW!$F$185+25</f>
        <v>-745.28686111349202</v>
      </c>
    </row>
    <row r="129" spans="1:11" ht="15.75" thickBot="1" x14ac:dyDescent="0.3">
      <c r="A129" t="s">
        <v>738</v>
      </c>
      <c r="B129" s="99">
        <v>34</v>
      </c>
      <c r="C129" s="100" t="s">
        <v>103</v>
      </c>
      <c r="D129" s="2"/>
      <c r="E129" s="56"/>
      <c r="F129" s="2" t="s">
        <v>4</v>
      </c>
      <c r="I129" s="8">
        <f>INDEX(Std[],MATCH(RW[[#This Row],[Player]],Std[Player],0),20)</f>
        <v>-234.70023254757524</v>
      </c>
      <c r="J129">
        <f>_xlfn.RANK.EQ(RW[[#This Row],[Value]],RW[Value])</f>
        <v>119</v>
      </c>
      <c r="K129" s="10">
        <f>RW[[#This Row],[Value]]-LW!$F$185+25</f>
        <v>-681.2449569378241</v>
      </c>
    </row>
    <row r="130" spans="1:11" ht="15.75" thickBot="1" x14ac:dyDescent="0.3">
      <c r="A130" t="s">
        <v>660</v>
      </c>
      <c r="B130" s="99">
        <v>24</v>
      </c>
      <c r="C130" s="100" t="s">
        <v>103</v>
      </c>
      <c r="D130" s="2"/>
      <c r="E130" s="57"/>
      <c r="F130" s="2" t="s">
        <v>25</v>
      </c>
      <c r="I130" s="8">
        <f>INDEX(Std[],MATCH(RW[[#This Row],[Player]],Std[Player],0),20)</f>
        <v>-330.33957849925019</v>
      </c>
      <c r="J130">
        <f>_xlfn.RANK.EQ(RW[[#This Row],[Value]],RW[Value])</f>
        <v>130</v>
      </c>
      <c r="K130" s="10">
        <f>RW[[#This Row],[Value]]-LW!$F$185+25</f>
        <v>-776.88430288949905</v>
      </c>
    </row>
    <row r="131" spans="1:11" ht="15.75" thickBot="1" x14ac:dyDescent="0.3">
      <c r="A131" t="s">
        <v>648</v>
      </c>
      <c r="B131" s="97">
        <v>22</v>
      </c>
      <c r="C131" s="98" t="s">
        <v>103</v>
      </c>
      <c r="D131" s="2"/>
      <c r="E131" s="57"/>
      <c r="F131" s="2" t="s">
        <v>21</v>
      </c>
      <c r="I131" s="8">
        <f>INDEX(Std[],MATCH(RW[[#This Row],[Player]],Std[Player],0),20)</f>
        <v>-345.38953806863981</v>
      </c>
      <c r="J131">
        <f>_xlfn.RANK.EQ(RW[[#This Row],[Value]],RW[Value])</f>
        <v>131</v>
      </c>
      <c r="K131" s="10">
        <f>RW[[#This Row],[Value]]-LW!$F$185+25</f>
        <v>-791.93426245888872</v>
      </c>
    </row>
    <row r="132" spans="1:11" x14ac:dyDescent="0.25">
      <c r="A132" t="s">
        <v>938</v>
      </c>
      <c r="B132" s="105">
        <v>21</v>
      </c>
      <c r="C132" s="104" t="s">
        <v>103</v>
      </c>
      <c r="D132" s="2"/>
      <c r="E132" s="57"/>
      <c r="F132" s="2" t="s">
        <v>20</v>
      </c>
      <c r="I132" s="8">
        <f>INDEX(Std[],MATCH(RW[[#This Row],[Player]],Std[Player],0),20)</f>
        <v>-350.5864492718905</v>
      </c>
      <c r="J132">
        <f>_xlfn.RANK.EQ(RW[[#This Row],[Value]],RW[Value])</f>
        <v>133</v>
      </c>
      <c r="K132" s="10">
        <f>RW[[#This Row],[Value]]-LW!$F$185+25</f>
        <v>-797.13117366213942</v>
      </c>
    </row>
    <row r="133" spans="1:11" x14ac:dyDescent="0.25">
      <c r="A133" t="s">
        <v>511</v>
      </c>
      <c r="B133" s="105"/>
      <c r="C133" s="104"/>
      <c r="D133" s="57"/>
      <c r="E133" s="57"/>
      <c r="F133" s="2"/>
      <c r="I133" s="8">
        <f>INDEX(Std[],MATCH(RW[[#This Row],[Player]],Std[Player],0),20)</f>
        <v>-350.01578378392139</v>
      </c>
      <c r="J133">
        <f>_xlfn.RANK.EQ(RW[[#This Row],[Value]],RW[Value])</f>
        <v>132</v>
      </c>
      <c r="K133" s="10">
        <f>RW[[#This Row],[Value]]-LW!$F$185+25</f>
        <v>-796.56050817417031</v>
      </c>
    </row>
    <row r="134" spans="1:11" x14ac:dyDescent="0.25">
      <c r="A134" t="s">
        <v>653</v>
      </c>
      <c r="B134" s="103">
        <v>24</v>
      </c>
      <c r="C134" s="59" t="s">
        <v>103</v>
      </c>
      <c r="D134" s="2"/>
      <c r="E134" s="57"/>
      <c r="F134" s="2" t="s">
        <v>16</v>
      </c>
      <c r="I134" s="8">
        <f>INDEX(Std[],MATCH(RW[[#This Row],[Player]],Std[Player],0),20)</f>
        <v>-358.13228061643645</v>
      </c>
      <c r="J134">
        <f>_xlfn.RANK.EQ(RW[[#This Row],[Value]],RW[Value])</f>
        <v>135</v>
      </c>
      <c r="K134" s="10">
        <f>RW[[#This Row],[Value]]-LW!$F$185+25</f>
        <v>-804.67700500668525</v>
      </c>
    </row>
    <row r="135" spans="1:11" x14ac:dyDescent="0.25">
      <c r="A135" t="s">
        <v>623</v>
      </c>
      <c r="B135" s="105">
        <v>32</v>
      </c>
      <c r="C135" s="104" t="s">
        <v>103</v>
      </c>
      <c r="D135" s="2"/>
      <c r="E135" s="56"/>
      <c r="F135" s="2" t="s">
        <v>28</v>
      </c>
      <c r="I135" s="8">
        <f>INDEX(Std[],MATCH(RW[[#This Row],[Player]],Std[Player],0),20)</f>
        <v>-355.29002253663896</v>
      </c>
      <c r="J135">
        <f>_xlfn.RANK.EQ(RW[[#This Row],[Value]],RW[Value])</f>
        <v>134</v>
      </c>
      <c r="K135" s="10">
        <f>RW[[#This Row],[Value]]-LW!$F$185+25</f>
        <v>-801.83474692688787</v>
      </c>
    </row>
    <row r="136" spans="1:11" x14ac:dyDescent="0.25">
      <c r="A136" t="s">
        <v>804</v>
      </c>
      <c r="B136" s="105"/>
      <c r="C136" s="104"/>
      <c r="D136" s="57"/>
      <c r="E136" s="57"/>
      <c r="F136" s="2"/>
      <c r="I136" s="8">
        <f>INDEX(Std[],MATCH(RW[[#This Row],[Player]],Std[Player],0),20)</f>
        <v>-316.26213186416732</v>
      </c>
      <c r="J136">
        <f>_xlfn.RANK.EQ(RW[[#This Row],[Value]],RW[Value])</f>
        <v>129</v>
      </c>
      <c r="K136" s="10">
        <f>RW[[#This Row],[Value]]-LW!$F$185+25</f>
        <v>-762.80685625441618</v>
      </c>
    </row>
    <row r="137" spans="1:11" x14ac:dyDescent="0.25">
      <c r="A137" t="s">
        <v>1019</v>
      </c>
      <c r="B137" s="105"/>
      <c r="C137" s="104"/>
      <c r="D137" s="57"/>
      <c r="E137" s="57"/>
      <c r="F137" s="2"/>
      <c r="I137" s="8">
        <f>INDEX(Std[],MATCH(RW[[#This Row],[Player]],Std[Player],0),20)</f>
        <v>-363.11447716842616</v>
      </c>
      <c r="J137">
        <f>_xlfn.RANK.EQ(RW[[#This Row],[Value]],RW[Value])</f>
        <v>136</v>
      </c>
      <c r="K137" s="10">
        <f>RW[[#This Row],[Value]]-LW!$F$185+25</f>
        <v>-809.65920155867502</v>
      </c>
    </row>
    <row r="138" spans="1:11" x14ac:dyDescent="0.25">
      <c r="A138" t="s">
        <v>604</v>
      </c>
      <c r="B138" s="105"/>
      <c r="C138" s="104"/>
      <c r="D138" s="57"/>
      <c r="E138" s="57"/>
      <c r="F138" s="2"/>
      <c r="I138" s="8">
        <f>INDEX(Std[],MATCH(RW[[#This Row],[Player]],Std[Player],0),20)</f>
        <v>-375.09363502522791</v>
      </c>
      <c r="J138">
        <f>_xlfn.RANK.EQ(RW[[#This Row],[Value]],RW[Value])</f>
        <v>137</v>
      </c>
      <c r="K138" s="10">
        <f>RW[[#This Row],[Value]]-LW!$F$185+25</f>
        <v>-821.63835941547677</v>
      </c>
    </row>
    <row r="139" spans="1:11" x14ac:dyDescent="0.25">
      <c r="A139" t="s">
        <v>725</v>
      </c>
      <c r="B139" s="105">
        <v>25</v>
      </c>
      <c r="C139" s="104" t="s">
        <v>103</v>
      </c>
      <c r="D139" s="2"/>
      <c r="E139" s="57"/>
      <c r="F139" s="2" t="s">
        <v>155</v>
      </c>
      <c r="I139" s="8">
        <f>INDEX(Std[],MATCH(RW[[#This Row],[Player]],Std[Player],0),20)</f>
        <v>-396.84321128418446</v>
      </c>
      <c r="J139">
        <f>_xlfn.RANK.EQ(RW[[#This Row],[Value]],RW[Value])</f>
        <v>139</v>
      </c>
      <c r="K139" s="10">
        <f>RW[[#This Row],[Value]]-LW!$F$185+25</f>
        <v>-843.38793567443327</v>
      </c>
    </row>
    <row r="140" spans="1:11" x14ac:dyDescent="0.25">
      <c r="A140" t="s">
        <v>711</v>
      </c>
      <c r="B140" s="105"/>
      <c r="C140" s="104"/>
      <c r="D140" s="57"/>
      <c r="E140" s="57"/>
      <c r="F140" s="2"/>
      <c r="I140" s="8">
        <f>INDEX(Std[],MATCH(RW[[#This Row],[Player]],Std[Player],0),20)</f>
        <v>-390.93145620915709</v>
      </c>
      <c r="J140">
        <f>_xlfn.RANK.EQ(RW[[#This Row],[Value]],RW[Value])</f>
        <v>138</v>
      </c>
      <c r="K140" s="10">
        <f>RW[[#This Row],[Value]]-LW!$F$185+25</f>
        <v>-837.47618059940601</v>
      </c>
    </row>
    <row r="141" spans="1:11" x14ac:dyDescent="0.25">
      <c r="A141" t="s">
        <v>1140</v>
      </c>
      <c r="B141" s="105"/>
      <c r="C141" s="104"/>
      <c r="D141" s="57"/>
      <c r="E141" s="57"/>
      <c r="F141" s="2"/>
      <c r="I141" s="8">
        <f>INDEX(Std[],MATCH(RW[[#This Row],[Player]],Std[Player],0),20)</f>
        <v>-419.12546475295471</v>
      </c>
      <c r="J141">
        <f>_xlfn.RANK.EQ(RW[[#This Row],[Value]],RW[Value])</f>
        <v>140</v>
      </c>
      <c r="K141" s="10">
        <f>RW[[#This Row],[Value]]-LW!$F$185+25</f>
        <v>-865.67018914320352</v>
      </c>
    </row>
    <row r="142" spans="1:11" x14ac:dyDescent="0.25">
      <c r="A142" t="s">
        <v>455</v>
      </c>
      <c r="B142" s="105"/>
      <c r="C142" s="104"/>
      <c r="D142" s="57"/>
      <c r="E142" s="57"/>
      <c r="F142" s="2"/>
      <c r="I142" s="8">
        <f>INDEX(Std[],MATCH(RW[[#This Row],[Player]],Std[Player],0),20)</f>
        <v>-434.70156972497131</v>
      </c>
      <c r="J142">
        <f>_xlfn.RANK.EQ(RW[[#This Row],[Value]],RW[Value])</f>
        <v>141</v>
      </c>
      <c r="K142" s="10">
        <f>RW[[#This Row],[Value]]-LW!$F$185+25</f>
        <v>-881.24629411522017</v>
      </c>
    </row>
    <row r="143" spans="1:11" x14ac:dyDescent="0.25">
      <c r="A143" t="s">
        <v>551</v>
      </c>
      <c r="B143" s="105"/>
      <c r="C143" s="104"/>
      <c r="D143" s="57"/>
      <c r="E143" s="57"/>
      <c r="F143" s="2"/>
      <c r="I143" s="8">
        <f>INDEX(Std[],MATCH(RW[[#This Row],[Player]],Std[Player],0),20)</f>
        <v>-481.21559784127987</v>
      </c>
      <c r="J143">
        <f>_xlfn.RANK.EQ(RW[[#This Row],[Value]],RW[Value])</f>
        <v>143</v>
      </c>
      <c r="K143" s="10">
        <f>RW[[#This Row],[Value]]-LW!$F$185+25</f>
        <v>-927.76032223152879</v>
      </c>
    </row>
    <row r="144" spans="1:11" x14ac:dyDescent="0.25">
      <c r="A144" t="s">
        <v>1006</v>
      </c>
      <c r="B144" s="105"/>
      <c r="C144" s="104"/>
      <c r="D144" s="57"/>
      <c r="E144" s="57"/>
      <c r="F144" s="2"/>
      <c r="I144" s="8">
        <f>INDEX(Std[],MATCH(RW[[#This Row],[Player]],Std[Player],0),20)</f>
        <v>-464.59146847164948</v>
      </c>
      <c r="J144">
        <f>_xlfn.RANK.EQ(RW[[#This Row],[Value]],RW[Value])</f>
        <v>142</v>
      </c>
      <c r="K144" s="10">
        <f>RW[[#This Row],[Value]]-LW!$F$185+25</f>
        <v>-911.13619286189828</v>
      </c>
    </row>
    <row r="145" spans="1:11" x14ac:dyDescent="0.25">
      <c r="A145" t="s">
        <v>631</v>
      </c>
      <c r="B145" s="105"/>
      <c r="C145" s="104"/>
      <c r="D145" s="57"/>
      <c r="E145" s="57"/>
      <c r="F145" s="2"/>
      <c r="I145" s="8">
        <f>INDEX(Std[],MATCH(RW[[#This Row],[Player]],Std[Player],0),20)</f>
        <v>-515.8902671715507</v>
      </c>
      <c r="J145">
        <f>_xlfn.RANK.EQ(RW[[#This Row],[Value]],RW[Value])</f>
        <v>144</v>
      </c>
      <c r="K145" s="10">
        <f>RW[[#This Row],[Value]]-LW!$F$185+25</f>
        <v>-962.43499156179951</v>
      </c>
    </row>
    <row r="146" spans="1:11" x14ac:dyDescent="0.25">
      <c r="A146" t="s">
        <v>821</v>
      </c>
      <c r="B146" s="105"/>
      <c r="C146" s="104"/>
      <c r="D146" s="57"/>
      <c r="E146" s="57"/>
      <c r="F146" s="2"/>
      <c r="I146" s="8">
        <f>INDEX(Std[],MATCH(RW[[#This Row],[Player]],Std[Player],0),20)</f>
        <v>-524.08811842500154</v>
      </c>
      <c r="J146">
        <f>_xlfn.RANK.EQ(RW[[#This Row],[Value]],RW[Value])</f>
        <v>145</v>
      </c>
      <c r="K146" s="10">
        <f>RW[[#This Row],[Value]]-LW!$F$185+25</f>
        <v>-970.63284281525034</v>
      </c>
    </row>
    <row r="147" spans="1:11" x14ac:dyDescent="0.25">
      <c r="A147" t="s">
        <v>483</v>
      </c>
      <c r="B147" s="105"/>
      <c r="C147" s="104"/>
      <c r="D147" s="57"/>
      <c r="E147" s="57"/>
      <c r="F147" s="2"/>
      <c r="I147" s="8">
        <f>INDEX(Std[],MATCH(RW[[#This Row],[Player]],Std[Player],0),20)</f>
        <v>-532.60090076169206</v>
      </c>
      <c r="J147">
        <f>_xlfn.RANK.EQ(RW[[#This Row],[Value]],RW[Value])</f>
        <v>147</v>
      </c>
      <c r="K147" s="10">
        <f>RW[[#This Row],[Value]]-LW!$F$185+25</f>
        <v>-979.14562515194098</v>
      </c>
    </row>
    <row r="148" spans="1:11" x14ac:dyDescent="0.25">
      <c r="A148" t="s">
        <v>1035</v>
      </c>
      <c r="B148" s="105"/>
      <c r="C148" s="104"/>
      <c r="D148" s="57"/>
      <c r="E148" s="57"/>
      <c r="F148" s="2"/>
      <c r="I148" s="8">
        <f>INDEX(Std[],MATCH(RW[[#This Row],[Player]],Std[Player],0),20)</f>
        <v>-532.23680201555237</v>
      </c>
      <c r="J148">
        <f>_xlfn.RANK.EQ(RW[[#This Row],[Value]],RW[Value])</f>
        <v>146</v>
      </c>
      <c r="K148" s="10">
        <f>RW[[#This Row],[Value]]-LW!$F$185+25</f>
        <v>-978.78152640580129</v>
      </c>
    </row>
    <row r="149" spans="1:11" x14ac:dyDescent="0.25">
      <c r="A149" t="s">
        <v>765</v>
      </c>
      <c r="B149" s="105"/>
      <c r="C149" s="104"/>
      <c r="D149" s="57"/>
      <c r="E149" s="57"/>
      <c r="F149" s="2"/>
      <c r="I149" s="8">
        <f>INDEX(Std[],MATCH(RW[[#This Row],[Player]],Std[Player],0),20)</f>
        <v>-575.1024760357252</v>
      </c>
      <c r="J149">
        <f>_xlfn.RANK.EQ(RW[[#This Row],[Value]],RW[Value])</f>
        <v>150</v>
      </c>
      <c r="K149" s="10">
        <f>RW[[#This Row],[Value]]-LW!$F$185+25</f>
        <v>-1021.647200425974</v>
      </c>
    </row>
    <row r="150" spans="1:11" x14ac:dyDescent="0.25">
      <c r="A150" t="s">
        <v>986</v>
      </c>
      <c r="B150" s="105"/>
      <c r="C150" s="104"/>
      <c r="D150" s="57"/>
      <c r="E150" s="57"/>
      <c r="F150" s="2"/>
      <c r="I150" s="8">
        <f>INDEX(Std[],MATCH(RW[[#This Row],[Player]],Std[Player],0),20)</f>
        <v>-564.49655644079598</v>
      </c>
      <c r="J150">
        <f>_xlfn.RANK.EQ(RW[[#This Row],[Value]],RW[Value])</f>
        <v>149</v>
      </c>
      <c r="K150" s="10">
        <f>RW[[#This Row],[Value]]-LW!$F$185+25</f>
        <v>-1011.0412808310448</v>
      </c>
    </row>
    <row r="151" spans="1:11" x14ac:dyDescent="0.25">
      <c r="A151" t="s">
        <v>1042</v>
      </c>
      <c r="B151" s="105"/>
      <c r="C151" s="104"/>
      <c r="D151" s="57"/>
      <c r="E151" s="57"/>
      <c r="F151" s="2"/>
      <c r="I151" s="8">
        <f>INDEX(Std[],MATCH(RW[[#This Row],[Player]],Std[Player],0),20)</f>
        <v>-541.78958543306703</v>
      </c>
      <c r="J151">
        <f>_xlfn.RANK.EQ(RW[[#This Row],[Value]],RW[Value])</f>
        <v>148</v>
      </c>
      <c r="K151" s="10">
        <f>RW[[#This Row],[Value]]-LW!$F$185+25</f>
        <v>-988.33430982331583</v>
      </c>
    </row>
    <row r="152" spans="1:11" x14ac:dyDescent="0.25">
      <c r="A152" t="s">
        <v>543</v>
      </c>
      <c r="B152" s="105"/>
      <c r="C152" s="104"/>
      <c r="D152" s="57"/>
      <c r="E152" s="57"/>
      <c r="F152" s="2"/>
      <c r="I152" s="8">
        <f>INDEX(Std[],MATCH(RW[[#This Row],[Player]],Std[Player],0),20)</f>
        <v>-599.7542890285979</v>
      </c>
      <c r="J152">
        <f>_xlfn.RANK.EQ(RW[[#This Row],[Value]],RW[Value])</f>
        <v>151</v>
      </c>
      <c r="K152" s="10">
        <f>RW[[#This Row],[Value]]-LW!$F$185+25</f>
        <v>-1046.2990134188467</v>
      </c>
    </row>
    <row r="153" spans="1:11" x14ac:dyDescent="0.25">
      <c r="A153" t="s">
        <v>1155</v>
      </c>
      <c r="B153" s="105"/>
      <c r="C153" s="104"/>
      <c r="D153" s="57"/>
      <c r="E153" s="57"/>
      <c r="F153" s="2"/>
      <c r="I153" s="8">
        <f>INDEX(Std[],MATCH(RW[[#This Row],[Player]],Std[Player],0),20)</f>
        <v>-627.6060269258827</v>
      </c>
      <c r="J153">
        <f>_xlfn.RANK.EQ(RW[[#This Row],[Value]],RW[Value])</f>
        <v>153</v>
      </c>
      <c r="K153" s="10">
        <f>RW[[#This Row],[Value]]-LW!$F$185+25</f>
        <v>-1074.1507513161316</v>
      </c>
    </row>
    <row r="154" spans="1:11" x14ac:dyDescent="0.25">
      <c r="A154" t="s">
        <v>1095</v>
      </c>
      <c r="B154" s="105"/>
      <c r="C154" s="104"/>
      <c r="D154" s="57"/>
      <c r="E154" s="57"/>
      <c r="F154" s="2"/>
      <c r="I154" s="8">
        <f>INDEX(Std[],MATCH(RW[[#This Row],[Player]],Std[Player],0),20)</f>
        <v>-627.30446514418315</v>
      </c>
      <c r="J154">
        <f>_xlfn.RANK.EQ(RW[[#This Row],[Value]],RW[Value])</f>
        <v>152</v>
      </c>
      <c r="K154" s="10">
        <f>RW[[#This Row],[Value]]-LW!$F$185+25</f>
        <v>-1073.8491895344321</v>
      </c>
    </row>
    <row r="155" spans="1:11" x14ac:dyDescent="0.25">
      <c r="A155" t="s">
        <v>1044</v>
      </c>
      <c r="B155" s="105"/>
      <c r="C155" s="104"/>
      <c r="D155" s="57"/>
      <c r="E155" s="57"/>
      <c r="F155" s="2"/>
      <c r="I155" s="8">
        <f>INDEX(Std[],MATCH(RW[[#This Row],[Player]],Std[Player],0),20)</f>
        <v>-654.25923422800633</v>
      </c>
      <c r="J155">
        <f>_xlfn.RANK.EQ(RW[[#This Row],[Value]],RW[Value])</f>
        <v>154</v>
      </c>
      <c r="K155" s="10">
        <f>RW[[#This Row],[Value]]-LW!$F$185+25</f>
        <v>-1100.8039586182551</v>
      </c>
    </row>
    <row r="156" spans="1:11" x14ac:dyDescent="0.25">
      <c r="A156" t="s">
        <v>942</v>
      </c>
      <c r="B156" s="105"/>
      <c r="C156" s="104"/>
      <c r="D156" s="57"/>
      <c r="E156" s="57"/>
      <c r="F156" s="2"/>
      <c r="I156" s="8">
        <f>INDEX(Std[],MATCH(RW[[#This Row],[Player]],Std[Player],0),20)</f>
        <v>-666.82942391579491</v>
      </c>
      <c r="J156">
        <f>_xlfn.RANK.EQ(RW[[#This Row],[Value]],RW[Value])</f>
        <v>155</v>
      </c>
      <c r="K156" s="10">
        <f>RW[[#This Row],[Value]]-LW!$F$185+25</f>
        <v>-1113.3741483060437</v>
      </c>
    </row>
    <row r="157" spans="1:11" x14ac:dyDescent="0.25">
      <c r="A157" t="s">
        <v>465</v>
      </c>
      <c r="B157" s="105"/>
      <c r="C157" s="104"/>
      <c r="D157" s="57"/>
      <c r="E157" s="57"/>
      <c r="F157" s="2"/>
      <c r="I157" s="8">
        <f>INDEX(Std[],MATCH(RW[[#This Row],[Player]],Std[Player],0),20)</f>
        <v>-694.47015351067319</v>
      </c>
      <c r="J157">
        <f>_xlfn.RANK.EQ(RW[[#This Row],[Value]],RW[Value])</f>
        <v>156</v>
      </c>
      <c r="K157" s="10">
        <f>RW[[#This Row],[Value]]-LW!$F$185+25</f>
        <v>-1141.0148779009221</v>
      </c>
    </row>
    <row r="158" spans="1:11" x14ac:dyDescent="0.25">
      <c r="A158" t="s">
        <v>799</v>
      </c>
      <c r="B158" s="105"/>
      <c r="C158" s="104"/>
      <c r="D158" s="57"/>
      <c r="E158" s="57"/>
      <c r="F158" s="2"/>
      <c r="I158" s="8">
        <f>INDEX(Std[],MATCH(RW[[#This Row],[Player]],Std[Player],0),20)</f>
        <v>-730.19224592161845</v>
      </c>
      <c r="J158">
        <f>_xlfn.RANK.EQ(RW[[#This Row],[Value]],RW[Value])</f>
        <v>157</v>
      </c>
      <c r="K158" s="10">
        <f>RW[[#This Row],[Value]]-LW!$F$185+25</f>
        <v>-1176.7369703118673</v>
      </c>
    </row>
    <row r="159" spans="1:11" x14ac:dyDescent="0.25">
      <c r="A159" t="s">
        <v>1046</v>
      </c>
      <c r="B159" s="105"/>
      <c r="C159" s="104"/>
      <c r="D159" s="57"/>
      <c r="E159" s="57"/>
      <c r="F159" s="2"/>
      <c r="I159" s="8">
        <f>INDEX(Std[],MATCH(RW[[#This Row],[Player]],Std[Player],0),20)</f>
        <v>-756.78279456938697</v>
      </c>
      <c r="J159">
        <f>_xlfn.RANK.EQ(RW[[#This Row],[Value]],RW[Value])</f>
        <v>159</v>
      </c>
      <c r="K159" s="10">
        <f>RW[[#This Row],[Value]]-LW!$F$185+25</f>
        <v>-1203.3275189596359</v>
      </c>
    </row>
    <row r="160" spans="1:11" x14ac:dyDescent="0.25">
      <c r="A160" t="s">
        <v>1167</v>
      </c>
      <c r="B160" s="105"/>
      <c r="C160" s="104"/>
      <c r="D160" s="57"/>
      <c r="E160" s="57"/>
      <c r="F160" s="2"/>
      <c r="I160" s="8">
        <f>INDEX(Std[],MATCH(RW[[#This Row],[Player]],Std[Player],0),20)</f>
        <v>-751.95875421562289</v>
      </c>
      <c r="J160">
        <f>_xlfn.RANK.EQ(RW[[#This Row],[Value]],RW[Value])</f>
        <v>158</v>
      </c>
      <c r="K160" s="10">
        <f>RW[[#This Row],[Value]]-LW!$F$185+25</f>
        <v>-1198.5034786058718</v>
      </c>
    </row>
    <row r="161" spans="1:11" x14ac:dyDescent="0.25">
      <c r="A161" t="s">
        <v>1038</v>
      </c>
      <c r="B161" s="105"/>
      <c r="C161" s="104"/>
      <c r="D161" s="57"/>
      <c r="E161" s="57"/>
      <c r="F161" s="2"/>
      <c r="I161" s="8">
        <f>INDEX(Std[],MATCH(RW[[#This Row],[Player]],Std[Player],0),20)</f>
        <v>-801.2803372698462</v>
      </c>
      <c r="J161">
        <f>_xlfn.RANK.EQ(RW[[#This Row],[Value]],RW[Value])</f>
        <v>161</v>
      </c>
      <c r="K161" s="10">
        <f>RW[[#This Row],[Value]]-LW!$F$185+25</f>
        <v>-1247.8250616600951</v>
      </c>
    </row>
    <row r="162" spans="1:11" x14ac:dyDescent="0.25">
      <c r="A162" s="2" t="s">
        <v>1093</v>
      </c>
      <c r="B162" s="105"/>
      <c r="C162" s="104"/>
      <c r="D162" s="57"/>
      <c r="E162" s="57"/>
      <c r="F162" s="2"/>
      <c r="I162" s="8">
        <f>INDEX(Std[],MATCH(RW[[#This Row],[Player]],Std[Player],0),20)</f>
        <v>-794.22621761905282</v>
      </c>
      <c r="J162">
        <f>_xlfn.RANK.EQ(RW[[#This Row],[Value]],RW[Value])</f>
        <v>160</v>
      </c>
      <c r="K162" s="10">
        <f>RW[[#This Row],[Value]]-LW!$F$185+25</f>
        <v>-1240.7709420093017</v>
      </c>
    </row>
    <row r="163" spans="1:11" x14ac:dyDescent="0.25">
      <c r="A163" s="2" t="s">
        <v>1156</v>
      </c>
      <c r="B163" s="105"/>
      <c r="C163" s="104"/>
      <c r="D163" s="57"/>
      <c r="E163" s="57"/>
      <c r="F163" s="2"/>
      <c r="I163" s="8">
        <f>INDEX(Std[],MATCH(RW[[#This Row],[Player]],Std[Player],0),20)</f>
        <v>-831.218367810931</v>
      </c>
      <c r="J163">
        <f>_xlfn.RANK.EQ(RW[[#This Row],[Value]],RW[Value])</f>
        <v>162</v>
      </c>
      <c r="K163" s="10">
        <f>RW[[#This Row],[Value]]-LW!$F$185+25</f>
        <v>-1277.7630922011799</v>
      </c>
    </row>
    <row r="164" spans="1:11" x14ac:dyDescent="0.25">
      <c r="A164" s="72" t="s">
        <v>828</v>
      </c>
      <c r="B164" s="105"/>
      <c r="C164" s="104"/>
      <c r="D164" s="57"/>
      <c r="E164" s="57"/>
      <c r="F164" s="2"/>
      <c r="I164" s="8">
        <f>INDEX(Std[],MATCH(RW[[#This Row],[Player]],Std[Player],0),20)</f>
        <v>-941.72591238465554</v>
      </c>
      <c r="J164">
        <f>_xlfn.RANK.EQ(RW[[#This Row],[Value]],RW[Value])</f>
        <v>163</v>
      </c>
      <c r="K164" s="10">
        <f>RW[[#This Row],[Value]]-LW!$F$185+25</f>
        <v>-1388.2706367749045</v>
      </c>
    </row>
    <row r="165" spans="1:11" x14ac:dyDescent="0.25">
      <c r="A165" s="67"/>
      <c r="C165" s="59"/>
      <c r="D165" s="59"/>
      <c r="E165" s="59"/>
      <c r="I165" s="8"/>
      <c r="K165" s="10"/>
    </row>
    <row r="166" spans="1:11" x14ac:dyDescent="0.25">
      <c r="A166" s="67"/>
      <c r="C166" s="59"/>
      <c r="D166" s="59"/>
      <c r="E166" s="59"/>
      <c r="I166" s="8"/>
      <c r="K166" s="10"/>
    </row>
    <row r="167" spans="1:11" x14ac:dyDescent="0.25">
      <c r="A167" s="67"/>
      <c r="C167" s="59"/>
      <c r="D167" s="59"/>
      <c r="E167" s="59"/>
      <c r="G167" t="e" cm="1">
        <f t="array" ref="G167">INDEX(RW[Pos],MODE(MATCH(RW[Pos],RW[Pos],0)))</f>
        <v>#N/A</v>
      </c>
      <c r="I167" s="8"/>
      <c r="K167" s="10"/>
    </row>
    <row r="169" spans="1:11" x14ac:dyDescent="0.25">
      <c r="C169" t="s">
        <v>145</v>
      </c>
    </row>
    <row r="170" spans="1:11" x14ac:dyDescent="0.25">
      <c r="F170" s="9"/>
      <c r="G170" s="9"/>
      <c r="H170" s="9"/>
    </row>
    <row r="171" spans="1:11" x14ac:dyDescent="0.25">
      <c r="A171" t="s">
        <v>147</v>
      </c>
    </row>
    <row r="172" spans="1:11" x14ac:dyDescent="0.25">
      <c r="A172">
        <f>COUNTIFS(RW[Pos P Rank], "&gt;"&amp;$D$172,RW[Pos P Rank], "&lt;="&amp;($D$172+31))</f>
        <v>0</v>
      </c>
      <c r="C172" t="s">
        <v>103</v>
      </c>
      <c r="D172">
        <f>'League Inputs'!O17*'League Inputs'!$N$13</f>
        <v>42</v>
      </c>
    </row>
    <row r="173" spans="1:11" x14ac:dyDescent="0.25">
      <c r="A173">
        <f>COUNTIFS(RW[Pos P Rank], "&lt;"&amp;$D$172)</f>
        <v>0</v>
      </c>
      <c r="D173">
        <f>A172+D172</f>
        <v>42</v>
      </c>
      <c r="H173">
        <f>COUNTIFS(RW[Pos P Rank], "&lt;"&amp;#REF!)</f>
        <v>0</v>
      </c>
    </row>
    <row r="174" spans="1:11" x14ac:dyDescent="0.25">
      <c r="A174">
        <f>COUNTIFS(RW[Value Rk], "&lt;"&amp;$D$172)</f>
        <v>41</v>
      </c>
      <c r="H174">
        <f>COUNTIFS(RW[Value Rk], "&lt;"&amp;#REF!)</f>
        <v>0</v>
      </c>
    </row>
    <row r="175" spans="1:11" x14ac:dyDescent="0.25">
      <c r="A175">
        <f>COUNTIFS(RW[Value Rk], "&gt;"&amp;$D$172,RW[Value Rk], "&lt;="&amp;($D$172+31))</f>
        <v>31</v>
      </c>
    </row>
    <row r="176" spans="1:11" x14ac:dyDescent="0.25">
      <c r="D176" t="s">
        <v>146</v>
      </c>
    </row>
    <row r="178" spans="3:8" x14ac:dyDescent="0.25">
      <c r="C178" s="27"/>
      <c r="D178" s="60" t="s">
        <v>51</v>
      </c>
      <c r="E178" s="60" t="s">
        <v>45</v>
      </c>
      <c r="F178" s="60" t="s">
        <v>50</v>
      </c>
      <c r="G178" s="60" t="s">
        <v>64</v>
      </c>
      <c r="H178" s="60" t="s">
        <v>65</v>
      </c>
    </row>
    <row r="179" spans="3:8" x14ac:dyDescent="0.25">
      <c r="C179" s="29" t="s">
        <v>85</v>
      </c>
      <c r="D179" s="61" t="e">
        <f>AVERAGEIFS(#REF!,RW[Pos P Rank], "&gt;"&amp;$D$172,RW[Pos P Rank], "&lt;="&amp;($D$172+31))</f>
        <v>#REF!</v>
      </c>
      <c r="E179" s="61" t="e">
        <f>AVERAGEIFS(#REF!,RW[Pos P Rank], "&gt;"&amp;$D$172,RW[Pos P Rank], "&lt;="&amp;($D$172+31))</f>
        <v>#REF!</v>
      </c>
      <c r="F179" s="61" t="e">
        <f>AVERAGEIFS(#REF!,RW[Pos P Rank], "&gt;"&amp;$D$172,RW[Pos P Rank], "&lt;="&amp;($D$172+31))</f>
        <v>#REF!</v>
      </c>
      <c r="G179" s="61" t="e">
        <f>AVERAGEIFS(#REF!,RW[Pos P Rank], "&gt;"&amp;$D$172,RW[Pos P Rank], "&lt;="&amp;($D$172+31))</f>
        <v>#REF!</v>
      </c>
      <c r="H179" s="61" t="e">
        <f>AVERAGEIFS(#REF!,RW[Pos P Rank], "&gt;"&amp;$D$172,RW[Pos P Rank], "&lt;="&amp;($D$172+31))</f>
        <v>#REF!</v>
      </c>
    </row>
    <row r="180" spans="3:8" x14ac:dyDescent="0.25">
      <c r="C180" s="19" t="s">
        <v>86</v>
      </c>
      <c r="D180" s="9" t="e">
        <f>SQRT((SUMIFS(#REF!,RW[Pos P Rank], "&lt;"&amp;$D$172)-(SUMIFS(#REF!,RW[Pos P Rank], "&lt;"&amp;$D$172)^2)/$A$173)/($A$173-1))</f>
        <v>#REF!</v>
      </c>
      <c r="E180" s="9" t="e">
        <f>SQRT((SUMIFS(#REF!,RW[Pos P Rank], "&lt;"&amp;$D$172)-(SUMIFS(#REF!,RW[Pos P Rank], "&lt;"&amp;$D$172)^2)/$A$173)/($A$173-1))</f>
        <v>#REF!</v>
      </c>
      <c r="F180" s="9" t="e">
        <f>SQRT((SUMIFS(#REF!,RW[Pos P Rank], "&lt;"&amp;$D$172)-(SUMIFS(#REF!,RW[Pos P Rank], "&lt;"&amp;$D$172)^2)/$A$173)/($A$173-1))</f>
        <v>#REF!</v>
      </c>
      <c r="G180" s="9" t="e">
        <f>SQRT((SUMIFS(#REF!,RW[Pos P Rank], "&lt;"&amp;$D$172)-(SUMIFS(#REF!,RW[Pos P Rank], "&lt;"&amp;$D$172)^2)/$A$173)/($A$173-1))</f>
        <v>#REF!</v>
      </c>
      <c r="H180" s="9" t="e">
        <f>SQRT((SUMIFS(#REF!,RW[Pos P Rank], "&lt;"&amp;$D$172)-(SUMIFS(#REF!,RW[Pos P Rank], "&lt;"&amp;$D$172)^2)/$A$173)/($A$173-1))</f>
        <v>#REF!</v>
      </c>
    </row>
  </sheetData>
  <protectedRanges>
    <protectedRange sqref="B1:F1" name="Range2_1_2"/>
    <protectedRange sqref="D178:H178" name="Range2_1_2_1"/>
    <protectedRange sqref="G1:H1" name="Range2_1_2_2"/>
  </protectedRanges>
  <phoneticPr fontId="18" type="noConversion"/>
  <conditionalFormatting sqref="A165:A167">
    <cfRule type="duplicateValues" dxfId="6" priority="223"/>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C19BA-E275-455A-B744-826247FB03C1}">
  <dimension ref="A1:K497"/>
  <sheetViews>
    <sheetView topLeftCell="A91" workbookViewId="0">
      <selection activeCell="A107" sqref="A107:XFD107"/>
    </sheetView>
  </sheetViews>
  <sheetFormatPr defaultRowHeight="15" x14ac:dyDescent="0.25"/>
  <cols>
    <col min="1" max="1" width="24.42578125" bestFit="1" customWidth="1"/>
  </cols>
  <sheetData>
    <row r="1" spans="1:11" ht="15.75" thickBot="1" x14ac:dyDescent="0.3">
      <c r="A1" s="3" t="s">
        <v>0</v>
      </c>
      <c r="B1" s="3" t="s">
        <v>54</v>
      </c>
      <c r="C1" s="3" t="s">
        <v>55</v>
      </c>
      <c r="D1" s="53" t="s">
        <v>120</v>
      </c>
      <c r="E1" s="53" t="s">
        <v>121</v>
      </c>
      <c r="F1" s="3" t="s">
        <v>53</v>
      </c>
      <c r="G1" s="3" t="s">
        <v>143</v>
      </c>
      <c r="H1" s="3" t="s">
        <v>148</v>
      </c>
      <c r="I1" s="4" t="s">
        <v>70</v>
      </c>
      <c r="J1" s="4" t="s">
        <v>151</v>
      </c>
      <c r="K1" s="4" t="s">
        <v>123</v>
      </c>
    </row>
    <row r="2" spans="1:11" ht="15.75" thickBot="1" x14ac:dyDescent="0.3">
      <c r="A2" s="107" t="s">
        <v>906</v>
      </c>
      <c r="B2" s="95">
        <v>28</v>
      </c>
      <c r="C2" s="96" t="s">
        <v>74</v>
      </c>
      <c r="D2" s="68" t="s">
        <v>102</v>
      </c>
      <c r="E2" s="57"/>
      <c r="F2" t="s">
        <v>5</v>
      </c>
      <c r="I2" s="10">
        <f>INDEX(Std[],MATCH(F[[#This Row],[Player]],Std[Player],0),20)</f>
        <v>2217.8806597083476</v>
      </c>
      <c r="J2">
        <f>_xlfn.RANK.EQ(F[[#This Row],[Value]],F[Value])</f>
        <v>1</v>
      </c>
      <c r="K2" s="10">
        <f>F[[#This Row],[Value]]-_xlfn.XLOOKUP($G$497,F[Value Rk],F[Value],,-1)</f>
        <v>1818.466821082601</v>
      </c>
    </row>
    <row r="3" spans="1:11" ht="15.75" thickBot="1" x14ac:dyDescent="0.3">
      <c r="A3" s="108" t="s">
        <v>993</v>
      </c>
      <c r="B3" s="97">
        <v>26</v>
      </c>
      <c r="C3" s="98" t="s">
        <v>102</v>
      </c>
      <c r="D3" s="57"/>
      <c r="E3" s="57"/>
      <c r="F3" t="s">
        <v>21</v>
      </c>
      <c r="I3" s="10">
        <f>INDEX(Std[],MATCH(F[[#This Row],[Player]],Std[Player],0),20)</f>
        <v>2066.2268157458398</v>
      </c>
      <c r="J3">
        <f>_xlfn.RANK.EQ(F[[#This Row],[Value]],F[Value])</f>
        <v>2</v>
      </c>
      <c r="K3" s="10">
        <f>F[[#This Row],[Value]]-_xlfn.XLOOKUP($G$497,F[Value Rk],F[Value],,-1)</f>
        <v>1666.8129771200931</v>
      </c>
    </row>
    <row r="4" spans="1:11" ht="15.75" thickBot="1" x14ac:dyDescent="0.3">
      <c r="A4" s="108" t="s">
        <v>238</v>
      </c>
      <c r="B4" s="97">
        <v>32</v>
      </c>
      <c r="C4" s="98" t="s">
        <v>74</v>
      </c>
      <c r="D4" s="57" t="s">
        <v>102</v>
      </c>
      <c r="E4" s="56"/>
      <c r="F4" t="s">
        <v>87</v>
      </c>
      <c r="I4" s="10">
        <f>INDEX(Std[],MATCH(F[[#This Row],[Player]],Std[Player],0),20)</f>
        <v>1881.0758987697498</v>
      </c>
      <c r="J4">
        <f>_xlfn.RANK.EQ(F[[#This Row],[Value]],F[Value])</f>
        <v>4</v>
      </c>
      <c r="K4" s="10">
        <f>F[[#This Row],[Value]]-_xlfn.XLOOKUP($G$497,F[Value Rk],F[Value],,-1)</f>
        <v>1481.6620601440031</v>
      </c>
    </row>
    <row r="5" spans="1:11" ht="15.75" thickBot="1" x14ac:dyDescent="0.3">
      <c r="A5" s="108" t="s">
        <v>242</v>
      </c>
      <c r="B5" s="97">
        <v>32</v>
      </c>
      <c r="C5" s="98" t="s">
        <v>102</v>
      </c>
      <c r="D5" s="57"/>
      <c r="E5" s="56"/>
      <c r="F5" t="s">
        <v>9</v>
      </c>
      <c r="I5" s="10">
        <f>INDEX(Std[],MATCH(F[[#This Row],[Player]],Std[Player],0),20)</f>
        <v>1598.6320815465933</v>
      </c>
      <c r="J5">
        <f>_xlfn.RANK.EQ(F[[#This Row],[Value]],F[Value])</f>
        <v>8</v>
      </c>
      <c r="K5" s="10">
        <f>F[[#This Row],[Value]]-_xlfn.XLOOKUP($G$497,F[Value Rk],F[Value],,-1)</f>
        <v>1199.2182429208467</v>
      </c>
    </row>
    <row r="6" spans="1:11" ht="15.75" thickBot="1" x14ac:dyDescent="0.3">
      <c r="A6" s="108" t="s">
        <v>243</v>
      </c>
      <c r="B6" s="97">
        <v>24</v>
      </c>
      <c r="C6" s="98" t="s">
        <v>102</v>
      </c>
      <c r="D6" s="57"/>
      <c r="E6" s="57"/>
      <c r="F6" t="s">
        <v>23</v>
      </c>
      <c r="I6" s="10">
        <f>INDEX(Std[],MATCH(F[[#This Row],[Player]],Std[Player],0),20)</f>
        <v>1575.9895936240796</v>
      </c>
      <c r="J6">
        <f>_xlfn.RANK.EQ(F[[#This Row],[Value]],F[Value])</f>
        <v>10</v>
      </c>
      <c r="K6" s="10">
        <f>F[[#This Row],[Value]]-_xlfn.XLOOKUP($G$497,F[Value Rk],F[Value],,-1)</f>
        <v>1176.575754998333</v>
      </c>
    </row>
    <row r="7" spans="1:11" ht="15.75" thickBot="1" x14ac:dyDescent="0.3">
      <c r="A7" s="108" t="s">
        <v>268</v>
      </c>
      <c r="B7" s="97">
        <v>24</v>
      </c>
      <c r="C7" s="98" t="s">
        <v>102</v>
      </c>
      <c r="D7" s="57"/>
      <c r="E7" s="57"/>
      <c r="F7" t="s">
        <v>7</v>
      </c>
      <c r="I7" s="10">
        <f>INDEX(Std[],MATCH(F[[#This Row],[Player]],Std[Player],0),20)</f>
        <v>1539.8039021364791</v>
      </c>
      <c r="J7">
        <f>_xlfn.RANK.EQ(F[[#This Row],[Value]],F[Value])</f>
        <v>11</v>
      </c>
      <c r="K7" s="10">
        <f>F[[#This Row],[Value]]-_xlfn.XLOOKUP($G$497,F[Value Rk],F[Value],,-1)</f>
        <v>1140.3900635107325</v>
      </c>
    </row>
    <row r="8" spans="1:11" ht="15.75" thickBot="1" x14ac:dyDescent="0.3">
      <c r="A8" s="108" t="s">
        <v>247</v>
      </c>
      <c r="B8" s="97">
        <v>26</v>
      </c>
      <c r="C8" s="98" t="s">
        <v>102</v>
      </c>
      <c r="D8" s="57" t="s">
        <v>103</v>
      </c>
      <c r="E8" s="57"/>
      <c r="F8" t="s">
        <v>29</v>
      </c>
      <c r="I8" s="10">
        <f>INDEX(Std[],MATCH(F[[#This Row],[Player]],Std[Player],0),20)</f>
        <v>1903.4948069249726</v>
      </c>
      <c r="J8">
        <f>_xlfn.RANK.EQ(F[[#This Row],[Value]],F[Value])</f>
        <v>3</v>
      </c>
      <c r="K8" s="10">
        <f>F[[#This Row],[Value]]-_xlfn.XLOOKUP($G$497,F[Value Rk],F[Value],,-1)</f>
        <v>1504.080968299226</v>
      </c>
    </row>
    <row r="9" spans="1:11" ht="15.75" thickBot="1" x14ac:dyDescent="0.3">
      <c r="A9" s="108" t="s">
        <v>245</v>
      </c>
      <c r="B9" s="97">
        <v>22</v>
      </c>
      <c r="C9" s="98" t="s">
        <v>74</v>
      </c>
      <c r="D9" s="57" t="s">
        <v>102</v>
      </c>
      <c r="E9" s="56"/>
      <c r="F9" t="s">
        <v>11</v>
      </c>
      <c r="I9" s="10">
        <f>INDEX(Std[],MATCH(F[[#This Row],[Player]],Std[Player],0),20)</f>
        <v>1595.0209598662304</v>
      </c>
      <c r="J9">
        <f>_xlfn.RANK.EQ(F[[#This Row],[Value]],F[Value])</f>
        <v>9</v>
      </c>
      <c r="K9" s="10">
        <f>F[[#This Row],[Value]]-_xlfn.XLOOKUP($G$497,F[Value Rk],F[Value],,-1)</f>
        <v>1195.6071212404838</v>
      </c>
    </row>
    <row r="10" spans="1:11" ht="15.75" thickBot="1" x14ac:dyDescent="0.3">
      <c r="A10" s="108" t="s">
        <v>884</v>
      </c>
      <c r="B10" s="99">
        <v>27</v>
      </c>
      <c r="C10" s="100" t="s">
        <v>102</v>
      </c>
      <c r="D10" s="57"/>
      <c r="E10" s="57"/>
      <c r="F10" t="s">
        <v>2</v>
      </c>
      <c r="I10" s="10">
        <f>INDEX(Std[],MATCH(F[[#This Row],[Player]],Std[Player],0),20)</f>
        <v>1836.9356467682803</v>
      </c>
      <c r="J10">
        <f>_xlfn.RANK.EQ(F[[#This Row],[Value]],F[Value])</f>
        <v>6</v>
      </c>
      <c r="K10" s="10">
        <f>F[[#This Row],[Value]]-_xlfn.XLOOKUP($G$497,F[Value Rk],F[Value],,-1)</f>
        <v>1437.5218081425337</v>
      </c>
    </row>
    <row r="11" spans="1:11" ht="15.75" thickBot="1" x14ac:dyDescent="0.3">
      <c r="A11" s="108" t="s">
        <v>249</v>
      </c>
      <c r="B11" s="99">
        <v>35</v>
      </c>
      <c r="C11" s="100" t="s">
        <v>102</v>
      </c>
      <c r="D11" s="57"/>
      <c r="E11" s="56"/>
      <c r="F11" t="s">
        <v>11</v>
      </c>
      <c r="I11" s="10">
        <f>INDEX(Std[],MATCH(F[[#This Row],[Player]],Std[Player],0),20)</f>
        <v>1436.8378062907393</v>
      </c>
      <c r="J11">
        <f>_xlfn.RANK.EQ(F[[#This Row],[Value]],F[Value])</f>
        <v>13</v>
      </c>
      <c r="K11" s="10">
        <f>F[[#This Row],[Value]]-_xlfn.XLOOKUP($G$497,F[Value Rk],F[Value],,-1)</f>
        <v>1037.4239676649927</v>
      </c>
    </row>
    <row r="12" spans="1:11" ht="15.75" thickBot="1" x14ac:dyDescent="0.3">
      <c r="A12" s="108" t="s">
        <v>239</v>
      </c>
      <c r="B12" s="99">
        <v>26</v>
      </c>
      <c r="C12" s="100" t="s">
        <v>102</v>
      </c>
      <c r="D12" s="57"/>
      <c r="E12" s="56"/>
      <c r="F12" t="s">
        <v>16</v>
      </c>
      <c r="I12" s="10">
        <f>INDEX(Std[],MATCH(F[[#This Row],[Player]],Std[Player],0),20)</f>
        <v>1852.1125890723724</v>
      </c>
      <c r="J12">
        <f>_xlfn.RANK.EQ(F[[#This Row],[Value]],F[Value])</f>
        <v>5</v>
      </c>
      <c r="K12" s="10">
        <f>F[[#This Row],[Value]]-_xlfn.XLOOKUP($G$497,F[Value Rk],F[Value],,-1)</f>
        <v>1452.6987504466258</v>
      </c>
    </row>
    <row r="13" spans="1:11" ht="15.75" thickBot="1" x14ac:dyDescent="0.3">
      <c r="A13" s="108" t="s">
        <v>273</v>
      </c>
      <c r="B13" s="99">
        <v>22</v>
      </c>
      <c r="C13" s="100" t="s">
        <v>74</v>
      </c>
      <c r="D13" s="57" t="s">
        <v>102</v>
      </c>
      <c r="E13" s="57"/>
      <c r="F13" t="s">
        <v>11</v>
      </c>
      <c r="I13" s="10">
        <f>INDEX(Std[],MATCH(F[[#This Row],[Player]],Std[Player],0),20)</f>
        <v>1766.7851242524023</v>
      </c>
      <c r="J13">
        <f>_xlfn.RANK.EQ(F[[#This Row],[Value]],F[Value])</f>
        <v>7</v>
      </c>
      <c r="K13" s="10">
        <f>F[[#This Row],[Value]]-_xlfn.XLOOKUP($G$497,F[Value Rk],F[Value],,-1)</f>
        <v>1367.3712856266557</v>
      </c>
    </row>
    <row r="14" spans="1:11" ht="15.75" thickBot="1" x14ac:dyDescent="0.3">
      <c r="A14" s="108" t="s">
        <v>285</v>
      </c>
      <c r="B14" s="97">
        <v>38</v>
      </c>
      <c r="C14" s="98" t="s">
        <v>102</v>
      </c>
      <c r="D14" s="57"/>
      <c r="E14" s="57"/>
      <c r="F14" t="s">
        <v>25</v>
      </c>
      <c r="I14" s="10">
        <f>INDEX(Std[],MATCH(F[[#This Row],[Player]],Std[Player],0),20)</f>
        <v>1211.9357643435978</v>
      </c>
      <c r="J14">
        <f>_xlfn.RANK.EQ(F[[#This Row],[Value]],F[Value])</f>
        <v>17</v>
      </c>
      <c r="K14" s="10">
        <f>F[[#This Row],[Value]]-_xlfn.XLOOKUP($G$497,F[Value Rk],F[Value],,-1)</f>
        <v>812.52192571785122</v>
      </c>
    </row>
    <row r="15" spans="1:11" ht="15.75" thickBot="1" x14ac:dyDescent="0.3">
      <c r="A15" s="108" t="s">
        <v>269</v>
      </c>
      <c r="B15" s="97">
        <v>30</v>
      </c>
      <c r="C15" s="98" t="s">
        <v>74</v>
      </c>
      <c r="D15" s="57" t="s">
        <v>102</v>
      </c>
      <c r="E15" s="56"/>
      <c r="F15" t="s">
        <v>20</v>
      </c>
      <c r="I15" s="10">
        <f>INDEX(Std[],MATCH(F[[#This Row],[Player]],Std[Player],0),20)</f>
        <v>1161.3455667678479</v>
      </c>
      <c r="J15">
        <f>_xlfn.RANK.EQ(F[[#This Row],[Value]],F[Value])</f>
        <v>21</v>
      </c>
      <c r="K15" s="10">
        <f>F[[#This Row],[Value]]-_xlfn.XLOOKUP($G$497,F[Value Rk],F[Value],,-1)</f>
        <v>761.93172814210129</v>
      </c>
    </row>
    <row r="16" spans="1:11" ht="15.75" thickBot="1" x14ac:dyDescent="0.3">
      <c r="A16" s="108" t="s">
        <v>422</v>
      </c>
      <c r="B16" s="99">
        <v>32</v>
      </c>
      <c r="C16" s="100" t="s">
        <v>102</v>
      </c>
      <c r="D16" s="57"/>
      <c r="E16" s="56"/>
      <c r="F16" t="s">
        <v>156</v>
      </c>
      <c r="I16" s="10">
        <f>INDEX(Std[],MATCH(F[[#This Row],[Player]],Std[Player],0),20)</f>
        <v>1189.3458489330492</v>
      </c>
      <c r="J16">
        <f>_xlfn.RANK.EQ(F[[#This Row],[Value]],F[Value])</f>
        <v>19</v>
      </c>
      <c r="K16" s="10">
        <f>F[[#This Row],[Value]]-_xlfn.XLOOKUP($G$497,F[Value Rk],F[Value],,-1)</f>
        <v>789.93201030730256</v>
      </c>
    </row>
    <row r="17" spans="1:11" ht="15.75" thickBot="1" x14ac:dyDescent="0.3">
      <c r="A17" s="108" t="s">
        <v>264</v>
      </c>
      <c r="B17" s="99">
        <v>33</v>
      </c>
      <c r="C17" s="100" t="s">
        <v>102</v>
      </c>
      <c r="D17" s="57"/>
      <c r="E17" s="56"/>
      <c r="F17" t="s">
        <v>16</v>
      </c>
      <c r="I17" s="10">
        <f>INDEX(Std[],MATCH(F[[#This Row],[Player]],Std[Player],0),20)</f>
        <v>1087.9270446509481</v>
      </c>
      <c r="J17">
        <f>_xlfn.RANK.EQ(F[[#This Row],[Value]],F[Value])</f>
        <v>26</v>
      </c>
      <c r="K17" s="10">
        <f>F[[#This Row],[Value]]-_xlfn.XLOOKUP($G$497,F[Value Rk],F[Value],,-1)</f>
        <v>688.5132060252015</v>
      </c>
    </row>
    <row r="18" spans="1:11" ht="15.75" thickBot="1" x14ac:dyDescent="0.3">
      <c r="A18" s="108" t="s">
        <v>263</v>
      </c>
      <c r="B18" s="99">
        <v>29</v>
      </c>
      <c r="C18" s="100" t="s">
        <v>102</v>
      </c>
      <c r="D18" s="57"/>
      <c r="E18" s="57"/>
      <c r="F18" t="s">
        <v>8</v>
      </c>
      <c r="I18" s="10">
        <f>INDEX(Std[],MATCH(F[[#This Row],[Player]],Std[Player],0),20)</f>
        <v>1047.2878468461483</v>
      </c>
      <c r="J18">
        <f>_xlfn.RANK.EQ(F[[#This Row],[Value]],F[Value])</f>
        <v>30</v>
      </c>
      <c r="K18" s="10">
        <f>F[[#This Row],[Value]]-_xlfn.XLOOKUP($G$497,F[Value Rk],F[Value],,-1)</f>
        <v>647.87400822040172</v>
      </c>
    </row>
    <row r="19" spans="1:11" ht="15.75" thickBot="1" x14ac:dyDescent="0.3">
      <c r="A19" s="108" t="s">
        <v>302</v>
      </c>
      <c r="B19" s="99">
        <v>19</v>
      </c>
      <c r="C19" s="100" t="s">
        <v>102</v>
      </c>
      <c r="D19" s="57"/>
      <c r="E19" s="56"/>
      <c r="F19" t="s">
        <v>14</v>
      </c>
      <c r="I19" s="10">
        <f>INDEX(Std[],MATCH(F[[#This Row],[Player]],Std[Player],0),20)</f>
        <v>1446.0530212793985</v>
      </c>
      <c r="J19">
        <f>_xlfn.RANK.EQ(F[[#This Row],[Value]],F[Value])</f>
        <v>12</v>
      </c>
      <c r="K19" s="10">
        <f>F[[#This Row],[Value]]-_xlfn.XLOOKUP($G$497,F[Value Rk],F[Value],,-1)</f>
        <v>1046.6391826536519</v>
      </c>
    </row>
    <row r="20" spans="1:11" ht="15.75" thickBot="1" x14ac:dyDescent="0.3">
      <c r="A20" s="108" t="s">
        <v>290</v>
      </c>
      <c r="B20" s="97">
        <v>31</v>
      </c>
      <c r="C20" s="98" t="s">
        <v>102</v>
      </c>
      <c r="D20" s="57"/>
      <c r="E20" s="57"/>
      <c r="F20" s="67"/>
      <c r="I20" s="10">
        <f>INDEX(Std[],MATCH(F[[#This Row],[Player]],Std[Player],0),20)</f>
        <v>1032.5774377670323</v>
      </c>
      <c r="J20">
        <f>_xlfn.RANK.EQ(F[[#This Row],[Value]],F[Value])</f>
        <v>31</v>
      </c>
      <c r="K20" s="10">
        <f>F[[#This Row],[Value]]-_xlfn.XLOOKUP($G$497,F[Value Rk],F[Value],,-1)</f>
        <v>633.16359914128566</v>
      </c>
    </row>
    <row r="21" spans="1:11" ht="15.75" thickBot="1" x14ac:dyDescent="0.3">
      <c r="A21" s="108" t="s">
        <v>257</v>
      </c>
      <c r="B21" s="99">
        <v>27</v>
      </c>
      <c r="C21" s="100" t="s">
        <v>102</v>
      </c>
      <c r="D21" s="57"/>
      <c r="E21" s="56"/>
      <c r="F21" t="s">
        <v>154</v>
      </c>
      <c r="I21" s="10">
        <f>INDEX(Std[],MATCH(F[[#This Row],[Player]],Std[Player],0),20)</f>
        <v>1190.3770607465021</v>
      </c>
      <c r="J21">
        <f>_xlfn.RANK.EQ(F[[#This Row],[Value]],F[Value])</f>
        <v>18</v>
      </c>
      <c r="K21" s="10">
        <f>F[[#This Row],[Value]]-_xlfn.XLOOKUP($G$497,F[Value Rk],F[Value],,-1)</f>
        <v>790.96322212075552</v>
      </c>
    </row>
    <row r="22" spans="1:11" ht="15.75" thickBot="1" x14ac:dyDescent="0.3">
      <c r="A22" s="108" t="s">
        <v>291</v>
      </c>
      <c r="B22" s="97">
        <v>25</v>
      </c>
      <c r="C22" s="98" t="s">
        <v>102</v>
      </c>
      <c r="D22" s="57" t="s">
        <v>103</v>
      </c>
      <c r="E22" s="57"/>
      <c r="F22" t="s">
        <v>10</v>
      </c>
      <c r="I22" s="10">
        <f>INDEX(Std[],MATCH(F[[#This Row],[Player]],Std[Player],0),20)</f>
        <v>1219.6359914829327</v>
      </c>
      <c r="J22">
        <f>_xlfn.RANK.EQ(F[[#This Row],[Value]],F[Value])</f>
        <v>16</v>
      </c>
      <c r="K22" s="10">
        <f>F[[#This Row],[Value]]-_xlfn.XLOOKUP($G$497,F[Value Rk],F[Value],,-1)</f>
        <v>820.22215285718607</v>
      </c>
    </row>
    <row r="23" spans="1:11" ht="15.75" thickBot="1" x14ac:dyDescent="0.3">
      <c r="A23" s="108" t="s">
        <v>341</v>
      </c>
      <c r="B23" s="99">
        <v>25</v>
      </c>
      <c r="C23" s="100" t="s">
        <v>74</v>
      </c>
      <c r="D23" s="57" t="s">
        <v>102</v>
      </c>
      <c r="E23" s="57"/>
      <c r="F23" t="s">
        <v>16</v>
      </c>
      <c r="I23" s="10">
        <f>INDEX(Std[],MATCH(F[[#This Row],[Player]],Std[Player],0),20)</f>
        <v>1076.8795304324876</v>
      </c>
      <c r="J23">
        <f>_xlfn.RANK.EQ(F[[#This Row],[Value]],F[Value])</f>
        <v>28</v>
      </c>
      <c r="K23" s="10">
        <f>F[[#This Row],[Value]]-_xlfn.XLOOKUP($G$497,F[Value Rk],F[Value],,-1)</f>
        <v>677.46569180674101</v>
      </c>
    </row>
    <row r="24" spans="1:11" ht="15.75" thickBot="1" x14ac:dyDescent="0.3">
      <c r="A24" s="108" t="s">
        <v>252</v>
      </c>
      <c r="B24" s="97">
        <v>28</v>
      </c>
      <c r="C24" s="98" t="s">
        <v>74</v>
      </c>
      <c r="D24" s="57" t="s">
        <v>102</v>
      </c>
      <c r="E24" s="56"/>
      <c r="F24" t="s">
        <v>7</v>
      </c>
      <c r="I24" s="10">
        <f>INDEX(Std[],MATCH(F[[#This Row],[Player]],Std[Player],0),20)</f>
        <v>966.96843884462419</v>
      </c>
      <c r="J24">
        <f>_xlfn.RANK.EQ(F[[#This Row],[Value]],F[Value])</f>
        <v>34</v>
      </c>
      <c r="K24" s="10">
        <f>F[[#This Row],[Value]]-_xlfn.XLOOKUP($G$497,F[Value Rk],F[Value],,-1)</f>
        <v>567.55460021887757</v>
      </c>
    </row>
    <row r="25" spans="1:11" ht="15.75" thickBot="1" x14ac:dyDescent="0.3">
      <c r="A25" s="108" t="s">
        <v>336</v>
      </c>
      <c r="B25" s="97">
        <v>29</v>
      </c>
      <c r="C25" s="98" t="s">
        <v>102</v>
      </c>
      <c r="D25" s="57"/>
      <c r="E25" s="56"/>
      <c r="F25" t="s">
        <v>13</v>
      </c>
      <c r="I25" s="10">
        <f>INDEX(Std[],MATCH(F[[#This Row],[Player]],Std[Player],0),20)</f>
        <v>950.43908113301893</v>
      </c>
      <c r="J25">
        <f>_xlfn.RANK.EQ(F[[#This Row],[Value]],F[Value])</f>
        <v>36</v>
      </c>
      <c r="K25" s="10">
        <f>F[[#This Row],[Value]]-_xlfn.XLOOKUP($G$497,F[Value Rk],F[Value],,-1)</f>
        <v>551.02524250727231</v>
      </c>
    </row>
    <row r="26" spans="1:11" ht="15.75" thickBot="1" x14ac:dyDescent="0.3">
      <c r="A26" s="108" t="s">
        <v>389</v>
      </c>
      <c r="B26" s="97">
        <v>29</v>
      </c>
      <c r="C26" s="98" t="s">
        <v>102</v>
      </c>
      <c r="D26" s="57"/>
      <c r="E26" s="57"/>
      <c r="F26" s="67"/>
      <c r="I26" s="10">
        <f>INDEX(Std[],MATCH(F[[#This Row],[Player]],Std[Player],0),20)</f>
        <v>1340.5906443734007</v>
      </c>
      <c r="J26">
        <f>_xlfn.RANK.EQ(F[[#This Row],[Value]],F[Value])</f>
        <v>14</v>
      </c>
      <c r="K26" s="10">
        <f>F[[#This Row],[Value]]-_xlfn.XLOOKUP($G$497,F[Value Rk],F[Value],,-1)</f>
        <v>941.17680574765404</v>
      </c>
    </row>
    <row r="27" spans="1:11" ht="15.75" thickBot="1" x14ac:dyDescent="0.3">
      <c r="A27" s="108" t="s">
        <v>312</v>
      </c>
      <c r="B27" s="97">
        <v>32</v>
      </c>
      <c r="C27" s="98" t="s">
        <v>102</v>
      </c>
      <c r="D27" s="57"/>
      <c r="E27" s="56"/>
      <c r="F27" t="s">
        <v>17</v>
      </c>
      <c r="I27" s="10">
        <f>INDEX(Std[],MATCH(F[[#This Row],[Player]],Std[Player],0),20)</f>
        <v>1145.7435323622633</v>
      </c>
      <c r="J27">
        <f>_xlfn.RANK.EQ(F[[#This Row],[Value]],F[Value])</f>
        <v>22</v>
      </c>
      <c r="K27" s="10">
        <f>F[[#This Row],[Value]]-_xlfn.XLOOKUP($G$497,F[Value Rk],F[Value],,-1)</f>
        <v>746.32969373651667</v>
      </c>
    </row>
    <row r="28" spans="1:11" ht="15.75" thickBot="1" x14ac:dyDescent="0.3">
      <c r="A28" s="108" t="s">
        <v>255</v>
      </c>
      <c r="B28" s="99">
        <v>27</v>
      </c>
      <c r="C28" s="100" t="s">
        <v>102</v>
      </c>
      <c r="D28" s="57"/>
      <c r="E28" s="57"/>
      <c r="F28" t="s">
        <v>154</v>
      </c>
      <c r="I28" s="10">
        <f>INDEX(Std[],MATCH(F[[#This Row],[Player]],Std[Player],0),20)</f>
        <v>936.88025885824084</v>
      </c>
      <c r="J28">
        <f>_xlfn.RANK.EQ(F[[#This Row],[Value]],F[Value])</f>
        <v>40</v>
      </c>
      <c r="K28" s="10">
        <f>F[[#This Row],[Value]]-_xlfn.XLOOKUP($G$497,F[Value Rk],F[Value],,-1)</f>
        <v>537.46642023249422</v>
      </c>
    </row>
    <row r="29" spans="1:11" ht="15.75" thickBot="1" x14ac:dyDescent="0.3">
      <c r="A29" s="108" t="s">
        <v>371</v>
      </c>
      <c r="B29" s="97">
        <v>35</v>
      </c>
      <c r="C29" s="98" t="s">
        <v>102</v>
      </c>
      <c r="D29" s="57"/>
      <c r="E29" s="56"/>
      <c r="F29" t="s">
        <v>23</v>
      </c>
      <c r="I29" s="10">
        <f>INDEX(Std[],MATCH(F[[#This Row],[Player]],Std[Player],0),20)</f>
        <v>895.74761678463392</v>
      </c>
      <c r="J29">
        <f>_xlfn.RANK.EQ(F[[#This Row],[Value]],F[Value])</f>
        <v>46</v>
      </c>
      <c r="K29" s="10">
        <f>F[[#This Row],[Value]]-_xlfn.XLOOKUP($G$497,F[Value Rk],F[Value],,-1)</f>
        <v>496.3337781588873</v>
      </c>
    </row>
    <row r="30" spans="1:11" ht="15.75" thickBot="1" x14ac:dyDescent="0.3">
      <c r="A30" s="108" t="s">
        <v>597</v>
      </c>
      <c r="B30" s="99">
        <v>22</v>
      </c>
      <c r="C30" s="100" t="s">
        <v>102</v>
      </c>
      <c r="D30" s="57"/>
      <c r="E30" s="56"/>
      <c r="F30" t="s">
        <v>15</v>
      </c>
      <c r="I30" s="10">
        <f>INDEX(Std[],MATCH(F[[#This Row],[Player]],Std[Player],0),20)</f>
        <v>885.69786223429503</v>
      </c>
      <c r="J30">
        <f>_xlfn.RANK.EQ(F[[#This Row],[Value]],F[Value])</f>
        <v>48</v>
      </c>
      <c r="K30" s="10">
        <f>F[[#This Row],[Value]]-_xlfn.XLOOKUP($G$497,F[Value Rk],F[Value],,-1)</f>
        <v>486.28402360854841</v>
      </c>
    </row>
    <row r="31" spans="1:11" ht="15.75" thickBot="1" x14ac:dyDescent="0.3">
      <c r="A31" s="108" t="s">
        <v>306</v>
      </c>
      <c r="B31" s="97">
        <v>32</v>
      </c>
      <c r="C31" s="98" t="s">
        <v>102</v>
      </c>
      <c r="D31" s="57"/>
      <c r="E31" s="56"/>
      <c r="F31" t="s">
        <v>15</v>
      </c>
      <c r="I31" s="10">
        <f>INDEX(Std[],MATCH(F[[#This Row],[Player]],Std[Player],0),20)</f>
        <v>1287.1494807067243</v>
      </c>
      <c r="J31">
        <f>_xlfn.RANK.EQ(F[[#This Row],[Value]],F[Value])</f>
        <v>15</v>
      </c>
      <c r="K31" s="10">
        <f>F[[#This Row],[Value]]-_xlfn.XLOOKUP($G$497,F[Value Rk],F[Value],,-1)</f>
        <v>887.73564208097764</v>
      </c>
    </row>
    <row r="32" spans="1:11" ht="15.75" thickBot="1" x14ac:dyDescent="0.3">
      <c r="A32" s="108" t="s">
        <v>309</v>
      </c>
      <c r="B32" s="97">
        <v>26</v>
      </c>
      <c r="C32" s="98" t="s">
        <v>102</v>
      </c>
      <c r="D32" s="57"/>
      <c r="E32" s="57"/>
      <c r="F32" t="s">
        <v>10</v>
      </c>
      <c r="I32" s="10">
        <f>INDEX(Std[],MATCH(F[[#This Row],[Player]],Std[Player],0),20)</f>
        <v>1067.2423641864298</v>
      </c>
      <c r="J32">
        <f>_xlfn.RANK.EQ(F[[#This Row],[Value]],F[Value])</f>
        <v>29</v>
      </c>
      <c r="K32" s="10">
        <f>F[[#This Row],[Value]]-_xlfn.XLOOKUP($G$497,F[Value Rk],F[Value],,-1)</f>
        <v>667.82852556068315</v>
      </c>
    </row>
    <row r="33" spans="1:11" ht="15.75" thickBot="1" x14ac:dyDescent="0.3">
      <c r="A33" s="108" t="s">
        <v>276</v>
      </c>
      <c r="B33" s="99">
        <v>28</v>
      </c>
      <c r="C33" s="100" t="s">
        <v>74</v>
      </c>
      <c r="D33" s="57" t="s">
        <v>102</v>
      </c>
      <c r="E33" s="56"/>
      <c r="F33" t="s">
        <v>12</v>
      </c>
      <c r="I33" s="10">
        <f>INDEX(Std[],MATCH(F[[#This Row],[Player]],Std[Player],0),20)</f>
        <v>880.93288025045331</v>
      </c>
      <c r="J33">
        <f>_xlfn.RANK.EQ(F[[#This Row],[Value]],F[Value])</f>
        <v>49</v>
      </c>
      <c r="K33" s="10">
        <f>F[[#This Row],[Value]]-_xlfn.XLOOKUP($G$497,F[Value Rk],F[Value],,-1)</f>
        <v>481.51904162470669</v>
      </c>
    </row>
    <row r="34" spans="1:11" ht="15.75" thickBot="1" x14ac:dyDescent="0.3">
      <c r="A34" s="108" t="s">
        <v>372</v>
      </c>
      <c r="B34" s="99">
        <v>27</v>
      </c>
      <c r="C34" s="100" t="s">
        <v>102</v>
      </c>
      <c r="D34" s="57"/>
      <c r="E34" s="57"/>
      <c r="F34" t="s">
        <v>10</v>
      </c>
      <c r="I34" s="10">
        <f>INDEX(Std[],MATCH(F[[#This Row],[Player]],Std[Player],0),20)</f>
        <v>894.06532577046301</v>
      </c>
      <c r="J34">
        <f>_xlfn.RANK.EQ(F[[#This Row],[Value]],F[Value])</f>
        <v>47</v>
      </c>
      <c r="K34" s="10">
        <f>F[[#This Row],[Value]]-_xlfn.XLOOKUP($G$497,F[Value Rk],F[Value],,-1)</f>
        <v>494.65148714471638</v>
      </c>
    </row>
    <row r="35" spans="1:11" ht="15.75" thickBot="1" x14ac:dyDescent="0.3">
      <c r="A35" s="108" t="s">
        <v>266</v>
      </c>
      <c r="B35" s="97">
        <v>22</v>
      </c>
      <c r="C35" s="98" t="s">
        <v>102</v>
      </c>
      <c r="D35" s="57"/>
      <c r="E35" s="57"/>
      <c r="F35" t="s">
        <v>20</v>
      </c>
      <c r="I35" s="10">
        <f>INDEX(Std[],MATCH(F[[#This Row],[Player]],Std[Player],0),20)</f>
        <v>1139.5477824861377</v>
      </c>
      <c r="J35">
        <f>_xlfn.RANK.EQ(F[[#This Row],[Value]],F[Value])</f>
        <v>23</v>
      </c>
      <c r="K35" s="10">
        <f>F[[#This Row],[Value]]-_xlfn.XLOOKUP($G$497,F[Value Rk],F[Value],,-1)</f>
        <v>740.13394386039113</v>
      </c>
    </row>
    <row r="36" spans="1:11" ht="15.75" thickBot="1" x14ac:dyDescent="0.3">
      <c r="A36" s="108" t="s">
        <v>260</v>
      </c>
      <c r="B36" s="99">
        <v>28</v>
      </c>
      <c r="C36" s="100" t="s">
        <v>102</v>
      </c>
      <c r="D36" s="57"/>
      <c r="E36" s="56"/>
      <c r="F36" t="s">
        <v>21</v>
      </c>
      <c r="I36" s="10">
        <f>INDEX(Std[],MATCH(F[[#This Row],[Player]],Std[Player],0),20)</f>
        <v>864.68401859711469</v>
      </c>
      <c r="J36">
        <f>_xlfn.RANK.EQ(F[[#This Row],[Value]],F[Value])</f>
        <v>52</v>
      </c>
      <c r="K36" s="10">
        <f>F[[#This Row],[Value]]-_xlfn.XLOOKUP($G$497,F[Value Rk],F[Value],,-1)</f>
        <v>465.27017997136807</v>
      </c>
    </row>
    <row r="37" spans="1:11" ht="15.75" thickBot="1" x14ac:dyDescent="0.3">
      <c r="A37" s="108" t="s">
        <v>278</v>
      </c>
      <c r="B37" s="97">
        <v>34</v>
      </c>
      <c r="C37" s="98" t="s">
        <v>102</v>
      </c>
      <c r="D37" s="57"/>
      <c r="E37" s="56"/>
      <c r="F37" t="s">
        <v>30</v>
      </c>
      <c r="I37" s="10">
        <f>INDEX(Std[],MATCH(F[[#This Row],[Player]],Std[Player],0),20)</f>
        <v>1188.3015675042641</v>
      </c>
      <c r="J37">
        <f>_xlfn.RANK.EQ(F[[#This Row],[Value]],F[Value])</f>
        <v>20</v>
      </c>
      <c r="K37" s="10">
        <f>F[[#This Row],[Value]]-_xlfn.XLOOKUP($G$497,F[Value Rk],F[Value],,-1)</f>
        <v>788.88772887851746</v>
      </c>
    </row>
    <row r="38" spans="1:11" ht="15.75" thickBot="1" x14ac:dyDescent="0.3">
      <c r="A38" s="108" t="s">
        <v>398</v>
      </c>
      <c r="B38" s="97">
        <v>25</v>
      </c>
      <c r="C38" s="98" t="s">
        <v>102</v>
      </c>
      <c r="D38" s="57"/>
      <c r="E38" s="57"/>
      <c r="F38" t="s">
        <v>4</v>
      </c>
      <c r="I38" s="10">
        <f>INDEX(Std[],MATCH(F[[#This Row],[Player]],Std[Player],0),20)</f>
        <v>866.82575107084915</v>
      </c>
      <c r="J38">
        <f>_xlfn.RANK.EQ(F[[#This Row],[Value]],F[Value])</f>
        <v>51</v>
      </c>
      <c r="K38" s="10">
        <f>F[[#This Row],[Value]]-_xlfn.XLOOKUP($G$497,F[Value Rk],F[Value],,-1)</f>
        <v>467.41191244510253</v>
      </c>
    </row>
    <row r="39" spans="1:11" ht="15.75" thickBot="1" x14ac:dyDescent="0.3">
      <c r="A39" s="108" t="s">
        <v>335</v>
      </c>
      <c r="B39" s="99">
        <v>28</v>
      </c>
      <c r="C39" s="100" t="s">
        <v>102</v>
      </c>
      <c r="D39" s="57"/>
      <c r="E39" s="57"/>
      <c r="F39" t="s">
        <v>87</v>
      </c>
      <c r="I39" s="10">
        <f>INDEX(Std[],MATCH(F[[#This Row],[Player]],Std[Player],0),20)</f>
        <v>845.37471597967556</v>
      </c>
      <c r="J39">
        <f>_xlfn.RANK.EQ(F[[#This Row],[Value]],F[Value])</f>
        <v>53</v>
      </c>
      <c r="K39" s="10">
        <f>F[[#This Row],[Value]]-_xlfn.XLOOKUP($G$497,F[Value Rk],F[Value],,-1)</f>
        <v>445.96087735392894</v>
      </c>
    </row>
    <row r="40" spans="1:11" ht="15.75" thickBot="1" x14ac:dyDescent="0.3">
      <c r="A40" s="108" t="s">
        <v>339</v>
      </c>
      <c r="B40" s="97">
        <v>32</v>
      </c>
      <c r="C40" s="98" t="s">
        <v>102</v>
      </c>
      <c r="D40" s="57"/>
      <c r="E40" s="56"/>
      <c r="F40" t="s">
        <v>13</v>
      </c>
      <c r="I40" s="10">
        <f>INDEX(Std[],MATCH(F[[#This Row],[Player]],Std[Player],0),20)</f>
        <v>947.32896167795479</v>
      </c>
      <c r="J40">
        <f>_xlfn.RANK.EQ(F[[#This Row],[Value]],F[Value])</f>
        <v>37</v>
      </c>
      <c r="K40" s="10">
        <f>F[[#This Row],[Value]]-_xlfn.XLOOKUP($G$497,F[Value Rk],F[Value],,-1)</f>
        <v>547.91512305220817</v>
      </c>
    </row>
    <row r="41" spans="1:11" ht="15.75" thickBot="1" x14ac:dyDescent="0.3">
      <c r="A41" s="108" t="s">
        <v>277</v>
      </c>
      <c r="B41" s="97">
        <v>30</v>
      </c>
      <c r="C41" s="98" t="s">
        <v>102</v>
      </c>
      <c r="D41" s="57"/>
      <c r="E41" s="57"/>
      <c r="F41" t="s">
        <v>8</v>
      </c>
      <c r="I41" s="10">
        <f>INDEX(Std[],MATCH(F[[#This Row],[Player]],Std[Player],0),20)</f>
        <v>1114.6212575953432</v>
      </c>
      <c r="J41">
        <f>_xlfn.RANK.EQ(F[[#This Row],[Value]],F[Value])</f>
        <v>24</v>
      </c>
      <c r="K41" s="10">
        <f>F[[#This Row],[Value]]-_xlfn.XLOOKUP($G$497,F[Value Rk],F[Value],,-1)</f>
        <v>715.20741896959657</v>
      </c>
    </row>
    <row r="42" spans="1:11" ht="15.75" thickBot="1" x14ac:dyDescent="0.3">
      <c r="A42" s="108" t="s">
        <v>281</v>
      </c>
      <c r="B42" s="97">
        <v>30</v>
      </c>
      <c r="C42" s="98" t="s">
        <v>102</v>
      </c>
      <c r="D42" s="57"/>
      <c r="E42" s="57"/>
      <c r="F42" s="67"/>
      <c r="I42" s="10">
        <f>INDEX(Std[],MATCH(F[[#This Row],[Player]],Std[Player],0),20)</f>
        <v>1109.3268406677091</v>
      </c>
      <c r="J42">
        <f>_xlfn.RANK.EQ(F[[#This Row],[Value]],F[Value])</f>
        <v>25</v>
      </c>
      <c r="K42" s="10">
        <f>F[[#This Row],[Value]]-_xlfn.XLOOKUP($G$497,F[Value Rk],F[Value],,-1)</f>
        <v>709.9130020419625</v>
      </c>
    </row>
    <row r="43" spans="1:11" ht="15.75" thickBot="1" x14ac:dyDescent="0.3">
      <c r="A43" s="108" t="s">
        <v>437</v>
      </c>
      <c r="B43" s="99">
        <v>25</v>
      </c>
      <c r="C43" s="100" t="s">
        <v>102</v>
      </c>
      <c r="D43" s="57" t="s">
        <v>103</v>
      </c>
      <c r="E43" s="56"/>
      <c r="F43" t="s">
        <v>18</v>
      </c>
      <c r="I43" s="10">
        <f>INDEX(Std[],MATCH(F[[#This Row],[Player]],Std[Player],0),20)</f>
        <v>814.92403928026431</v>
      </c>
      <c r="J43">
        <f>_xlfn.RANK.EQ(F[[#This Row],[Value]],F[Value])</f>
        <v>54</v>
      </c>
      <c r="K43" s="10">
        <f>F[[#This Row],[Value]]-_xlfn.XLOOKUP($G$497,F[Value Rk],F[Value],,-1)</f>
        <v>415.51020065451769</v>
      </c>
    </row>
    <row r="44" spans="1:11" ht="15.75" thickBot="1" x14ac:dyDescent="0.3">
      <c r="A44" s="108" t="s">
        <v>1076</v>
      </c>
      <c r="B44" s="97">
        <v>26</v>
      </c>
      <c r="C44" s="98" t="s">
        <v>102</v>
      </c>
      <c r="D44" s="57"/>
      <c r="E44" s="57"/>
      <c r="F44" t="s">
        <v>4</v>
      </c>
      <c r="I44" s="10">
        <f>INDEX(Std[],MATCH(F[[#This Row],[Player]],Std[Player],0),20)</f>
        <v>939.01945902748753</v>
      </c>
      <c r="J44">
        <f>_xlfn.RANK.EQ(F[[#This Row],[Value]],F[Value])</f>
        <v>38</v>
      </c>
      <c r="K44" s="10">
        <f>F[[#This Row],[Value]]-_xlfn.XLOOKUP($G$497,F[Value Rk],F[Value],,-1)</f>
        <v>539.60562040174091</v>
      </c>
    </row>
    <row r="45" spans="1:11" ht="15.75" thickBot="1" x14ac:dyDescent="0.3">
      <c r="A45" s="108" t="s">
        <v>354</v>
      </c>
      <c r="B45" s="97">
        <v>30</v>
      </c>
      <c r="C45" s="98" t="s">
        <v>102</v>
      </c>
      <c r="D45" s="57"/>
      <c r="E45" s="56"/>
      <c r="F45" t="s">
        <v>34</v>
      </c>
      <c r="I45" s="10">
        <f>INDEX(Std[],MATCH(F[[#This Row],[Player]],Std[Player],0),20)</f>
        <v>911.85606891410771</v>
      </c>
      <c r="J45">
        <f>_xlfn.RANK.EQ(F[[#This Row],[Value]],F[Value])</f>
        <v>44</v>
      </c>
      <c r="K45" s="10">
        <f>F[[#This Row],[Value]]-_xlfn.XLOOKUP($G$497,F[Value Rk],F[Value],,-1)</f>
        <v>512.44223028836109</v>
      </c>
    </row>
    <row r="46" spans="1:11" ht="15.75" thickBot="1" x14ac:dyDescent="0.3">
      <c r="A46" s="108" t="s">
        <v>250</v>
      </c>
      <c r="B46" s="97">
        <v>36</v>
      </c>
      <c r="C46" s="98" t="s">
        <v>102</v>
      </c>
      <c r="D46" s="57"/>
      <c r="E46" s="56"/>
      <c r="F46" t="s">
        <v>154</v>
      </c>
      <c r="I46" s="10">
        <f>INDEX(Std[],MATCH(F[[#This Row],[Player]],Std[Player],0),20)</f>
        <v>775.77724472274906</v>
      </c>
      <c r="J46">
        <f>_xlfn.RANK.EQ(F[[#This Row],[Value]],F[Value])</f>
        <v>60</v>
      </c>
      <c r="K46" s="10">
        <f>F[[#This Row],[Value]]-_xlfn.XLOOKUP($G$497,F[Value Rk],F[Value],,-1)</f>
        <v>376.36340609700244</v>
      </c>
    </row>
    <row r="47" spans="1:11" ht="15.75" thickBot="1" x14ac:dyDescent="0.3">
      <c r="A47" s="108" t="s">
        <v>419</v>
      </c>
      <c r="B47" s="97">
        <v>35</v>
      </c>
      <c r="C47" s="98" t="s">
        <v>102</v>
      </c>
      <c r="D47" s="57" t="s">
        <v>103</v>
      </c>
      <c r="E47" s="57"/>
      <c r="F47" t="s">
        <v>2</v>
      </c>
      <c r="I47" s="10">
        <f>INDEX(Std[],MATCH(F[[#This Row],[Player]],Std[Player],0),20)</f>
        <v>738.46067696725311</v>
      </c>
      <c r="J47">
        <f>_xlfn.RANK.EQ(F[[#This Row],[Value]],F[Value])</f>
        <v>65</v>
      </c>
      <c r="K47" s="10">
        <f>F[[#This Row],[Value]]-_xlfn.XLOOKUP($G$497,F[Value Rk],F[Value],,-1)</f>
        <v>339.04683834150649</v>
      </c>
    </row>
    <row r="48" spans="1:11" ht="15.75" thickBot="1" x14ac:dyDescent="0.3">
      <c r="A48" s="108" t="s">
        <v>314</v>
      </c>
      <c r="B48" s="97">
        <v>31</v>
      </c>
      <c r="C48" s="98" t="s">
        <v>102</v>
      </c>
      <c r="D48" s="57"/>
      <c r="E48" s="56"/>
      <c r="F48" t="s">
        <v>29</v>
      </c>
      <c r="I48" s="10">
        <f>INDEX(Std[],MATCH(F[[#This Row],[Player]],Std[Player],0),20)</f>
        <v>963.95053594807689</v>
      </c>
      <c r="J48">
        <f>_xlfn.RANK.EQ(F[[#This Row],[Value]],F[Value])</f>
        <v>35</v>
      </c>
      <c r="K48" s="10">
        <f>F[[#This Row],[Value]]-_xlfn.XLOOKUP($G$497,F[Value Rk],F[Value],,-1)</f>
        <v>564.53669732233027</v>
      </c>
    </row>
    <row r="49" spans="1:11" ht="15.75" thickBot="1" x14ac:dyDescent="0.3">
      <c r="A49" s="108" t="s">
        <v>272</v>
      </c>
      <c r="B49" s="99">
        <v>28</v>
      </c>
      <c r="C49" s="100" t="s">
        <v>102</v>
      </c>
      <c r="D49" s="57"/>
      <c r="E49" s="57"/>
      <c r="F49" t="s">
        <v>4</v>
      </c>
      <c r="I49" s="10">
        <f>INDEX(Std[],MATCH(F[[#This Row],[Player]],Std[Player],0),20)</f>
        <v>744.18661104809701</v>
      </c>
      <c r="J49">
        <f>_xlfn.RANK.EQ(F[[#This Row],[Value]],F[Value])</f>
        <v>62</v>
      </c>
      <c r="K49" s="10">
        <f>F[[#This Row],[Value]]-_xlfn.XLOOKUP($G$497,F[Value Rk],F[Value],,-1)</f>
        <v>344.77277242235039</v>
      </c>
    </row>
    <row r="50" spans="1:11" ht="15.75" thickBot="1" x14ac:dyDescent="0.3">
      <c r="A50" s="108" t="s">
        <v>862</v>
      </c>
      <c r="B50" s="99">
        <v>21</v>
      </c>
      <c r="C50" s="100" t="s">
        <v>102</v>
      </c>
      <c r="D50" s="57"/>
      <c r="E50" s="57"/>
      <c r="F50" t="s">
        <v>16</v>
      </c>
      <c r="I50" s="10">
        <f>INDEX(Std[],MATCH(F[[#This Row],[Player]],Std[Player],0),20)</f>
        <v>723.72838613931503</v>
      </c>
      <c r="J50">
        <f>_xlfn.RANK.EQ(F[[#This Row],[Value]],F[Value])</f>
        <v>67</v>
      </c>
      <c r="K50" s="10">
        <f>F[[#This Row],[Value]]-_xlfn.XLOOKUP($G$497,F[Value Rk],F[Value],,-1)</f>
        <v>324.31454751356841</v>
      </c>
    </row>
    <row r="51" spans="1:11" ht="15.75" thickBot="1" x14ac:dyDescent="0.3">
      <c r="A51" s="108" t="s">
        <v>464</v>
      </c>
      <c r="B51" s="99">
        <v>28</v>
      </c>
      <c r="C51" s="100" t="s">
        <v>102</v>
      </c>
      <c r="D51" s="57"/>
      <c r="E51" s="57"/>
      <c r="F51" t="s">
        <v>2</v>
      </c>
      <c r="I51" s="10">
        <f>INDEX(Std[],MATCH(F[[#This Row],[Player]],Std[Player],0),20)</f>
        <v>734.6338543102986</v>
      </c>
      <c r="J51">
        <f>_xlfn.RANK.EQ(F[[#This Row],[Value]],F[Value])</f>
        <v>66</v>
      </c>
      <c r="K51" s="10">
        <f>F[[#This Row],[Value]]-_xlfn.XLOOKUP($G$497,F[Value Rk],F[Value],,-1)</f>
        <v>335.22001568455198</v>
      </c>
    </row>
    <row r="52" spans="1:11" ht="15.75" thickBot="1" x14ac:dyDescent="0.3">
      <c r="A52" s="108" t="s">
        <v>397</v>
      </c>
      <c r="B52" s="99">
        <v>28</v>
      </c>
      <c r="C52" s="100" t="s">
        <v>102</v>
      </c>
      <c r="D52" s="57"/>
      <c r="E52" s="57"/>
      <c r="F52" t="s">
        <v>23</v>
      </c>
      <c r="I52" s="10">
        <f>INDEX(Std[],MATCH(F[[#This Row],[Player]],Std[Player],0),20)</f>
        <v>741.12511146051918</v>
      </c>
      <c r="J52">
        <f>_xlfn.RANK.EQ(F[[#This Row],[Value]],F[Value])</f>
        <v>63</v>
      </c>
      <c r="K52" s="10">
        <f>F[[#This Row],[Value]]-_xlfn.XLOOKUP($G$497,F[Value Rk],F[Value],,-1)</f>
        <v>341.71127283477256</v>
      </c>
    </row>
    <row r="53" spans="1:11" ht="15.75" thickBot="1" x14ac:dyDescent="0.3">
      <c r="A53" s="108" t="s">
        <v>301</v>
      </c>
      <c r="B53" s="97">
        <v>32</v>
      </c>
      <c r="C53" s="98" t="s">
        <v>102</v>
      </c>
      <c r="D53" s="57"/>
      <c r="E53" s="56"/>
      <c r="F53" t="s">
        <v>29</v>
      </c>
      <c r="I53" s="10">
        <f>INDEX(Std[],MATCH(F[[#This Row],[Player]],Std[Player],0),20)</f>
        <v>711.00225090236268</v>
      </c>
      <c r="J53">
        <f>_xlfn.RANK.EQ(F[[#This Row],[Value]],F[Value])</f>
        <v>70</v>
      </c>
      <c r="K53" s="10">
        <f>F[[#This Row],[Value]]-_xlfn.XLOOKUP($G$497,F[Value Rk],F[Value],,-1)</f>
        <v>311.58841227661605</v>
      </c>
    </row>
    <row r="54" spans="1:11" ht="15.75" thickBot="1" x14ac:dyDescent="0.3">
      <c r="A54" s="108" t="s">
        <v>356</v>
      </c>
      <c r="B54" s="99">
        <v>25</v>
      </c>
      <c r="C54" s="100" t="s">
        <v>102</v>
      </c>
      <c r="D54" s="57"/>
      <c r="E54" s="56"/>
      <c r="F54" t="s">
        <v>153</v>
      </c>
      <c r="I54" s="10">
        <f>INDEX(Std[],MATCH(F[[#This Row],[Player]],Std[Player],0),20)</f>
        <v>1077.71422543984</v>
      </c>
      <c r="J54">
        <f>_xlfn.RANK.EQ(F[[#This Row],[Value]],F[Value])</f>
        <v>27</v>
      </c>
      <c r="K54" s="10">
        <f>F[[#This Row],[Value]]-_xlfn.XLOOKUP($G$497,F[Value Rk],F[Value],,-1)</f>
        <v>678.30038681409337</v>
      </c>
    </row>
    <row r="55" spans="1:11" ht="15.75" thickBot="1" x14ac:dyDescent="0.3">
      <c r="A55" s="108" t="s">
        <v>413</v>
      </c>
      <c r="B55" s="97">
        <v>27</v>
      </c>
      <c r="C55" s="98" t="s">
        <v>102</v>
      </c>
      <c r="D55" s="57"/>
      <c r="E55" s="56"/>
      <c r="F55" t="s">
        <v>155</v>
      </c>
      <c r="I55" s="10">
        <f>INDEX(Std[],MATCH(F[[#This Row],[Player]],Std[Player],0),20)</f>
        <v>880.56653708474903</v>
      </c>
      <c r="J55">
        <f>_xlfn.RANK.EQ(F[[#This Row],[Value]],F[Value])</f>
        <v>50</v>
      </c>
      <c r="K55" s="10">
        <f>F[[#This Row],[Value]]-_xlfn.XLOOKUP($G$497,F[Value Rk],F[Value],,-1)</f>
        <v>481.15269845900241</v>
      </c>
    </row>
    <row r="56" spans="1:11" ht="15.75" thickBot="1" x14ac:dyDescent="0.3">
      <c r="A56" s="108" t="s">
        <v>308</v>
      </c>
      <c r="B56" s="99">
        <v>35</v>
      </c>
      <c r="C56" s="100" t="s">
        <v>102</v>
      </c>
      <c r="D56" s="57"/>
      <c r="E56" s="56"/>
      <c r="F56" t="s">
        <v>32</v>
      </c>
      <c r="I56" s="10">
        <f>INDEX(Std[],MATCH(F[[#This Row],[Player]],Std[Player],0),20)</f>
        <v>685.57825176834592</v>
      </c>
      <c r="J56">
        <f>_xlfn.RANK.EQ(F[[#This Row],[Value]],F[Value])</f>
        <v>72</v>
      </c>
      <c r="K56" s="10">
        <f>F[[#This Row],[Value]]-_xlfn.XLOOKUP($G$497,F[Value Rk],F[Value],,-1)</f>
        <v>286.1644131425993</v>
      </c>
    </row>
    <row r="57" spans="1:11" ht="15.75" thickBot="1" x14ac:dyDescent="0.3">
      <c r="A57" s="108" t="s">
        <v>359</v>
      </c>
      <c r="B57" s="97">
        <v>31</v>
      </c>
      <c r="C57" s="98" t="s">
        <v>102</v>
      </c>
      <c r="D57" s="57"/>
      <c r="E57" s="57"/>
      <c r="F57" t="s">
        <v>20</v>
      </c>
      <c r="I57" s="10">
        <f>INDEX(Std[],MATCH(F[[#This Row],[Player]],Std[Player],0),20)</f>
        <v>804.27768911733392</v>
      </c>
      <c r="J57">
        <f>_xlfn.RANK.EQ(F[[#This Row],[Value]],F[Value])</f>
        <v>56</v>
      </c>
      <c r="K57" s="10">
        <f>F[[#This Row],[Value]]-_xlfn.XLOOKUP($G$497,F[Value Rk],F[Value],,-1)</f>
        <v>404.8638504915873</v>
      </c>
    </row>
    <row r="58" spans="1:11" ht="15.75" thickBot="1" x14ac:dyDescent="0.3">
      <c r="A58" s="108" t="s">
        <v>324</v>
      </c>
      <c r="B58" s="99">
        <v>27</v>
      </c>
      <c r="C58" s="100" t="s">
        <v>102</v>
      </c>
      <c r="D58" s="57"/>
      <c r="E58" s="57"/>
      <c r="F58" t="s">
        <v>20</v>
      </c>
      <c r="I58" s="10">
        <f>INDEX(Std[],MATCH(F[[#This Row],[Player]],Std[Player],0),20)</f>
        <v>678.39666288017543</v>
      </c>
      <c r="J58">
        <f>_xlfn.RANK.EQ(F[[#This Row],[Value]],F[Value])</f>
        <v>73</v>
      </c>
      <c r="K58" s="10">
        <f>F[[#This Row],[Value]]-_xlfn.XLOOKUP($G$497,F[Value Rk],F[Value],,-1)</f>
        <v>278.98282425442881</v>
      </c>
    </row>
    <row r="59" spans="1:11" ht="15.75" thickBot="1" x14ac:dyDescent="0.3">
      <c r="A59" s="108" t="s">
        <v>978</v>
      </c>
      <c r="B59" s="97">
        <v>32</v>
      </c>
      <c r="C59" s="98" t="s">
        <v>102</v>
      </c>
      <c r="D59" s="57"/>
      <c r="E59" s="57"/>
      <c r="F59" t="s">
        <v>32</v>
      </c>
      <c r="I59" s="10">
        <f>INDEX(Std[],MATCH(F[[#This Row],[Player]],Std[Player],0),20)</f>
        <v>653.58133103134492</v>
      </c>
      <c r="J59">
        <f>_xlfn.RANK.EQ(F[[#This Row],[Value]],F[Value])</f>
        <v>74</v>
      </c>
      <c r="K59" s="10">
        <f>F[[#This Row],[Value]]-_xlfn.XLOOKUP($G$497,F[Value Rk],F[Value],,-1)</f>
        <v>254.1674924055983</v>
      </c>
    </row>
    <row r="60" spans="1:11" ht="15.75" thickBot="1" x14ac:dyDescent="0.3">
      <c r="A60" s="108" t="s">
        <v>320</v>
      </c>
      <c r="B60" s="97">
        <v>28</v>
      </c>
      <c r="C60" s="98" t="s">
        <v>74</v>
      </c>
      <c r="D60" s="57" t="s">
        <v>102</v>
      </c>
      <c r="E60" s="57"/>
      <c r="F60" t="s">
        <v>15</v>
      </c>
      <c r="I60" s="10">
        <f>INDEX(Std[],MATCH(F[[#This Row],[Player]],Std[Player],0),20)</f>
        <v>1001.3068233139866</v>
      </c>
      <c r="J60">
        <f>_xlfn.RANK.EQ(F[[#This Row],[Value]],F[Value])</f>
        <v>32</v>
      </c>
      <c r="K60" s="10">
        <f>F[[#This Row],[Value]]-_xlfn.XLOOKUP($G$497,F[Value Rk],F[Value],,-1)</f>
        <v>601.89298468823995</v>
      </c>
    </row>
    <row r="61" spans="1:11" ht="15.75" thickBot="1" x14ac:dyDescent="0.3">
      <c r="A61" s="108" t="s">
        <v>492</v>
      </c>
      <c r="B61" s="97">
        <v>21</v>
      </c>
      <c r="C61" s="98" t="s">
        <v>102</v>
      </c>
      <c r="D61" s="57" t="s">
        <v>103</v>
      </c>
      <c r="E61" s="56"/>
      <c r="F61" t="s">
        <v>8</v>
      </c>
      <c r="I61" s="10">
        <f>INDEX(Std[],MATCH(F[[#This Row],[Player]],Std[Player],0),20)</f>
        <v>813.1809109228833</v>
      </c>
      <c r="J61">
        <f>_xlfn.RANK.EQ(F[[#This Row],[Value]],F[Value])</f>
        <v>55</v>
      </c>
      <c r="K61" s="10">
        <f>F[[#This Row],[Value]]-_xlfn.XLOOKUP($G$497,F[Value Rk],F[Value],,-1)</f>
        <v>413.76707229713668</v>
      </c>
    </row>
    <row r="62" spans="1:11" ht="15.75" thickBot="1" x14ac:dyDescent="0.3">
      <c r="A62" s="108" t="s">
        <v>333</v>
      </c>
      <c r="B62" s="99">
        <v>34</v>
      </c>
      <c r="C62" s="100" t="s">
        <v>102</v>
      </c>
      <c r="D62" s="57"/>
      <c r="E62" s="56"/>
      <c r="F62" t="s">
        <v>15</v>
      </c>
      <c r="I62" s="10">
        <f>INDEX(Std[],MATCH(F[[#This Row],[Player]],Std[Player],0),20)</f>
        <v>936.60618486553824</v>
      </c>
      <c r="J62">
        <f>_xlfn.RANK.EQ(F[[#This Row],[Value]],F[Value])</f>
        <v>41</v>
      </c>
      <c r="K62" s="10">
        <f>F[[#This Row],[Value]]-_xlfn.XLOOKUP($G$497,F[Value Rk],F[Value],,-1)</f>
        <v>537.19234623979162</v>
      </c>
    </row>
    <row r="63" spans="1:11" ht="15.75" thickBot="1" x14ac:dyDescent="0.3">
      <c r="A63" s="108" t="s">
        <v>601</v>
      </c>
      <c r="B63" s="97">
        <v>27</v>
      </c>
      <c r="C63" s="98" t="s">
        <v>102</v>
      </c>
      <c r="D63" s="57"/>
      <c r="E63" s="57"/>
      <c r="F63" t="s">
        <v>156</v>
      </c>
      <c r="I63" s="10">
        <f>INDEX(Std[],MATCH(F[[#This Row],[Player]],Std[Player],0),20)</f>
        <v>609.27696741598049</v>
      </c>
      <c r="J63">
        <f>_xlfn.RANK.EQ(F[[#This Row],[Value]],F[Value])</f>
        <v>79</v>
      </c>
      <c r="K63" s="10">
        <f>F[[#This Row],[Value]]-_xlfn.XLOOKUP($G$497,F[Value Rk],F[Value],,-1)</f>
        <v>209.86312879023387</v>
      </c>
    </row>
    <row r="64" spans="1:11" ht="15.75" thickBot="1" x14ac:dyDescent="0.3">
      <c r="A64" s="108" t="s">
        <v>484</v>
      </c>
      <c r="B64" s="99">
        <v>28</v>
      </c>
      <c r="C64" s="100" t="s">
        <v>102</v>
      </c>
      <c r="D64" s="57"/>
      <c r="E64" s="57"/>
      <c r="F64" t="s">
        <v>11</v>
      </c>
      <c r="I64" s="10">
        <f>INDEX(Std[],MATCH(F[[#This Row],[Player]],Std[Player],0),20)</f>
        <v>580.86928338134112</v>
      </c>
      <c r="J64">
        <f>_xlfn.RANK.EQ(F[[#This Row],[Value]],F[Value])</f>
        <v>83</v>
      </c>
      <c r="K64" s="10">
        <f>F[[#This Row],[Value]]-_xlfn.XLOOKUP($G$497,F[Value Rk],F[Value],,-1)</f>
        <v>181.4554447555945</v>
      </c>
    </row>
    <row r="65" spans="1:11" ht="15.75" thickBot="1" x14ac:dyDescent="0.3">
      <c r="A65" s="108" t="s">
        <v>1150</v>
      </c>
      <c r="B65" s="109"/>
      <c r="C65" s="109"/>
      <c r="D65" s="57"/>
      <c r="E65" s="57"/>
      <c r="F65" s="67"/>
      <c r="I65" s="10">
        <f>INDEX(Std[],MATCH(F[[#This Row],[Player]],Std[Player],0),20)</f>
        <v>603.1958837509352</v>
      </c>
      <c r="J65">
        <f>_xlfn.RANK.EQ(F[[#This Row],[Value]],F[Value])</f>
        <v>80</v>
      </c>
      <c r="K65" s="10">
        <f>F[[#This Row],[Value]]-_xlfn.XLOOKUP($G$497,F[Value Rk],F[Value],,-1)</f>
        <v>203.78204512518857</v>
      </c>
    </row>
    <row r="66" spans="1:11" ht="15.75" thickBot="1" x14ac:dyDescent="0.3">
      <c r="A66" s="108" t="s">
        <v>358</v>
      </c>
      <c r="B66" s="97">
        <v>21</v>
      </c>
      <c r="C66" s="98" t="s">
        <v>74</v>
      </c>
      <c r="D66" s="57" t="s">
        <v>102</v>
      </c>
      <c r="E66" s="57"/>
      <c r="F66" t="s">
        <v>13</v>
      </c>
      <c r="I66" s="10">
        <f>INDEX(Std[],MATCH(F[[#This Row],[Player]],Std[Player],0),20)</f>
        <v>615.0716271833503</v>
      </c>
      <c r="J66">
        <f>_xlfn.RANK.EQ(F[[#This Row],[Value]],F[Value])</f>
        <v>77</v>
      </c>
      <c r="K66" s="10">
        <f>F[[#This Row],[Value]]-_xlfn.XLOOKUP($G$497,F[Value Rk],F[Value],,-1)</f>
        <v>215.65778855760368</v>
      </c>
    </row>
    <row r="67" spans="1:11" ht="15.75" thickBot="1" x14ac:dyDescent="0.3">
      <c r="A67" s="108" t="s">
        <v>374</v>
      </c>
      <c r="B67" s="99">
        <v>29</v>
      </c>
      <c r="C67" s="100" t="s">
        <v>102</v>
      </c>
      <c r="D67" s="57"/>
      <c r="E67" s="57"/>
      <c r="F67" t="s">
        <v>18</v>
      </c>
      <c r="I67" s="10">
        <f>INDEX(Std[],MATCH(F[[#This Row],[Player]],Std[Player],0),20)</f>
        <v>988.12948521424835</v>
      </c>
      <c r="J67">
        <f>_xlfn.RANK.EQ(F[[#This Row],[Value]],F[Value])</f>
        <v>33</v>
      </c>
      <c r="K67" s="10">
        <f>F[[#This Row],[Value]]-_xlfn.XLOOKUP($G$497,F[Value Rk],F[Value],,-1)</f>
        <v>588.71564658850173</v>
      </c>
    </row>
    <row r="68" spans="1:11" ht="15.75" thickBot="1" x14ac:dyDescent="0.3">
      <c r="A68" s="108" t="s">
        <v>258</v>
      </c>
      <c r="B68" s="99">
        <v>28</v>
      </c>
      <c r="C68" s="100" t="s">
        <v>102</v>
      </c>
      <c r="D68" s="57"/>
      <c r="E68" s="57"/>
      <c r="F68" t="s">
        <v>156</v>
      </c>
      <c r="I68" s="10">
        <f>INDEX(Std[],MATCH(F[[#This Row],[Player]],Std[Player],0),20)</f>
        <v>575.89754638844261</v>
      </c>
      <c r="J68">
        <f>_xlfn.RANK.EQ(F[[#This Row],[Value]],F[Value])</f>
        <v>84</v>
      </c>
      <c r="K68" s="10">
        <f>F[[#This Row],[Value]]-_xlfn.XLOOKUP($G$497,F[Value Rk],F[Value],,-1)</f>
        <v>176.48370776269599</v>
      </c>
    </row>
    <row r="69" spans="1:11" ht="15.75" thickBot="1" x14ac:dyDescent="0.3">
      <c r="A69" s="108" t="s">
        <v>1220</v>
      </c>
      <c r="B69" s="97">
        <v>32</v>
      </c>
      <c r="C69" s="98" t="s">
        <v>102</v>
      </c>
      <c r="D69" s="57"/>
      <c r="E69" s="57"/>
      <c r="F69" t="s">
        <v>20</v>
      </c>
      <c r="I69" s="10">
        <f>INDEX(Std[],MATCH(F[[#This Row],[Player]],Std[Player],0),20)</f>
        <v>722.35020864036801</v>
      </c>
      <c r="J69">
        <f>_xlfn.RANK.EQ(F[[#This Row],[Value]],F[Value])</f>
        <v>68</v>
      </c>
      <c r="K69" s="10">
        <f>F[[#This Row],[Value]]-_xlfn.XLOOKUP($G$497,F[Value Rk],F[Value],,-1)</f>
        <v>322.93637001462139</v>
      </c>
    </row>
    <row r="70" spans="1:11" ht="15.75" thickBot="1" x14ac:dyDescent="0.3">
      <c r="A70" s="108" t="s">
        <v>370</v>
      </c>
      <c r="B70" s="99">
        <v>28</v>
      </c>
      <c r="C70" s="100" t="s">
        <v>102</v>
      </c>
      <c r="D70" s="57"/>
      <c r="E70" s="57"/>
      <c r="F70" s="67"/>
      <c r="I70" s="10">
        <f>INDEX(Std[],MATCH(F[[#This Row],[Player]],Std[Player],0),20)</f>
        <v>912.942477233967</v>
      </c>
      <c r="J70">
        <f>_xlfn.RANK.EQ(F[[#This Row],[Value]],F[Value])</f>
        <v>43</v>
      </c>
      <c r="K70" s="10">
        <f>F[[#This Row],[Value]]-_xlfn.XLOOKUP($G$497,F[Value Rk],F[Value],,-1)</f>
        <v>513.52863860822038</v>
      </c>
    </row>
    <row r="71" spans="1:11" ht="15.75" thickBot="1" x14ac:dyDescent="0.3">
      <c r="A71" s="108" t="s">
        <v>313</v>
      </c>
      <c r="B71" s="99">
        <v>21</v>
      </c>
      <c r="C71" s="100" t="s">
        <v>102</v>
      </c>
      <c r="D71" s="57"/>
      <c r="E71" s="57"/>
      <c r="F71" t="s">
        <v>25</v>
      </c>
      <c r="I71" s="10">
        <f>INDEX(Std[],MATCH(F[[#This Row],[Player]],Std[Player],0),20)</f>
        <v>753.70939984185611</v>
      </c>
      <c r="J71">
        <f>_xlfn.RANK.EQ(F[[#This Row],[Value]],F[Value])</f>
        <v>61</v>
      </c>
      <c r="K71" s="10">
        <f>F[[#This Row],[Value]]-_xlfn.XLOOKUP($G$497,F[Value Rk],F[Value],,-1)</f>
        <v>354.29556121610949</v>
      </c>
    </row>
    <row r="72" spans="1:11" ht="15.75" thickBot="1" x14ac:dyDescent="0.3">
      <c r="A72" s="108" t="s">
        <v>295</v>
      </c>
      <c r="B72" s="109"/>
      <c r="C72" s="109"/>
      <c r="D72" s="57"/>
      <c r="E72" s="57"/>
      <c r="F72" s="67"/>
      <c r="I72" s="10">
        <f>INDEX(Std[],MATCH(F[[#This Row],[Player]],Std[Player],0),20)</f>
        <v>535.5221589804446</v>
      </c>
      <c r="J72">
        <f>_xlfn.RANK.EQ(F[[#This Row],[Value]],F[Value])</f>
        <v>89</v>
      </c>
      <c r="K72" s="10">
        <f>F[[#This Row],[Value]]-_xlfn.XLOOKUP($G$497,F[Value Rk],F[Value],,-1)</f>
        <v>136.10832035469798</v>
      </c>
    </row>
    <row r="73" spans="1:11" ht="15.75" thickBot="1" x14ac:dyDescent="0.3">
      <c r="A73" s="108" t="s">
        <v>409</v>
      </c>
      <c r="B73" s="99">
        <v>28</v>
      </c>
      <c r="C73" s="100" t="s">
        <v>102</v>
      </c>
      <c r="D73" s="57"/>
      <c r="E73" s="56"/>
      <c r="F73" t="s">
        <v>5</v>
      </c>
      <c r="I73" s="10">
        <f>INDEX(Std[],MATCH(F[[#This Row],[Player]],Std[Player],0),20)</f>
        <v>917.1342913729992</v>
      </c>
      <c r="J73">
        <f>_xlfn.RANK.EQ(F[[#This Row],[Value]],F[Value])</f>
        <v>42</v>
      </c>
      <c r="K73" s="10">
        <f>F[[#This Row],[Value]]-_xlfn.XLOOKUP($G$497,F[Value Rk],F[Value],,-1)</f>
        <v>517.72045274725258</v>
      </c>
    </row>
    <row r="74" spans="1:11" ht="15.75" thickBot="1" x14ac:dyDescent="0.3">
      <c r="A74" s="108" t="s">
        <v>488</v>
      </c>
      <c r="B74" s="97">
        <v>27</v>
      </c>
      <c r="C74" s="98" t="s">
        <v>102</v>
      </c>
      <c r="D74" s="57"/>
      <c r="E74" s="56"/>
      <c r="F74" t="s">
        <v>14</v>
      </c>
      <c r="I74" s="10">
        <f>INDEX(Std[],MATCH(F[[#This Row],[Player]],Std[Player],0),20)</f>
        <v>938.47939722664717</v>
      </c>
      <c r="J74">
        <f>_xlfn.RANK.EQ(F[[#This Row],[Value]],F[Value])</f>
        <v>39</v>
      </c>
      <c r="K74" s="10">
        <f>F[[#This Row],[Value]]-_xlfn.XLOOKUP($G$497,F[Value Rk],F[Value],,-1)</f>
        <v>539.06555860090054</v>
      </c>
    </row>
    <row r="75" spans="1:11" ht="15.75" thickBot="1" x14ac:dyDescent="0.3">
      <c r="A75" s="108" t="s">
        <v>607</v>
      </c>
      <c r="B75" s="97">
        <v>28</v>
      </c>
      <c r="C75" s="98" t="s">
        <v>102</v>
      </c>
      <c r="D75" s="57"/>
      <c r="E75" s="57"/>
      <c r="F75" t="s">
        <v>31</v>
      </c>
      <c r="I75" s="10">
        <f>INDEX(Std[],MATCH(F[[#This Row],[Player]],Std[Player],0),20)</f>
        <v>905.05695808364044</v>
      </c>
      <c r="J75">
        <f>_xlfn.RANK.EQ(F[[#This Row],[Value]],F[Value])</f>
        <v>45</v>
      </c>
      <c r="K75" s="10">
        <f>F[[#This Row],[Value]]-_xlfn.XLOOKUP($G$497,F[Value Rk],F[Value],,-1)</f>
        <v>505.64311945789382</v>
      </c>
    </row>
    <row r="76" spans="1:11" ht="15.75" thickBot="1" x14ac:dyDescent="0.3">
      <c r="A76" s="108" t="s">
        <v>546</v>
      </c>
      <c r="B76" s="99">
        <v>29</v>
      </c>
      <c r="C76" s="100" t="s">
        <v>102</v>
      </c>
      <c r="D76" s="57"/>
      <c r="E76" s="56"/>
      <c r="F76" t="s">
        <v>25</v>
      </c>
      <c r="I76" s="10">
        <f>INDEX(Std[],MATCH(F[[#This Row],[Player]],Std[Player],0),20)</f>
        <v>539.63294291124191</v>
      </c>
      <c r="J76">
        <f>_xlfn.RANK.EQ(F[[#This Row],[Value]],F[Value])</f>
        <v>88</v>
      </c>
      <c r="K76" s="10">
        <f>F[[#This Row],[Value]]-_xlfn.XLOOKUP($G$497,F[Value Rk],F[Value],,-1)</f>
        <v>140.21910428549529</v>
      </c>
    </row>
    <row r="77" spans="1:11" ht="15.75" thickBot="1" x14ac:dyDescent="0.3">
      <c r="A77" s="108" t="s">
        <v>248</v>
      </c>
      <c r="B77" s="99">
        <v>30</v>
      </c>
      <c r="C77" s="100" t="s">
        <v>102</v>
      </c>
      <c r="D77" s="57"/>
      <c r="E77" s="56"/>
      <c r="F77" t="s">
        <v>9</v>
      </c>
      <c r="I77" s="10">
        <f>INDEX(Std[],MATCH(F[[#This Row],[Player]],Std[Player],0),20)</f>
        <v>491.35210593405259</v>
      </c>
      <c r="J77">
        <f>_xlfn.RANK.EQ(F[[#This Row],[Value]],F[Value])</f>
        <v>95</v>
      </c>
      <c r="K77" s="10">
        <f>F[[#This Row],[Value]]-_xlfn.XLOOKUP($G$497,F[Value Rk],F[Value],,-1)</f>
        <v>91.938267308305967</v>
      </c>
    </row>
    <row r="78" spans="1:11" ht="15.75" thickBot="1" x14ac:dyDescent="0.3">
      <c r="A78" s="108" t="s">
        <v>321</v>
      </c>
      <c r="B78" s="99">
        <v>32</v>
      </c>
      <c r="C78" s="100" t="s">
        <v>102</v>
      </c>
      <c r="D78" s="57"/>
      <c r="E78" s="57"/>
      <c r="F78" t="s">
        <v>15</v>
      </c>
      <c r="I78" s="10">
        <f>INDEX(Std[],MATCH(F[[#This Row],[Player]],Std[Player],0),20)</f>
        <v>633.22169200404983</v>
      </c>
      <c r="J78">
        <f>_xlfn.RANK.EQ(F[[#This Row],[Value]],F[Value])</f>
        <v>75</v>
      </c>
      <c r="K78" s="10">
        <f>F[[#This Row],[Value]]-_xlfn.XLOOKUP($G$497,F[Value Rk],F[Value],,-1)</f>
        <v>233.80785337830321</v>
      </c>
    </row>
    <row r="79" spans="1:11" ht="15.75" thickBot="1" x14ac:dyDescent="0.3">
      <c r="A79" s="108" t="s">
        <v>328</v>
      </c>
      <c r="B79" s="97">
        <v>27</v>
      </c>
      <c r="C79" s="98" t="s">
        <v>102</v>
      </c>
      <c r="D79" s="57"/>
      <c r="E79" s="57"/>
      <c r="F79" t="s">
        <v>22</v>
      </c>
      <c r="I79" s="10">
        <f>INDEX(Std[],MATCH(F[[#This Row],[Player]],Std[Player],0),20)</f>
        <v>739.23287129441565</v>
      </c>
      <c r="J79">
        <f>_xlfn.RANK.EQ(F[[#This Row],[Value]],F[Value])</f>
        <v>64</v>
      </c>
      <c r="K79" s="10">
        <f>F[[#This Row],[Value]]-_xlfn.XLOOKUP($G$497,F[Value Rk],F[Value],,-1)</f>
        <v>339.81903266866902</v>
      </c>
    </row>
    <row r="80" spans="1:11" ht="15.75" thickBot="1" x14ac:dyDescent="0.3">
      <c r="A80" s="108" t="s">
        <v>340</v>
      </c>
      <c r="B80" s="99">
        <v>34</v>
      </c>
      <c r="C80" s="100" t="s">
        <v>102</v>
      </c>
      <c r="D80" s="57"/>
      <c r="E80" s="56"/>
      <c r="F80" t="s">
        <v>6</v>
      </c>
      <c r="I80" s="10">
        <f>INDEX(Std[],MATCH(F[[#This Row],[Player]],Std[Player],0),20)</f>
        <v>700.05947972818285</v>
      </c>
      <c r="J80">
        <f>_xlfn.RANK.EQ(F[[#This Row],[Value]],F[Value])</f>
        <v>71</v>
      </c>
      <c r="K80" s="10">
        <f>F[[#This Row],[Value]]-_xlfn.XLOOKUP($G$497,F[Value Rk],F[Value],,-1)</f>
        <v>300.64564110243623</v>
      </c>
    </row>
    <row r="81" spans="1:11" ht="15.75" thickBot="1" x14ac:dyDescent="0.3">
      <c r="A81" s="108" t="s">
        <v>386</v>
      </c>
      <c r="B81" s="97">
        <v>28</v>
      </c>
      <c r="C81" s="98" t="s">
        <v>102</v>
      </c>
      <c r="D81" s="57"/>
      <c r="E81" s="57"/>
      <c r="F81" t="s">
        <v>17</v>
      </c>
      <c r="I81" s="10">
        <f>INDEX(Std[],MATCH(F[[#This Row],[Player]],Std[Player],0),20)</f>
        <v>489.79421416183141</v>
      </c>
      <c r="J81">
        <f>_xlfn.RANK.EQ(F[[#This Row],[Value]],F[Value])</f>
        <v>96</v>
      </c>
      <c r="K81" s="10">
        <f>F[[#This Row],[Value]]-_xlfn.XLOOKUP($G$497,F[Value Rk],F[Value],,-1)</f>
        <v>90.380375536084784</v>
      </c>
    </row>
    <row r="82" spans="1:11" ht="15.75" thickBot="1" x14ac:dyDescent="0.3">
      <c r="A82" s="108" t="s">
        <v>571</v>
      </c>
      <c r="B82" s="99">
        <v>28</v>
      </c>
      <c r="C82" s="100" t="s">
        <v>102</v>
      </c>
      <c r="D82" s="57"/>
      <c r="E82" s="56"/>
      <c r="F82" t="s">
        <v>23</v>
      </c>
      <c r="I82" s="10">
        <f>INDEX(Std[],MATCH(F[[#This Row],[Player]],Std[Player],0),20)</f>
        <v>475.43708762990684</v>
      </c>
      <c r="J82">
        <f>_xlfn.RANK.EQ(F[[#This Row],[Value]],F[Value])</f>
        <v>99</v>
      </c>
      <c r="K82" s="10">
        <f>F[[#This Row],[Value]]-_xlfn.XLOOKUP($G$497,F[Value Rk],F[Value],,-1)</f>
        <v>76.02324900416022</v>
      </c>
    </row>
    <row r="83" spans="1:11" ht="15.75" thickBot="1" x14ac:dyDescent="0.3">
      <c r="A83" s="108" t="s">
        <v>382</v>
      </c>
      <c r="B83" s="99">
        <v>24</v>
      </c>
      <c r="C83" s="100" t="s">
        <v>102</v>
      </c>
      <c r="D83" s="57"/>
      <c r="E83" s="56"/>
      <c r="F83" t="s">
        <v>17</v>
      </c>
      <c r="I83" s="10">
        <f>INDEX(Std[],MATCH(F[[#This Row],[Player]],Std[Player],0),20)</f>
        <v>471.54472439024886</v>
      </c>
      <c r="J83">
        <f>_xlfn.RANK.EQ(F[[#This Row],[Value]],F[Value])</f>
        <v>100</v>
      </c>
      <c r="K83" s="10">
        <f>F[[#This Row],[Value]]-_xlfn.XLOOKUP($G$497,F[Value Rk],F[Value],,-1)</f>
        <v>72.130885764502239</v>
      </c>
    </row>
    <row r="84" spans="1:11" ht="15.75" thickBot="1" x14ac:dyDescent="0.3">
      <c r="A84" s="108" t="s">
        <v>373</v>
      </c>
      <c r="B84" s="99">
        <v>25</v>
      </c>
      <c r="C84" s="100" t="s">
        <v>102</v>
      </c>
      <c r="D84" s="57"/>
      <c r="E84" s="56"/>
      <c r="F84" t="s">
        <v>153</v>
      </c>
      <c r="I84" s="10">
        <f>INDEX(Std[],MATCH(F[[#This Row],[Player]],Std[Player],0),20)</f>
        <v>468.87897162274214</v>
      </c>
      <c r="J84">
        <f>_xlfn.RANK.EQ(F[[#This Row],[Value]],F[Value])</f>
        <v>102</v>
      </c>
      <c r="K84" s="10">
        <f>F[[#This Row],[Value]]-_xlfn.XLOOKUP($G$497,F[Value Rk],F[Value],,-1)</f>
        <v>69.465132996995521</v>
      </c>
    </row>
    <row r="85" spans="1:11" ht="15.75" thickBot="1" x14ac:dyDescent="0.3">
      <c r="A85" s="108" t="s">
        <v>475</v>
      </c>
      <c r="B85" s="97">
        <v>27</v>
      </c>
      <c r="C85" s="98" t="s">
        <v>102</v>
      </c>
      <c r="D85" s="57"/>
      <c r="E85" s="57"/>
      <c r="F85" t="s">
        <v>156</v>
      </c>
      <c r="I85" s="10">
        <f>INDEX(Std[],MATCH(F[[#This Row],[Player]],Std[Player],0),20)</f>
        <v>456.19788305585018</v>
      </c>
      <c r="J85">
        <f>_xlfn.RANK.EQ(F[[#This Row],[Value]],F[Value])</f>
        <v>106</v>
      </c>
      <c r="K85" s="10">
        <f>F[[#This Row],[Value]]-_xlfn.XLOOKUP($G$497,F[Value Rk],F[Value],,-1)</f>
        <v>56.784044430103563</v>
      </c>
    </row>
    <row r="86" spans="1:11" ht="15.75" thickBot="1" x14ac:dyDescent="0.3">
      <c r="A86" s="108" t="s">
        <v>253</v>
      </c>
      <c r="B86" s="97">
        <v>27</v>
      </c>
      <c r="C86" s="98" t="s">
        <v>102</v>
      </c>
      <c r="D86" s="57"/>
      <c r="E86" s="57"/>
      <c r="F86" t="s">
        <v>9</v>
      </c>
      <c r="I86" s="10">
        <f>INDEX(Std[],MATCH(F[[#This Row],[Player]],Std[Player],0),20)</f>
        <v>464.16648613332649</v>
      </c>
      <c r="J86">
        <f>_xlfn.RANK.EQ(F[[#This Row],[Value]],F[Value])</f>
        <v>104</v>
      </c>
      <c r="K86" s="10">
        <f>F[[#This Row],[Value]]-_xlfn.XLOOKUP($G$497,F[Value Rk],F[Value],,-1)</f>
        <v>64.752647507579866</v>
      </c>
    </row>
    <row r="87" spans="1:11" ht="15.75" thickBot="1" x14ac:dyDescent="0.3">
      <c r="A87" s="108" t="s">
        <v>283</v>
      </c>
      <c r="B87" s="97">
        <v>32</v>
      </c>
      <c r="C87" s="98" t="s">
        <v>102</v>
      </c>
      <c r="D87" s="57"/>
      <c r="E87" s="57"/>
      <c r="F87" t="s">
        <v>87</v>
      </c>
      <c r="I87" s="10">
        <f>INDEX(Std[],MATCH(F[[#This Row],[Player]],Std[Player],0),20)</f>
        <v>450.57093001477176</v>
      </c>
      <c r="J87">
        <f>_xlfn.RANK.EQ(F[[#This Row],[Value]],F[Value])</f>
        <v>107</v>
      </c>
      <c r="K87" s="10">
        <f>F[[#This Row],[Value]]-_xlfn.XLOOKUP($G$497,F[Value Rk],F[Value],,-1)</f>
        <v>51.15709138902514</v>
      </c>
    </row>
    <row r="88" spans="1:11" ht="15.75" thickBot="1" x14ac:dyDescent="0.3">
      <c r="A88" s="108" t="s">
        <v>967</v>
      </c>
      <c r="B88" s="99">
        <v>22</v>
      </c>
      <c r="C88" s="100" t="s">
        <v>102</v>
      </c>
      <c r="D88" s="57"/>
      <c r="E88" s="57"/>
      <c r="F88" t="s">
        <v>16</v>
      </c>
      <c r="I88" s="10">
        <f>INDEX(Std[],MATCH(F[[#This Row],[Player]],Std[Player],0),20)</f>
        <v>589.43160156179772</v>
      </c>
      <c r="J88">
        <f>_xlfn.RANK.EQ(F[[#This Row],[Value]],F[Value])</f>
        <v>81</v>
      </c>
      <c r="K88" s="10">
        <f>F[[#This Row],[Value]]-_xlfn.XLOOKUP($G$497,F[Value Rk],F[Value],,-1)</f>
        <v>190.0177629360511</v>
      </c>
    </row>
    <row r="89" spans="1:11" ht="15.75" thickBot="1" x14ac:dyDescent="0.3">
      <c r="A89" s="108" t="s">
        <v>254</v>
      </c>
      <c r="B89" s="97">
        <v>28</v>
      </c>
      <c r="C89" s="98" t="s">
        <v>102</v>
      </c>
      <c r="D89" s="57" t="s">
        <v>103</v>
      </c>
      <c r="E89" s="56"/>
      <c r="F89" t="s">
        <v>7</v>
      </c>
      <c r="I89" s="10">
        <f>INDEX(Std[],MATCH(F[[#This Row],[Player]],Std[Player],0),20)</f>
        <v>439.43276027658032</v>
      </c>
      <c r="J89">
        <f>_xlfn.RANK.EQ(F[[#This Row],[Value]],F[Value])</f>
        <v>112</v>
      </c>
      <c r="K89" s="10">
        <f>F[[#This Row],[Value]]-_xlfn.XLOOKUP($G$497,F[Value Rk],F[Value],,-1)</f>
        <v>40.018921650833704</v>
      </c>
    </row>
    <row r="90" spans="1:11" ht="15.75" thickBot="1" x14ac:dyDescent="0.3">
      <c r="A90" s="108" t="s">
        <v>292</v>
      </c>
      <c r="B90" s="99">
        <v>31</v>
      </c>
      <c r="C90" s="100" t="s">
        <v>102</v>
      </c>
      <c r="D90" s="57"/>
      <c r="E90" s="56"/>
      <c r="F90" t="s">
        <v>25</v>
      </c>
      <c r="I90" s="10">
        <f>INDEX(Std[],MATCH(F[[#This Row],[Player]],Std[Player],0),20)</f>
        <v>431.15218058459544</v>
      </c>
      <c r="J90">
        <f>_xlfn.RANK.EQ(F[[#This Row],[Value]],F[Value])</f>
        <v>115</v>
      </c>
      <c r="K90" s="10">
        <f>F[[#This Row],[Value]]-_xlfn.XLOOKUP($G$497,F[Value Rk],F[Value],,-1)</f>
        <v>31.738341958848821</v>
      </c>
    </row>
    <row r="91" spans="1:11" ht="15.75" thickBot="1" x14ac:dyDescent="0.3">
      <c r="A91" s="108" t="s">
        <v>423</v>
      </c>
      <c r="B91" s="97">
        <v>31</v>
      </c>
      <c r="C91" s="98" t="s">
        <v>102</v>
      </c>
      <c r="D91" s="57"/>
      <c r="E91" s="56"/>
      <c r="F91" t="s">
        <v>12</v>
      </c>
      <c r="I91" s="10">
        <f>INDEX(Std[],MATCH(F[[#This Row],[Player]],Std[Player],0),20)</f>
        <v>432.04091442939739</v>
      </c>
      <c r="J91">
        <f>_xlfn.RANK.EQ(F[[#This Row],[Value]],F[Value])</f>
        <v>114</v>
      </c>
      <c r="K91" s="10">
        <f>F[[#This Row],[Value]]-_xlfn.XLOOKUP($G$497,F[Value Rk],F[Value],,-1)</f>
        <v>32.627075803650769</v>
      </c>
    </row>
    <row r="92" spans="1:11" ht="15.75" thickBot="1" x14ac:dyDescent="0.3">
      <c r="A92" s="108" t="s">
        <v>310</v>
      </c>
      <c r="B92" s="97">
        <v>28</v>
      </c>
      <c r="C92" s="98" t="s">
        <v>102</v>
      </c>
      <c r="D92" s="57"/>
      <c r="E92" s="57"/>
      <c r="F92" s="67"/>
      <c r="I92" s="10">
        <f>INDEX(Std[],MATCH(F[[#This Row],[Player]],Std[Player],0),20)</f>
        <v>425.45624821757252</v>
      </c>
      <c r="J92">
        <f>_xlfn.RANK.EQ(F[[#This Row],[Value]],F[Value])</f>
        <v>119</v>
      </c>
      <c r="K92" s="10">
        <f>F[[#This Row],[Value]]-_xlfn.XLOOKUP($G$497,F[Value Rk],F[Value],,-1)</f>
        <v>26.042409591825901</v>
      </c>
    </row>
    <row r="93" spans="1:11" ht="15.75" thickBot="1" x14ac:dyDescent="0.3">
      <c r="A93" s="108" t="s">
        <v>1213</v>
      </c>
      <c r="B93" s="99">
        <v>27</v>
      </c>
      <c r="C93" s="100" t="s">
        <v>102</v>
      </c>
      <c r="D93" s="57"/>
      <c r="E93" s="56"/>
      <c r="F93" t="s">
        <v>18</v>
      </c>
      <c r="I93" s="10">
        <f>INDEX(Std[],MATCH(F[[#This Row],[Player]],Std[Player],0),20)</f>
        <v>444.98108826770738</v>
      </c>
      <c r="J93">
        <f>_xlfn.RANK.EQ(F[[#This Row],[Value]],F[Value])</f>
        <v>109</v>
      </c>
      <c r="K93" s="10">
        <f>F[[#This Row],[Value]]-_xlfn.XLOOKUP($G$497,F[Value Rk],F[Value],,-1)</f>
        <v>45.567249641960757</v>
      </c>
    </row>
    <row r="94" spans="1:11" ht="15.75" thickBot="1" x14ac:dyDescent="0.3">
      <c r="A94" s="108" t="s">
        <v>407</v>
      </c>
      <c r="B94" s="99">
        <v>29</v>
      </c>
      <c r="C94" s="100" t="s">
        <v>102</v>
      </c>
      <c r="D94" s="57"/>
      <c r="E94" s="56"/>
      <c r="F94" t="s">
        <v>156</v>
      </c>
      <c r="I94" s="10">
        <f>INDEX(Std[],MATCH(F[[#This Row],[Player]],Std[Player],0),20)</f>
        <v>427.18980768513342</v>
      </c>
      <c r="J94">
        <f>_xlfn.RANK.EQ(F[[#This Row],[Value]],F[Value])</f>
        <v>117</v>
      </c>
      <c r="K94" s="10">
        <f>F[[#This Row],[Value]]-_xlfn.XLOOKUP($G$497,F[Value Rk],F[Value],,-1)</f>
        <v>27.775969059386796</v>
      </c>
    </row>
    <row r="95" spans="1:11" ht="15.75" thickBot="1" x14ac:dyDescent="0.3">
      <c r="A95" s="108" t="s">
        <v>337</v>
      </c>
      <c r="B95" s="97">
        <v>28</v>
      </c>
      <c r="C95" s="98" t="s">
        <v>102</v>
      </c>
      <c r="D95" s="57"/>
      <c r="E95" s="56"/>
      <c r="F95" t="s">
        <v>2</v>
      </c>
      <c r="I95" s="10">
        <f>INDEX(Std[],MATCH(F[[#This Row],[Player]],Std[Player],0),20)</f>
        <v>588.16085263792775</v>
      </c>
      <c r="J95">
        <f>_xlfn.RANK.EQ(F[[#This Row],[Value]],F[Value])</f>
        <v>82</v>
      </c>
      <c r="K95" s="10">
        <f>F[[#This Row],[Value]]-_xlfn.XLOOKUP($G$497,F[Value Rk],F[Value],,-1)</f>
        <v>188.74701401218113</v>
      </c>
    </row>
    <row r="96" spans="1:11" ht="15.75" thickBot="1" x14ac:dyDescent="0.3">
      <c r="A96" s="108" t="s">
        <v>909</v>
      </c>
      <c r="B96" s="97">
        <v>33</v>
      </c>
      <c r="C96" s="98" t="s">
        <v>102</v>
      </c>
      <c r="D96" s="57"/>
      <c r="E96" s="57"/>
      <c r="F96" t="s">
        <v>30</v>
      </c>
      <c r="I96" s="10">
        <f>INDEX(Std[],MATCH(F[[#This Row],[Player]],Std[Player],0),20)</f>
        <v>479.58963138346917</v>
      </c>
      <c r="J96">
        <f>_xlfn.RANK.EQ(F[[#This Row],[Value]],F[Value])</f>
        <v>98</v>
      </c>
      <c r="K96" s="10">
        <f>F[[#This Row],[Value]]-_xlfn.XLOOKUP($G$497,F[Value Rk],F[Value],,-1)</f>
        <v>80.175792757722547</v>
      </c>
    </row>
    <row r="97" spans="1:11" ht="15.75" thickBot="1" x14ac:dyDescent="0.3">
      <c r="A97" s="108" t="s">
        <v>467</v>
      </c>
      <c r="B97" s="97">
        <v>34</v>
      </c>
      <c r="C97" s="98" t="s">
        <v>102</v>
      </c>
      <c r="D97" s="57"/>
      <c r="E97" s="56"/>
      <c r="F97" t="s">
        <v>12</v>
      </c>
      <c r="I97" s="10">
        <f>INDEX(Std[],MATCH(F[[#This Row],[Player]],Std[Player],0),20)</f>
        <v>441.09187262441003</v>
      </c>
      <c r="J97">
        <f>_xlfn.RANK.EQ(F[[#This Row],[Value]],F[Value])</f>
        <v>111</v>
      </c>
      <c r="K97" s="10">
        <f>F[[#This Row],[Value]]-_xlfn.XLOOKUP($G$497,F[Value Rk],F[Value],,-1)</f>
        <v>41.678033998663409</v>
      </c>
    </row>
    <row r="98" spans="1:11" ht="15.75" thickBot="1" x14ac:dyDescent="0.3">
      <c r="A98" s="108" t="s">
        <v>1217</v>
      </c>
      <c r="B98" s="99">
        <v>30</v>
      </c>
      <c r="C98" s="100" t="s">
        <v>102</v>
      </c>
      <c r="D98" s="57"/>
      <c r="E98" s="57"/>
      <c r="F98" t="s">
        <v>9</v>
      </c>
      <c r="I98" s="10">
        <f>INDEX(Std[],MATCH(F[[#This Row],[Player]],Std[Player],0),20)</f>
        <v>487.25542962484656</v>
      </c>
      <c r="J98">
        <f>_xlfn.RANK.EQ(F[[#This Row],[Value]],F[Value])</f>
        <v>97</v>
      </c>
      <c r="K98" s="10">
        <f>F[[#This Row],[Value]]-_xlfn.XLOOKUP($G$497,F[Value Rk],F[Value],,-1)</f>
        <v>87.841590999099935</v>
      </c>
    </row>
    <row r="99" spans="1:11" ht="15.75" thickBot="1" x14ac:dyDescent="0.3">
      <c r="A99" s="108" t="s">
        <v>293</v>
      </c>
      <c r="B99" s="99">
        <v>34</v>
      </c>
      <c r="C99" s="100" t="s">
        <v>102</v>
      </c>
      <c r="D99" s="57"/>
      <c r="E99" s="57"/>
      <c r="F99" t="s">
        <v>8</v>
      </c>
      <c r="I99" s="10">
        <f>INDEX(Std[],MATCH(F[[#This Row],[Player]],Std[Player],0),20)</f>
        <v>803.63937702565113</v>
      </c>
      <c r="J99">
        <f>_xlfn.RANK.EQ(F[[#This Row],[Value]],F[Value])</f>
        <v>57</v>
      </c>
      <c r="K99" s="10">
        <f>F[[#This Row],[Value]]-_xlfn.XLOOKUP($G$497,F[Value Rk],F[Value],,-1)</f>
        <v>404.22553839990451</v>
      </c>
    </row>
    <row r="100" spans="1:11" ht="15.75" thickBot="1" x14ac:dyDescent="0.3">
      <c r="A100" s="108" t="s">
        <v>307</v>
      </c>
      <c r="B100" s="99">
        <v>27</v>
      </c>
      <c r="C100" s="100" t="s">
        <v>102</v>
      </c>
      <c r="D100" s="57"/>
      <c r="E100" s="56"/>
      <c r="F100" t="s">
        <v>21</v>
      </c>
      <c r="I100" s="10">
        <f>INDEX(Std[],MATCH(F[[#This Row],[Player]],Std[Player],0),20)</f>
        <v>796.62852002148168</v>
      </c>
      <c r="J100">
        <f>_xlfn.RANK.EQ(F[[#This Row],[Value]],F[Value])</f>
        <v>58</v>
      </c>
      <c r="K100" s="10">
        <f>F[[#This Row],[Value]]-_xlfn.XLOOKUP($G$497,F[Value Rk],F[Value],,-1)</f>
        <v>397.21468139573506</v>
      </c>
    </row>
    <row r="101" spans="1:11" ht="15.75" thickBot="1" x14ac:dyDescent="0.3">
      <c r="A101" s="108" t="s">
        <v>519</v>
      </c>
      <c r="B101" s="97">
        <v>23</v>
      </c>
      <c r="C101" s="98" t="s">
        <v>102</v>
      </c>
      <c r="D101" s="57"/>
      <c r="E101" s="56"/>
      <c r="F101" t="s">
        <v>7</v>
      </c>
      <c r="I101" s="10">
        <f>INDEX(Std[],MATCH(F[[#This Row],[Player]],Std[Player],0),20)</f>
        <v>718.6352346225234</v>
      </c>
      <c r="J101">
        <f>_xlfn.RANK.EQ(F[[#This Row],[Value]],F[Value])</f>
        <v>69</v>
      </c>
      <c r="K101" s="10">
        <f>F[[#This Row],[Value]]-_xlfn.XLOOKUP($G$497,F[Value Rk],F[Value],,-1)</f>
        <v>319.22139599677678</v>
      </c>
    </row>
    <row r="102" spans="1:11" ht="15.75" thickBot="1" x14ac:dyDescent="0.3">
      <c r="A102" s="108" t="s">
        <v>298</v>
      </c>
      <c r="B102" s="97">
        <v>29</v>
      </c>
      <c r="C102" s="98" t="s">
        <v>102</v>
      </c>
      <c r="D102" s="57"/>
      <c r="E102" s="57"/>
      <c r="F102" t="s">
        <v>13</v>
      </c>
      <c r="I102" s="10">
        <f>INDEX(Std[],MATCH(F[[#This Row],[Player]],Std[Player],0),20)</f>
        <v>616.63781418209919</v>
      </c>
      <c r="J102">
        <f>_xlfn.RANK.EQ(F[[#This Row],[Value]],F[Value])</f>
        <v>76</v>
      </c>
      <c r="K102" s="10">
        <f>F[[#This Row],[Value]]-_xlfn.XLOOKUP($G$497,F[Value Rk],F[Value],,-1)</f>
        <v>217.22397555635257</v>
      </c>
    </row>
    <row r="103" spans="1:11" ht="15.75" thickBot="1" x14ac:dyDescent="0.3">
      <c r="A103" s="108" t="s">
        <v>318</v>
      </c>
      <c r="B103" s="99">
        <v>32</v>
      </c>
      <c r="C103" s="100" t="s">
        <v>102</v>
      </c>
      <c r="D103" s="57"/>
      <c r="E103" s="57"/>
      <c r="F103" t="s">
        <v>21</v>
      </c>
      <c r="I103" s="10">
        <f>INDEX(Std[],MATCH(F[[#This Row],[Player]],Std[Player],0),20)</f>
        <v>789.94021672912004</v>
      </c>
      <c r="J103">
        <f>_xlfn.RANK.EQ(F[[#This Row],[Value]],F[Value])</f>
        <v>59</v>
      </c>
      <c r="K103" s="10">
        <f>F[[#This Row],[Value]]-_xlfn.XLOOKUP($G$497,F[Value Rk],F[Value],,-1)</f>
        <v>390.52637810337342</v>
      </c>
    </row>
    <row r="104" spans="1:11" ht="15.75" thickBot="1" x14ac:dyDescent="0.3">
      <c r="A104" s="108" t="s">
        <v>1000</v>
      </c>
      <c r="B104" s="99">
        <v>22</v>
      </c>
      <c r="C104" s="100" t="s">
        <v>102</v>
      </c>
      <c r="D104" s="57"/>
      <c r="E104" s="56"/>
      <c r="F104" t="s">
        <v>21</v>
      </c>
      <c r="I104" s="10">
        <f>INDEX(Std[],MATCH(F[[#This Row],[Player]],Std[Player],0),20)</f>
        <v>433.84827681759469</v>
      </c>
      <c r="J104">
        <f>_xlfn.RANK.EQ(F[[#This Row],[Value]],F[Value])</f>
        <v>113</v>
      </c>
      <c r="K104" s="10">
        <f>F[[#This Row],[Value]]-_xlfn.XLOOKUP($G$497,F[Value Rk],F[Value],,-1)</f>
        <v>34.434438191848074</v>
      </c>
    </row>
    <row r="105" spans="1:11" ht="15.75" thickBot="1" x14ac:dyDescent="0.3">
      <c r="A105" s="108" t="s">
        <v>587</v>
      </c>
      <c r="B105" s="99">
        <v>29</v>
      </c>
      <c r="C105" s="100" t="s">
        <v>74</v>
      </c>
      <c r="D105" s="57" t="s">
        <v>102</v>
      </c>
      <c r="E105" s="56"/>
      <c r="F105" t="s">
        <v>13</v>
      </c>
      <c r="I105" s="10">
        <f>INDEX(Std[],MATCH(F[[#This Row],[Player]],Std[Player],0),20)</f>
        <v>389.51530867233708</v>
      </c>
      <c r="J105">
        <f>_xlfn.RANK.EQ(F[[#This Row],[Value]],F[Value])</f>
        <v>129</v>
      </c>
      <c r="K105" s="10">
        <f>F[[#This Row],[Value]]-_xlfn.XLOOKUP($G$497,F[Value Rk],F[Value],,-1)</f>
        <v>-9.8985299534095361</v>
      </c>
    </row>
    <row r="106" spans="1:11" ht="15.75" thickBot="1" x14ac:dyDescent="0.3">
      <c r="A106" s="108" t="s">
        <v>1096</v>
      </c>
      <c r="B106" s="109"/>
      <c r="C106" s="109"/>
      <c r="D106" s="57"/>
      <c r="E106" s="57"/>
      <c r="F106" s="67"/>
      <c r="I106" s="10">
        <f>INDEX(Std[],MATCH(F[[#This Row],[Player]],Std[Player],0),20)</f>
        <v>391.33624351837881</v>
      </c>
      <c r="J106">
        <f>_xlfn.RANK.EQ(F[[#This Row],[Value]],F[Value])</f>
        <v>127</v>
      </c>
      <c r="K106" s="10">
        <f>F[[#This Row],[Value]]-_xlfn.XLOOKUP($G$497,F[Value Rk],F[Value],,-1)</f>
        <v>-8.0775951073678129</v>
      </c>
    </row>
    <row r="107" spans="1:11" ht="15.75" thickBot="1" x14ac:dyDescent="0.3">
      <c r="A107" s="108" t="s">
        <v>592</v>
      </c>
      <c r="B107" s="99">
        <v>24</v>
      </c>
      <c r="C107" s="100" t="s">
        <v>102</v>
      </c>
      <c r="D107" s="57"/>
      <c r="E107" s="57"/>
      <c r="F107" t="s">
        <v>30</v>
      </c>
      <c r="I107" s="10">
        <f>INDEX(Std[],MATCH(F[[#This Row],[Player]],Std[Player],0),20)</f>
        <v>357.95285617100927</v>
      </c>
      <c r="J107">
        <f>_xlfn.RANK.EQ(F[[#This Row],[Value]],F[Value])</f>
        <v>135</v>
      </c>
      <c r="K107" s="10">
        <f>F[[#This Row],[Value]]-_xlfn.XLOOKUP($G$497,F[Value Rk],F[Value],,-1)</f>
        <v>-41.460982454737348</v>
      </c>
    </row>
    <row r="108" spans="1:11" ht="15.75" thickBot="1" x14ac:dyDescent="0.3">
      <c r="A108" s="108" t="s">
        <v>262</v>
      </c>
      <c r="B108" s="99">
        <v>27</v>
      </c>
      <c r="C108" s="100" t="s">
        <v>102</v>
      </c>
      <c r="D108" s="57"/>
      <c r="E108" s="56"/>
      <c r="F108" t="s">
        <v>16</v>
      </c>
      <c r="I108" s="10">
        <f>INDEX(Std[],MATCH(F[[#This Row],[Player]],Std[Player],0),20)</f>
        <v>465.79600980411209</v>
      </c>
      <c r="J108">
        <f>_xlfn.RANK.EQ(F[[#This Row],[Value]],F[Value])</f>
        <v>103</v>
      </c>
      <c r="K108" s="10">
        <f>F[[#This Row],[Value]]-_xlfn.XLOOKUP($G$497,F[Value Rk],F[Value],,-1)</f>
        <v>66.382171178365468</v>
      </c>
    </row>
    <row r="109" spans="1:11" ht="15.75" thickBot="1" x14ac:dyDescent="0.3">
      <c r="A109" s="108" t="s">
        <v>504</v>
      </c>
      <c r="B109" s="99">
        <v>23</v>
      </c>
      <c r="C109" s="100" t="s">
        <v>102</v>
      </c>
      <c r="D109" s="57"/>
      <c r="E109" s="56"/>
      <c r="F109" t="s">
        <v>31</v>
      </c>
      <c r="I109" s="10">
        <f>INDEX(Std[],MATCH(F[[#This Row],[Player]],Std[Player],0),20)</f>
        <v>332.636515753521</v>
      </c>
      <c r="J109">
        <f>_xlfn.RANK.EQ(F[[#This Row],[Value]],F[Value])</f>
        <v>138</v>
      </c>
      <c r="K109" s="10">
        <f>F[[#This Row],[Value]]-_xlfn.XLOOKUP($G$497,F[Value Rk],F[Value],,-1)</f>
        <v>-66.777322872225625</v>
      </c>
    </row>
    <row r="110" spans="1:11" ht="15.75" thickBot="1" x14ac:dyDescent="0.3">
      <c r="A110" s="108" t="s">
        <v>442</v>
      </c>
      <c r="B110" s="99">
        <v>33</v>
      </c>
      <c r="C110" s="100" t="s">
        <v>102</v>
      </c>
      <c r="D110" s="57"/>
      <c r="E110" s="56"/>
      <c r="F110" t="s">
        <v>18</v>
      </c>
      <c r="I110" s="10">
        <f>INDEX(Std[],MATCH(F[[#This Row],[Player]],Std[Player],0),20)</f>
        <v>390.82150756085781</v>
      </c>
      <c r="J110">
        <f>_xlfn.RANK.EQ(F[[#This Row],[Value]],F[Value])</f>
        <v>128</v>
      </c>
      <c r="K110" s="10">
        <f>F[[#This Row],[Value]]-_xlfn.XLOOKUP($G$497,F[Value Rk],F[Value],,-1)</f>
        <v>-8.5923310648888105</v>
      </c>
    </row>
    <row r="111" spans="1:11" ht="15.75" thickBot="1" x14ac:dyDescent="0.3">
      <c r="A111" s="108" t="s">
        <v>330</v>
      </c>
      <c r="B111" s="97">
        <v>27</v>
      </c>
      <c r="C111" s="98" t="s">
        <v>102</v>
      </c>
      <c r="D111" s="57"/>
      <c r="E111" s="56"/>
      <c r="F111" t="s">
        <v>2</v>
      </c>
      <c r="I111" s="10">
        <f>INDEX(Std[],MATCH(F[[#This Row],[Player]],Std[Player],0),20)</f>
        <v>328.53339106437977</v>
      </c>
      <c r="J111">
        <f>_xlfn.RANK.EQ(F[[#This Row],[Value]],F[Value])</f>
        <v>139</v>
      </c>
      <c r="K111" s="10">
        <f>F[[#This Row],[Value]]-_xlfn.XLOOKUP($G$497,F[Value Rk],F[Value],,-1)</f>
        <v>-70.88044756136685</v>
      </c>
    </row>
    <row r="112" spans="1:11" ht="15.75" thickBot="1" x14ac:dyDescent="0.3">
      <c r="A112" s="108" t="s">
        <v>430</v>
      </c>
      <c r="B112" s="97">
        <v>35</v>
      </c>
      <c r="C112" s="98" t="s">
        <v>102</v>
      </c>
      <c r="D112" s="57"/>
      <c r="E112" s="56"/>
      <c r="F112" t="s">
        <v>153</v>
      </c>
      <c r="I112" s="10">
        <f>INDEX(Std[],MATCH(F[[#This Row],[Player]],Std[Player],0),20)</f>
        <v>316.73345274116099</v>
      </c>
      <c r="J112">
        <f>_xlfn.RANK.EQ(F[[#This Row],[Value]],F[Value])</f>
        <v>144</v>
      </c>
      <c r="K112" s="10">
        <f>F[[#This Row],[Value]]-_xlfn.XLOOKUP($G$497,F[Value Rk],F[Value],,-1)</f>
        <v>-82.680385884585633</v>
      </c>
    </row>
    <row r="113" spans="1:11" ht="15.75" thickBot="1" x14ac:dyDescent="0.3">
      <c r="A113" s="108" t="s">
        <v>1098</v>
      </c>
      <c r="B113" s="97">
        <v>25</v>
      </c>
      <c r="C113" s="98" t="s">
        <v>102</v>
      </c>
      <c r="D113" s="57"/>
      <c r="E113" s="57"/>
      <c r="F113" t="s">
        <v>153</v>
      </c>
      <c r="I113" s="10">
        <f>INDEX(Std[],MATCH(F[[#This Row],[Player]],Std[Player],0),20)</f>
        <v>442.64474642622991</v>
      </c>
      <c r="J113">
        <f>_xlfn.RANK.EQ(F[[#This Row],[Value]],F[Value])</f>
        <v>110</v>
      </c>
      <c r="K113" s="10">
        <f>F[[#This Row],[Value]]-_xlfn.XLOOKUP($G$497,F[Value Rk],F[Value],,-1)</f>
        <v>43.230907800483294</v>
      </c>
    </row>
    <row r="114" spans="1:11" ht="15.75" thickBot="1" x14ac:dyDescent="0.3">
      <c r="A114" s="108" t="s">
        <v>388</v>
      </c>
      <c r="B114" s="109"/>
      <c r="C114" s="109"/>
      <c r="D114" s="57"/>
      <c r="E114" s="57"/>
      <c r="F114" s="67"/>
      <c r="I114" s="10">
        <f>INDEX(Std[],MATCH(F[[#This Row],[Player]],Std[Player],0),20)</f>
        <v>310.71321615727783</v>
      </c>
      <c r="J114">
        <f>_xlfn.RANK.EQ(F[[#This Row],[Value]],F[Value])</f>
        <v>145</v>
      </c>
      <c r="K114" s="10">
        <f>F[[#This Row],[Value]]-_xlfn.XLOOKUP($G$497,F[Value Rk],F[Value],,-1)</f>
        <v>-88.700622468468794</v>
      </c>
    </row>
    <row r="115" spans="1:11" ht="15.75" thickBot="1" x14ac:dyDescent="0.3">
      <c r="A115" s="108" t="s">
        <v>452</v>
      </c>
      <c r="B115" s="97"/>
      <c r="C115" s="98"/>
      <c r="D115" s="57"/>
      <c r="E115" s="56"/>
      <c r="F115" s="67"/>
      <c r="I115" s="10">
        <f>INDEX(Std[],MATCH(F[[#This Row],[Player]],Std[Player],0),20)</f>
        <v>298.56785338017119</v>
      </c>
      <c r="J115">
        <f>_xlfn.RANK.EQ(F[[#This Row],[Value]],F[Value])</f>
        <v>148</v>
      </c>
      <c r="K115" s="10">
        <f>F[[#This Row],[Value]]-_xlfn.XLOOKUP($G$497,F[Value Rk],F[Value],,-1)</f>
        <v>-100.84598524557543</v>
      </c>
    </row>
    <row r="116" spans="1:11" ht="15.75" thickBot="1" x14ac:dyDescent="0.3">
      <c r="A116" s="108" t="s">
        <v>501</v>
      </c>
      <c r="B116" s="97">
        <v>31</v>
      </c>
      <c r="C116" s="98" t="s">
        <v>102</v>
      </c>
      <c r="D116" s="57"/>
      <c r="E116" s="57"/>
      <c r="F116" t="s">
        <v>22</v>
      </c>
      <c r="I116" s="10">
        <f>INDEX(Std[],MATCH(F[[#This Row],[Player]],Std[Player],0),20)</f>
        <v>290.83085567509033</v>
      </c>
      <c r="J116">
        <f>_xlfn.RANK.EQ(F[[#This Row],[Value]],F[Value])</f>
        <v>152</v>
      </c>
      <c r="K116" s="10">
        <f>F[[#This Row],[Value]]-_xlfn.XLOOKUP($G$497,F[Value Rk],F[Value],,-1)</f>
        <v>-108.58298295065629</v>
      </c>
    </row>
    <row r="117" spans="1:11" ht="15.75" thickBot="1" x14ac:dyDescent="0.3">
      <c r="A117" s="108" t="s">
        <v>855</v>
      </c>
      <c r="B117" s="97">
        <v>22</v>
      </c>
      <c r="C117" s="98" t="s">
        <v>102</v>
      </c>
      <c r="D117" s="57"/>
      <c r="E117" s="57"/>
      <c r="F117" t="s">
        <v>32</v>
      </c>
      <c r="I117" s="10">
        <f>INDEX(Std[],MATCH(F[[#This Row],[Player]],Std[Player],0),20)</f>
        <v>527.02763293149951</v>
      </c>
      <c r="J117">
        <f>_xlfn.RANK.EQ(F[[#This Row],[Value]],F[Value])</f>
        <v>92</v>
      </c>
      <c r="K117" s="10">
        <f>F[[#This Row],[Value]]-_xlfn.XLOOKUP($G$497,F[Value Rk],F[Value],,-1)</f>
        <v>127.61379430575289</v>
      </c>
    </row>
    <row r="118" spans="1:11" ht="15.75" thickBot="1" x14ac:dyDescent="0.3">
      <c r="A118" s="108" t="s">
        <v>634</v>
      </c>
      <c r="B118" s="99">
        <v>28</v>
      </c>
      <c r="C118" s="100" t="s">
        <v>102</v>
      </c>
      <c r="D118" s="57"/>
      <c r="E118" s="57"/>
      <c r="F118" t="s">
        <v>32</v>
      </c>
      <c r="I118" s="10">
        <f>INDEX(Std[],MATCH(F[[#This Row],[Player]],Std[Player],0),20)</f>
        <v>554.92338230440851</v>
      </c>
      <c r="J118">
        <f>_xlfn.RANK.EQ(F[[#This Row],[Value]],F[Value])</f>
        <v>87</v>
      </c>
      <c r="K118" s="10">
        <f>F[[#This Row],[Value]]-_xlfn.XLOOKUP($G$497,F[Value Rk],F[Value],,-1)</f>
        <v>155.50954367866188</v>
      </c>
    </row>
    <row r="119" spans="1:11" ht="15.75" thickBot="1" x14ac:dyDescent="0.3">
      <c r="A119" s="108" t="s">
        <v>412</v>
      </c>
      <c r="B119" s="99">
        <v>28</v>
      </c>
      <c r="C119" s="100" t="s">
        <v>102</v>
      </c>
      <c r="D119" s="57"/>
      <c r="E119" s="57"/>
      <c r="F119" s="67"/>
      <c r="I119" s="10">
        <f>INDEX(Std[],MATCH(F[[#This Row],[Player]],Std[Player],0),20)</f>
        <v>561.84020275574699</v>
      </c>
      <c r="J119">
        <f>_xlfn.RANK.EQ(F[[#This Row],[Value]],F[Value])</f>
        <v>85</v>
      </c>
      <c r="K119" s="10">
        <f>F[[#This Row],[Value]]-_xlfn.XLOOKUP($G$497,F[Value Rk],F[Value],,-1)</f>
        <v>162.42636413000037</v>
      </c>
    </row>
    <row r="120" spans="1:11" ht="15.75" thickBot="1" x14ac:dyDescent="0.3">
      <c r="A120" s="108" t="s">
        <v>311</v>
      </c>
      <c r="B120" s="97">
        <v>30</v>
      </c>
      <c r="C120" s="98" t="s">
        <v>102</v>
      </c>
      <c r="D120" s="57"/>
      <c r="E120" s="56"/>
      <c r="F120" t="s">
        <v>12</v>
      </c>
      <c r="I120" s="10">
        <f>INDEX(Std[],MATCH(F[[#This Row],[Player]],Std[Player],0),20)</f>
        <v>280.29208455290541</v>
      </c>
      <c r="J120">
        <f>_xlfn.RANK.EQ(F[[#This Row],[Value]],F[Value])</f>
        <v>154</v>
      </c>
      <c r="K120" s="10">
        <f>F[[#This Row],[Value]]-_xlfn.XLOOKUP($G$497,F[Value Rk],F[Value],,-1)</f>
        <v>-119.12175407284121</v>
      </c>
    </row>
    <row r="121" spans="1:11" ht="15.75" thickBot="1" x14ac:dyDescent="0.3">
      <c r="A121" s="108" t="s">
        <v>355</v>
      </c>
      <c r="B121" s="99">
        <v>25</v>
      </c>
      <c r="C121" s="100" t="s">
        <v>102</v>
      </c>
      <c r="D121" s="57"/>
      <c r="E121" s="57"/>
      <c r="F121" t="s">
        <v>14</v>
      </c>
      <c r="I121" s="10">
        <f>INDEX(Std[],MATCH(F[[#This Row],[Player]],Std[Player],0),20)</f>
        <v>278.35282470661554</v>
      </c>
      <c r="J121">
        <f>_xlfn.RANK.EQ(F[[#This Row],[Value]],F[Value])</f>
        <v>155</v>
      </c>
      <c r="K121" s="10">
        <f>F[[#This Row],[Value]]-_xlfn.XLOOKUP($G$497,F[Value Rk],F[Value],,-1)</f>
        <v>-121.06101391913109</v>
      </c>
    </row>
    <row r="122" spans="1:11" ht="15.75" thickBot="1" x14ac:dyDescent="0.3">
      <c r="A122" s="108" t="s">
        <v>1147</v>
      </c>
      <c r="B122" s="99">
        <v>25</v>
      </c>
      <c r="C122" s="100" t="s">
        <v>102</v>
      </c>
      <c r="D122" s="57"/>
      <c r="E122" s="56"/>
      <c r="F122" t="s">
        <v>2</v>
      </c>
      <c r="I122" s="10">
        <f>INDEX(Std[],MATCH(F[[#This Row],[Player]],Std[Player],0),20)</f>
        <v>319.73606942896288</v>
      </c>
      <c r="J122">
        <f>_xlfn.RANK.EQ(F[[#This Row],[Value]],F[Value])</f>
        <v>142</v>
      </c>
      <c r="K122" s="10">
        <f>F[[#This Row],[Value]]-_xlfn.XLOOKUP($G$497,F[Value Rk],F[Value],,-1)</f>
        <v>-79.677769196783743</v>
      </c>
    </row>
    <row r="123" spans="1:11" ht="15.75" thickBot="1" x14ac:dyDescent="0.3">
      <c r="A123" s="108" t="s">
        <v>564</v>
      </c>
      <c r="B123" s="97">
        <v>28</v>
      </c>
      <c r="C123" s="98" t="s">
        <v>102</v>
      </c>
      <c r="D123" s="57"/>
      <c r="E123" s="56"/>
      <c r="F123" t="s">
        <v>29</v>
      </c>
      <c r="I123" s="10">
        <f>INDEX(Std[],MATCH(F[[#This Row],[Player]],Std[Player],0),20)</f>
        <v>501.78522826807273</v>
      </c>
      <c r="J123">
        <f>_xlfn.RANK.EQ(F[[#This Row],[Value]],F[Value])</f>
        <v>94</v>
      </c>
      <c r="K123" s="10">
        <f>F[[#This Row],[Value]]-_xlfn.XLOOKUP($G$497,F[Value Rk],F[Value],,-1)</f>
        <v>102.37138964232611</v>
      </c>
    </row>
    <row r="124" spans="1:11" ht="15.75" thickBot="1" x14ac:dyDescent="0.3">
      <c r="A124" s="108" t="s">
        <v>1001</v>
      </c>
      <c r="B124" s="109"/>
      <c r="C124" s="109"/>
      <c r="D124" s="57"/>
      <c r="E124" s="57"/>
      <c r="F124" s="67"/>
      <c r="I124" s="10">
        <f>INDEX(Std[],MATCH(F[[#This Row],[Player]],Std[Player],0),20)</f>
        <v>295.04208364585179</v>
      </c>
      <c r="J124">
        <f>_xlfn.RANK.EQ(F[[#This Row],[Value]],F[Value])</f>
        <v>149</v>
      </c>
      <c r="K124" s="10">
        <f>F[[#This Row],[Value]]-_xlfn.XLOOKUP($G$497,F[Value Rk],F[Value],,-1)</f>
        <v>-104.37175497989483</v>
      </c>
    </row>
    <row r="125" spans="1:11" ht="15.75" thickBot="1" x14ac:dyDescent="0.3">
      <c r="A125" s="108" t="s">
        <v>540</v>
      </c>
      <c r="B125" s="109"/>
      <c r="C125" s="109"/>
      <c r="D125" s="57"/>
      <c r="E125" s="57"/>
      <c r="F125" s="67"/>
      <c r="I125" s="10">
        <f>INDEX(Std[],MATCH(F[[#This Row],[Player]],Std[Player],0),20)</f>
        <v>252.00167902899119</v>
      </c>
      <c r="J125">
        <f>_xlfn.RANK.EQ(F[[#This Row],[Value]],F[Value])</f>
        <v>166</v>
      </c>
      <c r="K125" s="10">
        <f>F[[#This Row],[Value]]-_xlfn.XLOOKUP($G$497,F[Value Rk],F[Value],,-1)</f>
        <v>-147.41215959675543</v>
      </c>
    </row>
    <row r="126" spans="1:11" ht="15.75" thickBot="1" x14ac:dyDescent="0.3">
      <c r="A126" s="108" t="s">
        <v>410</v>
      </c>
      <c r="B126" s="99">
        <v>21</v>
      </c>
      <c r="C126" s="100" t="s">
        <v>74</v>
      </c>
      <c r="D126" s="57" t="s">
        <v>102</v>
      </c>
      <c r="E126" s="57"/>
      <c r="F126" s="67"/>
      <c r="I126" s="10">
        <f>INDEX(Std[],MATCH(F[[#This Row],[Player]],Std[Player],0),20)</f>
        <v>328.25757646712901</v>
      </c>
      <c r="J126">
        <f>_xlfn.RANK.EQ(F[[#This Row],[Value]],F[Value])</f>
        <v>140</v>
      </c>
      <c r="K126" s="10">
        <f>F[[#This Row],[Value]]-_xlfn.XLOOKUP($G$497,F[Value Rk],F[Value],,-1)</f>
        <v>-71.156262158617608</v>
      </c>
    </row>
    <row r="127" spans="1:11" ht="15.75" thickBot="1" x14ac:dyDescent="0.3">
      <c r="A127" s="108" t="s">
        <v>457</v>
      </c>
      <c r="B127" s="99">
        <v>27</v>
      </c>
      <c r="C127" s="100" t="s">
        <v>102</v>
      </c>
      <c r="D127" s="57"/>
      <c r="E127" s="56"/>
      <c r="F127" t="s">
        <v>16</v>
      </c>
      <c r="I127" s="10">
        <f>INDEX(Std[],MATCH(F[[#This Row],[Player]],Std[Player],0),20)</f>
        <v>264.97684256065691</v>
      </c>
      <c r="J127">
        <f>_xlfn.RANK.EQ(F[[#This Row],[Value]],F[Value])</f>
        <v>159</v>
      </c>
      <c r="K127" s="10">
        <f>F[[#This Row],[Value]]-_xlfn.XLOOKUP($G$497,F[Value Rk],F[Value],,-1)</f>
        <v>-134.43699606508972</v>
      </c>
    </row>
    <row r="128" spans="1:11" ht="15.75" thickBot="1" x14ac:dyDescent="0.3">
      <c r="A128" s="108" t="s">
        <v>547</v>
      </c>
      <c r="B128" s="97">
        <v>23</v>
      </c>
      <c r="C128" s="98" t="s">
        <v>102</v>
      </c>
      <c r="D128" s="57"/>
      <c r="E128" s="56"/>
      <c r="F128" t="s">
        <v>6</v>
      </c>
      <c r="I128" s="10">
        <f>INDEX(Std[],MATCH(F[[#This Row],[Player]],Std[Player],0),20)</f>
        <v>254.55110353161891</v>
      </c>
      <c r="J128">
        <f>_xlfn.RANK.EQ(F[[#This Row],[Value]],F[Value])</f>
        <v>165</v>
      </c>
      <c r="K128" s="10">
        <f>F[[#This Row],[Value]]-_xlfn.XLOOKUP($G$497,F[Value Rk],F[Value],,-1)</f>
        <v>-144.86273509412771</v>
      </c>
    </row>
    <row r="129" spans="1:11" ht="15.75" thickBot="1" x14ac:dyDescent="0.3">
      <c r="A129" s="108" t="s">
        <v>518</v>
      </c>
      <c r="B129" s="99">
        <v>26</v>
      </c>
      <c r="C129" s="100" t="s">
        <v>102</v>
      </c>
      <c r="D129" s="57"/>
      <c r="E129" s="56"/>
      <c r="F129" t="s">
        <v>28</v>
      </c>
      <c r="I129" s="10">
        <f>INDEX(Std[],MATCH(F[[#This Row],[Player]],Std[Player],0),20)</f>
        <v>266.91833360259363</v>
      </c>
      <c r="J129">
        <f>_xlfn.RANK.EQ(F[[#This Row],[Value]],F[Value])</f>
        <v>158</v>
      </c>
      <c r="K129" s="10">
        <f>F[[#This Row],[Value]]-_xlfn.XLOOKUP($G$497,F[Value Rk],F[Value],,-1)</f>
        <v>-132.49550502315299</v>
      </c>
    </row>
    <row r="130" spans="1:11" ht="15.75" thickBot="1" x14ac:dyDescent="0.3">
      <c r="A130" s="108" t="s">
        <v>617</v>
      </c>
      <c r="B130" s="109"/>
      <c r="C130" s="109"/>
      <c r="D130" s="57"/>
      <c r="E130" s="57"/>
      <c r="F130" s="67"/>
      <c r="I130" s="10">
        <f>INDEX(Std[],MATCH(F[[#This Row],[Player]],Std[Player],0),20)</f>
        <v>233.3236066412899</v>
      </c>
      <c r="J130">
        <f>_xlfn.RANK.EQ(F[[#This Row],[Value]],F[Value])</f>
        <v>171</v>
      </c>
      <c r="K130" s="10">
        <f>F[[#This Row],[Value]]-_xlfn.XLOOKUP($G$497,F[Value Rk],F[Value],,-1)</f>
        <v>-166.09023198445672</v>
      </c>
    </row>
    <row r="131" spans="1:11" ht="15.75" thickBot="1" x14ac:dyDescent="0.3">
      <c r="A131" s="108" t="s">
        <v>641</v>
      </c>
      <c r="B131" s="109"/>
      <c r="C131" s="109"/>
      <c r="D131" s="57"/>
      <c r="E131" s="57"/>
      <c r="F131" s="67"/>
      <c r="I131" s="10">
        <f>INDEX(Std[],MATCH(F[[#This Row],[Player]],Std[Player],0),20)</f>
        <v>283.5669307567187</v>
      </c>
      <c r="J131">
        <f>_xlfn.RANK.EQ(F[[#This Row],[Value]],F[Value])</f>
        <v>153</v>
      </c>
      <c r="K131" s="10">
        <f>F[[#This Row],[Value]]-_xlfn.XLOOKUP($G$497,F[Value Rk],F[Value],,-1)</f>
        <v>-115.84690786902792</v>
      </c>
    </row>
    <row r="132" spans="1:11" ht="15.75" thickBot="1" x14ac:dyDescent="0.3">
      <c r="A132" s="108" t="s">
        <v>461</v>
      </c>
      <c r="B132" s="109"/>
      <c r="C132" s="109"/>
      <c r="D132" s="57"/>
      <c r="E132" s="57"/>
      <c r="F132" s="67"/>
      <c r="I132" s="10">
        <f>INDEX(Std[],MATCH(F[[#This Row],[Player]],Std[Player],0),20)</f>
        <v>231.15701815831483</v>
      </c>
      <c r="J132">
        <f>_xlfn.RANK.EQ(F[[#This Row],[Value]],F[Value])</f>
        <v>174</v>
      </c>
      <c r="K132" s="10">
        <f>F[[#This Row],[Value]]-_xlfn.XLOOKUP($G$497,F[Value Rk],F[Value],,-1)</f>
        <v>-168.25682046743179</v>
      </c>
    </row>
    <row r="133" spans="1:11" ht="15.75" thickBot="1" x14ac:dyDescent="0.3">
      <c r="A133" s="108" t="s">
        <v>447</v>
      </c>
      <c r="B133" s="97">
        <v>29</v>
      </c>
      <c r="C133" s="98" t="s">
        <v>102</v>
      </c>
      <c r="D133" s="57"/>
      <c r="E133" s="57"/>
      <c r="F133" t="s">
        <v>13</v>
      </c>
      <c r="I133" s="10">
        <f>INDEX(Std[],MATCH(F[[#This Row],[Player]],Std[Player],0),20)</f>
        <v>469.93029876190474</v>
      </c>
      <c r="J133">
        <f>_xlfn.RANK.EQ(F[[#This Row],[Value]],F[Value])</f>
        <v>101</v>
      </c>
      <c r="K133" s="10">
        <f>F[[#This Row],[Value]]-_xlfn.XLOOKUP($G$497,F[Value Rk],F[Value],,-1)</f>
        <v>70.516460136158116</v>
      </c>
    </row>
    <row r="134" spans="1:11" ht="15.75" thickBot="1" x14ac:dyDescent="0.3">
      <c r="A134" s="108" t="s">
        <v>353</v>
      </c>
      <c r="B134" s="99">
        <v>27</v>
      </c>
      <c r="C134" s="100" t="s">
        <v>102</v>
      </c>
      <c r="D134" s="57"/>
      <c r="E134" s="56"/>
      <c r="F134" t="s">
        <v>9</v>
      </c>
      <c r="I134" s="10">
        <f>INDEX(Std[],MATCH(F[[#This Row],[Player]],Std[Player],0),20)</f>
        <v>227.5526315233713</v>
      </c>
      <c r="J134">
        <f>_xlfn.RANK.EQ(F[[#This Row],[Value]],F[Value])</f>
        <v>177</v>
      </c>
      <c r="K134" s="10">
        <f>F[[#This Row],[Value]]-_xlfn.XLOOKUP($G$497,F[Value Rk],F[Value],,-1)</f>
        <v>-171.86120710237532</v>
      </c>
    </row>
    <row r="135" spans="1:11" ht="15.75" thickBot="1" x14ac:dyDescent="0.3">
      <c r="A135" s="108" t="s">
        <v>933</v>
      </c>
      <c r="B135" s="109"/>
      <c r="C135" s="109"/>
      <c r="D135" s="57"/>
      <c r="E135" s="57"/>
      <c r="F135" s="67"/>
      <c r="I135" s="10">
        <f>INDEX(Std[],MATCH(F[[#This Row],[Player]],Std[Player],0),20)</f>
        <v>246.66210920538879</v>
      </c>
      <c r="J135">
        <f>_xlfn.RANK.EQ(F[[#This Row],[Value]],F[Value])</f>
        <v>167</v>
      </c>
      <c r="K135" s="10">
        <f>F[[#This Row],[Value]]-_xlfn.XLOOKUP($G$497,F[Value Rk],F[Value],,-1)</f>
        <v>-152.75172942035783</v>
      </c>
    </row>
    <row r="136" spans="1:11" ht="15.75" thickBot="1" x14ac:dyDescent="0.3">
      <c r="A136" s="108" t="s">
        <v>612</v>
      </c>
      <c r="B136" s="109"/>
      <c r="C136" s="109"/>
      <c r="D136" s="57"/>
      <c r="E136" s="57"/>
      <c r="F136" s="67"/>
      <c r="I136" s="10">
        <f>INDEX(Std[],MATCH(F[[#This Row],[Player]],Std[Player],0),20)</f>
        <v>300.59098053590037</v>
      </c>
      <c r="J136">
        <f>_xlfn.RANK.EQ(F[[#This Row],[Value]],F[Value])</f>
        <v>147</v>
      </c>
      <c r="K136" s="10">
        <f>F[[#This Row],[Value]]-_xlfn.XLOOKUP($G$497,F[Value Rk],F[Value],,-1)</f>
        <v>-98.82285808984625</v>
      </c>
    </row>
    <row r="137" spans="1:11" ht="15.75" thickBot="1" x14ac:dyDescent="0.3">
      <c r="A137" s="108" t="s">
        <v>482</v>
      </c>
      <c r="B137" s="97">
        <v>31</v>
      </c>
      <c r="C137" s="98" t="s">
        <v>102</v>
      </c>
      <c r="D137" s="57"/>
      <c r="E137" s="57"/>
      <c r="F137" t="s">
        <v>13</v>
      </c>
      <c r="I137" s="10">
        <f>INDEX(Std[],MATCH(F[[#This Row],[Player]],Std[Player],0),20)</f>
        <v>531.98118560615819</v>
      </c>
      <c r="J137">
        <f>_xlfn.RANK.EQ(F[[#This Row],[Value]],F[Value])</f>
        <v>90</v>
      </c>
      <c r="K137" s="10">
        <f>F[[#This Row],[Value]]-_xlfn.XLOOKUP($G$497,F[Value Rk],F[Value],,-1)</f>
        <v>132.56734698041157</v>
      </c>
    </row>
    <row r="138" spans="1:11" ht="15.75" thickBot="1" x14ac:dyDescent="0.3">
      <c r="A138" s="108" t="s">
        <v>1002</v>
      </c>
      <c r="B138" s="97">
        <v>31</v>
      </c>
      <c r="C138" s="98" t="s">
        <v>102</v>
      </c>
      <c r="D138" s="57"/>
      <c r="E138" s="57"/>
      <c r="F138" t="s">
        <v>155</v>
      </c>
      <c r="I138" s="10">
        <f>INDEX(Std[],MATCH(F[[#This Row],[Player]],Std[Player],0),20)</f>
        <v>232.47889882906537</v>
      </c>
      <c r="J138">
        <f>_xlfn.RANK.EQ(F[[#This Row],[Value]],F[Value])</f>
        <v>173</v>
      </c>
      <c r="K138" s="10">
        <f>F[[#This Row],[Value]]-_xlfn.XLOOKUP($G$497,F[Value Rk],F[Value],,-1)</f>
        <v>-166.93493979668125</v>
      </c>
    </row>
    <row r="139" spans="1:11" ht="15.75" thickBot="1" x14ac:dyDescent="0.3">
      <c r="A139" s="108" t="s">
        <v>451</v>
      </c>
      <c r="B139" s="99">
        <v>29</v>
      </c>
      <c r="C139" s="100" t="s">
        <v>102</v>
      </c>
      <c r="D139" s="57"/>
      <c r="E139" s="56"/>
      <c r="F139" t="s">
        <v>14</v>
      </c>
      <c r="I139" s="10">
        <f>INDEX(Std[],MATCH(F[[#This Row],[Player]],Std[Player],0),20)</f>
        <v>220.59988973742253</v>
      </c>
      <c r="J139">
        <f>_xlfn.RANK.EQ(F[[#This Row],[Value]],F[Value])</f>
        <v>179</v>
      </c>
      <c r="K139" s="10">
        <f>F[[#This Row],[Value]]-_xlfn.XLOOKUP($G$497,F[Value Rk],F[Value],,-1)</f>
        <v>-178.81394888832409</v>
      </c>
    </row>
    <row r="140" spans="1:11" ht="15.75" thickBot="1" x14ac:dyDescent="0.3">
      <c r="A140" s="108" t="s">
        <v>434</v>
      </c>
      <c r="B140" s="109"/>
      <c r="C140" s="109"/>
      <c r="D140" s="57"/>
      <c r="E140" s="57"/>
      <c r="F140" s="67"/>
      <c r="I140" s="10">
        <f>INDEX(Std[],MATCH(F[[#This Row],[Player]],Std[Player],0),20)</f>
        <v>462.10340164868046</v>
      </c>
      <c r="J140">
        <f>_xlfn.RANK.EQ(F[[#This Row],[Value]],F[Value])</f>
        <v>105</v>
      </c>
      <c r="K140" s="10">
        <f>F[[#This Row],[Value]]-_xlfn.XLOOKUP($G$497,F[Value Rk],F[Value],,-1)</f>
        <v>62.689563022933839</v>
      </c>
    </row>
    <row r="141" spans="1:11" ht="15.75" thickBot="1" x14ac:dyDescent="0.3">
      <c r="A141" s="108" t="s">
        <v>466</v>
      </c>
      <c r="B141" s="99">
        <v>20</v>
      </c>
      <c r="C141" s="100" t="s">
        <v>102</v>
      </c>
      <c r="D141" s="57"/>
      <c r="E141" s="57"/>
      <c r="F141" t="s">
        <v>18</v>
      </c>
      <c r="I141" s="10">
        <f>INDEX(Std[],MATCH(F[[#This Row],[Player]],Std[Player],0),20)</f>
        <v>614.16247449252705</v>
      </c>
      <c r="J141">
        <f>_xlfn.RANK.EQ(F[[#This Row],[Value]],F[Value])</f>
        <v>78</v>
      </c>
      <c r="K141" s="10">
        <f>F[[#This Row],[Value]]-_xlfn.XLOOKUP($G$497,F[Value Rk],F[Value],,-1)</f>
        <v>214.74863586678043</v>
      </c>
    </row>
    <row r="142" spans="1:11" ht="15.75" thickBot="1" x14ac:dyDescent="0.3">
      <c r="A142" s="108" t="s">
        <v>364</v>
      </c>
      <c r="B142" s="99">
        <v>39</v>
      </c>
      <c r="C142" s="100" t="s">
        <v>102</v>
      </c>
      <c r="D142" s="57"/>
      <c r="E142" s="57"/>
      <c r="F142" s="67"/>
      <c r="I142" s="10">
        <f>INDEX(Std[],MATCH(F[[#This Row],[Player]],Std[Player],0),20)</f>
        <v>360.418486053143</v>
      </c>
      <c r="J142">
        <f>_xlfn.RANK.EQ(F[[#This Row],[Value]],F[Value])</f>
        <v>133</v>
      </c>
      <c r="K142" s="10">
        <f>F[[#This Row],[Value]]-_xlfn.XLOOKUP($G$497,F[Value Rk],F[Value],,-1)</f>
        <v>-38.995352572603622</v>
      </c>
    </row>
    <row r="143" spans="1:11" ht="15.75" thickBot="1" x14ac:dyDescent="0.3">
      <c r="A143" s="108" t="s">
        <v>565</v>
      </c>
      <c r="B143" s="109"/>
      <c r="C143" s="109"/>
      <c r="D143" s="57"/>
      <c r="E143" s="57"/>
      <c r="F143" s="67"/>
      <c r="I143" s="10">
        <f>INDEX(Std[],MATCH(F[[#This Row],[Player]],Std[Player],0),20)</f>
        <v>399.41383862574662</v>
      </c>
      <c r="J143">
        <f>_xlfn.RANK.EQ(F[[#This Row],[Value]],F[Value])</f>
        <v>126</v>
      </c>
      <c r="K143" s="10">
        <f>F[[#This Row],[Value]]-_xlfn.XLOOKUP($G$497,F[Value Rk],F[Value],,-1)</f>
        <v>0</v>
      </c>
    </row>
    <row r="144" spans="1:11" ht="15.75" thickBot="1" x14ac:dyDescent="0.3">
      <c r="A144" s="108" t="s">
        <v>863</v>
      </c>
      <c r="B144" s="99">
        <v>34</v>
      </c>
      <c r="C144" s="100" t="s">
        <v>102</v>
      </c>
      <c r="D144" s="57"/>
      <c r="E144" s="57"/>
      <c r="F144" t="s">
        <v>13</v>
      </c>
      <c r="I144" s="10">
        <f>INDEX(Std[],MATCH(F[[#This Row],[Player]],Std[Player],0),20)</f>
        <v>445.76974791859703</v>
      </c>
      <c r="J144">
        <f>_xlfn.RANK.EQ(F[[#This Row],[Value]],F[Value])</f>
        <v>108</v>
      </c>
      <c r="K144" s="10">
        <f>F[[#This Row],[Value]]-_xlfn.XLOOKUP($G$497,F[Value Rk],F[Value],,-1)</f>
        <v>46.355909292850413</v>
      </c>
    </row>
    <row r="145" spans="1:11" ht="15.75" thickBot="1" x14ac:dyDescent="0.3">
      <c r="A145" s="108" t="s">
        <v>1126</v>
      </c>
      <c r="B145" s="109"/>
      <c r="C145" s="109"/>
      <c r="D145" s="57"/>
      <c r="E145" s="57"/>
      <c r="F145" s="67"/>
      <c r="I145" s="10">
        <f>INDEX(Std[],MATCH(F[[#This Row],[Player]],Std[Player],0),20)</f>
        <v>347.82118499710418</v>
      </c>
      <c r="J145">
        <f>_xlfn.RANK.EQ(F[[#This Row],[Value]],F[Value])</f>
        <v>137</v>
      </c>
      <c r="K145" s="10">
        <f>F[[#This Row],[Value]]-_xlfn.XLOOKUP($G$497,F[Value Rk],F[Value],,-1)</f>
        <v>-51.592653628642438</v>
      </c>
    </row>
    <row r="146" spans="1:11" ht="15.75" thickBot="1" x14ac:dyDescent="0.3">
      <c r="A146" s="108" t="s">
        <v>362</v>
      </c>
      <c r="B146" s="109"/>
      <c r="C146" s="109"/>
      <c r="D146" s="57"/>
      <c r="E146" s="57"/>
      <c r="F146" s="67"/>
      <c r="I146" s="10">
        <f>INDEX(Std[],MATCH(F[[#This Row],[Player]],Std[Player],0),20)</f>
        <v>196.07629110414254</v>
      </c>
      <c r="J146">
        <f>_xlfn.RANK.EQ(F[[#This Row],[Value]],F[Value])</f>
        <v>185</v>
      </c>
      <c r="K146" s="10">
        <f>F[[#This Row],[Value]]-_xlfn.XLOOKUP($G$497,F[Value Rk],F[Value],,-1)</f>
        <v>-203.33754752160408</v>
      </c>
    </row>
    <row r="147" spans="1:11" ht="15.75" thickBot="1" x14ac:dyDescent="0.3">
      <c r="A147" s="108" t="s">
        <v>1013</v>
      </c>
      <c r="B147" s="109"/>
      <c r="C147" s="109"/>
      <c r="D147" s="57"/>
      <c r="E147" s="57"/>
      <c r="F147" s="67"/>
      <c r="I147" s="10">
        <f>INDEX(Std[],MATCH(F[[#This Row],[Player]],Std[Player],0),20)</f>
        <v>208.87846710257904</v>
      </c>
      <c r="J147">
        <f>_xlfn.RANK.EQ(F[[#This Row],[Value]],F[Value])</f>
        <v>181</v>
      </c>
      <c r="K147" s="10">
        <f>F[[#This Row],[Value]]-_xlfn.XLOOKUP($G$497,F[Value Rk],F[Value],,-1)</f>
        <v>-190.53537152316758</v>
      </c>
    </row>
    <row r="148" spans="1:11" ht="15.75" thickBot="1" x14ac:dyDescent="0.3">
      <c r="A148" s="108" t="s">
        <v>522</v>
      </c>
      <c r="B148" s="109"/>
      <c r="C148" s="109"/>
      <c r="D148" s="57"/>
      <c r="E148" s="57"/>
      <c r="F148" s="67"/>
      <c r="I148" s="10">
        <f>INDEX(Std[],MATCH(F[[#This Row],[Player]],Std[Player],0),20)</f>
        <v>201.26939610505792</v>
      </c>
      <c r="J148">
        <f>_xlfn.RANK.EQ(F[[#This Row],[Value]],F[Value])</f>
        <v>183</v>
      </c>
      <c r="K148" s="10">
        <f>F[[#This Row],[Value]]-_xlfn.XLOOKUP($G$497,F[Value Rk],F[Value],,-1)</f>
        <v>-198.1444425206887</v>
      </c>
    </row>
    <row r="149" spans="1:11" ht="15.75" thickBot="1" x14ac:dyDescent="0.3">
      <c r="A149" s="108" t="s">
        <v>807</v>
      </c>
      <c r="B149" s="97">
        <v>21</v>
      </c>
      <c r="C149" s="98" t="s">
        <v>74</v>
      </c>
      <c r="D149" s="57" t="s">
        <v>102</v>
      </c>
      <c r="E149" s="57"/>
      <c r="F149" t="s">
        <v>22</v>
      </c>
      <c r="I149" s="10">
        <f>INDEX(Std[],MATCH(F[[#This Row],[Player]],Std[Player],0),20)</f>
        <v>229.30729303336071</v>
      </c>
      <c r="J149">
        <f>_xlfn.RANK.EQ(F[[#This Row],[Value]],F[Value])</f>
        <v>176</v>
      </c>
      <c r="K149" s="10">
        <f>F[[#This Row],[Value]]-_xlfn.XLOOKUP($G$497,F[Value Rk],F[Value],,-1)</f>
        <v>-170.10654559238591</v>
      </c>
    </row>
    <row r="150" spans="1:11" ht="15.75" thickBot="1" x14ac:dyDescent="0.3">
      <c r="A150" s="108" t="s">
        <v>1004</v>
      </c>
      <c r="B150" s="109"/>
      <c r="C150" s="109"/>
      <c r="D150" s="57"/>
      <c r="E150" s="57"/>
      <c r="F150" s="67"/>
      <c r="I150" s="10">
        <f>INDEX(Std[],MATCH(F[[#This Row],[Player]],Std[Player],0),20)</f>
        <v>188.09325458465986</v>
      </c>
      <c r="J150">
        <f>_xlfn.RANK.EQ(F[[#This Row],[Value]],F[Value])</f>
        <v>187</v>
      </c>
      <c r="K150" s="10">
        <f>F[[#This Row],[Value]]-_xlfn.XLOOKUP($G$497,F[Value Rk],F[Value],,-1)</f>
        <v>-211.32058404108676</v>
      </c>
    </row>
    <row r="151" spans="1:11" ht="15.75" thickBot="1" x14ac:dyDescent="0.3">
      <c r="A151" s="108" t="s">
        <v>596</v>
      </c>
      <c r="B151" s="97">
        <v>21</v>
      </c>
      <c r="C151" s="98" t="s">
        <v>102</v>
      </c>
      <c r="D151" s="57"/>
      <c r="E151" s="56"/>
      <c r="F151" t="s">
        <v>154</v>
      </c>
      <c r="I151" s="10">
        <f>INDEX(Std[],MATCH(F[[#This Row],[Player]],Std[Player],0),20)</f>
        <v>529.775467676679</v>
      </c>
      <c r="J151">
        <f>_xlfn.RANK.EQ(F[[#This Row],[Value]],F[Value])</f>
        <v>91</v>
      </c>
      <c r="K151" s="10">
        <f>F[[#This Row],[Value]]-_xlfn.XLOOKUP($G$497,F[Value Rk],F[Value],,-1)</f>
        <v>130.36162905093238</v>
      </c>
    </row>
    <row r="152" spans="1:11" ht="15.75" thickBot="1" x14ac:dyDescent="0.3">
      <c r="A152" s="108" t="s">
        <v>879</v>
      </c>
      <c r="B152" s="99">
        <v>28</v>
      </c>
      <c r="C152" s="100" t="s">
        <v>102</v>
      </c>
      <c r="D152" s="57"/>
      <c r="E152" s="56"/>
      <c r="F152" t="s">
        <v>6</v>
      </c>
      <c r="I152" s="10">
        <f>INDEX(Std[],MATCH(F[[#This Row],[Player]],Std[Player],0),20)</f>
        <v>188.83894106077656</v>
      </c>
      <c r="J152">
        <f>_xlfn.RANK.EQ(F[[#This Row],[Value]],F[Value])</f>
        <v>186</v>
      </c>
      <c r="K152" s="10">
        <f>F[[#This Row],[Value]]-_xlfn.XLOOKUP($G$497,F[Value Rk],F[Value],,-1)</f>
        <v>-210.57489756497006</v>
      </c>
    </row>
    <row r="153" spans="1:11" ht="15.75" thickBot="1" x14ac:dyDescent="0.3">
      <c r="A153" s="108" t="s">
        <v>331</v>
      </c>
      <c r="B153" s="99">
        <v>25</v>
      </c>
      <c r="C153" s="100" t="s">
        <v>102</v>
      </c>
      <c r="D153" s="57"/>
      <c r="E153" s="57"/>
      <c r="F153" t="s">
        <v>154</v>
      </c>
      <c r="I153" s="10">
        <f>INDEX(Std[],MATCH(F[[#This Row],[Player]],Std[Player],0),20)</f>
        <v>182.56283122006417</v>
      </c>
      <c r="J153">
        <f>_xlfn.RANK.EQ(F[[#This Row],[Value]],F[Value])</f>
        <v>192</v>
      </c>
      <c r="K153" s="10">
        <f>F[[#This Row],[Value]]-_xlfn.XLOOKUP($G$497,F[Value Rk],F[Value],,-1)</f>
        <v>-216.85100740568245</v>
      </c>
    </row>
    <row r="154" spans="1:11" ht="15.75" thickBot="1" x14ac:dyDescent="0.3">
      <c r="A154" s="108" t="s">
        <v>529</v>
      </c>
      <c r="B154" s="99">
        <v>31</v>
      </c>
      <c r="C154" s="100" t="s">
        <v>102</v>
      </c>
      <c r="D154" s="57"/>
      <c r="E154" s="57"/>
      <c r="F154" t="s">
        <v>7</v>
      </c>
      <c r="I154" s="10">
        <f>INDEX(Std[],MATCH(F[[#This Row],[Player]],Std[Player],0),20)</f>
        <v>560.47513951911264</v>
      </c>
      <c r="J154">
        <f>_xlfn.RANK.EQ(F[[#This Row],[Value]],F[Value])</f>
        <v>86</v>
      </c>
      <c r="K154" s="10">
        <f>F[[#This Row],[Value]]-_xlfn.XLOOKUP($G$497,F[Value Rk],F[Value],,-1)</f>
        <v>161.06130089336602</v>
      </c>
    </row>
    <row r="155" spans="1:11" ht="15.75" thickBot="1" x14ac:dyDescent="0.3">
      <c r="A155" s="108" t="s">
        <v>636</v>
      </c>
      <c r="B155" s="99">
        <v>29</v>
      </c>
      <c r="C155" s="100" t="s">
        <v>102</v>
      </c>
      <c r="D155" s="57"/>
      <c r="E155" s="57"/>
      <c r="F155" t="s">
        <v>4</v>
      </c>
      <c r="I155" s="10">
        <f>INDEX(Std[],MATCH(F[[#This Row],[Player]],Std[Player],0),20)</f>
        <v>185.19833231236086</v>
      </c>
      <c r="J155">
        <f>_xlfn.RANK.EQ(F[[#This Row],[Value]],F[Value])</f>
        <v>190</v>
      </c>
      <c r="K155" s="10">
        <f>F[[#This Row],[Value]]-_xlfn.XLOOKUP($G$497,F[Value Rk],F[Value],,-1)</f>
        <v>-214.21550631338576</v>
      </c>
    </row>
    <row r="156" spans="1:11" ht="15.75" thickBot="1" x14ac:dyDescent="0.3">
      <c r="A156" s="108" t="s">
        <v>521</v>
      </c>
      <c r="B156" s="109"/>
      <c r="C156" s="109"/>
      <c r="D156" s="57"/>
      <c r="E156" s="57"/>
      <c r="F156" s="67"/>
      <c r="I156" s="10">
        <f>INDEX(Std[],MATCH(F[[#This Row],[Player]],Std[Player],0),20)</f>
        <v>524.36191838794025</v>
      </c>
      <c r="J156">
        <f>_xlfn.RANK.EQ(F[[#This Row],[Value]],F[Value])</f>
        <v>93</v>
      </c>
      <c r="K156" s="10">
        <f>F[[#This Row],[Value]]-_xlfn.XLOOKUP($G$497,F[Value Rk],F[Value],,-1)</f>
        <v>124.94807976219363</v>
      </c>
    </row>
    <row r="157" spans="1:11" ht="15.75" thickBot="1" x14ac:dyDescent="0.3">
      <c r="A157" s="108" t="s">
        <v>470</v>
      </c>
      <c r="B157" s="109"/>
      <c r="C157" s="109"/>
      <c r="D157" s="57"/>
      <c r="E157" s="57"/>
      <c r="F157" s="67"/>
      <c r="I157" s="10">
        <f>INDEX(Std[],MATCH(F[[#This Row],[Player]],Std[Player],0),20)</f>
        <v>420.63676957543709</v>
      </c>
      <c r="J157">
        <f>_xlfn.RANK.EQ(F[[#This Row],[Value]],F[Value])</f>
        <v>120</v>
      </c>
      <c r="K157" s="10">
        <f>F[[#This Row],[Value]]-_xlfn.XLOOKUP($G$497,F[Value Rk],F[Value],,-1)</f>
        <v>21.222930949690465</v>
      </c>
    </row>
    <row r="158" spans="1:11" ht="15.75" thickBot="1" x14ac:dyDescent="0.3">
      <c r="A158" s="108" t="s">
        <v>1007</v>
      </c>
      <c r="B158" s="97">
        <v>30</v>
      </c>
      <c r="C158" s="98" t="s">
        <v>102</v>
      </c>
      <c r="D158" s="57"/>
      <c r="E158" s="57"/>
      <c r="F158" t="s">
        <v>17</v>
      </c>
      <c r="I158" s="10">
        <f>INDEX(Std[],MATCH(F[[#This Row],[Player]],Std[Player],0),20)</f>
        <v>166.45357201186798</v>
      </c>
      <c r="J158">
        <f>_xlfn.RANK.EQ(F[[#This Row],[Value]],F[Value])</f>
        <v>198</v>
      </c>
      <c r="K158" s="10">
        <f>F[[#This Row],[Value]]-_xlfn.XLOOKUP($G$497,F[Value Rk],F[Value],,-1)</f>
        <v>-232.96026661387864</v>
      </c>
    </row>
    <row r="159" spans="1:11" ht="15.75" thickBot="1" x14ac:dyDescent="0.3">
      <c r="A159" s="108" t="s">
        <v>436</v>
      </c>
      <c r="B159" s="109"/>
      <c r="C159" s="109"/>
      <c r="D159" s="57"/>
      <c r="E159" s="57"/>
      <c r="F159" s="67"/>
      <c r="I159" s="10">
        <f>INDEX(Std[],MATCH(F[[#This Row],[Player]],Std[Player],0),20)</f>
        <v>259.31191315703626</v>
      </c>
      <c r="J159">
        <f>_xlfn.RANK.EQ(F[[#This Row],[Value]],F[Value])</f>
        <v>162</v>
      </c>
      <c r="K159" s="10">
        <f>F[[#This Row],[Value]]-_xlfn.XLOOKUP($G$497,F[Value Rk],F[Value],,-1)</f>
        <v>-140.10192546871036</v>
      </c>
    </row>
    <row r="160" spans="1:11" ht="15.75" thickBot="1" x14ac:dyDescent="0.3">
      <c r="A160" s="108" t="s">
        <v>891</v>
      </c>
      <c r="B160" s="97">
        <v>25</v>
      </c>
      <c r="C160" s="98" t="s">
        <v>102</v>
      </c>
      <c r="D160" s="57"/>
      <c r="E160" s="57"/>
      <c r="F160" t="s">
        <v>25</v>
      </c>
      <c r="I160" s="10">
        <f>INDEX(Std[],MATCH(F[[#This Row],[Player]],Std[Player],0),20)</f>
        <v>427.12873973534391</v>
      </c>
      <c r="J160">
        <f>_xlfn.RANK.EQ(F[[#This Row],[Value]],F[Value])</f>
        <v>118</v>
      </c>
      <c r="K160" s="10">
        <f>F[[#This Row],[Value]]-_xlfn.XLOOKUP($G$497,F[Value Rk],F[Value],,-1)</f>
        <v>27.714901109597292</v>
      </c>
    </row>
    <row r="161" spans="1:11" ht="15.75" thickBot="1" x14ac:dyDescent="0.3">
      <c r="A161" s="108" t="s">
        <v>982</v>
      </c>
      <c r="B161" s="109"/>
      <c r="C161" s="109"/>
      <c r="D161" s="57"/>
      <c r="E161" s="57"/>
      <c r="F161" s="67"/>
      <c r="I161" s="10">
        <f>INDEX(Std[],MATCH(F[[#This Row],[Player]],Std[Player],0),20)</f>
        <v>55.495988173855835</v>
      </c>
      <c r="J161">
        <f>_xlfn.RANK.EQ(F[[#This Row],[Value]],F[Value])</f>
        <v>234</v>
      </c>
      <c r="K161" s="10">
        <f>F[[#This Row],[Value]]-_xlfn.XLOOKUP($G$497,F[Value Rk],F[Value],,-1)</f>
        <v>-343.91785045189079</v>
      </c>
    </row>
    <row r="162" spans="1:11" ht="15.75" thickBot="1" x14ac:dyDescent="0.3">
      <c r="A162" s="108" t="s">
        <v>1070</v>
      </c>
      <c r="B162" s="97"/>
      <c r="C162" s="98"/>
      <c r="D162" s="57"/>
      <c r="E162" s="56"/>
      <c r="F162" s="67"/>
      <c r="I162" s="10">
        <f>INDEX(Std[],MATCH(F[[#This Row],[Player]],Std[Player],0),20)</f>
        <v>169.64204635015844</v>
      </c>
      <c r="J162">
        <f>_xlfn.RANK.EQ(F[[#This Row],[Value]],F[Value])</f>
        <v>197</v>
      </c>
      <c r="K162" s="10">
        <f>F[[#This Row],[Value]]-_xlfn.XLOOKUP($G$497,F[Value Rk],F[Value],,-1)</f>
        <v>-229.77179227558818</v>
      </c>
    </row>
    <row r="163" spans="1:11" ht="15.75" thickBot="1" x14ac:dyDescent="0.3">
      <c r="A163" s="108" t="s">
        <v>554</v>
      </c>
      <c r="B163" s="109"/>
      <c r="C163" s="109"/>
      <c r="D163" s="57"/>
      <c r="E163" s="57"/>
      <c r="F163" s="67"/>
      <c r="I163" s="10">
        <f>INDEX(Std[],MATCH(F[[#This Row],[Player]],Std[Player],0),20)</f>
        <v>237.16843836867034</v>
      </c>
      <c r="J163">
        <f>_xlfn.RANK.EQ(F[[#This Row],[Value]],F[Value])</f>
        <v>169</v>
      </c>
      <c r="K163" s="10">
        <f>F[[#This Row],[Value]]-_xlfn.XLOOKUP($G$497,F[Value Rk],F[Value],,-1)</f>
        <v>-162.24540025707628</v>
      </c>
    </row>
    <row r="164" spans="1:11" ht="15.75" thickBot="1" x14ac:dyDescent="0.3">
      <c r="A164" s="108" t="s">
        <v>598</v>
      </c>
      <c r="B164" s="97">
        <v>26</v>
      </c>
      <c r="C164" s="98" t="s">
        <v>102</v>
      </c>
      <c r="D164" s="57"/>
      <c r="E164" s="56"/>
      <c r="F164" t="s">
        <v>17</v>
      </c>
      <c r="I164" s="10">
        <f>INDEX(Std[],MATCH(F[[#This Row],[Player]],Std[Player],0),20)</f>
        <v>150.61032362498366</v>
      </c>
      <c r="J164">
        <f>_xlfn.RANK.EQ(F[[#This Row],[Value]],F[Value])</f>
        <v>203</v>
      </c>
      <c r="K164" s="10">
        <f>F[[#This Row],[Value]]-_xlfn.XLOOKUP($G$497,F[Value Rk],F[Value],,-1)</f>
        <v>-248.80351500076296</v>
      </c>
    </row>
    <row r="165" spans="1:11" ht="15.75" thickBot="1" x14ac:dyDescent="0.3">
      <c r="A165" s="108" t="s">
        <v>429</v>
      </c>
      <c r="B165" s="97">
        <v>25</v>
      </c>
      <c r="C165" s="98" t="s">
        <v>102</v>
      </c>
      <c r="D165" s="57"/>
      <c r="E165" s="56"/>
      <c r="F165" t="s">
        <v>34</v>
      </c>
      <c r="I165" s="10">
        <f>INDEX(Std[],MATCH(F[[#This Row],[Player]],Std[Player],0),20)</f>
        <v>169.79704806887969</v>
      </c>
      <c r="J165">
        <f>_xlfn.RANK.EQ(F[[#This Row],[Value]],F[Value])</f>
        <v>196</v>
      </c>
      <c r="K165" s="10">
        <f>F[[#This Row],[Value]]-_xlfn.XLOOKUP($G$497,F[Value Rk],F[Value],,-1)</f>
        <v>-229.61679055686693</v>
      </c>
    </row>
    <row r="166" spans="1:11" ht="15.75" thickBot="1" x14ac:dyDescent="0.3">
      <c r="A166" s="108" t="s">
        <v>580</v>
      </c>
      <c r="B166" s="97">
        <v>22</v>
      </c>
      <c r="C166" s="98" t="s">
        <v>102</v>
      </c>
      <c r="D166" s="58"/>
      <c r="E166" s="56"/>
      <c r="F166" t="s">
        <v>6</v>
      </c>
      <c r="I166" s="10">
        <f>INDEX(Std[],MATCH(F[[#This Row],[Player]],Std[Player],0),20)</f>
        <v>184.07483162746331</v>
      </c>
      <c r="J166">
        <f>_xlfn.RANK.EQ(F[[#This Row],[Value]],F[Value])</f>
        <v>191</v>
      </c>
      <c r="K166" s="10">
        <f>F[[#This Row],[Value]]-_xlfn.XLOOKUP($G$497,F[Value Rk],F[Value],,-1)</f>
        <v>-215.33900699828331</v>
      </c>
    </row>
    <row r="167" spans="1:11" ht="15.75" thickBot="1" x14ac:dyDescent="0.3">
      <c r="A167" s="108" t="s">
        <v>396</v>
      </c>
      <c r="B167" s="97">
        <v>27</v>
      </c>
      <c r="C167" s="98" t="s">
        <v>102</v>
      </c>
      <c r="D167" s="57"/>
      <c r="E167" s="57"/>
      <c r="F167" s="2" t="s">
        <v>154</v>
      </c>
      <c r="I167" s="10">
        <f>INDEX(Std[],MATCH(F[[#This Row],[Player]],Std[Player],0),20)</f>
        <v>178.87846006783761</v>
      </c>
      <c r="J167">
        <f>_xlfn.RANK.EQ(F[[#This Row],[Value]],F[Value])</f>
        <v>193</v>
      </c>
      <c r="K167" s="10">
        <f>F[[#This Row],[Value]]-_xlfn.XLOOKUP($G$497,F[Value Rk],F[Value],,-1)</f>
        <v>-220.53537855790901</v>
      </c>
    </row>
    <row r="168" spans="1:11" ht="15.75" thickBot="1" x14ac:dyDescent="0.3">
      <c r="A168" s="108" t="s">
        <v>585</v>
      </c>
      <c r="B168" s="109"/>
      <c r="C168" s="109"/>
      <c r="D168" s="57"/>
      <c r="E168" s="57"/>
      <c r="F168" s="17"/>
      <c r="I168" s="10">
        <f>INDEX(Std[],MATCH(F[[#This Row],[Player]],Std[Player],0),20)</f>
        <v>218.65009695426093</v>
      </c>
      <c r="J168">
        <f>_xlfn.RANK.EQ(F[[#This Row],[Value]],F[Value])</f>
        <v>180</v>
      </c>
      <c r="K168" s="10">
        <f>F[[#This Row],[Value]]-_xlfn.XLOOKUP($G$497,F[Value Rk],F[Value],,-1)</f>
        <v>-180.76374167148569</v>
      </c>
    </row>
    <row r="169" spans="1:11" ht="15.75" thickBot="1" x14ac:dyDescent="0.3">
      <c r="A169" s="108" t="s">
        <v>563</v>
      </c>
      <c r="B169" s="99">
        <v>23</v>
      </c>
      <c r="C169" s="100" t="s">
        <v>102</v>
      </c>
      <c r="D169" s="57"/>
      <c r="E169" s="57"/>
      <c r="F169" s="2" t="s">
        <v>34</v>
      </c>
      <c r="I169" s="10">
        <f>INDEX(Std[],MATCH(F[[#This Row],[Player]],Std[Player],0),20)</f>
        <v>416.91635165374583</v>
      </c>
      <c r="J169">
        <f>_xlfn.RANK.EQ(F[[#This Row],[Value]],F[Value])</f>
        <v>121</v>
      </c>
      <c r="K169" s="10">
        <f>F[[#This Row],[Value]]-_xlfn.XLOOKUP($G$497,F[Value Rk],F[Value],,-1)</f>
        <v>17.502513027999214</v>
      </c>
    </row>
    <row r="170" spans="1:11" ht="15.75" thickBot="1" x14ac:dyDescent="0.3">
      <c r="A170" s="108" t="s">
        <v>352</v>
      </c>
      <c r="B170" s="97">
        <v>28</v>
      </c>
      <c r="C170" s="98" t="s">
        <v>102</v>
      </c>
      <c r="D170" s="57"/>
      <c r="E170" s="56"/>
      <c r="F170" s="2" t="s">
        <v>31</v>
      </c>
      <c r="I170" s="10">
        <f>INDEX(Std[],MATCH(F[[#This Row],[Player]],Std[Player],0),20)</f>
        <v>354.88169011789876</v>
      </c>
      <c r="J170">
        <f>_xlfn.RANK.EQ(F[[#This Row],[Value]],F[Value])</f>
        <v>136</v>
      </c>
      <c r="K170" s="10">
        <f>F[[#This Row],[Value]]-_xlfn.XLOOKUP($G$497,F[Value Rk],F[Value],,-1)</f>
        <v>-44.532148507847864</v>
      </c>
    </row>
    <row r="171" spans="1:11" ht="15.75" thickBot="1" x14ac:dyDescent="0.3">
      <c r="A171" s="108" t="s">
        <v>1072</v>
      </c>
      <c r="B171" s="109"/>
      <c r="C171" s="109"/>
      <c r="D171" s="57"/>
      <c r="E171" s="57"/>
      <c r="F171" s="17"/>
      <c r="I171" s="10">
        <f>INDEX(Std[],MATCH(F[[#This Row],[Player]],Std[Player],0),20)</f>
        <v>152.95075811175951</v>
      </c>
      <c r="J171">
        <f>_xlfn.RANK.EQ(F[[#This Row],[Value]],F[Value])</f>
        <v>202</v>
      </c>
      <c r="K171" s="10">
        <f>F[[#This Row],[Value]]-_xlfn.XLOOKUP($G$497,F[Value Rk],F[Value],,-1)</f>
        <v>-246.46308051398711</v>
      </c>
    </row>
    <row r="172" spans="1:11" ht="15.75" thickBot="1" x14ac:dyDescent="0.3">
      <c r="A172" s="108" t="s">
        <v>854</v>
      </c>
      <c r="B172" s="97">
        <v>34</v>
      </c>
      <c r="C172" s="98" t="s">
        <v>102</v>
      </c>
      <c r="D172" s="57"/>
      <c r="E172" s="56"/>
      <c r="F172" s="2" t="s">
        <v>22</v>
      </c>
      <c r="I172" s="10">
        <f>INDEX(Std[],MATCH(F[[#This Row],[Player]],Std[Player],0),20)</f>
        <v>317.99606697208895</v>
      </c>
      <c r="J172">
        <f>_xlfn.RANK.EQ(F[[#This Row],[Value]],F[Value])</f>
        <v>143</v>
      </c>
      <c r="K172" s="10">
        <f>F[[#This Row],[Value]]-_xlfn.XLOOKUP($G$497,F[Value Rk],F[Value],,-1)</f>
        <v>-81.417771653657667</v>
      </c>
    </row>
    <row r="173" spans="1:11" ht="15.75" thickBot="1" x14ac:dyDescent="0.3">
      <c r="A173" s="108" t="s">
        <v>593</v>
      </c>
      <c r="B173" s="97">
        <v>34</v>
      </c>
      <c r="C173" s="98" t="s">
        <v>102</v>
      </c>
      <c r="D173" s="57"/>
      <c r="E173" s="56"/>
      <c r="F173" s="2" t="s">
        <v>25</v>
      </c>
      <c r="I173" s="10">
        <f>INDEX(Std[],MATCH(F[[#This Row],[Player]],Std[Player],0),20)</f>
        <v>197.60623468781512</v>
      </c>
      <c r="J173">
        <f>_xlfn.RANK.EQ(F[[#This Row],[Value]],F[Value])</f>
        <v>184</v>
      </c>
      <c r="K173" s="10">
        <f>F[[#This Row],[Value]]-_xlfn.XLOOKUP($G$497,F[Value Rk],F[Value],,-1)</f>
        <v>-201.8076039379315</v>
      </c>
    </row>
    <row r="174" spans="1:11" ht="15.75" thickBot="1" x14ac:dyDescent="0.3">
      <c r="A174" s="108" t="s">
        <v>327</v>
      </c>
      <c r="B174" s="99">
        <v>27</v>
      </c>
      <c r="C174" s="100" t="s">
        <v>102</v>
      </c>
      <c r="D174" s="57"/>
      <c r="E174" s="56"/>
      <c r="F174" s="2" t="s">
        <v>28</v>
      </c>
      <c r="I174" s="10">
        <f>INDEX(Std[],MATCH(F[[#This Row],[Player]],Std[Player],0),20)</f>
        <v>142.44104916593662</v>
      </c>
      <c r="J174">
        <f>_xlfn.RANK.EQ(F[[#This Row],[Value]],F[Value])</f>
        <v>206</v>
      </c>
      <c r="K174" s="10">
        <f>F[[#This Row],[Value]]-_xlfn.XLOOKUP($G$497,F[Value Rk],F[Value],,-1)</f>
        <v>-256.97278945980997</v>
      </c>
    </row>
    <row r="175" spans="1:11" ht="15.75" thickBot="1" x14ac:dyDescent="0.3">
      <c r="A175" s="108" t="s">
        <v>507</v>
      </c>
      <c r="B175" s="99">
        <v>35</v>
      </c>
      <c r="C175" s="100" t="s">
        <v>102</v>
      </c>
      <c r="D175" s="57"/>
      <c r="E175" s="57"/>
      <c r="F175" s="2" t="s">
        <v>5</v>
      </c>
      <c r="I175" s="10">
        <f>INDEX(Std[],MATCH(F[[#This Row],[Player]],Std[Player],0),20)</f>
        <v>136.90459927786333</v>
      </c>
      <c r="J175">
        <f>_xlfn.RANK.EQ(F[[#This Row],[Value]],F[Value])</f>
        <v>208</v>
      </c>
      <c r="K175" s="10">
        <f>F[[#This Row],[Value]]-_xlfn.XLOOKUP($G$497,F[Value Rk],F[Value],,-1)</f>
        <v>-262.50923934788329</v>
      </c>
    </row>
    <row r="176" spans="1:11" ht="15.75" thickBot="1" x14ac:dyDescent="0.3">
      <c r="A176" s="108" t="s">
        <v>646</v>
      </c>
      <c r="B176" s="109"/>
      <c r="C176" s="109"/>
      <c r="D176" s="57"/>
      <c r="E176" s="57"/>
      <c r="F176" s="17"/>
      <c r="I176" s="10">
        <f>INDEX(Std[],MATCH(F[[#This Row],[Player]],Std[Player],0),20)</f>
        <v>409.46921655310052</v>
      </c>
      <c r="J176">
        <f>_xlfn.RANK.EQ(F[[#This Row],[Value]],F[Value])</f>
        <v>125</v>
      </c>
      <c r="K176" s="10">
        <f>F[[#This Row],[Value]]-_xlfn.XLOOKUP($G$497,F[Value Rk],F[Value],,-1)</f>
        <v>10.055377927353902</v>
      </c>
    </row>
    <row r="177" spans="1:11" ht="15.75" thickBot="1" x14ac:dyDescent="0.3">
      <c r="A177" s="108" t="s">
        <v>1010</v>
      </c>
      <c r="B177" s="109"/>
      <c r="C177" s="109"/>
      <c r="D177" s="57"/>
      <c r="E177" s="57"/>
      <c r="F177" s="17"/>
      <c r="I177" s="10">
        <f>INDEX(Std[],MATCH(F[[#This Row],[Player]],Std[Player],0),20)</f>
        <v>142.64329088258367</v>
      </c>
      <c r="J177">
        <f>_xlfn.RANK.EQ(F[[#This Row],[Value]],F[Value])</f>
        <v>205</v>
      </c>
      <c r="K177" s="10">
        <f>F[[#This Row],[Value]]-_xlfn.XLOOKUP($G$497,F[Value Rk],F[Value],,-1)</f>
        <v>-256.77054774316298</v>
      </c>
    </row>
    <row r="178" spans="1:11" ht="15.75" thickBot="1" x14ac:dyDescent="0.3">
      <c r="A178" s="108" t="s">
        <v>476</v>
      </c>
      <c r="D178" s="57"/>
      <c r="E178" s="57"/>
      <c r="F178" s="17"/>
      <c r="I178" s="10">
        <f>INDEX(Std[],MATCH(F[[#This Row],[Player]],Std[Player],0),20)</f>
        <v>124.89185369649583</v>
      </c>
      <c r="J178">
        <f>_xlfn.RANK.EQ(F[[#This Row],[Value]],F[Value])</f>
        <v>210</v>
      </c>
      <c r="K178" s="10">
        <f>F[[#This Row],[Value]]-_xlfn.XLOOKUP($G$497,F[Value Rk],F[Value],,-1)</f>
        <v>-274.52198492925078</v>
      </c>
    </row>
    <row r="179" spans="1:11" ht="15.75" thickBot="1" x14ac:dyDescent="0.3">
      <c r="A179" s="108" t="s">
        <v>532</v>
      </c>
      <c r="B179" s="105">
        <v>25</v>
      </c>
      <c r="C179" s="104" t="s">
        <v>102</v>
      </c>
      <c r="D179" s="57"/>
      <c r="E179" s="57"/>
      <c r="F179" s="2" t="s">
        <v>8</v>
      </c>
      <c r="I179" s="10">
        <f>INDEX(Std[],MATCH(F[[#This Row],[Player]],Std[Player],0),20)</f>
        <v>366.94138235658079</v>
      </c>
      <c r="J179">
        <f>_xlfn.RANK.EQ(F[[#This Row],[Value]],F[Value])</f>
        <v>131</v>
      </c>
      <c r="K179" s="10">
        <f>F[[#This Row],[Value]]-_xlfn.XLOOKUP($G$497,F[Value Rk],F[Value],,-1)</f>
        <v>-32.472456269165832</v>
      </c>
    </row>
    <row r="180" spans="1:11" ht="15.75" thickBot="1" x14ac:dyDescent="0.3">
      <c r="A180" s="108" t="s">
        <v>688</v>
      </c>
      <c r="D180" s="57"/>
      <c r="E180" s="57"/>
      <c r="F180" s="17"/>
      <c r="I180" s="10">
        <f>INDEX(Std[],MATCH(F[[#This Row],[Player]],Std[Player],0),20)</f>
        <v>414.6979015280271</v>
      </c>
      <c r="J180">
        <f>_xlfn.RANK.EQ(F[[#This Row],[Value]],F[Value])</f>
        <v>123</v>
      </c>
      <c r="K180" s="10">
        <f>F[[#This Row],[Value]]-_xlfn.XLOOKUP($G$497,F[Value Rk],F[Value],,-1)</f>
        <v>15.284062902280482</v>
      </c>
    </row>
    <row r="181" spans="1:11" ht="15.75" thickBot="1" x14ac:dyDescent="0.3">
      <c r="A181" s="108" t="s">
        <v>458</v>
      </c>
      <c r="B181" s="105">
        <v>28</v>
      </c>
      <c r="C181" s="104" t="s">
        <v>102</v>
      </c>
      <c r="D181" s="57"/>
      <c r="E181" s="56"/>
      <c r="F181" s="2" t="s">
        <v>18</v>
      </c>
      <c r="I181" s="10">
        <f>INDEX(Std[],MATCH(F[[#This Row],[Player]],Std[Player],0),20)</f>
        <v>123.52434329020674</v>
      </c>
      <c r="J181">
        <f>_xlfn.RANK.EQ(F[[#This Row],[Value]],F[Value])</f>
        <v>211</v>
      </c>
      <c r="K181" s="10">
        <f>F[[#This Row],[Value]]-_xlfn.XLOOKUP($G$497,F[Value Rk],F[Value],,-1)</f>
        <v>-275.88949533553989</v>
      </c>
    </row>
    <row r="182" spans="1:11" ht="15.75" thickBot="1" x14ac:dyDescent="0.3">
      <c r="A182" s="108" t="s">
        <v>649</v>
      </c>
      <c r="B182" s="103">
        <v>25</v>
      </c>
      <c r="C182" s="59" t="s">
        <v>102</v>
      </c>
      <c r="D182" s="57"/>
      <c r="E182" s="57"/>
      <c r="F182" s="2" t="s">
        <v>10</v>
      </c>
      <c r="I182" s="10">
        <f>INDEX(Std[],MATCH(F[[#This Row],[Player]],Std[Player],0),20)</f>
        <v>235.24019513508864</v>
      </c>
      <c r="J182">
        <f>_xlfn.RANK.EQ(F[[#This Row],[Value]],F[Value])</f>
        <v>170</v>
      </c>
      <c r="K182" s="10">
        <f>F[[#This Row],[Value]]-_xlfn.XLOOKUP($G$497,F[Value Rk],F[Value],,-1)</f>
        <v>-164.17364349065798</v>
      </c>
    </row>
    <row r="183" spans="1:11" ht="15.75" thickBot="1" x14ac:dyDescent="0.3">
      <c r="A183" s="108" t="s">
        <v>615</v>
      </c>
      <c r="B183" s="103">
        <v>23</v>
      </c>
      <c r="C183" s="59" t="s">
        <v>102</v>
      </c>
      <c r="D183" s="57"/>
      <c r="E183" s="57"/>
      <c r="F183" s="2" t="s">
        <v>12</v>
      </c>
      <c r="I183" s="10">
        <f>INDEX(Std[],MATCH(F[[#This Row],[Player]],Std[Player],0),20)</f>
        <v>427.54833845517493</v>
      </c>
      <c r="J183">
        <f>_xlfn.RANK.EQ(F[[#This Row],[Value]],F[Value])</f>
        <v>116</v>
      </c>
      <c r="K183" s="10">
        <f>F[[#This Row],[Value]]-_xlfn.XLOOKUP($G$497,F[Value Rk],F[Value],,-1)</f>
        <v>28.134499829428307</v>
      </c>
    </row>
    <row r="184" spans="1:11" ht="15.75" thickBot="1" x14ac:dyDescent="0.3">
      <c r="A184" s="108" t="s">
        <v>377</v>
      </c>
      <c r="B184" s="103">
        <v>25</v>
      </c>
      <c r="C184" s="59" t="s">
        <v>102</v>
      </c>
      <c r="D184" s="57"/>
      <c r="E184" s="57"/>
      <c r="F184" s="2" t="s">
        <v>30</v>
      </c>
      <c r="I184" s="10">
        <f>INDEX(Std[],MATCH(F[[#This Row],[Player]],Std[Player],0),20)</f>
        <v>132.95952056740646</v>
      </c>
      <c r="J184">
        <f>_xlfn.RANK.EQ(F[[#This Row],[Value]],F[Value])</f>
        <v>209</v>
      </c>
      <c r="K184" s="10">
        <f>F[[#This Row],[Value]]-_xlfn.XLOOKUP($G$497,F[Value Rk],F[Value],,-1)</f>
        <v>-266.45431805834016</v>
      </c>
    </row>
    <row r="185" spans="1:11" ht="15.75" thickBot="1" x14ac:dyDescent="0.3">
      <c r="A185" s="108" t="s">
        <v>1106</v>
      </c>
      <c r="B185" s="105">
        <v>28</v>
      </c>
      <c r="C185" s="104" t="s">
        <v>102</v>
      </c>
      <c r="D185" s="57"/>
      <c r="E185" s="57"/>
      <c r="F185" s="2" t="s">
        <v>21</v>
      </c>
      <c r="I185" s="10">
        <f>INDEX(Std[],MATCH(F[[#This Row],[Player]],Std[Player],0),20)</f>
        <v>269.82765241920828</v>
      </c>
      <c r="J185">
        <f>_xlfn.RANK.EQ(F[[#This Row],[Value]],F[Value])</f>
        <v>157</v>
      </c>
      <c r="K185" s="10">
        <f>F[[#This Row],[Value]]-_xlfn.XLOOKUP($G$497,F[Value Rk],F[Value],,-1)</f>
        <v>-129.58618620653834</v>
      </c>
    </row>
    <row r="186" spans="1:11" ht="15.75" thickBot="1" x14ac:dyDescent="0.3">
      <c r="A186" s="108" t="s">
        <v>402</v>
      </c>
      <c r="B186" s="105">
        <v>23</v>
      </c>
      <c r="C186" s="104" t="s">
        <v>102</v>
      </c>
      <c r="D186" s="57"/>
      <c r="E186" s="56"/>
      <c r="F186" s="2" t="s">
        <v>11</v>
      </c>
      <c r="I186" s="10">
        <f>INDEX(Std[],MATCH(F[[#This Row],[Player]],Std[Player],0),20)</f>
        <v>110.16739332417353</v>
      </c>
      <c r="J186">
        <f>_xlfn.RANK.EQ(F[[#This Row],[Value]],F[Value])</f>
        <v>213</v>
      </c>
      <c r="K186" s="10">
        <f>F[[#This Row],[Value]]-_xlfn.XLOOKUP($G$497,F[Value Rk],F[Value],,-1)</f>
        <v>-289.24644530157309</v>
      </c>
    </row>
    <row r="187" spans="1:11" ht="15.75" thickBot="1" x14ac:dyDescent="0.3">
      <c r="A187" s="108" t="s">
        <v>499</v>
      </c>
      <c r="B187" s="103">
        <v>24</v>
      </c>
      <c r="C187" s="59" t="s">
        <v>102</v>
      </c>
      <c r="D187" s="57"/>
      <c r="E187" s="57"/>
      <c r="F187" s="2" t="s">
        <v>14</v>
      </c>
      <c r="I187" s="10">
        <f>INDEX(Std[],MATCH(F[[#This Row],[Player]],Std[Player],0),20)</f>
        <v>409.82880253016828</v>
      </c>
      <c r="J187">
        <f>_xlfn.RANK.EQ(F[[#This Row],[Value]],F[Value])</f>
        <v>124</v>
      </c>
      <c r="K187" s="10">
        <f>F[[#This Row],[Value]]-_xlfn.XLOOKUP($G$497,F[Value Rk],F[Value],,-1)</f>
        <v>10.414963904421654</v>
      </c>
    </row>
    <row r="188" spans="1:11" ht="15.75" thickBot="1" x14ac:dyDescent="0.3">
      <c r="A188" s="108" t="s">
        <v>366</v>
      </c>
      <c r="B188" s="105">
        <v>27</v>
      </c>
      <c r="C188" s="104" t="s">
        <v>102</v>
      </c>
      <c r="D188" s="57"/>
      <c r="E188" s="57"/>
      <c r="F188" s="2" t="s">
        <v>32</v>
      </c>
      <c r="I188" s="10">
        <f>INDEX(Std[],MATCH(F[[#This Row],[Player]],Std[Player],0),20)</f>
        <v>261.15452483260151</v>
      </c>
      <c r="J188">
        <f>_xlfn.RANK.EQ(F[[#This Row],[Value]],F[Value])</f>
        <v>160</v>
      </c>
      <c r="K188" s="10">
        <f>F[[#This Row],[Value]]-_xlfn.XLOOKUP($G$497,F[Value Rk],F[Value],,-1)</f>
        <v>-138.25931379314511</v>
      </c>
    </row>
    <row r="189" spans="1:11" ht="15.75" thickBot="1" x14ac:dyDescent="0.3">
      <c r="A189" s="108" t="s">
        <v>1016</v>
      </c>
      <c r="B189" s="105">
        <v>27</v>
      </c>
      <c r="C189" s="104" t="s">
        <v>102</v>
      </c>
      <c r="D189" s="57"/>
      <c r="E189" s="57"/>
      <c r="F189" s="2" t="s">
        <v>34</v>
      </c>
      <c r="I189" s="10">
        <f>INDEX(Std[],MATCH(F[[#This Row],[Player]],Std[Player],0),20)</f>
        <v>157.7297799479926</v>
      </c>
      <c r="J189">
        <f>_xlfn.RANK.EQ(F[[#This Row],[Value]],F[Value])</f>
        <v>200</v>
      </c>
      <c r="K189" s="10">
        <f>F[[#This Row],[Value]]-_xlfn.XLOOKUP($G$497,F[Value Rk],F[Value],,-1)</f>
        <v>-241.68405867775402</v>
      </c>
    </row>
    <row r="190" spans="1:11" ht="15.75" thickBot="1" x14ac:dyDescent="0.3">
      <c r="A190" s="108" t="s">
        <v>698</v>
      </c>
      <c r="B190" s="105">
        <v>28</v>
      </c>
      <c r="C190" s="104" t="s">
        <v>102</v>
      </c>
      <c r="D190" s="57"/>
      <c r="E190" s="57"/>
      <c r="F190" s="2" t="s">
        <v>5</v>
      </c>
      <c r="I190" s="10">
        <f>INDEX(Std[],MATCH(F[[#This Row],[Player]],Std[Player],0),20)</f>
        <v>100.41437671581815</v>
      </c>
      <c r="J190">
        <f>_xlfn.RANK.EQ(F[[#This Row],[Value]],F[Value])</f>
        <v>215</v>
      </c>
      <c r="K190" s="10">
        <f>F[[#This Row],[Value]]-_xlfn.XLOOKUP($G$497,F[Value Rk],F[Value],,-1)</f>
        <v>-298.99946190992847</v>
      </c>
    </row>
    <row r="191" spans="1:11" ht="15.75" thickBot="1" x14ac:dyDescent="0.3">
      <c r="A191" s="108" t="s">
        <v>1221</v>
      </c>
      <c r="B191" s="105">
        <v>29</v>
      </c>
      <c r="C191" s="104" t="s">
        <v>102</v>
      </c>
      <c r="D191" s="57"/>
      <c r="E191" s="57"/>
      <c r="F191" s="2" t="s">
        <v>155</v>
      </c>
      <c r="I191" s="10">
        <f>INDEX(Std[],MATCH(F[[#This Row],[Player]],Std[Player],0),20)</f>
        <v>222.65499072653904</v>
      </c>
      <c r="J191">
        <f>_xlfn.RANK.EQ(F[[#This Row],[Value]],F[Value])</f>
        <v>178</v>
      </c>
      <c r="K191" s="10">
        <f>F[[#This Row],[Value]]-_xlfn.XLOOKUP($G$497,F[Value Rk],F[Value],,-1)</f>
        <v>-176.75884789920758</v>
      </c>
    </row>
    <row r="192" spans="1:11" ht="15.75" thickBot="1" x14ac:dyDescent="0.3">
      <c r="A192" s="108" t="s">
        <v>404</v>
      </c>
      <c r="B192" s="105">
        <v>30</v>
      </c>
      <c r="C192" s="104" t="s">
        <v>102</v>
      </c>
      <c r="D192" s="57"/>
      <c r="E192" s="56"/>
      <c r="F192" s="2" t="s">
        <v>153</v>
      </c>
      <c r="I192" s="10">
        <f>INDEX(Std[],MATCH(F[[#This Row],[Player]],Std[Player],0),20)</f>
        <v>92.111092545278183</v>
      </c>
      <c r="J192">
        <f>_xlfn.RANK.EQ(F[[#This Row],[Value]],F[Value])</f>
        <v>218</v>
      </c>
      <c r="K192" s="10">
        <f>F[[#This Row],[Value]]-_xlfn.XLOOKUP($G$497,F[Value Rk],F[Value],,-1)</f>
        <v>-307.30274608046841</v>
      </c>
    </row>
    <row r="193" spans="1:11" ht="15.75" thickBot="1" x14ac:dyDescent="0.3">
      <c r="A193" s="108" t="s">
        <v>558</v>
      </c>
      <c r="D193" s="57"/>
      <c r="E193" s="57"/>
      <c r="F193" s="17"/>
      <c r="I193" s="10">
        <f>INDEX(Std[],MATCH(F[[#This Row],[Player]],Std[Player],0),20)</f>
        <v>101.48891347502489</v>
      </c>
      <c r="J193">
        <f>_xlfn.RANK.EQ(F[[#This Row],[Value]],F[Value])</f>
        <v>214</v>
      </c>
      <c r="K193" s="10">
        <f>F[[#This Row],[Value]]-_xlfn.XLOOKUP($G$497,F[Value Rk],F[Value],,-1)</f>
        <v>-297.92492515072172</v>
      </c>
    </row>
    <row r="194" spans="1:11" ht="15.75" thickBot="1" x14ac:dyDescent="0.3">
      <c r="A194" s="108" t="s">
        <v>416</v>
      </c>
      <c r="B194" s="105">
        <v>25</v>
      </c>
      <c r="C194" s="104" t="s">
        <v>102</v>
      </c>
      <c r="D194" s="57"/>
      <c r="E194" s="56"/>
      <c r="F194" s="2" t="s">
        <v>31</v>
      </c>
      <c r="I194" s="10">
        <f>INDEX(Std[],MATCH(F[[#This Row],[Player]],Std[Player],0),20)</f>
        <v>86.429073361095391</v>
      </c>
      <c r="J194">
        <f>_xlfn.RANK.EQ(F[[#This Row],[Value]],F[Value])</f>
        <v>220</v>
      </c>
      <c r="K194" s="10">
        <f>F[[#This Row],[Value]]-_xlfn.XLOOKUP($G$497,F[Value Rk],F[Value],,-1)</f>
        <v>-312.98476526465123</v>
      </c>
    </row>
    <row r="195" spans="1:11" ht="15.75" thickBot="1" x14ac:dyDescent="0.3">
      <c r="A195" s="108" t="s">
        <v>579</v>
      </c>
      <c r="D195" s="57"/>
      <c r="E195" s="57"/>
      <c r="F195" s="17"/>
      <c r="I195" s="10">
        <f>INDEX(Std[],MATCH(F[[#This Row],[Player]],Std[Player],0),20)</f>
        <v>113.29056450689619</v>
      </c>
      <c r="J195">
        <f>_xlfn.RANK.EQ(F[[#This Row],[Value]],F[Value])</f>
        <v>212</v>
      </c>
      <c r="K195" s="10">
        <f>F[[#This Row],[Value]]-_xlfn.XLOOKUP($G$497,F[Value Rk],F[Value],,-1)</f>
        <v>-286.12327411885042</v>
      </c>
    </row>
    <row r="196" spans="1:11" ht="15.75" thickBot="1" x14ac:dyDescent="0.3">
      <c r="A196" s="108" t="s">
        <v>440</v>
      </c>
      <c r="D196" s="57"/>
      <c r="E196" s="57"/>
      <c r="F196" s="17"/>
      <c r="I196" s="10">
        <f>INDEX(Std[],MATCH(F[[#This Row],[Player]],Std[Player],0),20)</f>
        <v>83.197922512675973</v>
      </c>
      <c r="J196">
        <f>_xlfn.RANK.EQ(F[[#This Row],[Value]],F[Value])</f>
        <v>221</v>
      </c>
      <c r="K196" s="10">
        <f>F[[#This Row],[Value]]-_xlfn.XLOOKUP($G$497,F[Value Rk],F[Value],,-1)</f>
        <v>-316.21591611307065</v>
      </c>
    </row>
    <row r="197" spans="1:11" ht="15.75" thickBot="1" x14ac:dyDescent="0.3">
      <c r="A197" s="108" t="s">
        <v>919</v>
      </c>
      <c r="D197" s="57"/>
      <c r="E197" s="57"/>
      <c r="F197" s="17"/>
      <c r="I197" s="10">
        <f>INDEX(Std[],MATCH(F[[#This Row],[Player]],Std[Player],0),20)</f>
        <v>255.52308898388202</v>
      </c>
      <c r="J197">
        <f>_xlfn.RANK.EQ(F[[#This Row],[Value]],F[Value])</f>
        <v>163</v>
      </c>
      <c r="K197" s="10">
        <f>F[[#This Row],[Value]]-_xlfn.XLOOKUP($G$497,F[Value Rk],F[Value],,-1)</f>
        <v>-143.8907496418646</v>
      </c>
    </row>
    <row r="198" spans="1:11" ht="15.75" thickBot="1" x14ac:dyDescent="0.3">
      <c r="A198" s="108" t="s">
        <v>1218</v>
      </c>
      <c r="D198" s="57"/>
      <c r="E198" s="57"/>
      <c r="F198" s="17"/>
      <c r="I198" s="10">
        <f>INDEX(Std[],MATCH(F[[#This Row],[Player]],Std[Player],0),20)</f>
        <v>204.25853957676759</v>
      </c>
      <c r="J198">
        <f>_xlfn.RANK.EQ(F[[#This Row],[Value]],F[Value])</f>
        <v>182</v>
      </c>
      <c r="K198" s="10">
        <f>F[[#This Row],[Value]]-_xlfn.XLOOKUP($G$497,F[Value Rk],F[Value],,-1)</f>
        <v>-195.15529904897903</v>
      </c>
    </row>
    <row r="199" spans="1:11" ht="15.75" thickBot="1" x14ac:dyDescent="0.3">
      <c r="A199" s="108" t="s">
        <v>628</v>
      </c>
      <c r="D199" s="57"/>
      <c r="E199" s="57"/>
      <c r="F199" s="17"/>
      <c r="I199" s="10">
        <f>INDEX(Std[],MATCH(F[[#This Row],[Player]],Std[Player],0),20)</f>
        <v>79.36982032093205</v>
      </c>
      <c r="J199">
        <f>_xlfn.RANK.EQ(F[[#This Row],[Value]],F[Value])</f>
        <v>223</v>
      </c>
      <c r="K199" s="10">
        <f>F[[#This Row],[Value]]-_xlfn.XLOOKUP($G$497,F[Value Rk],F[Value],,-1)</f>
        <v>-320.04401830481459</v>
      </c>
    </row>
    <row r="200" spans="1:11" ht="15.75" thickBot="1" x14ac:dyDescent="0.3">
      <c r="A200" s="108" t="s">
        <v>772</v>
      </c>
      <c r="D200" s="57"/>
      <c r="E200" s="57"/>
      <c r="F200" s="17"/>
      <c r="I200" s="10">
        <f>INDEX(Std[],MATCH(F[[#This Row],[Player]],Std[Player],0),20)</f>
        <v>240.43819922455492</v>
      </c>
      <c r="J200">
        <f>_xlfn.RANK.EQ(F[[#This Row],[Value]],F[Value])</f>
        <v>168</v>
      </c>
      <c r="K200" s="10">
        <f>F[[#This Row],[Value]]-_xlfn.XLOOKUP($G$497,F[Value Rk],F[Value],,-1)</f>
        <v>-158.9756394011917</v>
      </c>
    </row>
    <row r="201" spans="1:11" ht="15.75" thickBot="1" x14ac:dyDescent="0.3">
      <c r="A201" s="108" t="s">
        <v>497</v>
      </c>
      <c r="D201" s="57"/>
      <c r="E201" s="57"/>
      <c r="F201" s="17"/>
      <c r="I201" s="10">
        <f>INDEX(Std[],MATCH(F[[#This Row],[Player]],Std[Player],0),20)</f>
        <v>98.868007171364098</v>
      </c>
      <c r="J201">
        <f>_xlfn.RANK.EQ(F[[#This Row],[Value]],F[Value])</f>
        <v>216</v>
      </c>
      <c r="K201" s="10">
        <f>F[[#This Row],[Value]]-_xlfn.XLOOKUP($G$497,F[Value Rk],F[Value],,-1)</f>
        <v>-300.54583145438255</v>
      </c>
    </row>
    <row r="202" spans="1:11" ht="15.75" thickBot="1" x14ac:dyDescent="0.3">
      <c r="A202" s="108" t="s">
        <v>1215</v>
      </c>
      <c r="B202" s="103"/>
      <c r="C202" s="59"/>
      <c r="D202" s="57"/>
      <c r="E202" s="56"/>
      <c r="F202" s="17"/>
      <c r="I202" s="10">
        <f>INDEX(Std[],MATCH(F[[#This Row],[Player]],Std[Player],0),20)</f>
        <v>82.268467192247826</v>
      </c>
      <c r="J202">
        <f>_xlfn.RANK.EQ(F[[#This Row],[Value]],F[Value])</f>
        <v>222</v>
      </c>
      <c r="K202" s="10">
        <f>F[[#This Row],[Value]]-_xlfn.XLOOKUP($G$497,F[Value Rk],F[Value],,-1)</f>
        <v>-317.14537143349878</v>
      </c>
    </row>
    <row r="203" spans="1:11" ht="15.75" thickBot="1" x14ac:dyDescent="0.3">
      <c r="A203" s="108" t="s">
        <v>406</v>
      </c>
      <c r="D203" s="57"/>
      <c r="E203" s="57"/>
      <c r="F203" s="17"/>
      <c r="I203" s="10">
        <f>INDEX(Std[],MATCH(F[[#This Row],[Player]],Std[Player],0),20)</f>
        <v>177.97511783329969</v>
      </c>
      <c r="J203">
        <f>_xlfn.RANK.EQ(F[[#This Row],[Value]],F[Value])</f>
        <v>194</v>
      </c>
      <c r="K203" s="10">
        <f>F[[#This Row],[Value]]-_xlfn.XLOOKUP($G$497,F[Value Rk],F[Value],,-1)</f>
        <v>-221.43872079244693</v>
      </c>
    </row>
    <row r="204" spans="1:11" ht="15.75" thickBot="1" x14ac:dyDescent="0.3">
      <c r="A204" s="108" t="s">
        <v>953</v>
      </c>
      <c r="B204" s="103">
        <v>38</v>
      </c>
      <c r="C204" s="59" t="s">
        <v>102</v>
      </c>
      <c r="D204" s="57"/>
      <c r="E204" s="56"/>
      <c r="F204" s="2" t="s">
        <v>10</v>
      </c>
      <c r="I204" s="10">
        <f>INDEX(Std[],MATCH(F[[#This Row],[Player]],Std[Player],0),20)</f>
        <v>319.86731548970278</v>
      </c>
      <c r="J204">
        <f>_xlfn.RANK.EQ(F[[#This Row],[Value]],F[Value])</f>
        <v>141</v>
      </c>
      <c r="K204" s="10">
        <f>F[[#This Row],[Value]]-_xlfn.XLOOKUP($G$497,F[Value Rk],F[Value],,-1)</f>
        <v>-79.546523136043845</v>
      </c>
    </row>
    <row r="205" spans="1:11" ht="15.75" thickBot="1" x14ac:dyDescent="0.3">
      <c r="A205" s="108" t="s">
        <v>853</v>
      </c>
      <c r="B205" s="103">
        <v>33</v>
      </c>
      <c r="C205" s="59" t="s">
        <v>102</v>
      </c>
      <c r="D205" s="57"/>
      <c r="E205" s="56"/>
      <c r="F205" s="2" t="s">
        <v>14</v>
      </c>
      <c r="I205" s="10">
        <f>INDEX(Std[],MATCH(F[[#This Row],[Player]],Std[Player],0),20)</f>
        <v>75.333860071549125</v>
      </c>
      <c r="J205">
        <f>_xlfn.RANK.EQ(F[[#This Row],[Value]],F[Value])</f>
        <v>226</v>
      </c>
      <c r="K205" s="10">
        <f>F[[#This Row],[Value]]-_xlfn.XLOOKUP($G$497,F[Value Rk],F[Value],,-1)</f>
        <v>-324.07997855419751</v>
      </c>
    </row>
    <row r="206" spans="1:11" ht="15.75" thickBot="1" x14ac:dyDescent="0.3">
      <c r="A206" s="108" t="s">
        <v>794</v>
      </c>
      <c r="B206" s="105">
        <v>23</v>
      </c>
      <c r="C206" s="104" t="s">
        <v>102</v>
      </c>
      <c r="D206" s="57"/>
      <c r="E206" s="57"/>
      <c r="F206" s="2" t="s">
        <v>15</v>
      </c>
      <c r="I206" s="10">
        <f>INDEX(Std[],MATCH(F[[#This Row],[Player]],Std[Player],0),20)</f>
        <v>415.95109291082809</v>
      </c>
      <c r="J206">
        <f>_xlfn.RANK.EQ(F[[#This Row],[Value]],F[Value])</f>
        <v>122</v>
      </c>
      <c r="K206" s="10">
        <f>F[[#This Row],[Value]]-_xlfn.XLOOKUP($G$497,F[Value Rk],F[Value],,-1)</f>
        <v>16.537254285081474</v>
      </c>
    </row>
    <row r="207" spans="1:11" ht="15.75" thickBot="1" x14ac:dyDescent="0.3">
      <c r="A207" s="108" t="s">
        <v>581</v>
      </c>
      <c r="D207" s="57"/>
      <c r="E207" s="57"/>
      <c r="F207" s="17"/>
      <c r="I207" s="10">
        <f>INDEX(Std[],MATCH(F[[#This Row],[Player]],Std[Player],0),20)</f>
        <v>294.57375562383248</v>
      </c>
      <c r="J207">
        <f>_xlfn.RANK.EQ(F[[#This Row],[Value]],F[Value])</f>
        <v>150</v>
      </c>
      <c r="K207" s="10">
        <f>F[[#This Row],[Value]]-_xlfn.XLOOKUP($G$497,F[Value Rk],F[Value],,-1)</f>
        <v>-104.84008300191414</v>
      </c>
    </row>
    <row r="208" spans="1:11" ht="15.75" thickBot="1" x14ac:dyDescent="0.3">
      <c r="A208" s="108" t="s">
        <v>502</v>
      </c>
      <c r="D208" s="57"/>
      <c r="E208" s="57"/>
      <c r="F208" s="17"/>
      <c r="I208" s="10">
        <f>INDEX(Std[],MATCH(F[[#This Row],[Player]],Std[Player],0),20)</f>
        <v>59.175753832861488</v>
      </c>
      <c r="J208">
        <f>_xlfn.RANK.EQ(F[[#This Row],[Value]],F[Value])</f>
        <v>232</v>
      </c>
      <c r="K208" s="10">
        <f>F[[#This Row],[Value]]-_xlfn.XLOOKUP($G$497,F[Value Rk],F[Value],,-1)</f>
        <v>-340.23808479288516</v>
      </c>
    </row>
    <row r="209" spans="1:11" ht="15.75" thickBot="1" x14ac:dyDescent="0.3">
      <c r="A209" s="108" t="s">
        <v>435</v>
      </c>
      <c r="B209" s="105">
        <v>30</v>
      </c>
      <c r="C209" s="104" t="s">
        <v>102</v>
      </c>
      <c r="D209" s="57"/>
      <c r="E209" s="57"/>
      <c r="F209" s="17"/>
      <c r="I209" s="10">
        <f>INDEX(Std[],MATCH(F[[#This Row],[Player]],Std[Player],0),20)</f>
        <v>359.46793343806081</v>
      </c>
      <c r="J209">
        <f>_xlfn.RANK.EQ(F[[#This Row],[Value]],F[Value])</f>
        <v>134</v>
      </c>
      <c r="K209" s="10">
        <f>F[[#This Row],[Value]]-_xlfn.XLOOKUP($G$497,F[Value Rk],F[Value],,-1)</f>
        <v>-39.94590518768581</v>
      </c>
    </row>
    <row r="210" spans="1:11" ht="15.75" thickBot="1" x14ac:dyDescent="0.3">
      <c r="A210" s="108" t="s">
        <v>375</v>
      </c>
      <c r="D210" s="57"/>
      <c r="E210" s="57"/>
      <c r="F210" s="17"/>
      <c r="I210" s="10">
        <f>INDEX(Std[],MATCH(F[[#This Row],[Player]],Std[Player],0),20)</f>
        <v>362.18681680556011</v>
      </c>
      <c r="J210">
        <f>_xlfn.RANK.EQ(F[[#This Row],[Value]],F[Value])</f>
        <v>132</v>
      </c>
      <c r="K210" s="10">
        <f>F[[#This Row],[Value]]-_xlfn.XLOOKUP($G$497,F[Value Rk],F[Value],,-1)</f>
        <v>-37.227021820186508</v>
      </c>
    </row>
    <row r="211" spans="1:11" ht="15.75" thickBot="1" x14ac:dyDescent="0.3">
      <c r="A211" s="108" t="s">
        <v>496</v>
      </c>
      <c r="D211" s="57"/>
      <c r="E211" s="57"/>
      <c r="F211" s="17"/>
      <c r="I211" s="10">
        <f>INDEX(Std[],MATCH(F[[#This Row],[Player]],Std[Player],0),20)</f>
        <v>388.1527664635646</v>
      </c>
      <c r="J211">
        <f>_xlfn.RANK.EQ(F[[#This Row],[Value]],F[Value])</f>
        <v>130</v>
      </c>
      <c r="K211" s="10">
        <f>F[[#This Row],[Value]]-_xlfn.XLOOKUP($G$497,F[Value Rk],F[Value],,-1)</f>
        <v>-11.261072162182018</v>
      </c>
    </row>
    <row r="212" spans="1:11" ht="15.75" thickBot="1" x14ac:dyDescent="0.3">
      <c r="A212" s="108" t="s">
        <v>426</v>
      </c>
      <c r="D212" s="57"/>
      <c r="E212" s="57"/>
      <c r="F212" s="17"/>
      <c r="I212" s="10">
        <f>INDEX(Std[],MATCH(F[[#This Row],[Player]],Std[Player],0),20)</f>
        <v>31.928122004553554</v>
      </c>
      <c r="J212">
        <f>_xlfn.RANK.EQ(F[[#This Row],[Value]],F[Value])</f>
        <v>236</v>
      </c>
      <c r="K212" s="10">
        <f>F[[#This Row],[Value]]-_xlfn.XLOOKUP($G$497,F[Value Rk],F[Value],,-1)</f>
        <v>-367.48571662119309</v>
      </c>
    </row>
    <row r="213" spans="1:11" ht="15.75" thickBot="1" x14ac:dyDescent="0.3">
      <c r="A213" s="108" t="s">
        <v>1097</v>
      </c>
      <c r="B213" s="103">
        <v>29</v>
      </c>
      <c r="C213" s="59" t="s">
        <v>102</v>
      </c>
      <c r="D213" s="57"/>
      <c r="E213" s="57"/>
      <c r="F213" s="17"/>
      <c r="I213" s="10">
        <f>INDEX(Std[],MATCH(F[[#This Row],[Player]],Std[Player],0),20)</f>
        <v>185.96754523369719</v>
      </c>
      <c r="J213">
        <f>_xlfn.RANK.EQ(F[[#This Row],[Value]],F[Value])</f>
        <v>188</v>
      </c>
      <c r="K213" s="10">
        <f>F[[#This Row],[Value]]-_xlfn.XLOOKUP($G$497,F[Value Rk],F[Value],,-1)</f>
        <v>-213.44629339204943</v>
      </c>
    </row>
    <row r="214" spans="1:11" ht="15.75" thickBot="1" x14ac:dyDescent="0.3">
      <c r="A214" s="108" t="s">
        <v>460</v>
      </c>
      <c r="D214" s="57"/>
      <c r="E214" s="57"/>
      <c r="F214" s="17"/>
      <c r="I214" s="10">
        <f>INDEX(Std[],MATCH(F[[#This Row],[Player]],Std[Player],0),20)</f>
        <v>61.138631659359419</v>
      </c>
      <c r="J214">
        <f>_xlfn.RANK.EQ(F[[#This Row],[Value]],F[Value])</f>
        <v>230</v>
      </c>
      <c r="K214" s="10">
        <f>F[[#This Row],[Value]]-_xlfn.XLOOKUP($G$497,F[Value Rk],F[Value],,-1)</f>
        <v>-338.2752069663872</v>
      </c>
    </row>
    <row r="215" spans="1:11" ht="15.75" thickBot="1" x14ac:dyDescent="0.3">
      <c r="A215" s="108" t="s">
        <v>510</v>
      </c>
      <c r="B215" s="103">
        <v>24</v>
      </c>
      <c r="C215" s="59" t="s">
        <v>102</v>
      </c>
      <c r="D215" s="57" t="s">
        <v>103</v>
      </c>
      <c r="E215" s="57"/>
      <c r="F215" s="2" t="s">
        <v>10</v>
      </c>
      <c r="I215" s="10">
        <f>INDEX(Std[],MATCH(F[[#This Row],[Player]],Std[Player],0),20)</f>
        <v>35.030564692397348</v>
      </c>
      <c r="J215">
        <f>_xlfn.RANK.EQ(F[[#This Row],[Value]],F[Value])</f>
        <v>235</v>
      </c>
      <c r="K215" s="10">
        <f>F[[#This Row],[Value]]-_xlfn.XLOOKUP($G$497,F[Value Rk],F[Value],,-1)</f>
        <v>-364.3832739333493</v>
      </c>
    </row>
    <row r="216" spans="1:11" ht="15.75" thickBot="1" x14ac:dyDescent="0.3">
      <c r="A216" s="108" t="s">
        <v>883</v>
      </c>
      <c r="B216" s="103">
        <v>25</v>
      </c>
      <c r="C216" s="59" t="s">
        <v>102</v>
      </c>
      <c r="D216" s="57"/>
      <c r="E216" s="57"/>
      <c r="F216" s="2" t="s">
        <v>155</v>
      </c>
      <c r="I216" s="10">
        <f>INDEX(Std[],MATCH(F[[#This Row],[Player]],Std[Player],0),20)</f>
        <v>294.02228993600016</v>
      </c>
      <c r="J216">
        <f>_xlfn.RANK.EQ(F[[#This Row],[Value]],F[Value])</f>
        <v>151</v>
      </c>
      <c r="K216" s="10">
        <f>F[[#This Row],[Value]]-_xlfn.XLOOKUP($G$497,F[Value Rk],F[Value],,-1)</f>
        <v>-105.39154868974646</v>
      </c>
    </row>
    <row r="217" spans="1:11" ht="15.75" thickBot="1" x14ac:dyDescent="0.3">
      <c r="A217" s="108" t="s">
        <v>681</v>
      </c>
      <c r="B217" s="105">
        <v>27</v>
      </c>
      <c r="C217" s="104" t="s">
        <v>102</v>
      </c>
      <c r="D217" s="57"/>
      <c r="E217" s="57"/>
      <c r="F217" s="17"/>
      <c r="I217" s="10">
        <f>INDEX(Std[],MATCH(F[[#This Row],[Player]],Std[Player],0),20)</f>
        <v>260.5758328346372</v>
      </c>
      <c r="J217">
        <f>_xlfn.RANK.EQ(F[[#This Row],[Value]],F[Value])</f>
        <v>161</v>
      </c>
      <c r="K217" s="10">
        <f>F[[#This Row],[Value]]-_xlfn.XLOOKUP($G$497,F[Value Rk],F[Value],,-1)</f>
        <v>-138.83800579110942</v>
      </c>
    </row>
    <row r="218" spans="1:11" ht="15.75" thickBot="1" x14ac:dyDescent="0.3">
      <c r="A218" s="108" t="s">
        <v>860</v>
      </c>
      <c r="D218" s="57"/>
      <c r="E218" s="57"/>
      <c r="F218" s="17"/>
      <c r="I218" s="10">
        <f>INDEX(Std[],MATCH(F[[#This Row],[Player]],Std[Player],0),20)</f>
        <v>28.427285048514918</v>
      </c>
      <c r="J218">
        <f>_xlfn.RANK.EQ(F[[#This Row],[Value]],F[Value])</f>
        <v>238</v>
      </c>
      <c r="K218" s="10">
        <f>F[[#This Row],[Value]]-_xlfn.XLOOKUP($G$497,F[Value Rk],F[Value],,-1)</f>
        <v>-370.98655357723169</v>
      </c>
    </row>
    <row r="219" spans="1:11" ht="15.75" thickBot="1" x14ac:dyDescent="0.3">
      <c r="A219" s="108" t="s">
        <v>856</v>
      </c>
      <c r="D219" s="57"/>
      <c r="E219" s="57"/>
      <c r="F219" s="17"/>
      <c r="I219" s="10">
        <f>INDEX(Std[],MATCH(F[[#This Row],[Player]],Std[Player],0),20)</f>
        <v>185.88070897195172</v>
      </c>
      <c r="J219">
        <f>_xlfn.RANK.EQ(F[[#This Row],[Value]],F[Value])</f>
        <v>189</v>
      </c>
      <c r="K219" s="10">
        <f>F[[#This Row],[Value]]-_xlfn.XLOOKUP($G$497,F[Value Rk],F[Value],,-1)</f>
        <v>-213.5331296537949</v>
      </c>
    </row>
    <row r="220" spans="1:11" ht="15.75" thickBot="1" x14ac:dyDescent="0.3">
      <c r="A220" s="108" t="s">
        <v>930</v>
      </c>
      <c r="D220" s="57"/>
      <c r="E220" s="57"/>
      <c r="F220" s="17"/>
      <c r="I220" s="10">
        <f>INDEX(Std[],MATCH(F[[#This Row],[Player]],Std[Player],0),20)</f>
        <v>9.1665377501489296</v>
      </c>
      <c r="J220">
        <f>_xlfn.RANK.EQ(F[[#This Row],[Value]],F[Value])</f>
        <v>242</v>
      </c>
      <c r="K220" s="10">
        <f>F[[#This Row],[Value]]-_xlfn.XLOOKUP($G$497,F[Value Rk],F[Value],,-1)</f>
        <v>-390.24730087559772</v>
      </c>
    </row>
    <row r="221" spans="1:11" ht="15.75" thickBot="1" x14ac:dyDescent="0.3">
      <c r="A221" s="108" t="s">
        <v>562</v>
      </c>
      <c r="B221" s="103"/>
      <c r="C221" s="59"/>
      <c r="D221" s="57"/>
      <c r="E221" s="56"/>
      <c r="F221" s="17"/>
      <c r="I221" s="10">
        <f>INDEX(Std[],MATCH(F[[#This Row],[Player]],Std[Player],0),20)</f>
        <v>233.07304492236568</v>
      </c>
      <c r="J221">
        <f>_xlfn.RANK.EQ(F[[#This Row],[Value]],F[Value])</f>
        <v>172</v>
      </c>
      <c r="K221" s="10">
        <f>F[[#This Row],[Value]]-_xlfn.XLOOKUP($G$497,F[Value Rk],F[Value],,-1)</f>
        <v>-166.34079370338094</v>
      </c>
    </row>
    <row r="222" spans="1:11" ht="15.75" thickBot="1" x14ac:dyDescent="0.3">
      <c r="A222" s="108" t="s">
        <v>1041</v>
      </c>
      <c r="D222" s="57"/>
      <c r="E222" s="57"/>
      <c r="F222" s="17"/>
      <c r="I222" s="10">
        <f>INDEX(Std[],MATCH(F[[#This Row],[Player]],Std[Player],0),20)</f>
        <v>30.364904452457164</v>
      </c>
      <c r="J222">
        <f>_xlfn.RANK.EQ(F[[#This Row],[Value]],F[Value])</f>
        <v>237</v>
      </c>
      <c r="K222" s="10">
        <f>F[[#This Row],[Value]]-_xlfn.XLOOKUP($G$497,F[Value Rk],F[Value],,-1)</f>
        <v>-369.04893417328947</v>
      </c>
    </row>
    <row r="223" spans="1:11" ht="15.75" thickBot="1" x14ac:dyDescent="0.3">
      <c r="A223" s="108" t="s">
        <v>747</v>
      </c>
      <c r="B223" s="103">
        <v>25</v>
      </c>
      <c r="C223" s="59" t="s">
        <v>102</v>
      </c>
      <c r="D223" s="57"/>
      <c r="E223" s="56"/>
      <c r="F223" s="2" t="s">
        <v>4</v>
      </c>
      <c r="I223" s="10">
        <f>INDEX(Std[],MATCH(F[[#This Row],[Player]],Std[Player],0),20)</f>
        <v>63.29087227005801</v>
      </c>
      <c r="J223">
        <f>_xlfn.RANK.EQ(F[[#This Row],[Value]],F[Value])</f>
        <v>228</v>
      </c>
      <c r="K223" s="10">
        <f>F[[#This Row],[Value]]-_xlfn.XLOOKUP($G$497,F[Value Rk],F[Value],,-1)</f>
        <v>-336.12296635568862</v>
      </c>
    </row>
    <row r="224" spans="1:11" ht="15.75" thickBot="1" x14ac:dyDescent="0.3">
      <c r="A224" s="108" t="s">
        <v>717</v>
      </c>
      <c r="B224" s="105">
        <v>25</v>
      </c>
      <c r="C224" s="104" t="s">
        <v>102</v>
      </c>
      <c r="D224" s="57"/>
      <c r="E224" s="57"/>
      <c r="F224" s="2" t="s">
        <v>156</v>
      </c>
      <c r="I224" s="10">
        <f>INDEX(Std[],MATCH(F[[#This Row],[Player]],Std[Player],0),20)</f>
        <v>8.0505700593059277</v>
      </c>
      <c r="J224">
        <f>_xlfn.RANK.EQ(F[[#This Row],[Value]],F[Value])</f>
        <v>244</v>
      </c>
      <c r="K224" s="10">
        <f>F[[#This Row],[Value]]-_xlfn.XLOOKUP($G$497,F[Value Rk],F[Value],,-1)</f>
        <v>-391.36326856644069</v>
      </c>
    </row>
    <row r="225" spans="1:11" ht="15.75" thickBot="1" x14ac:dyDescent="0.3">
      <c r="A225" s="108" t="s">
        <v>526</v>
      </c>
      <c r="D225" s="57"/>
      <c r="E225" s="57"/>
      <c r="F225" s="17"/>
      <c r="I225" s="10">
        <f>INDEX(Std[],MATCH(F[[#This Row],[Player]],Std[Player],0),20)</f>
        <v>-7.2145322488648134E-2</v>
      </c>
      <c r="J225">
        <f>_xlfn.RANK.EQ(F[[#This Row],[Value]],F[Value])</f>
        <v>249</v>
      </c>
      <c r="K225" s="10">
        <f>F[[#This Row],[Value]]-_xlfn.XLOOKUP($G$497,F[Value Rk],F[Value],,-1)</f>
        <v>-399.48598394823529</v>
      </c>
    </row>
    <row r="226" spans="1:11" ht="15.75" thickBot="1" x14ac:dyDescent="0.3">
      <c r="A226" s="108" t="s">
        <v>787</v>
      </c>
      <c r="D226" s="57"/>
      <c r="E226" s="57"/>
      <c r="F226" s="17"/>
      <c r="I226" s="10">
        <f>INDEX(Std[],MATCH(F[[#This Row],[Player]],Std[Player],0),20)</f>
        <v>-8.4668625754848144</v>
      </c>
      <c r="J226">
        <f>_xlfn.RANK.EQ(F[[#This Row],[Value]],F[Value])</f>
        <v>250</v>
      </c>
      <c r="K226" s="10">
        <f>F[[#This Row],[Value]]-_xlfn.XLOOKUP($G$497,F[Value Rk],F[Value],,-1)</f>
        <v>-407.88070120123143</v>
      </c>
    </row>
    <row r="227" spans="1:11" ht="15.75" thickBot="1" x14ac:dyDescent="0.3">
      <c r="A227" s="108" t="s">
        <v>533</v>
      </c>
      <c r="D227" s="57"/>
      <c r="E227" s="57"/>
      <c r="F227" s="17"/>
      <c r="I227" s="10">
        <f>INDEX(Std[],MATCH(F[[#This Row],[Player]],Std[Player],0),20)</f>
        <v>229.6536142979717</v>
      </c>
      <c r="J227">
        <f>_xlfn.RANK.EQ(F[[#This Row],[Value]],F[Value])</f>
        <v>175</v>
      </c>
      <c r="K227" s="10">
        <f>F[[#This Row],[Value]]-_xlfn.XLOOKUP($G$497,F[Value Rk],F[Value],,-1)</f>
        <v>-169.76022432777492</v>
      </c>
    </row>
    <row r="228" spans="1:11" ht="15.75" thickBot="1" x14ac:dyDescent="0.3">
      <c r="A228" s="108" t="s">
        <v>685</v>
      </c>
      <c r="D228" s="57"/>
      <c r="E228" s="57"/>
      <c r="F228" s="17"/>
      <c r="I228" s="10">
        <f>INDEX(Std[],MATCH(F[[#This Row],[Player]],Std[Player],0),20)</f>
        <v>310.50485347995567</v>
      </c>
      <c r="J228">
        <f>_xlfn.RANK.EQ(F[[#This Row],[Value]],F[Value])</f>
        <v>146</v>
      </c>
      <c r="K228" s="10">
        <f>F[[#This Row],[Value]]-_xlfn.XLOOKUP($G$497,F[Value Rk],F[Value],,-1)</f>
        <v>-88.90898514579095</v>
      </c>
    </row>
    <row r="229" spans="1:11" ht="15.75" thickBot="1" x14ac:dyDescent="0.3">
      <c r="A229" s="108" t="s">
        <v>1109</v>
      </c>
      <c r="D229" s="57"/>
      <c r="E229" s="57"/>
      <c r="F229" s="17"/>
      <c r="I229" s="10">
        <f>INDEX(Std[],MATCH(F[[#This Row],[Player]],Std[Player],0),20)</f>
        <v>2.8100992920597645</v>
      </c>
      <c r="J229">
        <f>_xlfn.RANK.EQ(F[[#This Row],[Value]],F[Value])</f>
        <v>247</v>
      </c>
      <c r="K229" s="10">
        <f>F[[#This Row],[Value]]-_xlfn.XLOOKUP($G$497,F[Value Rk],F[Value],,-1)</f>
        <v>-396.60373933368686</v>
      </c>
    </row>
    <row r="230" spans="1:11" ht="15.75" thickBot="1" x14ac:dyDescent="0.3">
      <c r="A230" s="108" t="s">
        <v>771</v>
      </c>
      <c r="D230" s="57"/>
      <c r="E230" s="57"/>
      <c r="F230" s="17"/>
      <c r="I230" s="10">
        <f>INDEX(Std[],MATCH(F[[#This Row],[Player]],Std[Player],0),20)</f>
        <v>255.32528214654769</v>
      </c>
      <c r="J230">
        <f>_xlfn.RANK.EQ(F[[#This Row],[Value]],F[Value])</f>
        <v>164</v>
      </c>
      <c r="K230" s="10">
        <f>F[[#This Row],[Value]]-_xlfn.XLOOKUP($G$497,F[Value Rk],F[Value],,-1)</f>
        <v>-144.08855647919893</v>
      </c>
    </row>
    <row r="231" spans="1:11" ht="15.75" thickBot="1" x14ac:dyDescent="0.3">
      <c r="A231" s="108" t="s">
        <v>576</v>
      </c>
      <c r="D231" s="57"/>
      <c r="E231" s="57"/>
      <c r="F231" s="17"/>
      <c r="I231" s="10">
        <f>INDEX(Std[],MATCH(F[[#This Row],[Player]],Std[Player],0),20)</f>
        <v>-10.535193329737384</v>
      </c>
      <c r="J231">
        <f>_xlfn.RANK.EQ(F[[#This Row],[Value]],F[Value])</f>
        <v>253</v>
      </c>
      <c r="K231" s="10">
        <f>F[[#This Row],[Value]]-_xlfn.XLOOKUP($G$497,F[Value Rk],F[Value],,-1)</f>
        <v>-409.94903195548403</v>
      </c>
    </row>
    <row r="232" spans="1:11" ht="15.75" thickBot="1" x14ac:dyDescent="0.3">
      <c r="A232" s="108" t="s">
        <v>1254</v>
      </c>
      <c r="D232" s="57"/>
      <c r="E232" s="57"/>
      <c r="F232" s="17"/>
      <c r="I232" s="10">
        <f>INDEX(Std[],MATCH(F[[#This Row],[Player]],Std[Player],0),20)</f>
        <v>59.302504819277125</v>
      </c>
      <c r="J232">
        <f>_xlfn.RANK.EQ(F[[#This Row],[Value]],F[Value])</f>
        <v>231</v>
      </c>
      <c r="K232" s="10">
        <f>F[[#This Row],[Value]]-_xlfn.XLOOKUP($G$497,F[Value Rk],F[Value],,-1)</f>
        <v>-340.11133380646947</v>
      </c>
    </row>
    <row r="233" spans="1:11" ht="15.75" thickBot="1" x14ac:dyDescent="0.3">
      <c r="A233" s="108" t="s">
        <v>1166</v>
      </c>
      <c r="D233" s="57"/>
      <c r="E233" s="57"/>
      <c r="F233" s="17"/>
      <c r="I233" s="10">
        <f>INDEX(Std[],MATCH(F[[#This Row],[Player]],Std[Player],0),20)</f>
        <v>-18.946069250353791</v>
      </c>
      <c r="J233">
        <f>_xlfn.RANK.EQ(F[[#This Row],[Value]],F[Value])</f>
        <v>254</v>
      </c>
      <c r="K233" s="10">
        <f>F[[#This Row],[Value]]-_xlfn.XLOOKUP($G$497,F[Value Rk],F[Value],,-1)</f>
        <v>-418.35990787610041</v>
      </c>
    </row>
    <row r="234" spans="1:11" ht="15.75" thickBot="1" x14ac:dyDescent="0.3">
      <c r="A234" s="108" t="s">
        <v>1043</v>
      </c>
      <c r="D234" s="57"/>
      <c r="E234" s="57"/>
      <c r="F234" s="17"/>
      <c r="I234" s="10">
        <f>INDEX(Std[],MATCH(F[[#This Row],[Player]],Std[Player],0),20)</f>
        <v>75.4747459474832</v>
      </c>
      <c r="J234">
        <f>_xlfn.RANK.EQ(F[[#This Row],[Value]],F[Value])</f>
        <v>225</v>
      </c>
      <c r="K234" s="10">
        <f>F[[#This Row],[Value]]-_xlfn.XLOOKUP($G$497,F[Value Rk],F[Value],,-1)</f>
        <v>-323.93909267826342</v>
      </c>
    </row>
    <row r="235" spans="1:11" ht="15.75" thickBot="1" x14ac:dyDescent="0.3">
      <c r="A235" s="108" t="s">
        <v>505</v>
      </c>
      <c r="D235" s="57"/>
      <c r="E235" s="57"/>
      <c r="F235" s="17"/>
      <c r="I235" s="10">
        <f>INDEX(Std[],MATCH(F[[#This Row],[Player]],Std[Player],0),20)</f>
        <v>172.78010185289412</v>
      </c>
      <c r="J235">
        <f>_xlfn.RANK.EQ(F[[#This Row],[Value]],F[Value])</f>
        <v>195</v>
      </c>
      <c r="K235" s="10">
        <f>F[[#This Row],[Value]]-_xlfn.XLOOKUP($G$497,F[Value Rk],F[Value],,-1)</f>
        <v>-226.6337367728525</v>
      </c>
    </row>
    <row r="236" spans="1:11" ht="15.75" thickBot="1" x14ac:dyDescent="0.3">
      <c r="A236" s="108" t="s">
        <v>456</v>
      </c>
      <c r="B236" s="103">
        <v>29</v>
      </c>
      <c r="C236" s="59" t="s">
        <v>102</v>
      </c>
      <c r="D236" s="57"/>
      <c r="E236" s="57"/>
      <c r="F236" s="2" t="s">
        <v>21</v>
      </c>
      <c r="I236" s="10">
        <f>INDEX(Std[],MATCH(F[[#This Row],[Player]],Std[Player],0),20)</f>
        <v>-45.714034596822984</v>
      </c>
      <c r="J236">
        <f>_xlfn.RANK.EQ(F[[#This Row],[Value]],F[Value])</f>
        <v>260</v>
      </c>
      <c r="K236" s="10">
        <f>F[[#This Row],[Value]]-_xlfn.XLOOKUP($G$497,F[Value Rk],F[Value],,-1)</f>
        <v>-445.12787322256963</v>
      </c>
    </row>
    <row r="237" spans="1:11" ht="15.75" thickBot="1" x14ac:dyDescent="0.3">
      <c r="A237" s="108" t="s">
        <v>774</v>
      </c>
      <c r="D237" s="57"/>
      <c r="E237" s="57"/>
      <c r="F237" s="17"/>
      <c r="I237" s="10">
        <f>INDEX(Std[],MATCH(F[[#This Row],[Player]],Std[Player],0),20)</f>
        <v>159.6236775199317</v>
      </c>
      <c r="J237">
        <f>_xlfn.RANK.EQ(F[[#This Row],[Value]],F[Value])</f>
        <v>199</v>
      </c>
      <c r="K237" s="10">
        <f>F[[#This Row],[Value]]-_xlfn.XLOOKUP($G$497,F[Value Rk],F[Value],,-1)</f>
        <v>-239.79016110581492</v>
      </c>
    </row>
    <row r="238" spans="1:11" ht="15.75" thickBot="1" x14ac:dyDescent="0.3">
      <c r="A238" s="108" t="s">
        <v>816</v>
      </c>
      <c r="D238" s="57"/>
      <c r="E238" s="57"/>
      <c r="F238" s="17"/>
      <c r="I238" s="10">
        <f>INDEX(Std[],MATCH(F[[#This Row],[Player]],Std[Player],0),20)</f>
        <v>-49.822250593105721</v>
      </c>
      <c r="J238">
        <f>_xlfn.RANK.EQ(F[[#This Row],[Value]],F[Value])</f>
        <v>265</v>
      </c>
      <c r="K238" s="10">
        <f>F[[#This Row],[Value]]-_xlfn.XLOOKUP($G$497,F[Value Rk],F[Value],,-1)</f>
        <v>-449.23608921885233</v>
      </c>
    </row>
    <row r="239" spans="1:11" ht="15.75" thickBot="1" x14ac:dyDescent="0.3">
      <c r="A239" s="108" t="s">
        <v>555</v>
      </c>
      <c r="D239" s="57"/>
      <c r="E239" s="57"/>
      <c r="F239" s="17"/>
      <c r="I239" s="10">
        <f>INDEX(Std[],MATCH(F[[#This Row],[Player]],Std[Player],0),20)</f>
        <v>-52.84353989141146</v>
      </c>
      <c r="J239">
        <f>_xlfn.RANK.EQ(F[[#This Row],[Value]],F[Value])</f>
        <v>268</v>
      </c>
      <c r="K239" s="10">
        <f>F[[#This Row],[Value]]-_xlfn.XLOOKUP($G$497,F[Value Rk],F[Value],,-1)</f>
        <v>-452.25737851715809</v>
      </c>
    </row>
    <row r="240" spans="1:11" ht="15.75" thickBot="1" x14ac:dyDescent="0.3">
      <c r="A240" s="108" t="s">
        <v>613</v>
      </c>
      <c r="D240" s="57"/>
      <c r="E240" s="57"/>
      <c r="F240" s="17"/>
      <c r="I240" s="10">
        <f>INDEX(Std[],MATCH(F[[#This Row],[Player]],Std[Player],0),20)</f>
        <v>150.33081178610152</v>
      </c>
      <c r="J240">
        <f>_xlfn.RANK.EQ(F[[#This Row],[Value]],F[Value])</f>
        <v>204</v>
      </c>
      <c r="K240" s="10">
        <f>F[[#This Row],[Value]]-_xlfn.XLOOKUP($G$497,F[Value Rk],F[Value],,-1)</f>
        <v>-249.0830268396451</v>
      </c>
    </row>
    <row r="241" spans="1:11" ht="15.75" thickBot="1" x14ac:dyDescent="0.3">
      <c r="A241" s="108" t="s">
        <v>769</v>
      </c>
      <c r="D241" s="57"/>
      <c r="E241" s="57"/>
      <c r="F241" s="17"/>
      <c r="I241" s="10">
        <f>INDEX(Std[],MATCH(F[[#This Row],[Player]],Std[Player],0),20)</f>
        <v>-47.515123374327132</v>
      </c>
      <c r="J241">
        <f>_xlfn.RANK.EQ(F[[#This Row],[Value]],F[Value])</f>
        <v>263</v>
      </c>
      <c r="K241" s="10">
        <f>F[[#This Row],[Value]]-_xlfn.XLOOKUP($G$497,F[Value Rk],F[Value],,-1)</f>
        <v>-446.92896200007374</v>
      </c>
    </row>
    <row r="242" spans="1:11" ht="15.75" thickBot="1" x14ac:dyDescent="0.3">
      <c r="A242" s="108" t="s">
        <v>486</v>
      </c>
      <c r="D242" s="57"/>
      <c r="E242" s="57"/>
      <c r="F242" s="17"/>
      <c r="I242" s="10">
        <f>INDEX(Std[],MATCH(F[[#This Row],[Player]],Std[Player],0),20)</f>
        <v>-8.9210228228900679</v>
      </c>
      <c r="J242">
        <f>_xlfn.RANK.EQ(F[[#This Row],[Value]],F[Value])</f>
        <v>251</v>
      </c>
      <c r="K242" s="10">
        <f>F[[#This Row],[Value]]-_xlfn.XLOOKUP($G$497,F[Value Rk],F[Value],,-1)</f>
        <v>-408.33486144863667</v>
      </c>
    </row>
    <row r="243" spans="1:11" ht="15.75" thickBot="1" x14ac:dyDescent="0.3">
      <c r="A243" s="108" t="s">
        <v>728</v>
      </c>
      <c r="D243" s="57"/>
      <c r="E243" s="57"/>
      <c r="F243" s="17"/>
      <c r="I243" s="10">
        <f>INDEX(Std[],MATCH(F[[#This Row],[Player]],Std[Player],0),20)</f>
        <v>-46.30118682330373</v>
      </c>
      <c r="J243">
        <f>_xlfn.RANK.EQ(F[[#This Row],[Value]],F[Value])</f>
        <v>261</v>
      </c>
      <c r="K243" s="10">
        <f>F[[#This Row],[Value]]-_xlfn.XLOOKUP($G$497,F[Value Rk],F[Value],,-1)</f>
        <v>-445.71502544905036</v>
      </c>
    </row>
    <row r="244" spans="1:11" ht="15.75" thickBot="1" x14ac:dyDescent="0.3">
      <c r="A244" s="108" t="s">
        <v>1211</v>
      </c>
      <c r="D244" s="57"/>
      <c r="E244" s="57"/>
      <c r="F244" s="17"/>
      <c r="I244" s="10">
        <f>INDEX(Std[],MATCH(F[[#This Row],[Player]],Std[Player],0),20)</f>
        <v>-36.825578549054342</v>
      </c>
      <c r="J244">
        <f>_xlfn.RANK.EQ(F[[#This Row],[Value]],F[Value])</f>
        <v>258</v>
      </c>
      <c r="K244" s="10">
        <f>F[[#This Row],[Value]]-_xlfn.XLOOKUP($G$497,F[Value Rk],F[Value],,-1)</f>
        <v>-436.23941717480096</v>
      </c>
    </row>
    <row r="245" spans="1:11" ht="15.75" thickBot="1" x14ac:dyDescent="0.3">
      <c r="A245" s="108" t="s">
        <v>914</v>
      </c>
      <c r="D245" s="57"/>
      <c r="E245" s="57"/>
      <c r="F245" s="17"/>
      <c r="I245" s="10">
        <f>INDEX(Std[],MATCH(F[[#This Row],[Player]],Std[Player],0),20)</f>
        <v>96.167033521140425</v>
      </c>
      <c r="J245">
        <f>_xlfn.RANK.EQ(F[[#This Row],[Value]],F[Value])</f>
        <v>217</v>
      </c>
      <c r="K245" s="10">
        <f>F[[#This Row],[Value]]-_xlfn.XLOOKUP($G$497,F[Value Rk],F[Value],,-1)</f>
        <v>-303.24680510460621</v>
      </c>
    </row>
    <row r="246" spans="1:11" ht="15.75" thickBot="1" x14ac:dyDescent="0.3">
      <c r="A246" s="108" t="s">
        <v>679</v>
      </c>
      <c r="B246" s="105">
        <v>22</v>
      </c>
      <c r="C246" s="104" t="s">
        <v>102</v>
      </c>
      <c r="D246" s="57"/>
      <c r="E246" s="57"/>
      <c r="F246" s="2" t="s">
        <v>23</v>
      </c>
      <c r="I246" s="10">
        <f>INDEX(Std[],MATCH(F[[#This Row],[Player]],Std[Player],0),20)</f>
        <v>75.770442572301093</v>
      </c>
      <c r="J246">
        <f>_xlfn.RANK.EQ(F[[#This Row],[Value]],F[Value])</f>
        <v>224</v>
      </c>
      <c r="K246" s="10">
        <f>F[[#This Row],[Value]]-_xlfn.XLOOKUP($G$497,F[Value Rk],F[Value],,-1)</f>
        <v>-323.64339605344554</v>
      </c>
    </row>
    <row r="247" spans="1:11" ht="15.75" thickBot="1" x14ac:dyDescent="0.3">
      <c r="A247" s="108" t="s">
        <v>704</v>
      </c>
      <c r="D247" s="57"/>
      <c r="E247" s="57"/>
      <c r="F247" s="17"/>
      <c r="I247" s="10">
        <f>INDEX(Std[],MATCH(F[[#This Row],[Player]],Std[Player],0),20)</f>
        <v>19.289060794115262</v>
      </c>
      <c r="J247">
        <f>_xlfn.RANK.EQ(F[[#This Row],[Value]],F[Value])</f>
        <v>240</v>
      </c>
      <c r="K247" s="10">
        <f>F[[#This Row],[Value]]-_xlfn.XLOOKUP($G$497,F[Value Rk],F[Value],,-1)</f>
        <v>-380.12477783163138</v>
      </c>
    </row>
    <row r="248" spans="1:11" ht="15.75" thickBot="1" x14ac:dyDescent="0.3">
      <c r="A248" s="108" t="s">
        <v>300</v>
      </c>
      <c r="D248" s="57"/>
      <c r="E248" s="57"/>
      <c r="F248" s="17"/>
      <c r="I248" s="10">
        <f>INDEX(Std[],MATCH(F[[#This Row],[Player]],Std[Player],0),20)</f>
        <v>-51.283480275288404</v>
      </c>
      <c r="J248">
        <f>_xlfn.RANK.EQ(F[[#This Row],[Value]],F[Value])</f>
        <v>267</v>
      </c>
      <c r="K248" s="10">
        <f>F[[#This Row],[Value]]-_xlfn.XLOOKUP($G$497,F[Value Rk],F[Value],,-1)</f>
        <v>-450.69731890103503</v>
      </c>
    </row>
    <row r="249" spans="1:11" ht="15.75" thickBot="1" x14ac:dyDescent="0.3">
      <c r="A249" s="108" t="s">
        <v>979</v>
      </c>
      <c r="D249" s="57"/>
      <c r="E249" s="57"/>
      <c r="F249" s="17"/>
      <c r="I249" s="10">
        <f>INDEX(Std[],MATCH(F[[#This Row],[Player]],Std[Player],0),20)</f>
        <v>-67.97832303789032</v>
      </c>
      <c r="J249">
        <f>_xlfn.RANK.EQ(F[[#This Row],[Value]],F[Value])</f>
        <v>274</v>
      </c>
      <c r="K249" s="10">
        <f>F[[#This Row],[Value]]-_xlfn.XLOOKUP($G$497,F[Value Rk],F[Value],,-1)</f>
        <v>-467.39216166363695</v>
      </c>
    </row>
    <row r="250" spans="1:11" ht="15.75" thickBot="1" x14ac:dyDescent="0.3">
      <c r="A250" s="108" t="s">
        <v>525</v>
      </c>
      <c r="D250" s="57"/>
      <c r="E250" s="57"/>
      <c r="F250" s="17"/>
      <c r="I250" s="10">
        <f>INDEX(Std[],MATCH(F[[#This Row],[Player]],Std[Player],0),20)</f>
        <v>-86.830862663216763</v>
      </c>
      <c r="J250">
        <f>_xlfn.RANK.EQ(F[[#This Row],[Value]],F[Value])</f>
        <v>283</v>
      </c>
      <c r="K250" s="10">
        <f>F[[#This Row],[Value]]-_xlfn.XLOOKUP($G$497,F[Value Rk],F[Value],,-1)</f>
        <v>-486.24470128896337</v>
      </c>
    </row>
    <row r="251" spans="1:11" ht="15.75" thickBot="1" x14ac:dyDescent="0.3">
      <c r="A251" s="108" t="s">
        <v>767</v>
      </c>
      <c r="D251" s="57"/>
      <c r="E251" s="57"/>
      <c r="F251" s="17"/>
      <c r="I251" s="10">
        <f>INDEX(Std[],MATCH(F[[#This Row],[Player]],Std[Player],0),20)</f>
        <v>-23.245421133124843</v>
      </c>
      <c r="J251">
        <f>_xlfn.RANK.EQ(F[[#This Row],[Value]],F[Value])</f>
        <v>255</v>
      </c>
      <c r="K251" s="10">
        <f>F[[#This Row],[Value]]-_xlfn.XLOOKUP($G$497,F[Value Rk],F[Value],,-1)</f>
        <v>-422.65925975887149</v>
      </c>
    </row>
    <row r="252" spans="1:11" ht="15.75" thickBot="1" x14ac:dyDescent="0.3">
      <c r="A252" s="108" t="s">
        <v>517</v>
      </c>
      <c r="D252" s="57"/>
      <c r="E252" s="57"/>
      <c r="F252" s="17"/>
      <c r="I252" s="10">
        <f>INDEX(Std[],MATCH(F[[#This Row],[Player]],Std[Player],0),20)</f>
        <v>-94.559956274901012</v>
      </c>
      <c r="J252">
        <f>_xlfn.RANK.EQ(F[[#This Row],[Value]],F[Value])</f>
        <v>286</v>
      </c>
      <c r="K252" s="10">
        <f>F[[#This Row],[Value]]-_xlfn.XLOOKUP($G$497,F[Value Rk],F[Value],,-1)</f>
        <v>-493.97379490064765</v>
      </c>
    </row>
    <row r="253" spans="1:11" ht="15.75" thickBot="1" x14ac:dyDescent="0.3">
      <c r="A253" s="108" t="s">
        <v>1015</v>
      </c>
      <c r="D253" s="57"/>
      <c r="E253" s="57"/>
      <c r="F253" s="17"/>
      <c r="I253" s="10">
        <f>INDEX(Std[],MATCH(F[[#This Row],[Player]],Std[Player],0),20)</f>
        <v>-71.35449910913907</v>
      </c>
      <c r="J253">
        <f>_xlfn.RANK.EQ(F[[#This Row],[Value]],F[Value])</f>
        <v>275</v>
      </c>
      <c r="K253" s="10">
        <f>F[[#This Row],[Value]]-_xlfn.XLOOKUP($G$497,F[Value Rk],F[Value],,-1)</f>
        <v>-470.76833773488568</v>
      </c>
    </row>
    <row r="254" spans="1:11" ht="15.75" thickBot="1" x14ac:dyDescent="0.3">
      <c r="A254" s="108" t="s">
        <v>817</v>
      </c>
      <c r="B254" s="105">
        <v>24</v>
      </c>
      <c r="C254" s="104" t="s">
        <v>102</v>
      </c>
      <c r="D254" s="57"/>
      <c r="E254" s="57"/>
      <c r="F254" s="2" t="s">
        <v>87</v>
      </c>
      <c r="I254" s="10">
        <f>INDEX(Std[],MATCH(F[[#This Row],[Player]],Std[Player],0),20)</f>
        <v>-90.98026991218336</v>
      </c>
      <c r="J254">
        <f>_xlfn.RANK.EQ(F[[#This Row],[Value]],F[Value])</f>
        <v>284</v>
      </c>
      <c r="K254" s="10">
        <f>F[[#This Row],[Value]]-_xlfn.XLOOKUP($G$497,F[Value Rk],F[Value],,-1)</f>
        <v>-490.39410853792998</v>
      </c>
    </row>
    <row r="255" spans="1:11" ht="15.75" thickBot="1" x14ac:dyDescent="0.3">
      <c r="A255" s="108" t="s">
        <v>1210</v>
      </c>
      <c r="D255" s="57"/>
      <c r="E255" s="57"/>
      <c r="F255" s="17"/>
      <c r="I255" s="10">
        <f>INDEX(Std[],MATCH(F[[#This Row],[Player]],Std[Player],0),20)</f>
        <v>-84.948034008593936</v>
      </c>
      <c r="J255">
        <f>_xlfn.RANK.EQ(F[[#This Row],[Value]],F[Value])</f>
        <v>281</v>
      </c>
      <c r="K255" s="10">
        <f>F[[#This Row],[Value]]-_xlfn.XLOOKUP($G$497,F[Value Rk],F[Value],,-1)</f>
        <v>-484.36187263434056</v>
      </c>
    </row>
    <row r="256" spans="1:11" ht="15.75" thickBot="1" x14ac:dyDescent="0.3">
      <c r="A256" s="108" t="s">
        <v>1117</v>
      </c>
      <c r="D256" s="57"/>
      <c r="E256" s="57"/>
      <c r="F256" s="17"/>
      <c r="I256" s="10">
        <f>INDEX(Std[],MATCH(F[[#This Row],[Player]],Std[Player],0),20)</f>
        <v>-83.156167378650068</v>
      </c>
      <c r="J256">
        <f>_xlfn.RANK.EQ(F[[#This Row],[Value]],F[Value])</f>
        <v>280</v>
      </c>
      <c r="K256" s="10">
        <f>F[[#This Row],[Value]]-_xlfn.XLOOKUP($G$497,F[Value Rk],F[Value],,-1)</f>
        <v>-482.5700060043967</v>
      </c>
    </row>
    <row r="257" spans="1:11" ht="15.75" thickBot="1" x14ac:dyDescent="0.3">
      <c r="A257" s="108" t="s">
        <v>633</v>
      </c>
      <c r="D257" s="57"/>
      <c r="E257" s="57"/>
      <c r="F257" s="17"/>
      <c r="I257" s="10">
        <f>INDEX(Std[],MATCH(F[[#This Row],[Player]],Std[Player],0),20)</f>
        <v>157.05529413628631</v>
      </c>
      <c r="J257">
        <f>_xlfn.RANK.EQ(F[[#This Row],[Value]],F[Value])</f>
        <v>201</v>
      </c>
      <c r="K257" s="10">
        <f>F[[#This Row],[Value]]-_xlfn.XLOOKUP($G$497,F[Value Rk],F[Value],,-1)</f>
        <v>-242.35854448946031</v>
      </c>
    </row>
    <row r="258" spans="1:11" ht="15.75" thickBot="1" x14ac:dyDescent="0.3">
      <c r="A258" s="108" t="s">
        <v>778</v>
      </c>
      <c r="D258" s="57"/>
      <c r="E258" s="57"/>
      <c r="F258" s="17"/>
      <c r="I258" s="10">
        <f>INDEX(Std[],MATCH(F[[#This Row],[Player]],Std[Player],0),20)</f>
        <v>-61.088146123760609</v>
      </c>
      <c r="J258">
        <f>_xlfn.RANK.EQ(F[[#This Row],[Value]],F[Value])</f>
        <v>270</v>
      </c>
      <c r="K258" s="10">
        <f>F[[#This Row],[Value]]-_xlfn.XLOOKUP($G$497,F[Value Rk],F[Value],,-1)</f>
        <v>-460.50198474950724</v>
      </c>
    </row>
    <row r="259" spans="1:11" ht="15.75" thickBot="1" x14ac:dyDescent="0.3">
      <c r="A259" s="108" t="s">
        <v>500</v>
      </c>
      <c r="D259" s="57"/>
      <c r="E259" s="57"/>
      <c r="F259" s="17"/>
      <c r="I259" s="10">
        <f>INDEX(Std[],MATCH(F[[#This Row],[Player]],Std[Player],0),20)</f>
        <v>-54.90656204526119</v>
      </c>
      <c r="J259">
        <f>_xlfn.RANK.EQ(F[[#This Row],[Value]],F[Value])</f>
        <v>269</v>
      </c>
      <c r="K259" s="10">
        <f>F[[#This Row],[Value]]-_xlfn.XLOOKUP($G$497,F[Value Rk],F[Value],,-1)</f>
        <v>-454.3204006710078</v>
      </c>
    </row>
    <row r="260" spans="1:11" ht="15.75" thickBot="1" x14ac:dyDescent="0.3">
      <c r="A260" s="108" t="s">
        <v>727</v>
      </c>
      <c r="D260" s="57"/>
      <c r="E260" s="57"/>
      <c r="F260" s="17"/>
      <c r="I260" s="10">
        <f>INDEX(Std[],MATCH(F[[#This Row],[Player]],Std[Player],0),20)</f>
        <v>-106.94229964191607</v>
      </c>
      <c r="J260">
        <f>_xlfn.RANK.EQ(F[[#This Row],[Value]],F[Value])</f>
        <v>289</v>
      </c>
      <c r="K260" s="10">
        <f>F[[#This Row],[Value]]-_xlfn.XLOOKUP($G$497,F[Value Rk],F[Value],,-1)</f>
        <v>-506.35613826766269</v>
      </c>
    </row>
    <row r="261" spans="1:11" ht="15.75" thickBot="1" x14ac:dyDescent="0.3">
      <c r="A261" s="108" t="s">
        <v>647</v>
      </c>
      <c r="D261" s="57"/>
      <c r="E261" s="57"/>
      <c r="F261" s="17"/>
      <c r="I261" s="10">
        <f>INDEX(Std[],MATCH(F[[#This Row],[Player]],Std[Player],0),20)</f>
        <v>61.283627895238865</v>
      </c>
      <c r="J261">
        <f>_xlfn.RANK.EQ(F[[#This Row],[Value]],F[Value])</f>
        <v>229</v>
      </c>
      <c r="K261" s="10">
        <f>F[[#This Row],[Value]]-_xlfn.XLOOKUP($G$497,F[Value Rk],F[Value],,-1)</f>
        <v>-338.13021073050777</v>
      </c>
    </row>
    <row r="262" spans="1:11" ht="15.75" thickBot="1" x14ac:dyDescent="0.3">
      <c r="A262" s="108" t="s">
        <v>733</v>
      </c>
      <c r="D262" s="57"/>
      <c r="E262" s="57"/>
      <c r="F262" s="17"/>
      <c r="I262" s="10">
        <f>INDEX(Std[],MATCH(F[[#This Row],[Player]],Std[Player],0),20)</f>
        <v>-112.44394601056233</v>
      </c>
      <c r="J262">
        <f>_xlfn.RANK.EQ(F[[#This Row],[Value]],F[Value])</f>
        <v>291</v>
      </c>
      <c r="K262" s="10">
        <f>F[[#This Row],[Value]]-_xlfn.XLOOKUP($G$497,F[Value Rk],F[Value],,-1)</f>
        <v>-511.85778463630896</v>
      </c>
    </row>
    <row r="263" spans="1:11" ht="15.75" thickBot="1" x14ac:dyDescent="0.3">
      <c r="A263" s="108" t="s">
        <v>1018</v>
      </c>
      <c r="D263" s="57"/>
      <c r="E263" s="57"/>
      <c r="F263" s="17"/>
      <c r="I263" s="10">
        <f>INDEX(Std[],MATCH(F[[#This Row],[Player]],Std[Player],0),20)</f>
        <v>-111.142541210902</v>
      </c>
      <c r="J263">
        <f>_xlfn.RANK.EQ(F[[#This Row],[Value]],F[Value])</f>
        <v>290</v>
      </c>
      <c r="K263" s="10">
        <f>F[[#This Row],[Value]]-_xlfn.XLOOKUP($G$497,F[Value Rk],F[Value],,-1)</f>
        <v>-510.5563798366486</v>
      </c>
    </row>
    <row r="264" spans="1:11" ht="15.75" thickBot="1" x14ac:dyDescent="0.3">
      <c r="A264" s="108" t="s">
        <v>345</v>
      </c>
      <c r="D264" s="57"/>
      <c r="E264" s="57"/>
      <c r="F264" s="17"/>
      <c r="I264" s="10">
        <f>INDEX(Std[],MATCH(F[[#This Row],[Player]],Std[Player],0),20)</f>
        <v>90.352506317609553</v>
      </c>
      <c r="J264">
        <f>_xlfn.RANK.EQ(F[[#This Row],[Value]],F[Value])</f>
        <v>219</v>
      </c>
      <c r="K264" s="10">
        <f>F[[#This Row],[Value]]-_xlfn.XLOOKUP($G$497,F[Value Rk],F[Value],,-1)</f>
        <v>-309.06133230813708</v>
      </c>
    </row>
    <row r="265" spans="1:11" ht="15.75" thickBot="1" x14ac:dyDescent="0.3">
      <c r="A265" s="108" t="s">
        <v>866</v>
      </c>
      <c r="D265" s="57"/>
      <c r="E265" s="57"/>
      <c r="F265" s="17"/>
      <c r="I265" s="10">
        <f>INDEX(Std[],MATCH(F[[#This Row],[Player]],Std[Player],0),20)</f>
        <v>-80.458425639598076</v>
      </c>
      <c r="J265">
        <f>_xlfn.RANK.EQ(F[[#This Row],[Value]],F[Value])</f>
        <v>279</v>
      </c>
      <c r="K265" s="10">
        <f>F[[#This Row],[Value]]-_xlfn.XLOOKUP($G$497,F[Value Rk],F[Value],,-1)</f>
        <v>-479.87226426534471</v>
      </c>
    </row>
    <row r="266" spans="1:11" ht="15.75" thickBot="1" x14ac:dyDescent="0.3">
      <c r="A266" s="108" t="s">
        <v>417</v>
      </c>
      <c r="D266" s="57"/>
      <c r="E266" s="57"/>
      <c r="F266" s="17"/>
      <c r="I266" s="10">
        <f>INDEX(Std[],MATCH(F[[#This Row],[Player]],Std[Player],0),20)</f>
        <v>-118.13191052469358</v>
      </c>
      <c r="J266">
        <f>_xlfn.RANK.EQ(F[[#This Row],[Value]],F[Value])</f>
        <v>293</v>
      </c>
      <c r="K266" s="10">
        <f>F[[#This Row],[Value]]-_xlfn.XLOOKUP($G$497,F[Value Rk],F[Value],,-1)</f>
        <v>-517.5457491504402</v>
      </c>
    </row>
    <row r="267" spans="1:11" ht="15.75" thickBot="1" x14ac:dyDescent="0.3">
      <c r="A267" s="108" t="s">
        <v>548</v>
      </c>
      <c r="D267" s="57"/>
      <c r="E267" s="57"/>
      <c r="F267" s="17"/>
      <c r="I267" s="10">
        <f>INDEX(Std[],MATCH(F[[#This Row],[Player]],Std[Player],0),20)</f>
        <v>274.84616380497255</v>
      </c>
      <c r="J267">
        <f>_xlfn.RANK.EQ(F[[#This Row],[Value]],F[Value])</f>
        <v>156</v>
      </c>
      <c r="K267" s="10">
        <f>F[[#This Row],[Value]]-_xlfn.XLOOKUP($G$497,F[Value Rk],F[Value],,-1)</f>
        <v>-124.56767482077407</v>
      </c>
    </row>
    <row r="268" spans="1:11" ht="15.75" thickBot="1" x14ac:dyDescent="0.3">
      <c r="A268" s="108" t="s">
        <v>718</v>
      </c>
      <c r="D268" s="57"/>
      <c r="E268" s="57"/>
      <c r="F268" s="17"/>
      <c r="I268" s="10">
        <f>INDEX(Std[],MATCH(F[[#This Row],[Player]],Std[Player],0),20)</f>
        <v>-118.67242934310111</v>
      </c>
      <c r="J268">
        <f>_xlfn.RANK.EQ(F[[#This Row],[Value]],F[Value])</f>
        <v>294</v>
      </c>
      <c r="K268" s="10">
        <f>F[[#This Row],[Value]]-_xlfn.XLOOKUP($G$497,F[Value Rk],F[Value],,-1)</f>
        <v>-518.08626796884778</v>
      </c>
    </row>
    <row r="269" spans="1:11" ht="15.75" thickBot="1" x14ac:dyDescent="0.3">
      <c r="A269" s="108" t="s">
        <v>1162</v>
      </c>
      <c r="D269" s="57"/>
      <c r="E269" s="57"/>
      <c r="F269" s="17"/>
      <c r="I269" s="10">
        <f>INDEX(Std[],MATCH(F[[#This Row],[Player]],Std[Player],0),20)</f>
        <v>-103.20800951168016</v>
      </c>
      <c r="J269">
        <f>_xlfn.RANK.EQ(F[[#This Row],[Value]],F[Value])</f>
        <v>288</v>
      </c>
      <c r="K269" s="10">
        <f>F[[#This Row],[Value]]-_xlfn.XLOOKUP($G$497,F[Value Rk],F[Value],,-1)</f>
        <v>-502.62184813742681</v>
      </c>
    </row>
    <row r="270" spans="1:11" ht="15.75" thickBot="1" x14ac:dyDescent="0.3">
      <c r="A270" s="108" t="s">
        <v>472</v>
      </c>
      <c r="D270" s="57"/>
      <c r="E270" s="57"/>
      <c r="F270" s="17"/>
      <c r="I270" s="10">
        <f>INDEX(Std[],MATCH(F[[#This Row],[Player]],Std[Player],0),20)</f>
        <v>-123.01440306845639</v>
      </c>
      <c r="J270">
        <f>_xlfn.RANK.EQ(F[[#This Row],[Value]],F[Value])</f>
        <v>295</v>
      </c>
      <c r="K270" s="10">
        <f>F[[#This Row],[Value]]-_xlfn.XLOOKUP($G$497,F[Value Rk],F[Value],,-1)</f>
        <v>-522.42824169420305</v>
      </c>
    </row>
    <row r="271" spans="1:11" ht="15.75" thickBot="1" x14ac:dyDescent="0.3">
      <c r="A271" s="108" t="s">
        <v>1068</v>
      </c>
      <c r="D271" s="57"/>
      <c r="E271" s="57"/>
      <c r="F271" s="17"/>
      <c r="I271" s="10">
        <f>INDEX(Std[],MATCH(F[[#This Row],[Player]],Std[Player],0),20)</f>
        <v>-29.110878873083283</v>
      </c>
      <c r="J271">
        <f>_xlfn.RANK.EQ(F[[#This Row],[Value]],F[Value])</f>
        <v>256</v>
      </c>
      <c r="K271" s="10">
        <f>F[[#This Row],[Value]]-_xlfn.XLOOKUP($G$497,F[Value Rk],F[Value],,-1)</f>
        <v>-428.52471749882989</v>
      </c>
    </row>
    <row r="272" spans="1:11" ht="15.75" thickBot="1" x14ac:dyDescent="0.3">
      <c r="A272" s="108" t="s">
        <v>1011</v>
      </c>
      <c r="D272" s="57"/>
      <c r="E272" s="57"/>
      <c r="F272" s="17"/>
      <c r="I272" s="10">
        <f>INDEX(Std[],MATCH(F[[#This Row],[Player]],Std[Player],0),20)</f>
        <v>-133.36046390767632</v>
      </c>
      <c r="J272">
        <f>_xlfn.RANK.EQ(F[[#This Row],[Value]],F[Value])</f>
        <v>298</v>
      </c>
      <c r="K272" s="10">
        <f>F[[#This Row],[Value]]-_xlfn.XLOOKUP($G$497,F[Value Rk],F[Value],,-1)</f>
        <v>-532.774302533423</v>
      </c>
    </row>
    <row r="273" spans="1:11" ht="15.75" thickBot="1" x14ac:dyDescent="0.3">
      <c r="A273" s="108" t="s">
        <v>663</v>
      </c>
      <c r="D273" s="57"/>
      <c r="E273" s="57"/>
      <c r="F273" s="17"/>
      <c r="I273" s="10">
        <f>INDEX(Std[],MATCH(F[[#This Row],[Player]],Std[Player],0),20)</f>
        <v>138.81609904598756</v>
      </c>
      <c r="J273">
        <f>_xlfn.RANK.EQ(F[[#This Row],[Value]],F[Value])</f>
        <v>207</v>
      </c>
      <c r="K273" s="10">
        <f>F[[#This Row],[Value]]-_xlfn.XLOOKUP($G$497,F[Value Rk],F[Value],,-1)</f>
        <v>-260.59773957975904</v>
      </c>
    </row>
    <row r="274" spans="1:11" ht="15.75" thickBot="1" x14ac:dyDescent="0.3">
      <c r="A274" s="108" t="s">
        <v>951</v>
      </c>
      <c r="D274" s="57"/>
      <c r="E274" s="57"/>
      <c r="F274" s="17"/>
      <c r="I274" s="10">
        <f>INDEX(Std[],MATCH(F[[#This Row],[Player]],Std[Player],0),20)</f>
        <v>8.6536436961031526</v>
      </c>
      <c r="J274">
        <f>_xlfn.RANK.EQ(F[[#This Row],[Value]],F[Value])</f>
        <v>243</v>
      </c>
      <c r="K274" s="10">
        <f>F[[#This Row],[Value]]-_xlfn.XLOOKUP($G$497,F[Value Rk],F[Value],,-1)</f>
        <v>-390.76019492964349</v>
      </c>
    </row>
    <row r="275" spans="1:11" ht="15.75" thickBot="1" x14ac:dyDescent="0.3">
      <c r="A275" s="108" t="s">
        <v>644</v>
      </c>
      <c r="B275" s="103">
        <v>27</v>
      </c>
      <c r="C275" s="59" t="s">
        <v>102</v>
      </c>
      <c r="D275" s="57"/>
      <c r="E275" s="56"/>
      <c r="F275" s="2" t="s">
        <v>10</v>
      </c>
      <c r="I275" s="10">
        <f>INDEX(Std[],MATCH(F[[#This Row],[Player]],Std[Player],0),20)</f>
        <v>-51.253688415422452</v>
      </c>
      <c r="J275">
        <f>_xlfn.RANK.EQ(F[[#This Row],[Value]],F[Value])</f>
        <v>266</v>
      </c>
      <c r="K275" s="10">
        <f>F[[#This Row],[Value]]-_xlfn.XLOOKUP($G$497,F[Value Rk],F[Value],,-1)</f>
        <v>-450.66752704116908</v>
      </c>
    </row>
    <row r="276" spans="1:11" ht="15.75" thickBot="1" x14ac:dyDescent="0.3">
      <c r="A276" s="108" t="s">
        <v>1169</v>
      </c>
      <c r="D276" s="57"/>
      <c r="E276" s="57"/>
      <c r="F276" s="17"/>
      <c r="I276" s="10">
        <f>INDEX(Std[],MATCH(F[[#This Row],[Player]],Std[Player],0),20)</f>
        <v>-127.83133268048181</v>
      </c>
      <c r="J276">
        <f>_xlfn.RANK.EQ(F[[#This Row],[Value]],F[Value])</f>
        <v>296</v>
      </c>
      <c r="K276" s="10">
        <f>F[[#This Row],[Value]]-_xlfn.XLOOKUP($G$497,F[Value Rk],F[Value],,-1)</f>
        <v>-527.24517130622849</v>
      </c>
    </row>
    <row r="277" spans="1:11" ht="15.75" thickBot="1" x14ac:dyDescent="0.3">
      <c r="A277" s="108" t="s">
        <v>399</v>
      </c>
      <c r="D277" s="57"/>
      <c r="E277" s="57"/>
      <c r="F277" s="17"/>
      <c r="I277" s="10">
        <f>INDEX(Std[],MATCH(F[[#This Row],[Player]],Std[Player],0),20)</f>
        <v>-141.20383806033954</v>
      </c>
      <c r="J277">
        <f>_xlfn.RANK.EQ(F[[#This Row],[Value]],F[Value])</f>
        <v>299</v>
      </c>
      <c r="K277" s="10">
        <f>F[[#This Row],[Value]]-_xlfn.XLOOKUP($G$497,F[Value Rk],F[Value],,-1)</f>
        <v>-540.61767668608616</v>
      </c>
    </row>
    <row r="278" spans="1:11" ht="15.75" thickBot="1" x14ac:dyDescent="0.3">
      <c r="A278" s="108" t="s">
        <v>1048</v>
      </c>
      <c r="D278" s="57"/>
      <c r="E278" s="57"/>
      <c r="F278" s="17"/>
      <c r="I278" s="10">
        <f>INDEX(Std[],MATCH(F[[#This Row],[Player]],Std[Player],0),20)</f>
        <v>19.680449668371846</v>
      </c>
      <c r="J278">
        <f>_xlfn.RANK.EQ(F[[#This Row],[Value]],F[Value])</f>
        <v>239</v>
      </c>
      <c r="K278" s="10">
        <f>F[[#This Row],[Value]]-_xlfn.XLOOKUP($G$497,F[Value Rk],F[Value],,-1)</f>
        <v>-379.73338895737476</v>
      </c>
    </row>
    <row r="279" spans="1:11" ht="15.75" thickBot="1" x14ac:dyDescent="0.3">
      <c r="A279" s="108" t="s">
        <v>1031</v>
      </c>
      <c r="D279" s="57"/>
      <c r="E279" s="57"/>
      <c r="F279" s="17"/>
      <c r="I279" s="10">
        <f>INDEX(Std[],MATCH(F[[#This Row],[Player]],Std[Player],0),20)</f>
        <v>-152.36823913272767</v>
      </c>
      <c r="J279">
        <f>_xlfn.RANK.EQ(F[[#This Row],[Value]],F[Value])</f>
        <v>303</v>
      </c>
      <c r="K279" s="10">
        <f>F[[#This Row],[Value]]-_xlfn.XLOOKUP($G$497,F[Value Rk],F[Value],,-1)</f>
        <v>-551.78207775847432</v>
      </c>
    </row>
    <row r="280" spans="1:11" ht="15.75" thickBot="1" x14ac:dyDescent="0.3">
      <c r="A280" s="108" t="s">
        <v>609</v>
      </c>
      <c r="D280" s="57"/>
      <c r="E280" s="57"/>
      <c r="F280" s="17"/>
      <c r="I280" s="10">
        <f>INDEX(Std[],MATCH(F[[#This Row],[Player]],Std[Player],0),20)</f>
        <v>-152.14120093407649</v>
      </c>
      <c r="J280">
        <f>_xlfn.RANK.EQ(F[[#This Row],[Value]],F[Value])</f>
        <v>302</v>
      </c>
      <c r="K280" s="10">
        <f>F[[#This Row],[Value]]-_xlfn.XLOOKUP($G$497,F[Value Rk],F[Value],,-1)</f>
        <v>-551.55503955982317</v>
      </c>
    </row>
    <row r="281" spans="1:11" ht="15.75" thickBot="1" x14ac:dyDescent="0.3">
      <c r="A281" s="108" t="s">
        <v>493</v>
      </c>
      <c r="D281" s="57"/>
      <c r="E281" s="57"/>
      <c r="F281" s="17"/>
      <c r="I281" s="10">
        <f>INDEX(Std[],MATCH(F[[#This Row],[Player]],Std[Player],0),20)</f>
        <v>-155.84987803575294</v>
      </c>
      <c r="J281">
        <f>_xlfn.RANK.EQ(F[[#This Row],[Value]],F[Value])</f>
        <v>304</v>
      </c>
      <c r="K281" s="10">
        <f>F[[#This Row],[Value]]-_xlfn.XLOOKUP($G$497,F[Value Rk],F[Value],,-1)</f>
        <v>-555.26371666149953</v>
      </c>
    </row>
    <row r="282" spans="1:11" ht="15.75" thickBot="1" x14ac:dyDescent="0.3">
      <c r="A282" s="108" t="s">
        <v>569</v>
      </c>
      <c r="D282" s="57"/>
      <c r="E282" s="57"/>
      <c r="F282" s="17"/>
      <c r="I282" s="10">
        <f>INDEX(Std[],MATCH(F[[#This Row],[Player]],Std[Player],0),20)</f>
        <v>-156.41221824805166</v>
      </c>
      <c r="J282">
        <f>_xlfn.RANK.EQ(F[[#This Row],[Value]],F[Value])</f>
        <v>305</v>
      </c>
      <c r="K282" s="10">
        <f>F[[#This Row],[Value]]-_xlfn.XLOOKUP($G$497,F[Value Rk],F[Value],,-1)</f>
        <v>-555.82605687379828</v>
      </c>
    </row>
    <row r="283" spans="1:11" ht="15.75" thickBot="1" x14ac:dyDescent="0.3">
      <c r="A283" s="108" t="s">
        <v>714</v>
      </c>
      <c r="D283" s="57"/>
      <c r="E283" s="57"/>
      <c r="F283" s="17"/>
      <c r="I283" s="10">
        <f>INDEX(Std[],MATCH(F[[#This Row],[Player]],Std[Player],0),20)</f>
        <v>-61.371862624439459</v>
      </c>
      <c r="J283">
        <f>_xlfn.RANK.EQ(F[[#This Row],[Value]],F[Value])</f>
        <v>271</v>
      </c>
      <c r="K283" s="10">
        <f>F[[#This Row],[Value]]-_xlfn.XLOOKUP($G$497,F[Value Rk],F[Value],,-1)</f>
        <v>-460.78570125018609</v>
      </c>
    </row>
    <row r="284" spans="1:11" ht="15.75" thickBot="1" x14ac:dyDescent="0.3">
      <c r="A284" s="108" t="s">
        <v>1094</v>
      </c>
      <c r="D284" s="57"/>
      <c r="E284" s="57"/>
      <c r="F284" s="17"/>
      <c r="I284" s="10">
        <f>INDEX(Std[],MATCH(F[[#This Row],[Player]],Std[Player],0),20)</f>
        <v>-86.521158370964301</v>
      </c>
      <c r="J284">
        <f>_xlfn.RANK.EQ(F[[#This Row],[Value]],F[Value])</f>
        <v>282</v>
      </c>
      <c r="K284" s="10">
        <f>F[[#This Row],[Value]]-_xlfn.XLOOKUP($G$497,F[Value Rk],F[Value],,-1)</f>
        <v>-485.93499699671094</v>
      </c>
    </row>
    <row r="285" spans="1:11" ht="15.75" thickBot="1" x14ac:dyDescent="0.3">
      <c r="A285" s="108" t="s">
        <v>420</v>
      </c>
      <c r="D285" s="57"/>
      <c r="E285" s="57"/>
      <c r="F285" s="17"/>
      <c r="I285" s="10">
        <f>INDEX(Std[],MATCH(F[[#This Row],[Player]],Std[Player],0),20)</f>
        <v>4.0974354257079737</v>
      </c>
      <c r="J285">
        <f>_xlfn.RANK.EQ(F[[#This Row],[Value]],F[Value])</f>
        <v>245</v>
      </c>
      <c r="K285" s="10">
        <f>F[[#This Row],[Value]]-_xlfn.XLOOKUP($G$497,F[Value Rk],F[Value],,-1)</f>
        <v>-395.31640320003862</v>
      </c>
    </row>
    <row r="286" spans="1:11" ht="15.75" thickBot="1" x14ac:dyDescent="0.3">
      <c r="A286" s="108" t="s">
        <v>959</v>
      </c>
      <c r="D286" s="57"/>
      <c r="E286" s="57"/>
      <c r="F286" s="17"/>
      <c r="I286" s="10">
        <f>INDEX(Std[],MATCH(F[[#This Row],[Player]],Std[Player],0),20)</f>
        <v>-268.01399173029552</v>
      </c>
      <c r="J286">
        <f>_xlfn.RANK.EQ(F[[#This Row],[Value]],F[Value])</f>
        <v>349</v>
      </c>
      <c r="K286" s="10">
        <f>F[[#This Row],[Value]]-_xlfn.XLOOKUP($G$497,F[Value Rk],F[Value],,-1)</f>
        <v>-667.42783035604214</v>
      </c>
    </row>
    <row r="287" spans="1:11" ht="15.75" thickBot="1" x14ac:dyDescent="0.3">
      <c r="A287" s="108" t="s">
        <v>991</v>
      </c>
      <c r="D287" s="57"/>
      <c r="E287" s="57"/>
      <c r="F287" s="17"/>
      <c r="I287" s="10">
        <f>INDEX(Std[],MATCH(F[[#This Row],[Player]],Std[Player],0),20)</f>
        <v>-175.09626380490548</v>
      </c>
      <c r="J287">
        <f>_xlfn.RANK.EQ(F[[#This Row],[Value]],F[Value])</f>
        <v>309</v>
      </c>
      <c r="K287" s="10">
        <f>F[[#This Row],[Value]]-_xlfn.XLOOKUP($G$497,F[Value Rk],F[Value],,-1)</f>
        <v>-574.51010243065207</v>
      </c>
    </row>
    <row r="288" spans="1:11" ht="15.75" thickBot="1" x14ac:dyDescent="0.3">
      <c r="A288" s="108" t="s">
        <v>739</v>
      </c>
      <c r="D288" s="57"/>
      <c r="E288" s="57"/>
      <c r="F288" s="17"/>
      <c r="I288" s="10">
        <f>INDEX(Std[],MATCH(F[[#This Row],[Player]],Std[Player],0),20)</f>
        <v>-164.89695699503989</v>
      </c>
      <c r="J288">
        <f>_xlfn.RANK.EQ(F[[#This Row],[Value]],F[Value])</f>
        <v>306</v>
      </c>
      <c r="K288" s="10">
        <f>F[[#This Row],[Value]]-_xlfn.XLOOKUP($G$497,F[Value Rk],F[Value],,-1)</f>
        <v>-564.31079562078651</v>
      </c>
    </row>
    <row r="289" spans="1:11" ht="15.75" thickBot="1" x14ac:dyDescent="0.3">
      <c r="A289" s="108" t="s">
        <v>723</v>
      </c>
      <c r="D289" s="57"/>
      <c r="E289" s="57"/>
      <c r="F289" s="17"/>
      <c r="I289" s="10">
        <f>INDEX(Std[],MATCH(F[[#This Row],[Player]],Std[Player],0),20)</f>
        <v>-74.325020710320956</v>
      </c>
      <c r="J289">
        <f>_xlfn.RANK.EQ(F[[#This Row],[Value]],F[Value])</f>
        <v>276</v>
      </c>
      <c r="K289" s="10">
        <f>F[[#This Row],[Value]]-_xlfn.XLOOKUP($G$497,F[Value Rk],F[Value],,-1)</f>
        <v>-473.73885933606755</v>
      </c>
    </row>
    <row r="290" spans="1:11" ht="15.75" thickBot="1" x14ac:dyDescent="0.3">
      <c r="A290" s="108" t="s">
        <v>474</v>
      </c>
      <c r="D290" s="57"/>
      <c r="E290" s="57"/>
      <c r="F290" s="17"/>
      <c r="I290" s="10">
        <f>INDEX(Std[],MATCH(F[[#This Row],[Player]],Std[Player],0),20)</f>
        <v>-189.94677751983679</v>
      </c>
      <c r="J290">
        <f>_xlfn.RANK.EQ(F[[#This Row],[Value]],F[Value])</f>
        <v>313</v>
      </c>
      <c r="K290" s="10">
        <f>F[[#This Row],[Value]]-_xlfn.XLOOKUP($G$497,F[Value Rk],F[Value],,-1)</f>
        <v>-589.36061614558344</v>
      </c>
    </row>
    <row r="291" spans="1:11" ht="15.75" thickBot="1" x14ac:dyDescent="0.3">
      <c r="A291" s="108" t="s">
        <v>669</v>
      </c>
      <c r="D291" s="57"/>
      <c r="E291" s="57"/>
      <c r="F291" s="17"/>
      <c r="I291" s="10">
        <f>INDEX(Std[],MATCH(F[[#This Row],[Player]],Std[Player],0),20)</f>
        <v>-116.84891373313562</v>
      </c>
      <c r="J291">
        <f>_xlfn.RANK.EQ(F[[#This Row],[Value]],F[Value])</f>
        <v>292</v>
      </c>
      <c r="K291" s="10">
        <f>F[[#This Row],[Value]]-_xlfn.XLOOKUP($G$497,F[Value Rk],F[Value],,-1)</f>
        <v>-516.26275235888227</v>
      </c>
    </row>
    <row r="292" spans="1:11" ht="15.75" thickBot="1" x14ac:dyDescent="0.3">
      <c r="A292" s="108" t="s">
        <v>453</v>
      </c>
      <c r="D292" s="57"/>
      <c r="E292" s="57"/>
      <c r="F292" s="17"/>
      <c r="I292" s="10">
        <f>INDEX(Std[],MATCH(F[[#This Row],[Player]],Std[Player],0),20)</f>
        <v>-188.64302674578431</v>
      </c>
      <c r="J292">
        <f>_xlfn.RANK.EQ(F[[#This Row],[Value]],F[Value])</f>
        <v>312</v>
      </c>
      <c r="K292" s="10">
        <f>F[[#This Row],[Value]]-_xlfn.XLOOKUP($G$497,F[Value Rk],F[Value],,-1)</f>
        <v>-588.05686537153088</v>
      </c>
    </row>
    <row r="293" spans="1:11" ht="15.75" thickBot="1" x14ac:dyDescent="0.3">
      <c r="A293" s="108" t="s">
        <v>1152</v>
      </c>
      <c r="D293" s="57"/>
      <c r="E293" s="57"/>
      <c r="F293" s="17"/>
      <c r="I293" s="10">
        <f>INDEX(Std[],MATCH(F[[#This Row],[Player]],Std[Player],0),20)</f>
        <v>-61.829078482461085</v>
      </c>
      <c r="J293">
        <f>_xlfn.RANK.EQ(F[[#This Row],[Value]],F[Value])</f>
        <v>272</v>
      </c>
      <c r="K293" s="10">
        <f>F[[#This Row],[Value]]-_xlfn.XLOOKUP($G$497,F[Value Rk],F[Value],,-1)</f>
        <v>-461.24291710820773</v>
      </c>
    </row>
    <row r="294" spans="1:11" ht="15.75" thickBot="1" x14ac:dyDescent="0.3">
      <c r="A294" s="108" t="s">
        <v>1123</v>
      </c>
      <c r="D294" s="57"/>
      <c r="E294" s="57"/>
      <c r="F294" s="17"/>
      <c r="I294" s="10">
        <f>INDEX(Std[],MATCH(F[[#This Row],[Player]],Std[Player],0),20)</f>
        <v>-167.19950648660742</v>
      </c>
      <c r="J294">
        <f>_xlfn.RANK.EQ(F[[#This Row],[Value]],F[Value])</f>
        <v>307</v>
      </c>
      <c r="K294" s="10">
        <f>F[[#This Row],[Value]]-_xlfn.XLOOKUP($G$497,F[Value Rk],F[Value],,-1)</f>
        <v>-566.61334511235407</v>
      </c>
    </row>
    <row r="295" spans="1:11" ht="15.75" thickBot="1" x14ac:dyDescent="0.3">
      <c r="A295" s="108" t="s">
        <v>996</v>
      </c>
      <c r="B295" s="103">
        <v>30</v>
      </c>
      <c r="C295" s="59" t="s">
        <v>74</v>
      </c>
      <c r="D295" s="57" t="s">
        <v>102</v>
      </c>
      <c r="E295" s="57"/>
      <c r="F295" s="2" t="s">
        <v>5</v>
      </c>
      <c r="I295" s="10">
        <f>INDEX(Std[],MATCH(F[[#This Row],[Player]],Std[Player],0),20)</f>
        <v>-74.415980219022444</v>
      </c>
      <c r="J295">
        <f>_xlfn.RANK.EQ(F[[#This Row],[Value]],F[Value])</f>
        <v>277</v>
      </c>
      <c r="K295" s="10">
        <f>F[[#This Row],[Value]]-_xlfn.XLOOKUP($G$497,F[Value Rk],F[Value],,-1)</f>
        <v>-473.82981884476908</v>
      </c>
    </row>
    <row r="296" spans="1:11" ht="15.75" thickBot="1" x14ac:dyDescent="0.3">
      <c r="A296" s="108" t="s">
        <v>814</v>
      </c>
      <c r="D296" s="57"/>
      <c r="E296" s="57"/>
      <c r="F296" s="17"/>
      <c r="I296" s="10">
        <f>INDEX(Std[],MATCH(F[[#This Row],[Player]],Std[Player],0),20)</f>
        <v>-180.29227714277761</v>
      </c>
      <c r="J296">
        <f>_xlfn.RANK.EQ(F[[#This Row],[Value]],F[Value])</f>
        <v>311</v>
      </c>
      <c r="K296" s="10">
        <f>F[[#This Row],[Value]]-_xlfn.XLOOKUP($G$497,F[Value Rk],F[Value],,-1)</f>
        <v>-579.70611576852423</v>
      </c>
    </row>
    <row r="297" spans="1:11" ht="15.75" thickBot="1" x14ac:dyDescent="0.3">
      <c r="A297" s="108" t="s">
        <v>798</v>
      </c>
      <c r="D297" s="57"/>
      <c r="E297" s="57"/>
      <c r="F297" s="17"/>
      <c r="I297" s="10">
        <f>INDEX(Std[],MATCH(F[[#This Row],[Player]],Std[Player],0),20)</f>
        <v>-200.66014784739403</v>
      </c>
      <c r="J297">
        <f>_xlfn.RANK.EQ(F[[#This Row],[Value]],F[Value])</f>
        <v>317</v>
      </c>
      <c r="K297" s="10">
        <f>F[[#This Row],[Value]]-_xlfn.XLOOKUP($G$497,F[Value Rk],F[Value],,-1)</f>
        <v>-600.07398647314062</v>
      </c>
    </row>
    <row r="298" spans="1:11" ht="15.75" thickBot="1" x14ac:dyDescent="0.3">
      <c r="A298" s="108" t="s">
        <v>670</v>
      </c>
      <c r="D298" s="57"/>
      <c r="E298" s="57"/>
      <c r="F298" s="17"/>
      <c r="I298" s="10">
        <f>INDEX(Std[],MATCH(F[[#This Row],[Player]],Std[Player],0),20)</f>
        <v>-196.57828565297595</v>
      </c>
      <c r="J298">
        <f>_xlfn.RANK.EQ(F[[#This Row],[Value]],F[Value])</f>
        <v>314</v>
      </c>
      <c r="K298" s="10">
        <f>F[[#This Row],[Value]]-_xlfn.XLOOKUP($G$497,F[Value Rk],F[Value],,-1)</f>
        <v>-595.9921242787226</v>
      </c>
    </row>
    <row r="299" spans="1:11" ht="15.75" thickBot="1" x14ac:dyDescent="0.3">
      <c r="A299" s="108" t="s">
        <v>686</v>
      </c>
      <c r="D299" s="57"/>
      <c r="E299" s="57"/>
      <c r="F299" s="17"/>
      <c r="I299" s="10">
        <f>INDEX(Std[],MATCH(F[[#This Row],[Player]],Std[Player],0),20)</f>
        <v>72.71172327560771</v>
      </c>
      <c r="J299">
        <f>_xlfn.RANK.EQ(F[[#This Row],[Value]],F[Value])</f>
        <v>227</v>
      </c>
      <c r="K299" s="10">
        <f>F[[#This Row],[Value]]-_xlfn.XLOOKUP($G$497,F[Value Rk],F[Value],,-1)</f>
        <v>-326.70211535013891</v>
      </c>
    </row>
    <row r="300" spans="1:11" ht="15.75" thickBot="1" x14ac:dyDescent="0.3">
      <c r="A300" s="108" t="s">
        <v>813</v>
      </c>
      <c r="D300" s="57"/>
      <c r="E300" s="57"/>
      <c r="F300" s="17"/>
      <c r="I300" s="10">
        <f>INDEX(Std[],MATCH(F[[#This Row],[Player]],Std[Player],0),20)</f>
        <v>-222.77169553888766</v>
      </c>
      <c r="J300">
        <f>_xlfn.RANK.EQ(F[[#This Row],[Value]],F[Value])</f>
        <v>329</v>
      </c>
      <c r="K300" s="10">
        <f>F[[#This Row],[Value]]-_xlfn.XLOOKUP($G$497,F[Value Rk],F[Value],,-1)</f>
        <v>-622.1855341646343</v>
      </c>
    </row>
    <row r="301" spans="1:11" ht="15.75" thickBot="1" x14ac:dyDescent="0.3">
      <c r="A301" s="108" t="s">
        <v>594</v>
      </c>
      <c r="D301" s="57"/>
      <c r="E301" s="57"/>
      <c r="F301" s="17"/>
      <c r="I301" s="10">
        <f>INDEX(Std[],MATCH(F[[#This Row],[Player]],Std[Player],0),20)</f>
        <v>58.370299081465546</v>
      </c>
      <c r="J301">
        <f>_xlfn.RANK.EQ(F[[#This Row],[Value]],F[Value])</f>
        <v>233</v>
      </c>
      <c r="K301" s="10">
        <f>F[[#This Row],[Value]]-_xlfn.XLOOKUP($G$497,F[Value Rk],F[Value],,-1)</f>
        <v>-341.04353954428109</v>
      </c>
    </row>
    <row r="302" spans="1:11" ht="15.75" thickBot="1" x14ac:dyDescent="0.3">
      <c r="A302" s="108" t="s">
        <v>678</v>
      </c>
      <c r="D302" s="57"/>
      <c r="E302" s="57"/>
      <c r="F302" s="17"/>
      <c r="I302" s="10">
        <f>INDEX(Std[],MATCH(F[[#This Row],[Player]],Std[Player],0),20)</f>
        <v>-31.36294775012415</v>
      </c>
      <c r="J302">
        <f>_xlfn.RANK.EQ(F[[#This Row],[Value]],F[Value])</f>
        <v>257</v>
      </c>
      <c r="K302" s="10">
        <f>F[[#This Row],[Value]]-_xlfn.XLOOKUP($G$497,F[Value Rk],F[Value],,-1)</f>
        <v>-430.77678637587076</v>
      </c>
    </row>
    <row r="303" spans="1:11" ht="15.75" thickBot="1" x14ac:dyDescent="0.3">
      <c r="A303" s="108" t="s">
        <v>715</v>
      </c>
      <c r="D303" s="57"/>
      <c r="E303" s="57"/>
      <c r="F303" s="17"/>
      <c r="I303" s="10">
        <f>INDEX(Std[],MATCH(F[[#This Row],[Player]],Std[Player],0),20)</f>
        <v>-233.17525915578977</v>
      </c>
      <c r="J303">
        <f>_xlfn.RANK.EQ(F[[#This Row],[Value]],F[Value])</f>
        <v>332</v>
      </c>
      <c r="K303" s="10">
        <f>F[[#This Row],[Value]]-_xlfn.XLOOKUP($G$497,F[Value Rk],F[Value],,-1)</f>
        <v>-632.58909778153634</v>
      </c>
    </row>
    <row r="304" spans="1:11" ht="15.75" thickBot="1" x14ac:dyDescent="0.3">
      <c r="A304" s="108" t="s">
        <v>542</v>
      </c>
      <c r="D304" s="57"/>
      <c r="E304" s="57"/>
      <c r="F304" s="17"/>
      <c r="I304" s="10">
        <f>INDEX(Std[],MATCH(F[[#This Row],[Player]],Std[Player],0),20)</f>
        <v>-218.66816705535587</v>
      </c>
      <c r="J304">
        <f>_xlfn.RANK.EQ(F[[#This Row],[Value]],F[Value])</f>
        <v>326</v>
      </c>
      <c r="K304" s="10">
        <f>F[[#This Row],[Value]]-_xlfn.XLOOKUP($G$497,F[Value Rk],F[Value],,-1)</f>
        <v>-618.08200568110249</v>
      </c>
    </row>
    <row r="305" spans="1:11" ht="15.75" thickBot="1" x14ac:dyDescent="0.3">
      <c r="A305" s="108" t="s">
        <v>550</v>
      </c>
      <c r="D305" s="57"/>
      <c r="E305" s="57"/>
      <c r="F305" s="17"/>
      <c r="I305" s="10">
        <f>INDEX(Std[],MATCH(F[[#This Row],[Player]],Std[Player],0),20)</f>
        <v>3.8823872396178905</v>
      </c>
      <c r="J305">
        <f>_xlfn.RANK.EQ(F[[#This Row],[Value]],F[Value])</f>
        <v>246</v>
      </c>
      <c r="K305" s="10">
        <f>F[[#This Row],[Value]]-_xlfn.XLOOKUP($G$497,F[Value Rk],F[Value],,-1)</f>
        <v>-395.53145138612871</v>
      </c>
    </row>
    <row r="306" spans="1:11" ht="15.75" thickBot="1" x14ac:dyDescent="0.3">
      <c r="A306" s="108" t="s">
        <v>764</v>
      </c>
      <c r="D306" s="57"/>
      <c r="E306" s="57"/>
      <c r="F306" s="17"/>
      <c r="I306" s="10">
        <f>INDEX(Std[],MATCH(F[[#This Row],[Player]],Std[Player],0),20)</f>
        <v>-235.71688703143428</v>
      </c>
      <c r="J306">
        <f>_xlfn.RANK.EQ(F[[#This Row],[Value]],F[Value])</f>
        <v>334</v>
      </c>
      <c r="K306" s="10">
        <f>F[[#This Row],[Value]]-_xlfn.XLOOKUP($G$497,F[Value Rk],F[Value],,-1)</f>
        <v>-635.13072565718085</v>
      </c>
    </row>
    <row r="307" spans="1:11" ht="15.75" thickBot="1" x14ac:dyDescent="0.3">
      <c r="A307" s="108" t="s">
        <v>1164</v>
      </c>
      <c r="D307" s="57"/>
      <c r="E307" s="57"/>
      <c r="F307" s="17"/>
      <c r="I307" s="10">
        <f>INDEX(Std[],MATCH(F[[#This Row],[Player]],Std[Player],0),20)</f>
        <v>-221.72431100983277</v>
      </c>
      <c r="J307">
        <f>_xlfn.RANK.EQ(F[[#This Row],[Value]],F[Value])</f>
        <v>328</v>
      </c>
      <c r="K307" s="10">
        <f>F[[#This Row],[Value]]-_xlfn.XLOOKUP($G$497,F[Value Rk],F[Value],,-1)</f>
        <v>-621.13814963557934</v>
      </c>
    </row>
    <row r="308" spans="1:11" ht="15.75" thickBot="1" x14ac:dyDescent="0.3">
      <c r="A308" s="108" t="s">
        <v>1049</v>
      </c>
      <c r="D308" s="57"/>
      <c r="E308" s="57"/>
      <c r="F308" s="17"/>
      <c r="I308" s="10">
        <f>INDEX(Std[],MATCH(F[[#This Row],[Player]],Std[Player],0),20)</f>
        <v>-239.84339911929902</v>
      </c>
      <c r="J308">
        <f>_xlfn.RANK.EQ(F[[#This Row],[Value]],F[Value])</f>
        <v>337</v>
      </c>
      <c r="K308" s="10">
        <f>F[[#This Row],[Value]]-_xlfn.XLOOKUP($G$497,F[Value Rk],F[Value],,-1)</f>
        <v>-639.25723774504559</v>
      </c>
    </row>
    <row r="309" spans="1:11" ht="15.75" thickBot="1" x14ac:dyDescent="0.3">
      <c r="A309" s="108" t="s">
        <v>536</v>
      </c>
      <c r="D309" s="57"/>
      <c r="E309" s="57"/>
      <c r="F309" s="17"/>
      <c r="I309" s="10">
        <f>INDEX(Std[],MATCH(F[[#This Row],[Player]],Std[Player],0),20)</f>
        <v>-209.3058502959808</v>
      </c>
      <c r="J309">
        <f>_xlfn.RANK.EQ(F[[#This Row],[Value]],F[Value])</f>
        <v>319</v>
      </c>
      <c r="K309" s="10">
        <f>F[[#This Row],[Value]]-_xlfn.XLOOKUP($G$497,F[Value Rk],F[Value],,-1)</f>
        <v>-608.71968892172742</v>
      </c>
    </row>
    <row r="310" spans="1:11" ht="15.75" thickBot="1" x14ac:dyDescent="0.3">
      <c r="A310" s="108" t="s">
        <v>1129</v>
      </c>
      <c r="D310" s="57"/>
      <c r="E310" s="57"/>
      <c r="F310" s="17"/>
      <c r="I310" s="10">
        <f>INDEX(Std[],MATCH(F[[#This Row],[Player]],Std[Player],0),20)</f>
        <v>-130.09638221016414</v>
      </c>
      <c r="J310">
        <f>_xlfn.RANK.EQ(F[[#This Row],[Value]],F[Value])</f>
        <v>297</v>
      </c>
      <c r="K310" s="10">
        <f>F[[#This Row],[Value]]-_xlfn.XLOOKUP($G$497,F[Value Rk],F[Value],,-1)</f>
        <v>-529.51022083591079</v>
      </c>
    </row>
    <row r="311" spans="1:11" ht="15.75" thickBot="1" x14ac:dyDescent="0.3">
      <c r="A311" s="108" t="s">
        <v>793</v>
      </c>
      <c r="D311" s="57"/>
      <c r="E311" s="57"/>
      <c r="F311" s="17"/>
      <c r="I311" s="10">
        <f>INDEX(Std[],MATCH(F[[#This Row],[Player]],Std[Player],0),20)</f>
        <v>-9.5244135025425614</v>
      </c>
      <c r="J311">
        <f>_xlfn.RANK.EQ(F[[#This Row],[Value]],F[Value])</f>
        <v>252</v>
      </c>
      <c r="K311" s="10">
        <f>F[[#This Row],[Value]]-_xlfn.XLOOKUP($G$497,F[Value Rk],F[Value],,-1)</f>
        <v>-408.93825212828921</v>
      </c>
    </row>
    <row r="312" spans="1:11" ht="15.75" thickBot="1" x14ac:dyDescent="0.3">
      <c r="A312" s="108" t="s">
        <v>1209</v>
      </c>
      <c r="D312" s="57"/>
      <c r="E312" s="57"/>
      <c r="F312" s="17"/>
      <c r="I312" s="10">
        <f>INDEX(Std[],MATCH(F[[#This Row],[Player]],Std[Player],0),20)</f>
        <v>-240.18207636971357</v>
      </c>
      <c r="J312">
        <f>_xlfn.RANK.EQ(F[[#This Row],[Value]],F[Value])</f>
        <v>338</v>
      </c>
      <c r="K312" s="10">
        <f>F[[#This Row],[Value]]-_xlfn.XLOOKUP($G$497,F[Value Rk],F[Value],,-1)</f>
        <v>-639.59591499546013</v>
      </c>
    </row>
    <row r="313" spans="1:11" ht="15.75" thickBot="1" x14ac:dyDescent="0.3">
      <c r="A313" s="108" t="s">
        <v>1008</v>
      </c>
      <c r="D313" s="57"/>
      <c r="E313" s="57"/>
      <c r="F313" s="17"/>
      <c r="I313" s="10">
        <f>INDEX(Std[],MATCH(F[[#This Row],[Player]],Std[Player],0),20)</f>
        <v>-223.20891940146828</v>
      </c>
      <c r="J313">
        <f>_xlfn.RANK.EQ(F[[#This Row],[Value]],F[Value])</f>
        <v>330</v>
      </c>
      <c r="K313" s="10">
        <f>F[[#This Row],[Value]]-_xlfn.XLOOKUP($G$497,F[Value Rk],F[Value],,-1)</f>
        <v>-622.6227580272149</v>
      </c>
    </row>
    <row r="314" spans="1:11" ht="15.75" thickBot="1" x14ac:dyDescent="0.3">
      <c r="A314" s="108" t="s">
        <v>708</v>
      </c>
      <c r="D314" s="57"/>
      <c r="E314" s="57"/>
      <c r="F314" s="17"/>
      <c r="I314" s="10">
        <f>INDEX(Std[],MATCH(F[[#This Row],[Player]],Std[Player],0),20)</f>
        <v>-47.281644543152844</v>
      </c>
      <c r="J314">
        <f>_xlfn.RANK.EQ(F[[#This Row],[Value]],F[Value])</f>
        <v>262</v>
      </c>
      <c r="K314" s="10">
        <f>F[[#This Row],[Value]]-_xlfn.XLOOKUP($G$497,F[Value Rk],F[Value],,-1)</f>
        <v>-446.69548316889944</v>
      </c>
    </row>
    <row r="315" spans="1:11" ht="15.75" thickBot="1" x14ac:dyDescent="0.3">
      <c r="A315" s="108" t="s">
        <v>811</v>
      </c>
      <c r="D315" s="57"/>
      <c r="E315" s="57"/>
      <c r="F315" s="17"/>
      <c r="I315" s="10">
        <f>INDEX(Std[],MATCH(F[[#This Row],[Player]],Std[Player],0),20)</f>
        <v>-248.46803758414686</v>
      </c>
      <c r="J315">
        <f>_xlfn.RANK.EQ(F[[#This Row],[Value]],F[Value])</f>
        <v>340</v>
      </c>
      <c r="K315" s="10">
        <f>F[[#This Row],[Value]]-_xlfn.XLOOKUP($G$497,F[Value Rk],F[Value],,-1)</f>
        <v>-647.88187620989345</v>
      </c>
    </row>
    <row r="316" spans="1:11" ht="15.75" thickBot="1" x14ac:dyDescent="0.3">
      <c r="A316" s="108" t="s">
        <v>481</v>
      </c>
      <c r="D316" s="57"/>
      <c r="E316" s="57"/>
      <c r="F316" s="17"/>
      <c r="I316" s="10">
        <f>INDEX(Std[],MATCH(F[[#This Row],[Player]],Std[Player],0),20)</f>
        <v>-245.91400586588242</v>
      </c>
      <c r="J316">
        <f>_xlfn.RANK.EQ(F[[#This Row],[Value]],F[Value])</f>
        <v>339</v>
      </c>
      <c r="K316" s="10">
        <f>F[[#This Row],[Value]]-_xlfn.XLOOKUP($G$497,F[Value Rk],F[Value],,-1)</f>
        <v>-645.32784449162909</v>
      </c>
    </row>
    <row r="317" spans="1:11" ht="15.75" thickBot="1" x14ac:dyDescent="0.3">
      <c r="A317" s="108" t="s">
        <v>665</v>
      </c>
      <c r="D317" s="57"/>
      <c r="E317" s="57"/>
      <c r="F317" s="17"/>
      <c r="I317" s="10">
        <f>INDEX(Std[],MATCH(F[[#This Row],[Player]],Std[Player],0),20)</f>
        <v>-237.25787436905873</v>
      </c>
      <c r="J317">
        <f>_xlfn.RANK.EQ(F[[#This Row],[Value]],F[Value])</f>
        <v>335</v>
      </c>
      <c r="K317" s="10">
        <f>F[[#This Row],[Value]]-_xlfn.XLOOKUP($G$497,F[Value Rk],F[Value],,-1)</f>
        <v>-636.67171299480538</v>
      </c>
    </row>
    <row r="318" spans="1:11" ht="15.75" thickBot="1" x14ac:dyDescent="0.3">
      <c r="A318" s="108" t="s">
        <v>603</v>
      </c>
      <c r="D318" s="57"/>
      <c r="E318" s="57"/>
      <c r="F318" s="17"/>
      <c r="I318" s="10">
        <f>INDEX(Std[],MATCH(F[[#This Row],[Player]],Std[Player],0),20)</f>
        <v>-252.39165195285267</v>
      </c>
      <c r="J318">
        <f>_xlfn.RANK.EQ(F[[#This Row],[Value]],F[Value])</f>
        <v>341</v>
      </c>
      <c r="K318" s="10">
        <f>F[[#This Row],[Value]]-_xlfn.XLOOKUP($G$497,F[Value Rk],F[Value],,-1)</f>
        <v>-651.80549057859935</v>
      </c>
    </row>
    <row r="319" spans="1:11" ht="15.75" thickBot="1" x14ac:dyDescent="0.3">
      <c r="A319" s="108" t="s">
        <v>568</v>
      </c>
      <c r="D319" s="57"/>
      <c r="E319" s="57"/>
      <c r="F319" s="17"/>
      <c r="I319" s="10">
        <f>INDEX(Std[],MATCH(F[[#This Row],[Player]],Std[Player],0),20)</f>
        <v>-238.89241491952978</v>
      </c>
      <c r="J319">
        <f>_xlfn.RANK.EQ(F[[#This Row],[Value]],F[Value])</f>
        <v>336</v>
      </c>
      <c r="K319" s="10">
        <f>F[[#This Row],[Value]]-_xlfn.XLOOKUP($G$497,F[Value Rk],F[Value],,-1)</f>
        <v>-638.30625354527638</v>
      </c>
    </row>
    <row r="320" spans="1:11" ht="15.75" thickBot="1" x14ac:dyDescent="0.3">
      <c r="A320" s="108" t="s">
        <v>751</v>
      </c>
      <c r="D320" s="57"/>
      <c r="E320" s="57"/>
      <c r="F320" s="17"/>
      <c r="I320" s="10">
        <f>INDEX(Std[],MATCH(F[[#This Row],[Player]],Std[Player],0),20)</f>
        <v>-102.90209097521436</v>
      </c>
      <c r="J320">
        <f>_xlfn.RANK.EQ(F[[#This Row],[Value]],F[Value])</f>
        <v>287</v>
      </c>
      <c r="K320" s="10">
        <f>F[[#This Row],[Value]]-_xlfn.XLOOKUP($G$497,F[Value Rk],F[Value],,-1)</f>
        <v>-502.315929600961</v>
      </c>
    </row>
    <row r="321" spans="1:11" ht="15.75" thickBot="1" x14ac:dyDescent="0.3">
      <c r="A321" s="108" t="s">
        <v>446</v>
      </c>
      <c r="D321" s="57"/>
      <c r="E321" s="57"/>
      <c r="F321" s="17"/>
      <c r="I321" s="10">
        <f>INDEX(Std[],MATCH(F[[#This Row],[Player]],Std[Player],0),20)</f>
        <v>14.14770922853087</v>
      </c>
      <c r="J321">
        <f>_xlfn.RANK.EQ(F[[#This Row],[Value]],F[Value])</f>
        <v>241</v>
      </c>
      <c r="K321" s="10">
        <f>F[[#This Row],[Value]]-_xlfn.XLOOKUP($G$497,F[Value Rk],F[Value],,-1)</f>
        <v>-385.26612939721576</v>
      </c>
    </row>
    <row r="322" spans="1:11" ht="15.75" thickBot="1" x14ac:dyDescent="0.3">
      <c r="A322" s="108" t="s">
        <v>726</v>
      </c>
      <c r="D322" s="57"/>
      <c r="E322" s="57"/>
      <c r="F322" s="17"/>
      <c r="I322" s="10">
        <f>INDEX(Std[],MATCH(F[[#This Row],[Player]],Std[Player],0),20)</f>
        <v>-173.05656634156742</v>
      </c>
      <c r="J322">
        <f>_xlfn.RANK.EQ(F[[#This Row],[Value]],F[Value])</f>
        <v>308</v>
      </c>
      <c r="K322" s="10">
        <f>F[[#This Row],[Value]]-_xlfn.XLOOKUP($G$497,F[Value Rk],F[Value],,-1)</f>
        <v>-572.47040496731404</v>
      </c>
    </row>
    <row r="323" spans="1:11" ht="15.75" thickBot="1" x14ac:dyDescent="0.3">
      <c r="A323" s="108" t="s">
        <v>575</v>
      </c>
      <c r="D323" s="57"/>
      <c r="E323" s="57"/>
      <c r="F323" s="17"/>
      <c r="I323" s="10">
        <f>INDEX(Std[],MATCH(F[[#This Row],[Player]],Std[Player],0),20)</f>
        <v>-260.32617771070574</v>
      </c>
      <c r="J323">
        <f>_xlfn.RANK.EQ(F[[#This Row],[Value]],F[Value])</f>
        <v>344</v>
      </c>
      <c r="K323" s="10">
        <f>F[[#This Row],[Value]]-_xlfn.XLOOKUP($G$497,F[Value Rk],F[Value],,-1)</f>
        <v>-659.7400163364523</v>
      </c>
    </row>
    <row r="324" spans="1:11" ht="15.75" thickBot="1" x14ac:dyDescent="0.3">
      <c r="A324" s="108" t="s">
        <v>682</v>
      </c>
      <c r="D324" s="57"/>
      <c r="E324" s="57"/>
      <c r="F324" s="17"/>
      <c r="I324" s="10">
        <f>INDEX(Std[],MATCH(F[[#This Row],[Player]],Std[Player],0),20)</f>
        <v>-258.86183778402733</v>
      </c>
      <c r="J324">
        <f>_xlfn.RANK.EQ(F[[#This Row],[Value]],F[Value])</f>
        <v>343</v>
      </c>
      <c r="K324" s="10">
        <f>F[[#This Row],[Value]]-_xlfn.XLOOKUP($G$497,F[Value Rk],F[Value],,-1)</f>
        <v>-658.27567640977395</v>
      </c>
    </row>
    <row r="325" spans="1:11" ht="15.75" thickBot="1" x14ac:dyDescent="0.3">
      <c r="A325" s="108" t="s">
        <v>744</v>
      </c>
      <c r="D325" s="57"/>
      <c r="E325" s="57"/>
      <c r="F325" s="17"/>
      <c r="I325" s="10">
        <f>INDEX(Std[],MATCH(F[[#This Row],[Player]],Std[Player],0),20)</f>
        <v>-265.43993734702724</v>
      </c>
      <c r="J325">
        <f>_xlfn.RANK.EQ(F[[#This Row],[Value]],F[Value])</f>
        <v>347</v>
      </c>
      <c r="K325" s="10">
        <f>F[[#This Row],[Value]]-_xlfn.XLOOKUP($G$497,F[Value Rk],F[Value],,-1)</f>
        <v>-664.85377597277386</v>
      </c>
    </row>
    <row r="326" spans="1:11" ht="15.75" thickBot="1" x14ac:dyDescent="0.3">
      <c r="A326" s="108" t="s">
        <v>756</v>
      </c>
      <c r="D326" s="57"/>
      <c r="E326" s="57"/>
      <c r="F326" s="17"/>
      <c r="I326" s="10">
        <f>INDEX(Std[],MATCH(F[[#This Row],[Player]],Std[Player],0),20)</f>
        <v>-48.834989905769667</v>
      </c>
      <c r="J326">
        <f>_xlfn.RANK.EQ(F[[#This Row],[Value]],F[Value])</f>
        <v>264</v>
      </c>
      <c r="K326" s="10">
        <f>F[[#This Row],[Value]]-_xlfn.XLOOKUP($G$497,F[Value Rk],F[Value],,-1)</f>
        <v>-448.24882853151627</v>
      </c>
    </row>
    <row r="327" spans="1:11" ht="15.75" thickBot="1" x14ac:dyDescent="0.3">
      <c r="A327" s="108" t="s">
        <v>898</v>
      </c>
      <c r="D327" s="57"/>
      <c r="E327" s="57"/>
      <c r="F327" s="17"/>
      <c r="I327" s="10">
        <f>INDEX(Std[],MATCH(F[[#This Row],[Player]],Std[Player],0),20)</f>
        <v>-64.303384548616052</v>
      </c>
      <c r="J327">
        <f>_xlfn.RANK.EQ(F[[#This Row],[Value]],F[Value])</f>
        <v>273</v>
      </c>
      <c r="K327" s="10">
        <f>F[[#This Row],[Value]]-_xlfn.XLOOKUP($G$497,F[Value Rk],F[Value],,-1)</f>
        <v>-463.71722317436269</v>
      </c>
    </row>
    <row r="328" spans="1:11" ht="15.75" thickBot="1" x14ac:dyDescent="0.3">
      <c r="A328" s="108" t="s">
        <v>627</v>
      </c>
      <c r="D328" s="57"/>
      <c r="E328" s="57"/>
      <c r="F328" s="17"/>
      <c r="I328" s="10">
        <f>INDEX(Std[],MATCH(F[[#This Row],[Player]],Std[Player],0),20)</f>
        <v>-265.62153644719467</v>
      </c>
      <c r="J328">
        <f>_xlfn.RANK.EQ(F[[#This Row],[Value]],F[Value])</f>
        <v>348</v>
      </c>
      <c r="K328" s="10">
        <f>F[[#This Row],[Value]]-_xlfn.XLOOKUP($G$497,F[Value Rk],F[Value],,-1)</f>
        <v>-665.03537507294129</v>
      </c>
    </row>
    <row r="329" spans="1:11" ht="15.75" thickBot="1" x14ac:dyDescent="0.3">
      <c r="A329" s="108" t="s">
        <v>830</v>
      </c>
      <c r="D329" s="57"/>
      <c r="E329" s="57"/>
      <c r="F329" s="17"/>
      <c r="I329" s="10">
        <f>INDEX(Std[],MATCH(F[[#This Row],[Player]],Std[Player],0),20)</f>
        <v>-255.56675753504038</v>
      </c>
      <c r="J329">
        <f>_xlfn.RANK.EQ(F[[#This Row],[Value]],F[Value])</f>
        <v>342</v>
      </c>
      <c r="K329" s="10">
        <f>F[[#This Row],[Value]]-_xlfn.XLOOKUP($G$497,F[Value Rk],F[Value],,-1)</f>
        <v>-654.98059616078694</v>
      </c>
    </row>
    <row r="330" spans="1:11" ht="15.75" thickBot="1" x14ac:dyDescent="0.3">
      <c r="A330" s="108" t="s">
        <v>473</v>
      </c>
      <c r="D330" s="57"/>
      <c r="E330" s="57"/>
      <c r="F330" s="17"/>
      <c r="I330" s="10">
        <f>INDEX(Std[],MATCH(F[[#This Row],[Player]],Std[Player],0),20)</f>
        <v>2.5254890019006311</v>
      </c>
      <c r="J330">
        <f>_xlfn.RANK.EQ(F[[#This Row],[Value]],F[Value])</f>
        <v>248</v>
      </c>
      <c r="K330" s="10">
        <f>F[[#This Row],[Value]]-_xlfn.XLOOKUP($G$497,F[Value Rk],F[Value],,-1)</f>
        <v>-396.88834962384601</v>
      </c>
    </row>
    <row r="331" spans="1:11" ht="15.75" thickBot="1" x14ac:dyDescent="0.3">
      <c r="A331" s="108" t="s">
        <v>650</v>
      </c>
      <c r="D331" s="57"/>
      <c r="E331" s="57"/>
      <c r="F331" s="17"/>
      <c r="I331" s="10">
        <f>INDEX(Std[],MATCH(F[[#This Row],[Player]],Std[Player],0),20)</f>
        <v>-215.0862629107869</v>
      </c>
      <c r="J331">
        <f>_xlfn.RANK.EQ(F[[#This Row],[Value]],F[Value])</f>
        <v>323</v>
      </c>
      <c r="K331" s="10">
        <f>F[[#This Row],[Value]]-_xlfn.XLOOKUP($G$497,F[Value Rk],F[Value],,-1)</f>
        <v>-614.50010153653352</v>
      </c>
    </row>
    <row r="332" spans="1:11" ht="15.75" thickBot="1" x14ac:dyDescent="0.3">
      <c r="A332" s="108" t="s">
        <v>701</v>
      </c>
      <c r="D332" s="57"/>
      <c r="E332" s="57"/>
      <c r="F332" s="17"/>
      <c r="I332" s="10">
        <f>INDEX(Std[],MATCH(F[[#This Row],[Player]],Std[Player],0),20)</f>
        <v>-149.44827030465788</v>
      </c>
      <c r="J332">
        <f>_xlfn.RANK.EQ(F[[#This Row],[Value]],F[Value])</f>
        <v>300</v>
      </c>
      <c r="K332" s="10">
        <f>F[[#This Row],[Value]]-_xlfn.XLOOKUP($G$497,F[Value Rk],F[Value],,-1)</f>
        <v>-548.86210893040447</v>
      </c>
    </row>
    <row r="333" spans="1:11" ht="15.75" thickBot="1" x14ac:dyDescent="0.3">
      <c r="A333" s="108" t="s">
        <v>523</v>
      </c>
      <c r="D333" s="57"/>
      <c r="E333" s="57"/>
      <c r="F333" s="17"/>
      <c r="I333" s="10">
        <f>INDEX(Std[],MATCH(F[[#This Row],[Player]],Std[Player],0),20)</f>
        <v>-261.80839632297887</v>
      </c>
      <c r="J333">
        <f>_xlfn.RANK.EQ(F[[#This Row],[Value]],F[Value])</f>
        <v>345</v>
      </c>
      <c r="K333" s="10">
        <f>F[[#This Row],[Value]]-_xlfn.XLOOKUP($G$497,F[Value Rk],F[Value],,-1)</f>
        <v>-661.22223494872549</v>
      </c>
    </row>
    <row r="334" spans="1:11" ht="15.75" thickBot="1" x14ac:dyDescent="0.3">
      <c r="A334" s="108" t="s">
        <v>997</v>
      </c>
      <c r="D334" s="57"/>
      <c r="E334" s="57"/>
      <c r="F334" s="17"/>
      <c r="I334" s="10">
        <f>INDEX(Std[],MATCH(F[[#This Row],[Player]],Std[Player],0),20)</f>
        <v>-274.71607904786248</v>
      </c>
      <c r="J334">
        <f>_xlfn.RANK.EQ(F[[#This Row],[Value]],F[Value])</f>
        <v>351</v>
      </c>
      <c r="K334" s="10">
        <f>F[[#This Row],[Value]]-_xlfn.XLOOKUP($G$497,F[Value Rk],F[Value],,-1)</f>
        <v>-674.12991767360904</v>
      </c>
    </row>
    <row r="335" spans="1:11" ht="15.75" thickBot="1" x14ac:dyDescent="0.3">
      <c r="A335" s="108" t="s">
        <v>790</v>
      </c>
      <c r="D335" s="57"/>
      <c r="E335" s="57"/>
      <c r="F335" s="17"/>
      <c r="I335" s="10">
        <f>INDEX(Std[],MATCH(F[[#This Row],[Player]],Std[Player],0),20)</f>
        <v>-281.8962384024407</v>
      </c>
      <c r="J335">
        <f>_xlfn.RANK.EQ(F[[#This Row],[Value]],F[Value])</f>
        <v>353</v>
      </c>
      <c r="K335" s="10">
        <f>F[[#This Row],[Value]]-_xlfn.XLOOKUP($G$497,F[Value Rk],F[Value],,-1)</f>
        <v>-681.31007702818738</v>
      </c>
    </row>
    <row r="336" spans="1:11" ht="15.75" thickBot="1" x14ac:dyDescent="0.3">
      <c r="A336" s="108" t="s">
        <v>697</v>
      </c>
      <c r="D336" s="57"/>
      <c r="E336" s="57"/>
      <c r="F336" s="17"/>
      <c r="I336" s="10">
        <f>INDEX(Std[],MATCH(F[[#This Row],[Player]],Std[Player],0),20)</f>
        <v>-75.409319183694606</v>
      </c>
      <c r="J336">
        <f>_xlfn.RANK.EQ(F[[#This Row],[Value]],F[Value])</f>
        <v>278</v>
      </c>
      <c r="K336" s="10">
        <f>F[[#This Row],[Value]]-_xlfn.XLOOKUP($G$497,F[Value Rk],F[Value],,-1)</f>
        <v>-474.82315780944123</v>
      </c>
    </row>
    <row r="337" spans="1:11" ht="15.75" thickBot="1" x14ac:dyDescent="0.3">
      <c r="A337" s="108" t="s">
        <v>1216</v>
      </c>
      <c r="D337" s="57"/>
      <c r="E337" s="57"/>
      <c r="F337" s="17"/>
      <c r="I337" s="10">
        <f>INDEX(Std[],MATCH(F[[#This Row],[Player]],Std[Player],0),20)</f>
        <v>-286.59020691753426</v>
      </c>
      <c r="J337">
        <f>_xlfn.RANK.EQ(F[[#This Row],[Value]],F[Value])</f>
        <v>354</v>
      </c>
      <c r="K337" s="10">
        <f>F[[#This Row],[Value]]-_xlfn.XLOOKUP($G$497,F[Value Rk],F[Value],,-1)</f>
        <v>-686.00404554328088</v>
      </c>
    </row>
    <row r="338" spans="1:11" ht="15.75" thickBot="1" x14ac:dyDescent="0.3">
      <c r="A338" s="108" t="s">
        <v>806</v>
      </c>
      <c r="D338" s="57"/>
      <c r="E338" s="57"/>
      <c r="F338" s="17"/>
      <c r="I338" s="10">
        <f>INDEX(Std[],MATCH(F[[#This Row],[Player]],Std[Player],0),20)</f>
        <v>-203.9700762956561</v>
      </c>
      <c r="J338">
        <f>_xlfn.RANK.EQ(F[[#This Row],[Value]],F[Value])</f>
        <v>318</v>
      </c>
      <c r="K338" s="10">
        <f>F[[#This Row],[Value]]-_xlfn.XLOOKUP($G$497,F[Value Rk],F[Value],,-1)</f>
        <v>-603.38391492140272</v>
      </c>
    </row>
    <row r="339" spans="1:11" ht="15.75" thickBot="1" x14ac:dyDescent="0.3">
      <c r="A339" s="108" t="s">
        <v>987</v>
      </c>
      <c r="D339" s="57"/>
      <c r="E339" s="57"/>
      <c r="F339" s="17"/>
      <c r="I339" s="10">
        <f>INDEX(Std[],MATCH(F[[#This Row],[Player]],Std[Player],0),20)</f>
        <v>-213.16676781177713</v>
      </c>
      <c r="J339">
        <f>_xlfn.RANK.EQ(F[[#This Row],[Value]],F[Value])</f>
        <v>322</v>
      </c>
      <c r="K339" s="10">
        <f>F[[#This Row],[Value]]-_xlfn.XLOOKUP($G$497,F[Value Rk],F[Value],,-1)</f>
        <v>-612.58060643752378</v>
      </c>
    </row>
    <row r="340" spans="1:11" ht="15.75" thickBot="1" x14ac:dyDescent="0.3">
      <c r="A340" s="108" t="s">
        <v>490</v>
      </c>
      <c r="D340" s="57"/>
      <c r="E340" s="57"/>
      <c r="F340" s="17"/>
      <c r="I340" s="10">
        <f>INDEX(Std[],MATCH(F[[#This Row],[Player]],Std[Player],0),20)</f>
        <v>-301.63678451204413</v>
      </c>
      <c r="J340">
        <f>_xlfn.RANK.EQ(F[[#This Row],[Value]],F[Value])</f>
        <v>361</v>
      </c>
      <c r="K340" s="10">
        <f>F[[#This Row],[Value]]-_xlfn.XLOOKUP($G$497,F[Value Rk],F[Value],,-1)</f>
        <v>-701.05062313779081</v>
      </c>
    </row>
    <row r="341" spans="1:11" ht="15.75" thickBot="1" x14ac:dyDescent="0.3">
      <c r="A341" s="108" t="s">
        <v>1141</v>
      </c>
      <c r="D341" s="57"/>
      <c r="E341" s="57"/>
      <c r="F341" s="17"/>
      <c r="I341" s="10">
        <f>INDEX(Std[],MATCH(F[[#This Row],[Player]],Std[Player],0),20)</f>
        <v>-276.6682601192166</v>
      </c>
      <c r="J341">
        <f>_xlfn.RANK.EQ(F[[#This Row],[Value]],F[Value])</f>
        <v>352</v>
      </c>
      <c r="K341" s="10">
        <f>F[[#This Row],[Value]]-_xlfn.XLOOKUP($G$497,F[Value Rk],F[Value],,-1)</f>
        <v>-676.08209874496322</v>
      </c>
    </row>
    <row r="342" spans="1:11" ht="15.75" thickBot="1" x14ac:dyDescent="0.3">
      <c r="A342" s="108" t="s">
        <v>916</v>
      </c>
      <c r="D342" s="57"/>
      <c r="E342" s="57"/>
      <c r="F342" s="17"/>
      <c r="I342" s="10">
        <f>INDEX(Std[],MATCH(F[[#This Row],[Player]],Std[Player],0),20)</f>
        <v>-199.96230012125383</v>
      </c>
      <c r="J342">
        <f>_xlfn.RANK.EQ(F[[#This Row],[Value]],F[Value])</f>
        <v>316</v>
      </c>
      <c r="K342" s="10">
        <f>F[[#This Row],[Value]]-_xlfn.XLOOKUP($G$497,F[Value Rk],F[Value],,-1)</f>
        <v>-599.37613874700048</v>
      </c>
    </row>
    <row r="343" spans="1:11" ht="15.75" thickBot="1" x14ac:dyDescent="0.3">
      <c r="A343" s="108" t="s">
        <v>680</v>
      </c>
      <c r="D343" s="57"/>
      <c r="E343" s="57"/>
      <c r="F343" s="17"/>
      <c r="I343" s="10">
        <f>INDEX(Std[],MATCH(F[[#This Row],[Player]],Std[Player],0),20)</f>
        <v>-300.56991491581471</v>
      </c>
      <c r="J343">
        <f>_xlfn.RANK.EQ(F[[#This Row],[Value]],F[Value])</f>
        <v>359</v>
      </c>
      <c r="K343" s="10">
        <f>F[[#This Row],[Value]]-_xlfn.XLOOKUP($G$497,F[Value Rk],F[Value],,-1)</f>
        <v>-699.98375354156133</v>
      </c>
    </row>
    <row r="344" spans="1:11" ht="15.75" thickBot="1" x14ac:dyDescent="0.3">
      <c r="A344" s="108" t="s">
        <v>716</v>
      </c>
      <c r="D344" s="57"/>
      <c r="E344" s="57"/>
      <c r="F344" s="17"/>
      <c r="I344" s="10">
        <f>INDEX(Std[],MATCH(F[[#This Row],[Player]],Std[Player],0),20)</f>
        <v>-298.74213672324311</v>
      </c>
      <c r="J344">
        <f>_xlfn.RANK.EQ(F[[#This Row],[Value]],F[Value])</f>
        <v>358</v>
      </c>
      <c r="K344" s="10">
        <f>F[[#This Row],[Value]]-_xlfn.XLOOKUP($G$497,F[Value Rk],F[Value],,-1)</f>
        <v>-698.15597534898973</v>
      </c>
    </row>
    <row r="345" spans="1:11" ht="15.75" thickBot="1" x14ac:dyDescent="0.3">
      <c r="A345" s="108" t="s">
        <v>638</v>
      </c>
      <c r="D345" s="57"/>
      <c r="E345" s="57"/>
      <c r="F345" s="17"/>
      <c r="I345" s="10">
        <f>INDEX(Std[],MATCH(F[[#This Row],[Player]],Std[Player],0),20)</f>
        <v>-198.86308072506614</v>
      </c>
      <c r="J345">
        <f>_xlfn.RANK.EQ(F[[#This Row],[Value]],F[Value])</f>
        <v>315</v>
      </c>
      <c r="K345" s="10">
        <f>F[[#This Row],[Value]]-_xlfn.XLOOKUP($G$497,F[Value Rk],F[Value],,-1)</f>
        <v>-598.2769193508127</v>
      </c>
    </row>
    <row r="346" spans="1:11" ht="15.75" thickBot="1" x14ac:dyDescent="0.3">
      <c r="A346" s="108" t="s">
        <v>768</v>
      </c>
      <c r="D346" s="57"/>
      <c r="E346" s="57"/>
      <c r="F346" s="17"/>
      <c r="I346" s="10">
        <f>INDEX(Std[],MATCH(F[[#This Row],[Player]],Std[Player],0),20)</f>
        <v>-305.17780036215089</v>
      </c>
      <c r="J346">
        <f>_xlfn.RANK.EQ(F[[#This Row],[Value]],F[Value])</f>
        <v>362</v>
      </c>
      <c r="K346" s="10">
        <f>F[[#This Row],[Value]]-_xlfn.XLOOKUP($G$497,F[Value Rk],F[Value],,-1)</f>
        <v>-704.59163898789757</v>
      </c>
    </row>
    <row r="347" spans="1:11" ht="15.75" thickBot="1" x14ac:dyDescent="0.3">
      <c r="A347" s="108" t="s">
        <v>905</v>
      </c>
      <c r="D347" s="57"/>
      <c r="E347" s="57"/>
      <c r="F347" s="17"/>
      <c r="I347" s="10">
        <f>INDEX(Std[],MATCH(F[[#This Row],[Player]],Std[Player],0),20)</f>
        <v>-211.47231380487989</v>
      </c>
      <c r="J347">
        <f>_xlfn.RANK.EQ(F[[#This Row],[Value]],F[Value])</f>
        <v>320</v>
      </c>
      <c r="K347" s="10">
        <f>F[[#This Row],[Value]]-_xlfn.XLOOKUP($G$497,F[Value Rk],F[Value],,-1)</f>
        <v>-610.88615243062645</v>
      </c>
    </row>
    <row r="348" spans="1:11" ht="15.75" thickBot="1" x14ac:dyDescent="0.3">
      <c r="A348" s="108" t="s">
        <v>611</v>
      </c>
      <c r="D348" s="57"/>
      <c r="E348" s="57"/>
      <c r="F348" s="17"/>
      <c r="I348" s="10">
        <f>INDEX(Std[],MATCH(F[[#This Row],[Player]],Std[Player],0),20)</f>
        <v>-289.39816750392612</v>
      </c>
      <c r="J348">
        <f>_xlfn.RANK.EQ(F[[#This Row],[Value]],F[Value])</f>
        <v>356</v>
      </c>
      <c r="K348" s="10">
        <f>F[[#This Row],[Value]]-_xlfn.XLOOKUP($G$497,F[Value Rk],F[Value],,-1)</f>
        <v>-688.81200612967268</v>
      </c>
    </row>
    <row r="349" spans="1:11" ht="15.75" thickBot="1" x14ac:dyDescent="0.3">
      <c r="A349" s="108" t="s">
        <v>738</v>
      </c>
      <c r="D349" s="57"/>
      <c r="E349" s="57"/>
      <c r="F349" s="17"/>
      <c r="I349" s="10">
        <f>INDEX(Std[],MATCH(F[[#This Row],[Player]],Std[Player],0),20)</f>
        <v>-234.70023254757524</v>
      </c>
      <c r="J349">
        <f>_xlfn.RANK.EQ(F[[#This Row],[Value]],F[Value])</f>
        <v>333</v>
      </c>
      <c r="K349" s="10">
        <f>F[[#This Row],[Value]]-_xlfn.XLOOKUP($G$497,F[Value Rk],F[Value],,-1)</f>
        <v>-634.11407117332192</v>
      </c>
    </row>
    <row r="350" spans="1:11" ht="15.75" thickBot="1" x14ac:dyDescent="0.3">
      <c r="A350" s="108" t="s">
        <v>1003</v>
      </c>
      <c r="D350" s="57"/>
      <c r="E350" s="57"/>
      <c r="F350" s="17"/>
      <c r="I350" s="10">
        <f>INDEX(Std[],MATCH(F[[#This Row],[Player]],Std[Player],0),20)</f>
        <v>-150.04179997209835</v>
      </c>
      <c r="J350">
        <f>_xlfn.RANK.EQ(F[[#This Row],[Value]],F[Value])</f>
        <v>301</v>
      </c>
      <c r="K350" s="10">
        <f>F[[#This Row],[Value]]-_xlfn.XLOOKUP($G$497,F[Value Rk],F[Value],,-1)</f>
        <v>-549.455638597845</v>
      </c>
    </row>
    <row r="351" spans="1:11" ht="15.75" thickBot="1" x14ac:dyDescent="0.3">
      <c r="A351" s="108" t="s">
        <v>591</v>
      </c>
      <c r="D351" s="57"/>
      <c r="E351" s="57"/>
      <c r="F351" s="17"/>
      <c r="I351" s="10">
        <f>INDEX(Std[],MATCH(F[[#This Row],[Player]],Std[Player],0),20)</f>
        <v>-232.45439206109086</v>
      </c>
      <c r="J351">
        <f>_xlfn.RANK.EQ(F[[#This Row],[Value]],F[Value])</f>
        <v>331</v>
      </c>
      <c r="K351" s="10">
        <f>F[[#This Row],[Value]]-_xlfn.XLOOKUP($G$497,F[Value Rk],F[Value],,-1)</f>
        <v>-631.86823068683748</v>
      </c>
    </row>
    <row r="352" spans="1:11" ht="15.75" thickBot="1" x14ac:dyDescent="0.3">
      <c r="A352" s="108" t="s">
        <v>770</v>
      </c>
      <c r="D352" s="57"/>
      <c r="E352" s="57"/>
      <c r="F352" s="17"/>
      <c r="I352" s="10">
        <f>INDEX(Std[],MATCH(F[[#This Row],[Player]],Std[Player],0),20)</f>
        <v>-40.927328898601864</v>
      </c>
      <c r="J352">
        <f>_xlfn.RANK.EQ(F[[#This Row],[Value]],F[Value])</f>
        <v>259</v>
      </c>
      <c r="K352" s="10">
        <f>F[[#This Row],[Value]]-_xlfn.XLOOKUP($G$497,F[Value Rk],F[Value],,-1)</f>
        <v>-440.34116752434846</v>
      </c>
    </row>
    <row r="353" spans="1:11" ht="15.75" thickBot="1" x14ac:dyDescent="0.3">
      <c r="A353" s="108" t="s">
        <v>676</v>
      </c>
      <c r="D353" s="57"/>
      <c r="E353" s="57"/>
      <c r="F353" s="17"/>
      <c r="I353" s="10">
        <f>INDEX(Std[],MATCH(F[[#This Row],[Player]],Std[Player],0),20)</f>
        <v>-220.86271273016703</v>
      </c>
      <c r="J353">
        <f>_xlfn.RANK.EQ(F[[#This Row],[Value]],F[Value])</f>
        <v>327</v>
      </c>
      <c r="K353" s="10">
        <f>F[[#This Row],[Value]]-_xlfn.XLOOKUP($G$497,F[Value Rk],F[Value],,-1)</f>
        <v>-620.27655135591363</v>
      </c>
    </row>
    <row r="354" spans="1:11" ht="15.75" thickBot="1" x14ac:dyDescent="0.3">
      <c r="A354" s="108" t="s">
        <v>761</v>
      </c>
      <c r="D354" s="57"/>
      <c r="E354" s="57"/>
      <c r="F354" s="17"/>
      <c r="I354" s="10">
        <f>INDEX(Std[],MATCH(F[[#This Row],[Player]],Std[Player],0),20)</f>
        <v>-329.04757948383013</v>
      </c>
      <c r="J354">
        <f>_xlfn.RANK.EQ(F[[#This Row],[Value]],F[Value])</f>
        <v>367</v>
      </c>
      <c r="K354" s="10">
        <f>F[[#This Row],[Value]]-_xlfn.XLOOKUP($G$497,F[Value Rk],F[Value],,-1)</f>
        <v>-728.4614181095767</v>
      </c>
    </row>
    <row r="355" spans="1:11" ht="15.75" thickBot="1" x14ac:dyDescent="0.3">
      <c r="A355" s="108" t="s">
        <v>660</v>
      </c>
      <c r="D355" s="57"/>
      <c r="E355" s="57"/>
      <c r="F355" s="17"/>
      <c r="I355" s="10">
        <f>INDEX(Std[],MATCH(F[[#This Row],[Player]],Std[Player],0),20)</f>
        <v>-330.33957849925019</v>
      </c>
      <c r="J355">
        <f>_xlfn.RANK.EQ(F[[#This Row],[Value]],F[Value])</f>
        <v>368</v>
      </c>
      <c r="K355" s="10">
        <f>F[[#This Row],[Value]]-_xlfn.XLOOKUP($G$497,F[Value Rk],F[Value],,-1)</f>
        <v>-729.75341712499676</v>
      </c>
    </row>
    <row r="356" spans="1:11" ht="15.75" thickBot="1" x14ac:dyDescent="0.3">
      <c r="A356" s="108" t="s">
        <v>648</v>
      </c>
      <c r="D356" s="57"/>
      <c r="E356" s="57"/>
      <c r="F356" s="17"/>
      <c r="I356" s="10">
        <f>INDEX(Std[],MATCH(F[[#This Row],[Player]],Std[Player],0),20)</f>
        <v>-345.38953806863981</v>
      </c>
      <c r="J356">
        <f>_xlfn.RANK.EQ(F[[#This Row],[Value]],F[Value])</f>
        <v>371</v>
      </c>
      <c r="K356" s="10">
        <f>F[[#This Row],[Value]]-_xlfn.XLOOKUP($G$497,F[Value Rk],F[Value],,-1)</f>
        <v>-744.80337669438643</v>
      </c>
    </row>
    <row r="357" spans="1:11" ht="15.75" thickBot="1" x14ac:dyDescent="0.3">
      <c r="A357" s="108" t="s">
        <v>694</v>
      </c>
      <c r="D357" s="57"/>
      <c r="E357" s="57"/>
      <c r="F357" s="17"/>
      <c r="I357" s="10">
        <f>INDEX(Std[],MATCH(F[[#This Row],[Player]],Std[Player],0),20)</f>
        <v>-212.41704916309939</v>
      </c>
      <c r="J357">
        <f>_xlfn.RANK.EQ(F[[#This Row],[Value]],F[Value])</f>
        <v>321</v>
      </c>
      <c r="K357" s="10">
        <f>F[[#This Row],[Value]]-_xlfn.XLOOKUP($G$497,F[Value Rk],F[Value],,-1)</f>
        <v>-611.83088778884598</v>
      </c>
    </row>
    <row r="358" spans="1:11" ht="15.75" thickBot="1" x14ac:dyDescent="0.3">
      <c r="A358" s="108" t="s">
        <v>938</v>
      </c>
      <c r="D358" s="57"/>
      <c r="E358" s="57"/>
      <c r="F358" s="17"/>
      <c r="I358" s="10">
        <f>INDEX(Std[],MATCH(F[[#This Row],[Player]],Std[Player],0),20)</f>
        <v>-350.5864492718905</v>
      </c>
      <c r="J358">
        <f>_xlfn.RANK.EQ(F[[#This Row],[Value]],F[Value])</f>
        <v>373</v>
      </c>
      <c r="K358" s="10">
        <f>F[[#This Row],[Value]]-_xlfn.XLOOKUP($G$497,F[Value Rk],F[Value],,-1)</f>
        <v>-750.00028789763712</v>
      </c>
    </row>
    <row r="359" spans="1:11" ht="15.75" thickBot="1" x14ac:dyDescent="0.3">
      <c r="A359" s="108" t="s">
        <v>511</v>
      </c>
      <c r="D359" s="57"/>
      <c r="E359" s="57"/>
      <c r="F359" s="17"/>
      <c r="I359" s="10">
        <f>INDEX(Std[],MATCH(F[[#This Row],[Player]],Std[Player],0),20)</f>
        <v>-350.01578378392139</v>
      </c>
      <c r="J359">
        <f>_xlfn.RANK.EQ(F[[#This Row],[Value]],F[Value])</f>
        <v>372</v>
      </c>
      <c r="K359" s="10">
        <f>F[[#This Row],[Value]]-_xlfn.XLOOKUP($G$497,F[Value Rk],F[Value],,-1)</f>
        <v>-749.42962240966801</v>
      </c>
    </row>
    <row r="360" spans="1:11" ht="15.75" thickBot="1" x14ac:dyDescent="0.3">
      <c r="A360" s="108" t="s">
        <v>653</v>
      </c>
      <c r="D360" s="57"/>
      <c r="E360" s="57"/>
      <c r="F360" s="17"/>
      <c r="I360" s="10">
        <f>INDEX(Std[],MATCH(F[[#This Row],[Player]],Std[Player],0),20)</f>
        <v>-358.13228061643645</v>
      </c>
      <c r="J360">
        <f>_xlfn.RANK.EQ(F[[#This Row],[Value]],F[Value])</f>
        <v>378</v>
      </c>
      <c r="K360" s="10">
        <f>F[[#This Row],[Value]]-_xlfn.XLOOKUP($G$497,F[Value Rk],F[Value],,-1)</f>
        <v>-757.54611924218307</v>
      </c>
    </row>
    <row r="361" spans="1:11" ht="15.75" thickBot="1" x14ac:dyDescent="0.3">
      <c r="A361" s="108" t="s">
        <v>623</v>
      </c>
      <c r="D361" s="57"/>
      <c r="E361" s="57"/>
      <c r="F361" s="17"/>
      <c r="I361" s="10">
        <f>INDEX(Std[],MATCH(F[[#This Row],[Player]],Std[Player],0),20)</f>
        <v>-355.29002253663896</v>
      </c>
      <c r="J361">
        <f>_xlfn.RANK.EQ(F[[#This Row],[Value]],F[Value])</f>
        <v>375</v>
      </c>
      <c r="K361" s="10">
        <f>F[[#This Row],[Value]]-_xlfn.XLOOKUP($G$497,F[Value Rk],F[Value],,-1)</f>
        <v>-754.70386116238558</v>
      </c>
    </row>
    <row r="362" spans="1:11" ht="15.75" thickBot="1" x14ac:dyDescent="0.3">
      <c r="A362" s="108" t="s">
        <v>804</v>
      </c>
      <c r="D362" s="57"/>
      <c r="E362" s="57"/>
      <c r="F362" s="17"/>
      <c r="I362" s="10">
        <f>INDEX(Std[],MATCH(F[[#This Row],[Player]],Std[Player],0),20)</f>
        <v>-316.26213186416732</v>
      </c>
      <c r="J362">
        <f>_xlfn.RANK.EQ(F[[#This Row],[Value]],F[Value])</f>
        <v>366</v>
      </c>
      <c r="K362" s="10">
        <f>F[[#This Row],[Value]]-_xlfn.XLOOKUP($G$497,F[Value Rk],F[Value],,-1)</f>
        <v>-715.67597048991388</v>
      </c>
    </row>
    <row r="363" spans="1:11" ht="15.75" thickBot="1" x14ac:dyDescent="0.3">
      <c r="A363" s="108" t="s">
        <v>808</v>
      </c>
      <c r="D363" s="57"/>
      <c r="E363" s="57"/>
      <c r="F363" s="17"/>
      <c r="I363" s="10">
        <f>INDEX(Std[],MATCH(F[[#This Row],[Player]],Std[Player],0),20)</f>
        <v>-288.38681290656541</v>
      </c>
      <c r="J363">
        <f>_xlfn.RANK.EQ(F[[#This Row],[Value]],F[Value])</f>
        <v>355</v>
      </c>
      <c r="K363" s="10">
        <f>F[[#This Row],[Value]]-_xlfn.XLOOKUP($G$497,F[Value Rk],F[Value],,-1)</f>
        <v>-687.80065153231203</v>
      </c>
    </row>
    <row r="364" spans="1:11" ht="15.75" thickBot="1" x14ac:dyDescent="0.3">
      <c r="A364" s="108" t="s">
        <v>590</v>
      </c>
      <c r="D364" s="57"/>
      <c r="E364" s="57"/>
      <c r="F364" s="17"/>
      <c r="I364" s="10">
        <f>INDEX(Std[],MATCH(F[[#This Row],[Player]],Std[Player],0),20)</f>
        <v>-91.761226936383977</v>
      </c>
      <c r="J364">
        <f>_xlfn.RANK.EQ(F[[#This Row],[Value]],F[Value])</f>
        <v>285</v>
      </c>
      <c r="K364" s="10">
        <f>F[[#This Row],[Value]]-_xlfn.XLOOKUP($G$497,F[Value Rk],F[Value],,-1)</f>
        <v>-491.17506556213061</v>
      </c>
    </row>
    <row r="365" spans="1:11" ht="15.75" thickBot="1" x14ac:dyDescent="0.3">
      <c r="A365" s="108" t="s">
        <v>487</v>
      </c>
      <c r="D365" s="57"/>
      <c r="E365" s="57"/>
      <c r="F365" s="17"/>
      <c r="I365" s="10">
        <f>INDEX(Std[],MATCH(F[[#This Row],[Player]],Std[Player],0),20)</f>
        <v>-356.58710208780701</v>
      </c>
      <c r="J365">
        <f>_xlfn.RANK.EQ(F[[#This Row],[Value]],F[Value])</f>
        <v>376</v>
      </c>
      <c r="K365" s="10">
        <f>F[[#This Row],[Value]]-_xlfn.XLOOKUP($G$497,F[Value Rk],F[Value],,-1)</f>
        <v>-756.00094071355363</v>
      </c>
    </row>
    <row r="366" spans="1:11" ht="15.75" thickBot="1" x14ac:dyDescent="0.3">
      <c r="A366" s="108" t="s">
        <v>734</v>
      </c>
      <c r="D366" s="57"/>
      <c r="E366" s="57"/>
      <c r="F366" s="17"/>
      <c r="I366" s="10">
        <f>INDEX(Std[],MATCH(F[[#This Row],[Player]],Std[Player],0),20)</f>
        <v>-268.65666459173622</v>
      </c>
      <c r="J366">
        <f>_xlfn.RANK.EQ(F[[#This Row],[Value]],F[Value])</f>
        <v>350</v>
      </c>
      <c r="K366" s="10">
        <f>F[[#This Row],[Value]]-_xlfn.XLOOKUP($G$497,F[Value Rk],F[Value],,-1)</f>
        <v>-668.07050321748284</v>
      </c>
    </row>
    <row r="367" spans="1:11" ht="15.75" thickBot="1" x14ac:dyDescent="0.3">
      <c r="A367" s="108" t="s">
        <v>829</v>
      </c>
      <c r="D367" s="57"/>
      <c r="E367" s="57"/>
      <c r="F367" s="17"/>
      <c r="I367" s="10">
        <f>INDEX(Std[],MATCH(F[[#This Row],[Player]],Std[Player],0),20)</f>
        <v>-341.50621606007053</v>
      </c>
      <c r="J367">
        <f>_xlfn.RANK.EQ(F[[#This Row],[Value]],F[Value])</f>
        <v>370</v>
      </c>
      <c r="K367" s="10">
        <f>F[[#This Row],[Value]]-_xlfn.XLOOKUP($G$497,F[Value Rk],F[Value],,-1)</f>
        <v>-740.92005468581715</v>
      </c>
    </row>
    <row r="368" spans="1:11" ht="15.75" thickBot="1" x14ac:dyDescent="0.3">
      <c r="A368" s="108" t="s">
        <v>1005</v>
      </c>
      <c r="D368" s="57"/>
      <c r="E368" s="57"/>
      <c r="F368" s="17"/>
      <c r="I368" s="10">
        <f>INDEX(Std[],MATCH(F[[#This Row],[Player]],Std[Player],0),20)</f>
        <v>-332.01904955239945</v>
      </c>
      <c r="J368">
        <f>_xlfn.RANK.EQ(F[[#This Row],[Value]],F[Value])</f>
        <v>369</v>
      </c>
      <c r="K368" s="10">
        <f>F[[#This Row],[Value]]-_xlfn.XLOOKUP($G$497,F[Value Rk],F[Value],,-1)</f>
        <v>-731.43288817814607</v>
      </c>
    </row>
    <row r="369" spans="1:11" ht="15.75" thickBot="1" x14ac:dyDescent="0.3">
      <c r="A369" s="108" t="s">
        <v>655</v>
      </c>
      <c r="D369" s="57"/>
      <c r="E369" s="57"/>
      <c r="F369" s="17"/>
      <c r="I369" s="10">
        <f>INDEX(Std[],MATCH(F[[#This Row],[Player]],Std[Player],0),20)</f>
        <v>-308.30459493382244</v>
      </c>
      <c r="J369">
        <f>_xlfn.RANK.EQ(F[[#This Row],[Value]],F[Value])</f>
        <v>363</v>
      </c>
      <c r="K369" s="10">
        <f>F[[#This Row],[Value]]-_xlfn.XLOOKUP($G$497,F[Value Rk],F[Value],,-1)</f>
        <v>-707.71843355956912</v>
      </c>
    </row>
    <row r="370" spans="1:11" ht="15.75" thickBot="1" x14ac:dyDescent="0.3">
      <c r="A370" s="108" t="s">
        <v>1069</v>
      </c>
      <c r="D370" s="57"/>
      <c r="E370" s="57"/>
      <c r="F370" s="17"/>
      <c r="I370" s="10">
        <f>INDEX(Std[],MATCH(F[[#This Row],[Player]],Std[Player],0),20)</f>
        <v>-353.3028806551041</v>
      </c>
      <c r="J370">
        <f>_xlfn.RANK.EQ(F[[#This Row],[Value]],F[Value])</f>
        <v>374</v>
      </c>
      <c r="K370" s="10">
        <f>F[[#This Row],[Value]]-_xlfn.XLOOKUP($G$497,F[Value Rk],F[Value],,-1)</f>
        <v>-752.71671928085073</v>
      </c>
    </row>
    <row r="371" spans="1:11" ht="15.75" thickBot="1" x14ac:dyDescent="0.3">
      <c r="A371" s="108" t="s">
        <v>1019</v>
      </c>
      <c r="D371" s="57"/>
      <c r="E371" s="57"/>
      <c r="F371" s="17"/>
      <c r="I371" s="10">
        <f>INDEX(Std[],MATCH(F[[#This Row],[Player]],Std[Player],0),20)</f>
        <v>-363.11447716842616</v>
      </c>
      <c r="J371">
        <f>_xlfn.RANK.EQ(F[[#This Row],[Value]],F[Value])</f>
        <v>379</v>
      </c>
      <c r="K371" s="10">
        <f>F[[#This Row],[Value]]-_xlfn.XLOOKUP($G$497,F[Value Rk],F[Value],,-1)</f>
        <v>-762.52831579417284</v>
      </c>
    </row>
    <row r="372" spans="1:11" ht="15.75" thickBot="1" x14ac:dyDescent="0.3">
      <c r="A372" s="108" t="s">
        <v>637</v>
      </c>
      <c r="D372" s="57"/>
      <c r="E372" s="57"/>
      <c r="F372" s="17"/>
      <c r="I372" s="10">
        <f>INDEX(Std[],MATCH(F[[#This Row],[Player]],Std[Player],0),20)</f>
        <v>-368.48071180677829</v>
      </c>
      <c r="J372">
        <f>_xlfn.RANK.EQ(F[[#This Row],[Value]],F[Value])</f>
        <v>381</v>
      </c>
      <c r="K372" s="10">
        <f>F[[#This Row],[Value]]-_xlfn.XLOOKUP($G$497,F[Value Rk],F[Value],,-1)</f>
        <v>-767.89455043252497</v>
      </c>
    </row>
    <row r="373" spans="1:11" ht="15.75" thickBot="1" x14ac:dyDescent="0.3">
      <c r="A373" s="108" t="s">
        <v>1014</v>
      </c>
      <c r="D373" s="57"/>
      <c r="E373" s="57"/>
      <c r="F373" s="17"/>
      <c r="I373" s="10">
        <f>INDEX(Std[],MATCH(F[[#This Row],[Player]],Std[Player],0),20)</f>
        <v>-363.47486648941214</v>
      </c>
      <c r="J373">
        <f>_xlfn.RANK.EQ(F[[#This Row],[Value]],F[Value])</f>
        <v>380</v>
      </c>
      <c r="K373" s="10">
        <f>F[[#This Row],[Value]]-_xlfn.XLOOKUP($G$497,F[Value Rk],F[Value],,-1)</f>
        <v>-762.8887051151587</v>
      </c>
    </row>
    <row r="374" spans="1:11" ht="15.75" thickBot="1" x14ac:dyDescent="0.3">
      <c r="A374" s="108" t="s">
        <v>604</v>
      </c>
      <c r="D374" s="57"/>
      <c r="E374" s="57"/>
      <c r="F374" s="17"/>
      <c r="I374" s="10">
        <f>INDEX(Std[],MATCH(F[[#This Row],[Player]],Std[Player],0),20)</f>
        <v>-375.09363502522791</v>
      </c>
      <c r="J374">
        <f>_xlfn.RANK.EQ(F[[#This Row],[Value]],F[Value])</f>
        <v>383</v>
      </c>
      <c r="K374" s="10">
        <f>F[[#This Row],[Value]]-_xlfn.XLOOKUP($G$497,F[Value Rk],F[Value],,-1)</f>
        <v>-774.50747365097459</v>
      </c>
    </row>
    <row r="375" spans="1:11" ht="15.75" thickBot="1" x14ac:dyDescent="0.3">
      <c r="A375" s="108" t="s">
        <v>773</v>
      </c>
      <c r="D375" s="57"/>
      <c r="E375" s="57"/>
      <c r="F375" s="17"/>
      <c r="I375" s="10">
        <f>INDEX(Std[],MATCH(F[[#This Row],[Player]],Std[Player],0),20)</f>
        <v>-262.50088503784588</v>
      </c>
      <c r="J375">
        <f>_xlfn.RANK.EQ(F[[#This Row],[Value]],F[Value])</f>
        <v>346</v>
      </c>
      <c r="K375" s="10">
        <f>F[[#This Row],[Value]]-_xlfn.XLOOKUP($G$497,F[Value Rk],F[Value],,-1)</f>
        <v>-661.91472366359244</v>
      </c>
    </row>
    <row r="376" spans="1:11" ht="15.75" thickBot="1" x14ac:dyDescent="0.3">
      <c r="A376" s="108" t="s">
        <v>656</v>
      </c>
      <c r="D376" s="57"/>
      <c r="E376" s="57"/>
      <c r="F376" s="17"/>
      <c r="I376" s="10">
        <f>INDEX(Std[],MATCH(F[[#This Row],[Player]],Std[Player],0),20)</f>
        <v>-216.69936397828465</v>
      </c>
      <c r="J376">
        <f>_xlfn.RANK.EQ(F[[#This Row],[Value]],F[Value])</f>
        <v>324</v>
      </c>
      <c r="K376" s="10">
        <f>F[[#This Row],[Value]]-_xlfn.XLOOKUP($G$497,F[Value Rk],F[Value],,-1)</f>
        <v>-616.11320260403124</v>
      </c>
    </row>
    <row r="377" spans="1:11" ht="15.75" thickBot="1" x14ac:dyDescent="0.3">
      <c r="A377" s="108" t="s">
        <v>742</v>
      </c>
      <c r="D377" s="57"/>
      <c r="E377" s="57"/>
      <c r="F377" s="17"/>
      <c r="I377" s="10">
        <f>INDEX(Std[],MATCH(F[[#This Row],[Player]],Std[Player],0),20)</f>
        <v>-357.19633806655156</v>
      </c>
      <c r="J377">
        <f>_xlfn.RANK.EQ(F[[#This Row],[Value]],F[Value])</f>
        <v>377</v>
      </c>
      <c r="K377" s="10">
        <f>F[[#This Row],[Value]]-_xlfn.XLOOKUP($G$497,F[Value Rk],F[Value],,-1)</f>
        <v>-756.61017669229818</v>
      </c>
    </row>
    <row r="378" spans="1:11" ht="15.75" thickBot="1" x14ac:dyDescent="0.3">
      <c r="A378" s="108" t="s">
        <v>859</v>
      </c>
      <c r="D378" s="57"/>
      <c r="E378" s="57"/>
      <c r="F378" s="17"/>
      <c r="I378" s="10">
        <f>INDEX(Std[],MATCH(F[[#This Row],[Player]],Std[Player],0),20)</f>
        <v>-402.68343125621442</v>
      </c>
      <c r="J378">
        <f>_xlfn.RANK.EQ(F[[#This Row],[Value]],F[Value])</f>
        <v>391</v>
      </c>
      <c r="K378" s="10">
        <f>F[[#This Row],[Value]]-_xlfn.XLOOKUP($G$497,F[Value Rk],F[Value],,-1)</f>
        <v>-802.09726988196098</v>
      </c>
    </row>
    <row r="379" spans="1:11" ht="15.75" thickBot="1" x14ac:dyDescent="0.3">
      <c r="A379" s="108" t="s">
        <v>725</v>
      </c>
      <c r="D379" s="57"/>
      <c r="E379" s="57"/>
      <c r="F379" s="17"/>
      <c r="I379" s="10">
        <f>INDEX(Std[],MATCH(F[[#This Row],[Player]],Std[Player],0),20)</f>
        <v>-396.84321128418446</v>
      </c>
      <c r="J379">
        <f>_xlfn.RANK.EQ(F[[#This Row],[Value]],F[Value])</f>
        <v>388</v>
      </c>
      <c r="K379" s="10">
        <f>F[[#This Row],[Value]]-_xlfn.XLOOKUP($G$497,F[Value Rk],F[Value],,-1)</f>
        <v>-796.25704990993108</v>
      </c>
    </row>
    <row r="380" spans="1:11" ht="15.75" thickBot="1" x14ac:dyDescent="0.3">
      <c r="A380" s="108" t="s">
        <v>805</v>
      </c>
      <c r="D380" s="57"/>
      <c r="E380" s="57"/>
      <c r="F380" s="17"/>
      <c r="I380" s="10">
        <f>INDEX(Std[],MATCH(F[[#This Row],[Player]],Std[Player],0),20)</f>
        <v>-377.27851676789618</v>
      </c>
      <c r="J380">
        <f>_xlfn.RANK.EQ(F[[#This Row],[Value]],F[Value])</f>
        <v>385</v>
      </c>
      <c r="K380" s="10">
        <f>F[[#This Row],[Value]]-_xlfn.XLOOKUP($G$497,F[Value Rk],F[Value],,-1)</f>
        <v>-776.69235539364286</v>
      </c>
    </row>
    <row r="381" spans="1:11" ht="15.75" thickBot="1" x14ac:dyDescent="0.3">
      <c r="A381" s="108" t="s">
        <v>1139</v>
      </c>
      <c r="D381" s="57"/>
      <c r="E381" s="57"/>
      <c r="F381" s="17"/>
      <c r="I381" s="10">
        <f>INDEX(Std[],MATCH(F[[#This Row],[Player]],Std[Player],0),20)</f>
        <v>-216.89255380356173</v>
      </c>
      <c r="J381">
        <f>_xlfn.RANK.EQ(F[[#This Row],[Value]],F[Value])</f>
        <v>325</v>
      </c>
      <c r="K381" s="10">
        <f>F[[#This Row],[Value]]-_xlfn.XLOOKUP($G$497,F[Value Rk],F[Value],,-1)</f>
        <v>-616.30639242930829</v>
      </c>
    </row>
    <row r="382" spans="1:11" ht="15.75" thickBot="1" x14ac:dyDescent="0.3">
      <c r="A382" s="108" t="s">
        <v>1219</v>
      </c>
      <c r="D382" s="57"/>
      <c r="E382" s="57"/>
      <c r="F382" s="17"/>
      <c r="I382" s="10">
        <f>INDEX(Std[],MATCH(F[[#This Row],[Player]],Std[Player],0),20)</f>
        <v>-301.1586294857525</v>
      </c>
      <c r="J382">
        <f>_xlfn.RANK.EQ(F[[#This Row],[Value]],F[Value])</f>
        <v>360</v>
      </c>
      <c r="K382" s="10">
        <f>F[[#This Row],[Value]]-_xlfn.XLOOKUP($G$497,F[Value Rk],F[Value],,-1)</f>
        <v>-700.57246811149912</v>
      </c>
    </row>
    <row r="383" spans="1:11" ht="15.75" thickBot="1" x14ac:dyDescent="0.3">
      <c r="A383" s="108" t="s">
        <v>1009</v>
      </c>
      <c r="D383" s="57"/>
      <c r="E383" s="57"/>
      <c r="F383" s="17"/>
      <c r="I383" s="10">
        <f>INDEX(Std[],MATCH(F[[#This Row],[Player]],Std[Player],0),20)</f>
        <v>-370.1957474983119</v>
      </c>
      <c r="J383">
        <f>_xlfn.RANK.EQ(F[[#This Row],[Value]],F[Value])</f>
        <v>382</v>
      </c>
      <c r="K383" s="10">
        <f>F[[#This Row],[Value]]-_xlfn.XLOOKUP($G$497,F[Value Rk],F[Value],,-1)</f>
        <v>-769.60958612405852</v>
      </c>
    </row>
    <row r="384" spans="1:11" ht="15.75" thickBot="1" x14ac:dyDescent="0.3">
      <c r="A384" s="108" t="s">
        <v>707</v>
      </c>
      <c r="D384" s="57"/>
      <c r="E384" s="57"/>
      <c r="F384" s="17"/>
      <c r="I384" s="10">
        <f>INDEX(Std[],MATCH(F[[#This Row],[Player]],Std[Player],0),20)</f>
        <v>-383.39428474538317</v>
      </c>
      <c r="J384">
        <f>_xlfn.RANK.EQ(F[[#This Row],[Value]],F[Value])</f>
        <v>386</v>
      </c>
      <c r="K384" s="10">
        <f>F[[#This Row],[Value]]-_xlfn.XLOOKUP($G$497,F[Value Rk],F[Value],,-1)</f>
        <v>-782.8081233711298</v>
      </c>
    </row>
    <row r="385" spans="1:11" ht="15.75" thickBot="1" x14ac:dyDescent="0.3">
      <c r="A385" s="108" t="s">
        <v>589</v>
      </c>
      <c r="D385" s="57"/>
      <c r="E385" s="57"/>
      <c r="F385" s="17"/>
      <c r="I385" s="10">
        <f>INDEX(Std[],MATCH(F[[#This Row],[Player]],Std[Player],0),20)</f>
        <v>-414.95480643755565</v>
      </c>
      <c r="J385">
        <f>_xlfn.RANK.EQ(F[[#This Row],[Value]],F[Value])</f>
        <v>392</v>
      </c>
      <c r="K385" s="10">
        <f>F[[#This Row],[Value]]-_xlfn.XLOOKUP($G$497,F[Value Rk],F[Value],,-1)</f>
        <v>-814.36864506330221</v>
      </c>
    </row>
    <row r="386" spans="1:11" ht="15.75" thickBot="1" x14ac:dyDescent="0.3">
      <c r="A386" s="108" t="s">
        <v>711</v>
      </c>
      <c r="D386" s="57"/>
      <c r="E386" s="57"/>
      <c r="F386" s="17"/>
      <c r="I386" s="10">
        <f>INDEX(Std[],MATCH(F[[#This Row],[Player]],Std[Player],0),20)</f>
        <v>-390.93145620915709</v>
      </c>
      <c r="J386">
        <f>_xlfn.RANK.EQ(F[[#This Row],[Value]],F[Value])</f>
        <v>387</v>
      </c>
      <c r="K386" s="10">
        <f>F[[#This Row],[Value]]-_xlfn.XLOOKUP($G$497,F[Value Rk],F[Value],,-1)</f>
        <v>-790.34529483490371</v>
      </c>
    </row>
    <row r="387" spans="1:11" ht="15.75" thickBot="1" x14ac:dyDescent="0.3">
      <c r="A387" s="108" t="s">
        <v>749</v>
      </c>
      <c r="D387" s="57"/>
      <c r="E387" s="57"/>
      <c r="F387" s="17"/>
      <c r="I387" s="10">
        <f>INDEX(Std[],MATCH(F[[#This Row],[Player]],Std[Player],0),20)</f>
        <v>-428.2699677615052</v>
      </c>
      <c r="J387">
        <f>_xlfn.RANK.EQ(F[[#This Row],[Value]],F[Value])</f>
        <v>395</v>
      </c>
      <c r="K387" s="10">
        <f>F[[#This Row],[Value]]-_xlfn.XLOOKUP($G$497,F[Value Rk],F[Value],,-1)</f>
        <v>-827.68380638725182</v>
      </c>
    </row>
    <row r="388" spans="1:11" ht="15.75" thickBot="1" x14ac:dyDescent="0.3">
      <c r="A388" s="108" t="s">
        <v>1118</v>
      </c>
      <c r="D388" s="57"/>
      <c r="E388" s="57"/>
      <c r="F388" s="17"/>
      <c r="I388" s="10">
        <f>INDEX(Std[],MATCH(F[[#This Row],[Player]],Std[Player],0),20)</f>
        <v>-400.09330126420429</v>
      </c>
      <c r="J388">
        <f>_xlfn.RANK.EQ(F[[#This Row],[Value]],F[Value])</f>
        <v>390</v>
      </c>
      <c r="K388" s="10">
        <f>F[[#This Row],[Value]]-_xlfn.XLOOKUP($G$497,F[Value Rk],F[Value],,-1)</f>
        <v>-799.50713988995085</v>
      </c>
    </row>
    <row r="389" spans="1:11" ht="15.75" thickBot="1" x14ac:dyDescent="0.3">
      <c r="A389" s="108" t="s">
        <v>667</v>
      </c>
      <c r="D389" s="57"/>
      <c r="E389" s="57"/>
      <c r="F389" s="17"/>
      <c r="I389" s="10">
        <f>INDEX(Std[],MATCH(F[[#This Row],[Player]],Std[Player],0),20)</f>
        <v>-179.110344650429</v>
      </c>
      <c r="J389">
        <f>_xlfn.RANK.EQ(F[[#This Row],[Value]],F[Value])</f>
        <v>310</v>
      </c>
      <c r="K389" s="10">
        <f>F[[#This Row],[Value]]-_xlfn.XLOOKUP($G$497,F[Value Rk],F[Value],,-1)</f>
        <v>-578.52418327617556</v>
      </c>
    </row>
    <row r="390" spans="1:11" ht="15.75" thickBot="1" x14ac:dyDescent="0.3">
      <c r="A390" s="108" t="s">
        <v>556</v>
      </c>
      <c r="D390" s="57"/>
      <c r="E390" s="57"/>
      <c r="F390" s="17"/>
      <c r="I390" s="10">
        <f>INDEX(Std[],MATCH(F[[#This Row],[Player]],Std[Player],0),20)</f>
        <v>-399.40051404749255</v>
      </c>
      <c r="J390">
        <f>_xlfn.RANK.EQ(F[[#This Row],[Value]],F[Value])</f>
        <v>389</v>
      </c>
      <c r="K390" s="10">
        <f>F[[#This Row],[Value]]-_xlfn.XLOOKUP($G$497,F[Value Rk],F[Value],,-1)</f>
        <v>-798.81435267323923</v>
      </c>
    </row>
    <row r="391" spans="1:11" ht="15.75" thickBot="1" x14ac:dyDescent="0.3">
      <c r="A391" s="108" t="s">
        <v>736</v>
      </c>
      <c r="D391" s="57"/>
      <c r="E391" s="57"/>
      <c r="F391" s="17"/>
      <c r="I391" s="10">
        <f>INDEX(Std[],MATCH(F[[#This Row],[Player]],Std[Player],0),20)</f>
        <v>-429.15123078509811</v>
      </c>
      <c r="J391">
        <f>_xlfn.RANK.EQ(F[[#This Row],[Value]],F[Value])</f>
        <v>396</v>
      </c>
      <c r="K391" s="10">
        <f>F[[#This Row],[Value]]-_xlfn.XLOOKUP($G$497,F[Value Rk],F[Value],,-1)</f>
        <v>-828.56506941084467</v>
      </c>
    </row>
    <row r="392" spans="1:11" ht="15.75" thickBot="1" x14ac:dyDescent="0.3">
      <c r="A392" s="108" t="s">
        <v>732</v>
      </c>
      <c r="D392" s="57"/>
      <c r="E392" s="57"/>
      <c r="F392" s="17"/>
      <c r="I392" s="10">
        <f>INDEX(Std[],MATCH(F[[#This Row],[Player]],Std[Player],0),20)</f>
        <v>-375.37330305568162</v>
      </c>
      <c r="J392">
        <f>_xlfn.RANK.EQ(F[[#This Row],[Value]],F[Value])</f>
        <v>384</v>
      </c>
      <c r="K392" s="10">
        <f>F[[#This Row],[Value]]-_xlfn.XLOOKUP($G$497,F[Value Rk],F[Value],,-1)</f>
        <v>-774.78714168142824</v>
      </c>
    </row>
    <row r="393" spans="1:11" ht="15.75" thickBot="1" x14ac:dyDescent="0.3">
      <c r="A393" s="108" t="s">
        <v>1222</v>
      </c>
      <c r="D393" s="57"/>
      <c r="E393" s="57"/>
      <c r="F393" s="17"/>
      <c r="I393" s="10">
        <f>INDEX(Std[],MATCH(F[[#This Row],[Player]],Std[Player],0),20)</f>
        <v>-308.34796369947981</v>
      </c>
      <c r="J393">
        <f>_xlfn.RANK.EQ(F[[#This Row],[Value]],F[Value])</f>
        <v>364</v>
      </c>
      <c r="K393" s="10">
        <f>F[[#This Row],[Value]]-_xlfn.XLOOKUP($G$497,F[Value Rk],F[Value],,-1)</f>
        <v>-707.76180232522643</v>
      </c>
    </row>
    <row r="394" spans="1:11" ht="15.75" thickBot="1" x14ac:dyDescent="0.3">
      <c r="A394" s="108" t="s">
        <v>657</v>
      </c>
      <c r="D394" s="57"/>
      <c r="E394" s="57"/>
      <c r="F394" s="17"/>
      <c r="I394" s="10">
        <f>INDEX(Std[],MATCH(F[[#This Row],[Player]],Std[Player],0),20)</f>
        <v>-431.51019313494129</v>
      </c>
      <c r="J394">
        <f>_xlfn.RANK.EQ(F[[#This Row],[Value]],F[Value])</f>
        <v>398</v>
      </c>
      <c r="K394" s="10">
        <f>F[[#This Row],[Value]]-_xlfn.XLOOKUP($G$497,F[Value Rk],F[Value],,-1)</f>
        <v>-830.92403176068797</v>
      </c>
    </row>
    <row r="395" spans="1:11" ht="15.75" thickBot="1" x14ac:dyDescent="0.3">
      <c r="A395" s="108" t="s">
        <v>652</v>
      </c>
      <c r="D395" s="57"/>
      <c r="E395" s="57"/>
      <c r="F395" s="17"/>
      <c r="I395" s="10">
        <f>INDEX(Std[],MATCH(F[[#This Row],[Player]],Std[Player],0),20)</f>
        <v>-289.76030321562808</v>
      </c>
      <c r="J395">
        <f>_xlfn.RANK.EQ(F[[#This Row],[Value]],F[Value])</f>
        <v>357</v>
      </c>
      <c r="K395" s="10">
        <f>F[[#This Row],[Value]]-_xlfn.XLOOKUP($G$497,F[Value Rk],F[Value],,-1)</f>
        <v>-689.17414184137465</v>
      </c>
    </row>
    <row r="396" spans="1:11" ht="15.75" thickBot="1" x14ac:dyDescent="0.3">
      <c r="A396" s="108" t="s">
        <v>1140</v>
      </c>
      <c r="D396" s="57"/>
      <c r="E396" s="57"/>
      <c r="F396" s="17"/>
      <c r="I396" s="10">
        <f>INDEX(Std[],MATCH(F[[#This Row],[Player]],Std[Player],0),20)</f>
        <v>-419.12546475295471</v>
      </c>
      <c r="J396">
        <f>_xlfn.RANK.EQ(F[[#This Row],[Value]],F[Value])</f>
        <v>394</v>
      </c>
      <c r="K396" s="10">
        <f>F[[#This Row],[Value]]-_xlfn.XLOOKUP($G$497,F[Value Rk],F[Value],,-1)</f>
        <v>-818.53930337870133</v>
      </c>
    </row>
    <row r="397" spans="1:11" ht="15.75" thickBot="1" x14ac:dyDescent="0.3">
      <c r="A397" s="108" t="s">
        <v>561</v>
      </c>
      <c r="D397" s="57"/>
      <c r="E397" s="57"/>
      <c r="F397" s="17"/>
      <c r="I397" s="10">
        <f>INDEX(Std[],MATCH(F[[#This Row],[Player]],Std[Player],0),20)</f>
        <v>-446.92613969585278</v>
      </c>
      <c r="J397">
        <f>_xlfn.RANK.EQ(F[[#This Row],[Value]],F[Value])</f>
        <v>401</v>
      </c>
      <c r="K397" s="10">
        <f>F[[#This Row],[Value]]-_xlfn.XLOOKUP($G$497,F[Value Rk],F[Value],,-1)</f>
        <v>-846.33997832159935</v>
      </c>
    </row>
    <row r="398" spans="1:11" ht="15.75" thickBot="1" x14ac:dyDescent="0.3">
      <c r="A398" s="108" t="s">
        <v>662</v>
      </c>
      <c r="D398" s="57"/>
      <c r="E398" s="57"/>
      <c r="F398" s="17"/>
      <c r="I398" s="10">
        <f>INDEX(Std[],MATCH(F[[#This Row],[Player]],Std[Player],0),20)</f>
        <v>-453.10763466452045</v>
      </c>
      <c r="J398">
        <f>_xlfn.RANK.EQ(F[[#This Row],[Value]],F[Value])</f>
        <v>403</v>
      </c>
      <c r="K398" s="10">
        <f>F[[#This Row],[Value]]-_xlfn.XLOOKUP($G$497,F[Value Rk],F[Value],,-1)</f>
        <v>-852.52147329026707</v>
      </c>
    </row>
    <row r="399" spans="1:11" ht="15.75" thickBot="1" x14ac:dyDescent="0.3">
      <c r="A399" s="108" t="s">
        <v>455</v>
      </c>
      <c r="D399" s="57"/>
      <c r="E399" s="57"/>
      <c r="F399" s="17"/>
      <c r="I399" s="10">
        <f>INDEX(Std[],MATCH(F[[#This Row],[Player]],Std[Player],0),20)</f>
        <v>-434.70156972497131</v>
      </c>
      <c r="J399">
        <f>_xlfn.RANK.EQ(F[[#This Row],[Value]],F[Value])</f>
        <v>399</v>
      </c>
      <c r="K399" s="10">
        <f>F[[#This Row],[Value]]-_xlfn.XLOOKUP($G$497,F[Value Rk],F[Value],,-1)</f>
        <v>-834.11540835071787</v>
      </c>
    </row>
    <row r="400" spans="1:11" ht="15.75" thickBot="1" x14ac:dyDescent="0.3">
      <c r="A400" s="108" t="s">
        <v>664</v>
      </c>
      <c r="D400" s="57"/>
      <c r="E400" s="57"/>
      <c r="F400" s="17"/>
      <c r="I400" s="10">
        <f>INDEX(Std[],MATCH(F[[#This Row],[Player]],Std[Player],0),20)</f>
        <v>-431.23013505180126</v>
      </c>
      <c r="J400">
        <f>_xlfn.RANK.EQ(F[[#This Row],[Value]],F[Value])</f>
        <v>397</v>
      </c>
      <c r="K400" s="10">
        <f>F[[#This Row],[Value]]-_xlfn.XLOOKUP($G$497,F[Value Rk],F[Value],,-1)</f>
        <v>-830.64397367754782</v>
      </c>
    </row>
    <row r="401" spans="1:11" ht="15.75" thickBot="1" x14ac:dyDescent="0.3">
      <c r="A401" s="108" t="s">
        <v>600</v>
      </c>
      <c r="D401" s="57"/>
      <c r="E401" s="57"/>
      <c r="F401" s="17"/>
      <c r="I401" s="10">
        <f>INDEX(Std[],MATCH(F[[#This Row],[Player]],Std[Player],0),20)</f>
        <v>-450.86928570802314</v>
      </c>
      <c r="J401">
        <f>_xlfn.RANK.EQ(F[[#This Row],[Value]],F[Value])</f>
        <v>402</v>
      </c>
      <c r="K401" s="10">
        <f>F[[#This Row],[Value]]-_xlfn.XLOOKUP($G$497,F[Value Rk],F[Value],,-1)</f>
        <v>-850.28312433376982</v>
      </c>
    </row>
    <row r="402" spans="1:11" ht="15.75" thickBot="1" x14ac:dyDescent="0.3">
      <c r="A402" s="108" t="s">
        <v>551</v>
      </c>
      <c r="D402" s="57"/>
      <c r="E402" s="57"/>
      <c r="F402" s="17"/>
      <c r="I402" s="10">
        <f>INDEX(Std[],MATCH(F[[#This Row],[Player]],Std[Player],0),20)</f>
        <v>-481.21559784127987</v>
      </c>
      <c r="J402">
        <f>_xlfn.RANK.EQ(F[[#This Row],[Value]],F[Value])</f>
        <v>407</v>
      </c>
      <c r="K402" s="10">
        <f>F[[#This Row],[Value]]-_xlfn.XLOOKUP($G$497,F[Value Rk],F[Value],,-1)</f>
        <v>-880.62943646702649</v>
      </c>
    </row>
    <row r="403" spans="1:11" ht="15.75" thickBot="1" x14ac:dyDescent="0.3">
      <c r="A403" s="108" t="s">
        <v>1006</v>
      </c>
      <c r="D403" s="57"/>
      <c r="E403" s="57"/>
      <c r="F403" s="17"/>
      <c r="I403" s="10">
        <f>INDEX(Std[],MATCH(F[[#This Row],[Player]],Std[Player],0),20)</f>
        <v>-464.59146847164948</v>
      </c>
      <c r="J403">
        <f>_xlfn.RANK.EQ(F[[#This Row],[Value]],F[Value])</f>
        <v>404</v>
      </c>
      <c r="K403" s="10">
        <f>F[[#This Row],[Value]]-_xlfn.XLOOKUP($G$497,F[Value Rk],F[Value],,-1)</f>
        <v>-864.0053070973961</v>
      </c>
    </row>
    <row r="404" spans="1:11" ht="15.75" thickBot="1" x14ac:dyDescent="0.3">
      <c r="A404" s="108" t="s">
        <v>1017</v>
      </c>
      <c r="D404" s="57"/>
      <c r="E404" s="57"/>
      <c r="F404" s="17"/>
      <c r="I404" s="10">
        <f>INDEX(Std[],MATCH(F[[#This Row],[Player]],Std[Player],0),20)</f>
        <v>-477.11308548965638</v>
      </c>
      <c r="J404">
        <f>_xlfn.RANK.EQ(F[[#This Row],[Value]],F[Value])</f>
        <v>406</v>
      </c>
      <c r="K404" s="10">
        <f>F[[#This Row],[Value]]-_xlfn.XLOOKUP($G$497,F[Value Rk],F[Value],,-1)</f>
        <v>-876.52692411540306</v>
      </c>
    </row>
    <row r="405" spans="1:11" ht="15.75" thickBot="1" x14ac:dyDescent="0.3">
      <c r="A405" s="108" t="s">
        <v>857</v>
      </c>
      <c r="D405" s="57"/>
      <c r="E405" s="57"/>
      <c r="F405" s="17"/>
      <c r="I405" s="10">
        <f>INDEX(Std[],MATCH(F[[#This Row],[Player]],Std[Player],0),20)</f>
        <v>-442.57356023185628</v>
      </c>
      <c r="J405">
        <f>_xlfn.RANK.EQ(F[[#This Row],[Value]],F[Value])</f>
        <v>400</v>
      </c>
      <c r="K405" s="10">
        <f>F[[#This Row],[Value]]-_xlfn.XLOOKUP($G$497,F[Value Rk],F[Value],,-1)</f>
        <v>-841.9873988576029</v>
      </c>
    </row>
    <row r="406" spans="1:11" ht="15.75" thickBot="1" x14ac:dyDescent="0.3">
      <c r="A406" s="108" t="s">
        <v>1039</v>
      </c>
      <c r="D406" s="57"/>
      <c r="E406" s="57"/>
      <c r="F406" s="17"/>
      <c r="I406" s="10">
        <f>INDEX(Std[],MATCH(F[[#This Row],[Player]],Std[Player],0),20)</f>
        <v>-491.42050533148955</v>
      </c>
      <c r="J406">
        <f>_xlfn.RANK.EQ(F[[#This Row],[Value]],F[Value])</f>
        <v>408</v>
      </c>
      <c r="K406" s="10">
        <f>F[[#This Row],[Value]]-_xlfn.XLOOKUP($G$497,F[Value Rk],F[Value],,-1)</f>
        <v>-890.83434395723611</v>
      </c>
    </row>
    <row r="407" spans="1:11" ht="15.75" thickBot="1" x14ac:dyDescent="0.3">
      <c r="A407" s="108" t="s">
        <v>574</v>
      </c>
      <c r="D407" s="57"/>
      <c r="E407" s="57"/>
      <c r="F407" s="17"/>
      <c r="I407" s="10">
        <f>INDEX(Std[],MATCH(F[[#This Row],[Player]],Std[Player],0),20)</f>
        <v>-500.58953173775569</v>
      </c>
      <c r="J407">
        <f>_xlfn.RANK.EQ(F[[#This Row],[Value]],F[Value])</f>
        <v>409</v>
      </c>
      <c r="K407" s="10">
        <f>F[[#This Row],[Value]]-_xlfn.XLOOKUP($G$497,F[Value Rk],F[Value],,-1)</f>
        <v>-900.00337036350231</v>
      </c>
    </row>
    <row r="408" spans="1:11" ht="15.75" thickBot="1" x14ac:dyDescent="0.3">
      <c r="A408" s="108" t="s">
        <v>631</v>
      </c>
      <c r="D408" s="57"/>
      <c r="E408" s="57"/>
      <c r="F408" s="17"/>
      <c r="I408" s="10">
        <f>INDEX(Std[],MATCH(F[[#This Row],[Player]],Std[Player],0),20)</f>
        <v>-515.8902671715507</v>
      </c>
      <c r="J408">
        <f>_xlfn.RANK.EQ(F[[#This Row],[Value]],F[Value])</f>
        <v>412</v>
      </c>
      <c r="K408" s="10">
        <f>F[[#This Row],[Value]]-_xlfn.XLOOKUP($G$497,F[Value Rk],F[Value],,-1)</f>
        <v>-915.30410579729732</v>
      </c>
    </row>
    <row r="409" spans="1:11" ht="15.75" thickBot="1" x14ac:dyDescent="0.3">
      <c r="A409" s="108" t="s">
        <v>821</v>
      </c>
      <c r="D409" s="57"/>
      <c r="E409" s="57"/>
      <c r="F409" s="17"/>
      <c r="I409" s="10">
        <f>INDEX(Std[],MATCH(F[[#This Row],[Player]],Std[Player],0),20)</f>
        <v>-524.08811842500154</v>
      </c>
      <c r="J409">
        <f>_xlfn.RANK.EQ(F[[#This Row],[Value]],F[Value])</f>
        <v>413</v>
      </c>
      <c r="K409" s="10">
        <f>F[[#This Row],[Value]]-_xlfn.XLOOKUP($G$497,F[Value Rk],F[Value],,-1)</f>
        <v>-923.50195705074816</v>
      </c>
    </row>
    <row r="410" spans="1:11" ht="15.75" thickBot="1" x14ac:dyDescent="0.3">
      <c r="A410" s="108" t="s">
        <v>483</v>
      </c>
      <c r="D410" s="57"/>
      <c r="E410" s="57"/>
      <c r="F410" s="17"/>
      <c r="I410" s="10">
        <f>INDEX(Std[],MATCH(F[[#This Row],[Player]],Std[Player],0),20)</f>
        <v>-532.60090076169206</v>
      </c>
      <c r="J410">
        <f>_xlfn.RANK.EQ(F[[#This Row],[Value]],F[Value])</f>
        <v>416</v>
      </c>
      <c r="K410" s="10">
        <f>F[[#This Row],[Value]]-_xlfn.XLOOKUP($G$497,F[Value Rk],F[Value],,-1)</f>
        <v>-932.01473938743868</v>
      </c>
    </row>
    <row r="411" spans="1:11" ht="15.75" thickBot="1" x14ac:dyDescent="0.3">
      <c r="A411" s="108" t="s">
        <v>1035</v>
      </c>
      <c r="D411" s="57"/>
      <c r="E411" s="57"/>
      <c r="F411" s="17"/>
      <c r="I411" s="10">
        <f>INDEX(Std[],MATCH(F[[#This Row],[Player]],Std[Player],0),20)</f>
        <v>-532.23680201555237</v>
      </c>
      <c r="J411">
        <f>_xlfn.RANK.EQ(F[[#This Row],[Value]],F[Value])</f>
        <v>415</v>
      </c>
      <c r="K411" s="10">
        <f>F[[#This Row],[Value]]-_xlfn.XLOOKUP($G$497,F[Value Rk],F[Value],,-1)</f>
        <v>-931.65064064129899</v>
      </c>
    </row>
    <row r="412" spans="1:11" ht="15.75" thickBot="1" x14ac:dyDescent="0.3">
      <c r="A412" s="108" t="s">
        <v>825</v>
      </c>
      <c r="D412" s="57"/>
      <c r="E412" s="57"/>
      <c r="F412" s="17"/>
      <c r="I412" s="10">
        <f>INDEX(Std[],MATCH(F[[#This Row],[Player]],Std[Player],0),20)</f>
        <v>-533.85201385995663</v>
      </c>
      <c r="J412">
        <f>_xlfn.RANK.EQ(F[[#This Row],[Value]],F[Value])</f>
        <v>417</v>
      </c>
      <c r="K412" s="10">
        <f>F[[#This Row],[Value]]-_xlfn.XLOOKUP($G$497,F[Value Rk],F[Value],,-1)</f>
        <v>-933.26585248570325</v>
      </c>
    </row>
    <row r="413" spans="1:11" ht="15.75" thickBot="1" x14ac:dyDescent="0.3">
      <c r="A413" s="108" t="s">
        <v>766</v>
      </c>
      <c r="D413" s="57"/>
      <c r="E413" s="57"/>
      <c r="F413" s="17"/>
      <c r="I413" s="10">
        <f>INDEX(Std[],MATCH(F[[#This Row],[Player]],Std[Player],0),20)</f>
        <v>-418.41440506776746</v>
      </c>
      <c r="J413">
        <f>_xlfn.RANK.EQ(F[[#This Row],[Value]],F[Value])</f>
        <v>393</v>
      </c>
      <c r="K413" s="10">
        <f>F[[#This Row],[Value]]-_xlfn.XLOOKUP($G$497,F[Value Rk],F[Value],,-1)</f>
        <v>-817.82824369351408</v>
      </c>
    </row>
    <row r="414" spans="1:11" ht="15.75" thickBot="1" x14ac:dyDescent="0.3">
      <c r="A414" s="108" t="s">
        <v>737</v>
      </c>
      <c r="D414" s="57"/>
      <c r="E414" s="57"/>
      <c r="F414" s="17"/>
      <c r="I414" s="10">
        <f>INDEX(Std[],MATCH(F[[#This Row],[Player]],Std[Player],0),20)</f>
        <v>-544.23232461328166</v>
      </c>
      <c r="J414">
        <f>_xlfn.RANK.EQ(F[[#This Row],[Value]],F[Value])</f>
        <v>419</v>
      </c>
      <c r="K414" s="10">
        <f>F[[#This Row],[Value]]-_xlfn.XLOOKUP($G$497,F[Value Rk],F[Value],,-1)</f>
        <v>-943.64616323902828</v>
      </c>
    </row>
    <row r="415" spans="1:11" ht="15.75" thickBot="1" x14ac:dyDescent="0.3">
      <c r="A415" s="108" t="s">
        <v>762</v>
      </c>
      <c r="D415" s="57"/>
      <c r="E415" s="57"/>
      <c r="F415" s="17"/>
      <c r="I415" s="10">
        <f>INDEX(Std[],MATCH(F[[#This Row],[Player]],Std[Player],0),20)</f>
        <v>-308.65202266991855</v>
      </c>
      <c r="J415">
        <f>_xlfn.RANK.EQ(F[[#This Row],[Value]],F[Value])</f>
        <v>365</v>
      </c>
      <c r="K415" s="10">
        <f>F[[#This Row],[Value]]-_xlfn.XLOOKUP($G$497,F[Value Rk],F[Value],,-1)</f>
        <v>-708.06586129566517</v>
      </c>
    </row>
    <row r="416" spans="1:11" ht="15.75" thickBot="1" x14ac:dyDescent="0.3">
      <c r="A416" s="108" t="s">
        <v>765</v>
      </c>
      <c r="D416" s="57"/>
      <c r="E416" s="57"/>
      <c r="F416" s="17"/>
      <c r="I416" s="10">
        <f>INDEX(Std[],MATCH(F[[#This Row],[Player]],Std[Player],0),20)</f>
        <v>-575.1024760357252</v>
      </c>
      <c r="J416">
        <f>_xlfn.RANK.EQ(F[[#This Row],[Value]],F[Value])</f>
        <v>427</v>
      </c>
      <c r="K416" s="10">
        <f>F[[#This Row],[Value]]-_xlfn.XLOOKUP($G$497,F[Value Rk],F[Value],,-1)</f>
        <v>-974.51631466147182</v>
      </c>
    </row>
    <row r="417" spans="1:11" ht="15.75" thickBot="1" x14ac:dyDescent="0.3">
      <c r="A417" s="108" t="s">
        <v>673</v>
      </c>
      <c r="D417" s="57"/>
      <c r="E417" s="57"/>
      <c r="F417" s="17"/>
      <c r="I417" s="10">
        <f>INDEX(Std[],MATCH(F[[#This Row],[Player]],Std[Player],0),20)</f>
        <v>-511.17668533603887</v>
      </c>
      <c r="J417">
        <f>_xlfn.RANK.EQ(F[[#This Row],[Value]],F[Value])</f>
        <v>411</v>
      </c>
      <c r="K417" s="10">
        <f>F[[#This Row],[Value]]-_xlfn.XLOOKUP($G$497,F[Value Rk],F[Value],,-1)</f>
        <v>-910.59052396178549</v>
      </c>
    </row>
    <row r="418" spans="1:11" ht="15.75" thickBot="1" x14ac:dyDescent="0.3">
      <c r="A418" s="108" t="s">
        <v>986</v>
      </c>
      <c r="D418" s="57"/>
      <c r="E418" s="57"/>
      <c r="F418" s="17"/>
      <c r="I418" s="10">
        <f>INDEX(Std[],MATCH(F[[#This Row],[Player]],Std[Player],0),20)</f>
        <v>-564.49655644079598</v>
      </c>
      <c r="J418">
        <f>_xlfn.RANK.EQ(F[[#This Row],[Value]],F[Value])</f>
        <v>423</v>
      </c>
      <c r="K418" s="10">
        <f>F[[#This Row],[Value]]-_xlfn.XLOOKUP($G$497,F[Value Rk],F[Value],,-1)</f>
        <v>-963.91039506654261</v>
      </c>
    </row>
    <row r="419" spans="1:11" ht="15.75" thickBot="1" x14ac:dyDescent="0.3">
      <c r="A419" s="108" t="s">
        <v>820</v>
      </c>
      <c r="D419" s="57"/>
      <c r="E419" s="57"/>
      <c r="F419" s="17"/>
      <c r="I419" s="10">
        <f>INDEX(Std[],MATCH(F[[#This Row],[Player]],Std[Player],0),20)</f>
        <v>-556.57222853041753</v>
      </c>
      <c r="J419">
        <f>_xlfn.RANK.EQ(F[[#This Row],[Value]],F[Value])</f>
        <v>422</v>
      </c>
      <c r="K419" s="10">
        <f>F[[#This Row],[Value]]-_xlfn.XLOOKUP($G$497,F[Value Rk],F[Value],,-1)</f>
        <v>-955.98606715616415</v>
      </c>
    </row>
    <row r="420" spans="1:11" ht="15.75" thickBot="1" x14ac:dyDescent="0.3">
      <c r="A420" s="108" t="s">
        <v>952</v>
      </c>
      <c r="D420" s="57"/>
      <c r="E420" s="57"/>
      <c r="F420" s="17"/>
      <c r="I420" s="10">
        <f>INDEX(Std[],MATCH(F[[#This Row],[Player]],Std[Player],0),20)</f>
        <v>-575.21883862058382</v>
      </c>
      <c r="J420">
        <f>_xlfn.RANK.EQ(F[[#This Row],[Value]],F[Value])</f>
        <v>428</v>
      </c>
      <c r="K420" s="10">
        <f>F[[#This Row],[Value]]-_xlfn.XLOOKUP($G$497,F[Value Rk],F[Value],,-1)</f>
        <v>-974.63267724633045</v>
      </c>
    </row>
    <row r="421" spans="1:11" ht="15.75" thickBot="1" x14ac:dyDescent="0.3">
      <c r="A421" s="108" t="s">
        <v>672</v>
      </c>
      <c r="D421" s="57"/>
      <c r="E421" s="57"/>
      <c r="F421" s="17"/>
      <c r="I421" s="10">
        <f>INDEX(Std[],MATCH(F[[#This Row],[Player]],Std[Player],0),20)</f>
        <v>-571.00242175179346</v>
      </c>
      <c r="J421">
        <f>_xlfn.RANK.EQ(F[[#This Row],[Value]],F[Value])</f>
        <v>424</v>
      </c>
      <c r="K421" s="10">
        <f>F[[#This Row],[Value]]-_xlfn.XLOOKUP($G$497,F[Value Rk],F[Value],,-1)</f>
        <v>-970.41626037754008</v>
      </c>
    </row>
    <row r="422" spans="1:11" ht="15.75" thickBot="1" x14ac:dyDescent="0.3">
      <c r="A422" s="108" t="s">
        <v>809</v>
      </c>
      <c r="D422" s="57"/>
      <c r="E422" s="57"/>
      <c r="F422" s="17"/>
      <c r="I422" s="10">
        <f>INDEX(Std[],MATCH(F[[#This Row],[Player]],Std[Player],0),20)</f>
        <v>-593.68440513454857</v>
      </c>
      <c r="J422">
        <f>_xlfn.RANK.EQ(F[[#This Row],[Value]],F[Value])</f>
        <v>431</v>
      </c>
      <c r="K422" s="10">
        <f>F[[#This Row],[Value]]-_xlfn.XLOOKUP($G$497,F[Value Rk],F[Value],,-1)</f>
        <v>-993.09824376029519</v>
      </c>
    </row>
    <row r="423" spans="1:11" ht="15.75" thickBot="1" x14ac:dyDescent="0.3">
      <c r="A423" s="108" t="s">
        <v>872</v>
      </c>
      <c r="D423" s="57"/>
      <c r="E423" s="57"/>
      <c r="F423" s="17"/>
      <c r="I423" s="10">
        <f>INDEX(Std[],MATCH(F[[#This Row],[Player]],Std[Player],0),20)</f>
        <v>-592.48052386112101</v>
      </c>
      <c r="J423">
        <f>_xlfn.RANK.EQ(F[[#This Row],[Value]],F[Value])</f>
        <v>430</v>
      </c>
      <c r="K423" s="10">
        <f>F[[#This Row],[Value]]-_xlfn.XLOOKUP($G$497,F[Value Rk],F[Value],,-1)</f>
        <v>-991.89436248686764</v>
      </c>
    </row>
    <row r="424" spans="1:11" ht="15.75" thickBot="1" x14ac:dyDescent="0.3">
      <c r="A424" s="108" t="s">
        <v>985</v>
      </c>
      <c r="D424" s="57"/>
      <c r="E424" s="57"/>
      <c r="F424" s="17"/>
      <c r="I424" s="10">
        <f>INDEX(Std[],MATCH(F[[#This Row],[Player]],Std[Player],0),20)</f>
        <v>-501.34022959067812</v>
      </c>
      <c r="J424">
        <f>_xlfn.RANK.EQ(F[[#This Row],[Value]],F[Value])</f>
        <v>410</v>
      </c>
      <c r="K424" s="10">
        <f>F[[#This Row],[Value]]-_xlfn.XLOOKUP($G$497,F[Value Rk],F[Value],,-1)</f>
        <v>-900.75406821642468</v>
      </c>
    </row>
    <row r="425" spans="1:11" ht="15.75" thickBot="1" x14ac:dyDescent="0.3">
      <c r="A425" s="108" t="s">
        <v>1042</v>
      </c>
      <c r="D425" s="57"/>
      <c r="E425" s="57"/>
      <c r="F425" s="17"/>
      <c r="I425" s="10">
        <f>INDEX(Std[],MATCH(F[[#This Row],[Player]],Std[Player],0),20)</f>
        <v>-541.78958543306703</v>
      </c>
      <c r="J425">
        <f>_xlfn.RANK.EQ(F[[#This Row],[Value]],F[Value])</f>
        <v>418</v>
      </c>
      <c r="K425" s="10">
        <f>F[[#This Row],[Value]]-_xlfn.XLOOKUP($G$497,F[Value Rk],F[Value],,-1)</f>
        <v>-941.20342405881365</v>
      </c>
    </row>
    <row r="426" spans="1:11" ht="15.75" thickBot="1" x14ac:dyDescent="0.3">
      <c r="A426" s="108" t="s">
        <v>795</v>
      </c>
      <c r="D426" s="57"/>
      <c r="E426" s="57"/>
      <c r="F426" s="17"/>
      <c r="I426" s="10">
        <f>INDEX(Std[],MATCH(F[[#This Row],[Player]],Std[Player],0),20)</f>
        <v>-572.30495516433268</v>
      </c>
      <c r="J426">
        <f>_xlfn.RANK.EQ(F[[#This Row],[Value]],F[Value])</f>
        <v>425</v>
      </c>
      <c r="K426" s="10">
        <f>F[[#This Row],[Value]]-_xlfn.XLOOKUP($G$497,F[Value Rk],F[Value],,-1)</f>
        <v>-971.7187937900793</v>
      </c>
    </row>
    <row r="427" spans="1:11" ht="15.75" thickBot="1" x14ac:dyDescent="0.3">
      <c r="A427" s="108" t="s">
        <v>622</v>
      </c>
      <c r="D427" s="57"/>
      <c r="E427" s="57"/>
      <c r="F427" s="17"/>
      <c r="I427" s="10">
        <f>INDEX(Std[],MATCH(F[[#This Row],[Player]],Std[Player],0),20)</f>
        <v>-610.82300722903665</v>
      </c>
      <c r="J427">
        <f>_xlfn.RANK.EQ(F[[#This Row],[Value]],F[Value])</f>
        <v>434</v>
      </c>
      <c r="K427" s="10">
        <f>F[[#This Row],[Value]]-_xlfn.XLOOKUP($G$497,F[Value Rk],F[Value],,-1)</f>
        <v>-1010.2368458547833</v>
      </c>
    </row>
    <row r="428" spans="1:11" ht="15.75" thickBot="1" x14ac:dyDescent="0.3">
      <c r="A428" s="108" t="s">
        <v>543</v>
      </c>
      <c r="D428" s="57"/>
      <c r="E428" s="57"/>
      <c r="F428" s="17"/>
      <c r="I428" s="10">
        <f>INDEX(Std[],MATCH(F[[#This Row],[Player]],Std[Player],0),20)</f>
        <v>-599.7542890285979</v>
      </c>
      <c r="J428">
        <f>_xlfn.RANK.EQ(F[[#This Row],[Value]],F[Value])</f>
        <v>433</v>
      </c>
      <c r="K428" s="10">
        <f>F[[#This Row],[Value]]-_xlfn.XLOOKUP($G$497,F[Value Rk],F[Value],,-1)</f>
        <v>-999.16812765434452</v>
      </c>
    </row>
    <row r="429" spans="1:11" ht="15.75" thickBot="1" x14ac:dyDescent="0.3">
      <c r="A429" s="108" t="s">
        <v>621</v>
      </c>
      <c r="D429" s="57"/>
      <c r="E429" s="57"/>
      <c r="F429" s="17"/>
      <c r="I429" s="10">
        <f>INDEX(Std[],MATCH(F[[#This Row],[Player]],Std[Player],0),20)</f>
        <v>-475.87346651743508</v>
      </c>
      <c r="J429">
        <f>_xlfn.RANK.EQ(F[[#This Row],[Value]],F[Value])</f>
        <v>405</v>
      </c>
      <c r="K429" s="10">
        <f>F[[#This Row],[Value]]-_xlfn.XLOOKUP($G$497,F[Value Rk],F[Value],,-1)</f>
        <v>-875.2873051431817</v>
      </c>
    </row>
    <row r="430" spans="1:11" ht="15.75" thickBot="1" x14ac:dyDescent="0.3">
      <c r="A430" s="108" t="s">
        <v>1112</v>
      </c>
      <c r="D430" s="57"/>
      <c r="E430" s="57"/>
      <c r="F430" s="17"/>
      <c r="I430" s="10">
        <f>INDEX(Std[],MATCH(F[[#This Row],[Player]],Std[Player],0),20)</f>
        <v>-574.89011424848195</v>
      </c>
      <c r="J430">
        <f>_xlfn.RANK.EQ(F[[#This Row],[Value]],F[Value])</f>
        <v>426</v>
      </c>
      <c r="K430" s="10">
        <f>F[[#This Row],[Value]]-_xlfn.XLOOKUP($G$497,F[Value Rk],F[Value],,-1)</f>
        <v>-974.30395287422857</v>
      </c>
    </row>
    <row r="431" spans="1:11" ht="15.75" thickBot="1" x14ac:dyDescent="0.3">
      <c r="A431" s="108" t="s">
        <v>1155</v>
      </c>
      <c r="D431" s="57"/>
      <c r="E431" s="57"/>
      <c r="F431" s="17"/>
      <c r="I431" s="10">
        <f>INDEX(Std[],MATCH(F[[#This Row],[Player]],Std[Player],0),20)</f>
        <v>-627.6060269258827</v>
      </c>
      <c r="J431">
        <f>_xlfn.RANK.EQ(F[[#This Row],[Value]],F[Value])</f>
        <v>438</v>
      </c>
      <c r="K431" s="10">
        <f>F[[#This Row],[Value]]-_xlfn.XLOOKUP($G$497,F[Value Rk],F[Value],,-1)</f>
        <v>-1027.0198655516292</v>
      </c>
    </row>
    <row r="432" spans="1:11" ht="15.75" thickBot="1" x14ac:dyDescent="0.3">
      <c r="A432" s="108" t="s">
        <v>1095</v>
      </c>
      <c r="D432" s="57"/>
      <c r="E432" s="57"/>
      <c r="F432" s="17"/>
      <c r="I432" s="10">
        <f>INDEX(Std[],MATCH(F[[#This Row],[Player]],Std[Player],0),20)</f>
        <v>-627.30446514418315</v>
      </c>
      <c r="J432">
        <f>_xlfn.RANK.EQ(F[[#This Row],[Value]],F[Value])</f>
        <v>437</v>
      </c>
      <c r="K432" s="10">
        <f>F[[#This Row],[Value]]-_xlfn.XLOOKUP($G$497,F[Value Rk],F[Value],,-1)</f>
        <v>-1026.7183037699297</v>
      </c>
    </row>
    <row r="433" spans="1:11" ht="15.75" thickBot="1" x14ac:dyDescent="0.3">
      <c r="A433" s="108" t="s">
        <v>803</v>
      </c>
      <c r="D433" s="57"/>
      <c r="E433" s="57"/>
      <c r="F433" s="17"/>
      <c r="I433" s="10">
        <f>INDEX(Std[],MATCH(F[[#This Row],[Player]],Std[Player],0),20)</f>
        <v>-593.78835099919468</v>
      </c>
      <c r="J433">
        <f>_xlfn.RANK.EQ(F[[#This Row],[Value]],F[Value])</f>
        <v>432</v>
      </c>
      <c r="K433" s="10">
        <f>F[[#This Row],[Value]]-_xlfn.XLOOKUP($G$497,F[Value Rk],F[Value],,-1)</f>
        <v>-993.2021896249413</v>
      </c>
    </row>
    <row r="434" spans="1:11" ht="15.75" thickBot="1" x14ac:dyDescent="0.3">
      <c r="A434" s="108" t="s">
        <v>783</v>
      </c>
      <c r="D434" s="57"/>
      <c r="E434" s="57"/>
      <c r="F434" s="17"/>
      <c r="I434" s="10">
        <f>INDEX(Std[],MATCH(F[[#This Row],[Player]],Std[Player],0),20)</f>
        <v>-614.04546398945365</v>
      </c>
      <c r="J434">
        <f>_xlfn.RANK.EQ(F[[#This Row],[Value]],F[Value])</f>
        <v>435</v>
      </c>
      <c r="K434" s="10">
        <f>F[[#This Row],[Value]]-_xlfn.XLOOKUP($G$497,F[Value Rk],F[Value],,-1)</f>
        <v>-1013.4593026152003</v>
      </c>
    </row>
    <row r="435" spans="1:11" ht="15.75" thickBot="1" x14ac:dyDescent="0.3">
      <c r="A435" s="108" t="s">
        <v>740</v>
      </c>
      <c r="D435" s="57"/>
      <c r="E435" s="57"/>
      <c r="F435" s="17"/>
      <c r="I435" s="10">
        <f>INDEX(Std[],MATCH(F[[#This Row],[Player]],Std[Player],0),20)</f>
        <v>-528.47702086925472</v>
      </c>
      <c r="J435">
        <f>_xlfn.RANK.EQ(F[[#This Row],[Value]],F[Value])</f>
        <v>414</v>
      </c>
      <c r="K435" s="10">
        <f>F[[#This Row],[Value]]-_xlfn.XLOOKUP($G$497,F[Value Rk],F[Value],,-1)</f>
        <v>-927.89085949500134</v>
      </c>
    </row>
    <row r="436" spans="1:11" ht="15.75" thickBot="1" x14ac:dyDescent="0.3">
      <c r="A436" s="108" t="s">
        <v>722</v>
      </c>
      <c r="D436" s="57"/>
      <c r="E436" s="57"/>
      <c r="F436" s="17"/>
      <c r="I436" s="10">
        <f>INDEX(Std[],MATCH(F[[#This Row],[Player]],Std[Player],0),20)</f>
        <v>-650.48868307797875</v>
      </c>
      <c r="J436">
        <f>_xlfn.RANK.EQ(F[[#This Row],[Value]],F[Value])</f>
        <v>441</v>
      </c>
      <c r="K436" s="10">
        <f>F[[#This Row],[Value]]-_xlfn.XLOOKUP($G$497,F[Value Rk],F[Value],,-1)</f>
        <v>-1049.9025217037254</v>
      </c>
    </row>
    <row r="437" spans="1:11" ht="15.75" thickBot="1" x14ac:dyDescent="0.3">
      <c r="A437" s="108" t="s">
        <v>1044</v>
      </c>
      <c r="D437" s="57"/>
      <c r="E437" s="57"/>
      <c r="F437" s="17"/>
      <c r="I437" s="10">
        <f>INDEX(Std[],MATCH(F[[#This Row],[Player]],Std[Player],0),20)</f>
        <v>-654.25923422800633</v>
      </c>
      <c r="J437">
        <f>_xlfn.RANK.EQ(F[[#This Row],[Value]],F[Value])</f>
        <v>442</v>
      </c>
      <c r="K437" s="10">
        <f>F[[#This Row],[Value]]-_xlfn.XLOOKUP($G$497,F[Value Rk],F[Value],,-1)</f>
        <v>-1053.673072853753</v>
      </c>
    </row>
    <row r="438" spans="1:11" ht="15.75" thickBot="1" x14ac:dyDescent="0.3">
      <c r="A438" s="108" t="s">
        <v>684</v>
      </c>
      <c r="D438" s="57"/>
      <c r="E438" s="57"/>
      <c r="F438" s="17"/>
      <c r="I438" s="10">
        <f>INDEX(Std[],MATCH(F[[#This Row],[Player]],Std[Player],0),20)</f>
        <v>-667.75867776976088</v>
      </c>
      <c r="J438">
        <f>_xlfn.RANK.EQ(F[[#This Row],[Value]],F[Value])</f>
        <v>445</v>
      </c>
      <c r="K438" s="10">
        <f>F[[#This Row],[Value]]-_xlfn.XLOOKUP($G$497,F[Value Rk],F[Value],,-1)</f>
        <v>-1067.1725163955075</v>
      </c>
    </row>
    <row r="439" spans="1:11" ht="15.75" thickBot="1" x14ac:dyDescent="0.3">
      <c r="A439" s="108" t="s">
        <v>942</v>
      </c>
      <c r="D439" s="57"/>
      <c r="E439" s="57"/>
      <c r="F439" s="17"/>
      <c r="I439" s="10">
        <f>INDEX(Std[],MATCH(F[[#This Row],[Player]],Std[Player],0),20)</f>
        <v>-666.82942391579491</v>
      </c>
      <c r="J439">
        <f>_xlfn.RANK.EQ(F[[#This Row],[Value]],F[Value])</f>
        <v>444</v>
      </c>
      <c r="K439" s="10">
        <f>F[[#This Row],[Value]]-_xlfn.XLOOKUP($G$497,F[Value Rk],F[Value],,-1)</f>
        <v>-1066.2432625415415</v>
      </c>
    </row>
    <row r="440" spans="1:11" ht="15.75" thickBot="1" x14ac:dyDescent="0.3">
      <c r="A440" s="108" t="s">
        <v>780</v>
      </c>
      <c r="D440" s="57"/>
      <c r="E440" s="57"/>
      <c r="F440" s="17"/>
      <c r="I440" s="10">
        <f>INDEX(Std[],MATCH(F[[#This Row],[Player]],Std[Player],0),20)</f>
        <v>-672.45515896343704</v>
      </c>
      <c r="J440">
        <f>_xlfn.RANK.EQ(F[[#This Row],[Value]],F[Value])</f>
        <v>446</v>
      </c>
      <c r="K440" s="10">
        <f>F[[#This Row],[Value]]-_xlfn.XLOOKUP($G$497,F[Value Rk],F[Value],,-1)</f>
        <v>-1071.8689975891837</v>
      </c>
    </row>
    <row r="441" spans="1:11" ht="15.75" thickBot="1" x14ac:dyDescent="0.3">
      <c r="A441" s="108" t="s">
        <v>792</v>
      </c>
      <c r="D441" s="57"/>
      <c r="E441" s="57"/>
      <c r="F441" s="17"/>
      <c r="I441" s="10">
        <f>INDEX(Std[],MATCH(F[[#This Row],[Player]],Std[Player],0),20)</f>
        <v>-553.11125767898147</v>
      </c>
      <c r="J441">
        <f>_xlfn.RANK.EQ(F[[#This Row],[Value]],F[Value])</f>
        <v>421</v>
      </c>
      <c r="K441" s="10">
        <f>F[[#This Row],[Value]]-_xlfn.XLOOKUP($G$497,F[Value Rk],F[Value],,-1)</f>
        <v>-952.52509630472809</v>
      </c>
    </row>
    <row r="442" spans="1:11" ht="15.75" thickBot="1" x14ac:dyDescent="0.3">
      <c r="A442" s="108" t="s">
        <v>763</v>
      </c>
      <c r="D442" s="57"/>
      <c r="E442" s="57"/>
      <c r="F442" s="17"/>
      <c r="I442" s="10">
        <f>INDEX(Std[],MATCH(F[[#This Row],[Player]],Std[Player],0),20)</f>
        <v>-548.99950689636535</v>
      </c>
      <c r="J442">
        <f>_xlfn.RANK.EQ(F[[#This Row],[Value]],F[Value])</f>
        <v>420</v>
      </c>
      <c r="K442" s="10">
        <f>F[[#This Row],[Value]]-_xlfn.XLOOKUP($G$497,F[Value Rk],F[Value],,-1)</f>
        <v>-948.41334552211197</v>
      </c>
    </row>
    <row r="443" spans="1:11" ht="15.75" thickBot="1" x14ac:dyDescent="0.3">
      <c r="A443" s="108" t="s">
        <v>465</v>
      </c>
      <c r="D443" s="57"/>
      <c r="E443" s="57"/>
      <c r="F443" s="17"/>
      <c r="I443" s="10">
        <f>INDEX(Std[],MATCH(F[[#This Row],[Player]],Std[Player],0),20)</f>
        <v>-694.47015351067319</v>
      </c>
      <c r="J443">
        <f>_xlfn.RANK.EQ(F[[#This Row],[Value]],F[Value])</f>
        <v>451</v>
      </c>
      <c r="K443" s="10">
        <f>F[[#This Row],[Value]]-_xlfn.XLOOKUP($G$497,F[Value Rk],F[Value],,-1)</f>
        <v>-1093.8839921364197</v>
      </c>
    </row>
    <row r="444" spans="1:11" ht="15.75" thickBot="1" x14ac:dyDescent="0.3">
      <c r="A444" s="108" t="s">
        <v>1145</v>
      </c>
      <c r="D444" s="57"/>
      <c r="E444" s="57"/>
      <c r="F444" s="17"/>
      <c r="I444" s="10">
        <f>INDEX(Std[],MATCH(F[[#This Row],[Player]],Std[Player],0),20)</f>
        <v>-626.82537362957669</v>
      </c>
      <c r="J444">
        <f>_xlfn.RANK.EQ(F[[#This Row],[Value]],F[Value])</f>
        <v>436</v>
      </c>
      <c r="K444" s="10">
        <f>F[[#This Row],[Value]]-_xlfn.XLOOKUP($G$497,F[Value Rk],F[Value],,-1)</f>
        <v>-1026.2392122553233</v>
      </c>
    </row>
    <row r="445" spans="1:11" ht="15.75" thickBot="1" x14ac:dyDescent="0.3">
      <c r="A445" s="108" t="s">
        <v>1037</v>
      </c>
      <c r="D445" s="57"/>
      <c r="E445" s="57"/>
      <c r="F445" s="17"/>
      <c r="I445" s="10">
        <f>INDEX(Std[],MATCH(F[[#This Row],[Player]],Std[Player],0),20)</f>
        <v>-692.74223195021523</v>
      </c>
      <c r="J445">
        <f>_xlfn.RANK.EQ(F[[#This Row],[Value]],F[Value])</f>
        <v>450</v>
      </c>
      <c r="K445" s="10">
        <f>F[[#This Row],[Value]]-_xlfn.XLOOKUP($G$497,F[Value Rk],F[Value],,-1)</f>
        <v>-1092.1560705759618</v>
      </c>
    </row>
    <row r="446" spans="1:11" ht="15.75" thickBot="1" x14ac:dyDescent="0.3">
      <c r="A446" s="108" t="s">
        <v>826</v>
      </c>
      <c r="D446" s="57"/>
      <c r="E446" s="57"/>
      <c r="F446" s="17"/>
      <c r="I446" s="10">
        <f>INDEX(Std[],MATCH(F[[#This Row],[Player]],Std[Player],0),20)</f>
        <v>-630.06573223965745</v>
      </c>
      <c r="J446">
        <f>_xlfn.RANK.EQ(F[[#This Row],[Value]],F[Value])</f>
        <v>439</v>
      </c>
      <c r="K446" s="10">
        <f>F[[#This Row],[Value]]-_xlfn.XLOOKUP($G$497,F[Value Rk],F[Value],,-1)</f>
        <v>-1029.4795708654042</v>
      </c>
    </row>
    <row r="447" spans="1:11" ht="15.75" thickBot="1" x14ac:dyDescent="0.3">
      <c r="A447" s="108" t="s">
        <v>1032</v>
      </c>
      <c r="D447" s="57"/>
      <c r="E447" s="57"/>
      <c r="F447" s="17"/>
      <c r="I447" s="10">
        <f>INDEX(Std[],MATCH(F[[#This Row],[Player]],Std[Player],0),20)</f>
        <v>-664.10630154216301</v>
      </c>
      <c r="J447">
        <f>_xlfn.RANK.EQ(F[[#This Row],[Value]],F[Value])</f>
        <v>443</v>
      </c>
      <c r="K447" s="10">
        <f>F[[#This Row],[Value]]-_xlfn.XLOOKUP($G$497,F[Value Rk],F[Value],,-1)</f>
        <v>-1063.5201401679096</v>
      </c>
    </row>
    <row r="448" spans="1:11" ht="15.75" thickBot="1" x14ac:dyDescent="0.3">
      <c r="A448" s="108" t="s">
        <v>1130</v>
      </c>
      <c r="D448" s="57"/>
      <c r="E448" s="57"/>
      <c r="F448" s="17"/>
      <c r="I448" s="10">
        <f>INDEX(Std[],MATCH(F[[#This Row],[Player]],Std[Player],0),20)</f>
        <v>-706.34648942315766</v>
      </c>
      <c r="J448">
        <f>_xlfn.RANK.EQ(F[[#This Row],[Value]],F[Value])</f>
        <v>452</v>
      </c>
      <c r="K448" s="10">
        <f>F[[#This Row],[Value]]-_xlfn.XLOOKUP($G$497,F[Value Rk],F[Value],,-1)</f>
        <v>-1105.7603280489043</v>
      </c>
    </row>
    <row r="449" spans="1:11" ht="15.75" thickBot="1" x14ac:dyDescent="0.3">
      <c r="A449" s="108" t="s">
        <v>674</v>
      </c>
      <c r="D449" s="57"/>
      <c r="E449" s="57"/>
      <c r="F449" s="17"/>
      <c r="I449" s="10">
        <f>INDEX(Std[],MATCH(F[[#This Row],[Player]],Std[Player],0),20)</f>
        <v>-715.55259873705222</v>
      </c>
      <c r="J449">
        <f>_xlfn.RANK.EQ(F[[#This Row],[Value]],F[Value])</f>
        <v>454</v>
      </c>
      <c r="K449" s="10">
        <f>F[[#This Row],[Value]]-_xlfn.XLOOKUP($G$497,F[Value Rk],F[Value],,-1)</f>
        <v>-1114.9664373627988</v>
      </c>
    </row>
    <row r="450" spans="1:11" ht="15.75" thickBot="1" x14ac:dyDescent="0.3">
      <c r="A450" s="108" t="s">
        <v>485</v>
      </c>
      <c r="D450" s="57"/>
      <c r="E450" s="57"/>
      <c r="F450" s="17"/>
      <c r="I450" s="10">
        <f>INDEX(Std[],MATCH(F[[#This Row],[Player]],Std[Player],0),20)</f>
        <v>-724.8405432348718</v>
      </c>
      <c r="J450">
        <f>_xlfn.RANK.EQ(F[[#This Row],[Value]],F[Value])</f>
        <v>455</v>
      </c>
      <c r="K450" s="10">
        <f>F[[#This Row],[Value]]-_xlfn.XLOOKUP($G$497,F[Value Rk],F[Value],,-1)</f>
        <v>-1124.2543818606184</v>
      </c>
    </row>
    <row r="451" spans="1:11" ht="15.75" thickBot="1" x14ac:dyDescent="0.3">
      <c r="A451" s="108" t="s">
        <v>799</v>
      </c>
      <c r="D451" s="57"/>
      <c r="E451" s="57"/>
      <c r="F451" s="17"/>
      <c r="I451" s="10">
        <f>INDEX(Std[],MATCH(F[[#This Row],[Player]],Std[Player],0),20)</f>
        <v>-730.19224592161845</v>
      </c>
      <c r="J451">
        <f>_xlfn.RANK.EQ(F[[#This Row],[Value]],F[Value])</f>
        <v>456</v>
      </c>
      <c r="K451" s="10">
        <f>F[[#This Row],[Value]]-_xlfn.XLOOKUP($G$497,F[Value Rk],F[Value],,-1)</f>
        <v>-1129.6060845473651</v>
      </c>
    </row>
    <row r="452" spans="1:11" ht="15.75" thickBot="1" x14ac:dyDescent="0.3">
      <c r="A452" s="108" t="s">
        <v>819</v>
      </c>
      <c r="D452" s="57"/>
      <c r="E452" s="57"/>
      <c r="F452" s="17"/>
      <c r="I452" s="10">
        <f>INDEX(Std[],MATCH(F[[#This Row],[Player]],Std[Player],0),20)</f>
        <v>-734.60723922834177</v>
      </c>
      <c r="J452">
        <f>_xlfn.RANK.EQ(F[[#This Row],[Value]],F[Value])</f>
        <v>457</v>
      </c>
      <c r="K452" s="10">
        <f>F[[#This Row],[Value]]-_xlfn.XLOOKUP($G$497,F[Value Rk],F[Value],,-1)</f>
        <v>-1134.0210778540884</v>
      </c>
    </row>
    <row r="453" spans="1:11" ht="15.75" thickBot="1" x14ac:dyDescent="0.3">
      <c r="A453" s="108" t="s">
        <v>748</v>
      </c>
      <c r="D453" s="57"/>
      <c r="E453" s="57"/>
      <c r="F453" s="17"/>
      <c r="I453" s="10">
        <f>INDEX(Std[],MATCH(F[[#This Row],[Player]],Std[Player],0),20)</f>
        <v>-680.09075610671823</v>
      </c>
      <c r="J453">
        <f>_xlfn.RANK.EQ(F[[#This Row],[Value]],F[Value])</f>
        <v>447</v>
      </c>
      <c r="K453" s="10">
        <f>F[[#This Row],[Value]]-_xlfn.XLOOKUP($G$497,F[Value Rk],F[Value],,-1)</f>
        <v>-1079.5045947324647</v>
      </c>
    </row>
    <row r="454" spans="1:11" ht="15.75" thickBot="1" x14ac:dyDescent="0.3">
      <c r="A454" s="108" t="s">
        <v>788</v>
      </c>
      <c r="D454" s="57"/>
      <c r="E454" s="57"/>
      <c r="F454" s="17"/>
      <c r="I454" s="10">
        <f>INDEX(Std[],MATCH(F[[#This Row],[Player]],Std[Player],0),20)</f>
        <v>-592.20011119272954</v>
      </c>
      <c r="J454">
        <f>_xlfn.RANK.EQ(F[[#This Row],[Value]],F[Value])</f>
        <v>429</v>
      </c>
      <c r="K454" s="10">
        <f>F[[#This Row],[Value]]-_xlfn.XLOOKUP($G$497,F[Value Rk],F[Value],,-1)</f>
        <v>-991.61394981847616</v>
      </c>
    </row>
    <row r="455" spans="1:11" ht="15.75" thickBot="1" x14ac:dyDescent="0.3">
      <c r="A455" s="108" t="s">
        <v>775</v>
      </c>
      <c r="D455" s="57"/>
      <c r="E455" s="57"/>
      <c r="F455" s="17"/>
      <c r="I455" s="10">
        <f>INDEX(Std[],MATCH(F[[#This Row],[Player]],Std[Player],0),20)</f>
        <v>-687.96464459083029</v>
      </c>
      <c r="J455">
        <f>_xlfn.RANK.EQ(F[[#This Row],[Value]],F[Value])</f>
        <v>449</v>
      </c>
      <c r="K455" s="10">
        <f>F[[#This Row],[Value]]-_xlfn.XLOOKUP($G$497,F[Value Rk],F[Value],,-1)</f>
        <v>-1087.378483216577</v>
      </c>
    </row>
    <row r="456" spans="1:11" ht="15.75" thickBot="1" x14ac:dyDescent="0.3">
      <c r="A456" s="108" t="s">
        <v>823</v>
      </c>
      <c r="D456" s="57"/>
      <c r="E456" s="57"/>
      <c r="F456" s="17"/>
      <c r="I456" s="10">
        <f>INDEX(Std[],MATCH(F[[#This Row],[Player]],Std[Player],0),20)</f>
        <v>-649.78657044508736</v>
      </c>
      <c r="J456">
        <f>_xlfn.RANK.EQ(F[[#This Row],[Value]],F[Value])</f>
        <v>440</v>
      </c>
      <c r="K456" s="10">
        <f>F[[#This Row],[Value]]-_xlfn.XLOOKUP($G$497,F[Value Rk],F[Value],,-1)</f>
        <v>-1049.200409070834</v>
      </c>
    </row>
    <row r="457" spans="1:11" ht="15.75" thickBot="1" x14ac:dyDescent="0.3">
      <c r="A457" s="108" t="s">
        <v>886</v>
      </c>
      <c r="D457" s="57"/>
      <c r="E457" s="57"/>
      <c r="F457" s="17"/>
      <c r="I457" s="10">
        <f>INDEX(Std[],MATCH(F[[#This Row],[Player]],Std[Player],0),20)</f>
        <v>-684.92360518237876</v>
      </c>
      <c r="J457">
        <f>_xlfn.RANK.EQ(F[[#This Row],[Value]],F[Value])</f>
        <v>448</v>
      </c>
      <c r="K457" s="10">
        <f>F[[#This Row],[Value]]-_xlfn.XLOOKUP($G$497,F[Value Rk],F[Value],,-1)</f>
        <v>-1084.3374438081255</v>
      </c>
    </row>
    <row r="458" spans="1:11" ht="15.75" thickBot="1" x14ac:dyDescent="0.3">
      <c r="A458" s="108" t="s">
        <v>724</v>
      </c>
      <c r="D458" s="57"/>
      <c r="E458" s="57"/>
      <c r="F458" s="17"/>
      <c r="I458" s="10">
        <f>INDEX(Std[],MATCH(F[[#This Row],[Player]],Std[Player],0),20)</f>
        <v>-738.40676639247431</v>
      </c>
      <c r="J458">
        <f>_xlfn.RANK.EQ(F[[#This Row],[Value]],F[Value])</f>
        <v>458</v>
      </c>
      <c r="K458" s="10">
        <f>F[[#This Row],[Value]]-_xlfn.XLOOKUP($G$497,F[Value Rk],F[Value],,-1)</f>
        <v>-1137.8206050182209</v>
      </c>
    </row>
    <row r="459" spans="1:11" ht="15.75" thickBot="1" x14ac:dyDescent="0.3">
      <c r="A459" s="108" t="s">
        <v>1046</v>
      </c>
      <c r="D459" s="57"/>
      <c r="E459" s="57"/>
      <c r="F459" s="17"/>
      <c r="I459" s="10">
        <f>INDEX(Std[],MATCH(F[[#This Row],[Player]],Std[Player],0),20)</f>
        <v>-756.78279456938697</v>
      </c>
      <c r="J459">
        <f>_xlfn.RANK.EQ(F[[#This Row],[Value]],F[Value])</f>
        <v>462</v>
      </c>
      <c r="K459" s="10">
        <f>F[[#This Row],[Value]]-_xlfn.XLOOKUP($G$497,F[Value Rk],F[Value],,-1)</f>
        <v>-1156.1966331951335</v>
      </c>
    </row>
    <row r="460" spans="1:11" ht="15.75" thickBot="1" x14ac:dyDescent="0.3">
      <c r="A460" s="108" t="s">
        <v>1167</v>
      </c>
      <c r="D460" s="57"/>
      <c r="E460" s="57"/>
      <c r="F460" s="17"/>
      <c r="I460" s="10">
        <f>INDEX(Std[],MATCH(F[[#This Row],[Player]],Std[Player],0),20)</f>
        <v>-751.95875421562289</v>
      </c>
      <c r="J460">
        <f>_xlfn.RANK.EQ(F[[#This Row],[Value]],F[Value])</f>
        <v>461</v>
      </c>
      <c r="K460" s="10">
        <f>F[[#This Row],[Value]]-_xlfn.XLOOKUP($G$497,F[Value Rk],F[Value],,-1)</f>
        <v>-1151.3725928413696</v>
      </c>
    </row>
    <row r="461" spans="1:11" ht="15.75" thickBot="1" x14ac:dyDescent="0.3">
      <c r="A461" s="108" t="s">
        <v>710</v>
      </c>
      <c r="D461" s="57"/>
      <c r="E461" s="57"/>
      <c r="F461" s="17"/>
      <c r="I461" s="10">
        <f>INDEX(Std[],MATCH(F[[#This Row],[Player]],Std[Player],0),20)</f>
        <v>-707.46600828008798</v>
      </c>
      <c r="J461">
        <f>_xlfn.RANK.EQ(F[[#This Row],[Value]],F[Value])</f>
        <v>453</v>
      </c>
      <c r="K461" s="10">
        <f>F[[#This Row],[Value]]-_xlfn.XLOOKUP($G$497,F[Value Rk],F[Value],,-1)</f>
        <v>-1106.8798469058347</v>
      </c>
    </row>
    <row r="462" spans="1:11" ht="15.75" thickBot="1" x14ac:dyDescent="0.3">
      <c r="A462" s="108" t="s">
        <v>1038</v>
      </c>
      <c r="D462" s="57"/>
      <c r="E462" s="57"/>
      <c r="F462" s="17"/>
      <c r="I462" s="10">
        <f>INDEX(Std[],MATCH(F[[#This Row],[Player]],Std[Player],0),20)</f>
        <v>-801.2803372698462</v>
      </c>
      <c r="J462">
        <f>_xlfn.RANK.EQ(F[[#This Row],[Value]],F[Value])</f>
        <v>467</v>
      </c>
      <c r="K462" s="10">
        <f>F[[#This Row],[Value]]-_xlfn.XLOOKUP($G$497,F[Value Rk],F[Value],,-1)</f>
        <v>-1200.6941758955927</v>
      </c>
    </row>
    <row r="463" spans="1:11" ht="15.75" thickBot="1" x14ac:dyDescent="0.3">
      <c r="A463" s="108" t="s">
        <v>1093</v>
      </c>
      <c r="D463" s="57"/>
      <c r="E463" s="57"/>
      <c r="F463" s="17"/>
      <c r="I463" s="10">
        <f>INDEX(Std[],MATCH(F[[#This Row],[Player]],Std[Player],0),20)</f>
        <v>-794.22621761905282</v>
      </c>
      <c r="J463">
        <f>_xlfn.RANK.EQ(F[[#This Row],[Value]],F[Value])</f>
        <v>465</v>
      </c>
      <c r="K463" s="10">
        <f>F[[#This Row],[Value]]-_xlfn.XLOOKUP($G$497,F[Value Rk],F[Value],,-1)</f>
        <v>-1193.6400562447993</v>
      </c>
    </row>
    <row r="464" spans="1:11" ht="15.75" thickBot="1" x14ac:dyDescent="0.3">
      <c r="A464" s="108" t="s">
        <v>1133</v>
      </c>
      <c r="D464" s="57"/>
      <c r="E464" s="57"/>
      <c r="F464" s="17"/>
      <c r="I464" s="10">
        <f>INDEX(Std[],MATCH(F[[#This Row],[Player]],Std[Player],0),20)</f>
        <v>-787.53701463029006</v>
      </c>
      <c r="J464">
        <f>_xlfn.RANK.EQ(F[[#This Row],[Value]],F[Value])</f>
        <v>464</v>
      </c>
      <c r="K464" s="10">
        <f>F[[#This Row],[Value]]-_xlfn.XLOOKUP($G$497,F[Value Rk],F[Value],,-1)</f>
        <v>-1186.9508532560367</v>
      </c>
    </row>
    <row r="465" spans="1:11" ht="15.75" thickBot="1" x14ac:dyDescent="0.3">
      <c r="A465" s="108" t="s">
        <v>934</v>
      </c>
      <c r="D465" s="57"/>
      <c r="E465" s="57"/>
      <c r="F465" s="17"/>
      <c r="I465" s="10">
        <f>INDEX(Std[],MATCH(F[[#This Row],[Player]],Std[Player],0),20)</f>
        <v>-739.37045938299389</v>
      </c>
      <c r="J465">
        <f>_xlfn.RANK.EQ(F[[#This Row],[Value]],F[Value])</f>
        <v>459</v>
      </c>
      <c r="K465" s="10">
        <f>F[[#This Row],[Value]]-_xlfn.XLOOKUP($G$497,F[Value Rk],F[Value],,-1)</f>
        <v>-1138.7842980087405</v>
      </c>
    </row>
    <row r="466" spans="1:11" ht="15.75" thickBot="1" x14ac:dyDescent="0.3">
      <c r="A466" s="108" t="s">
        <v>752</v>
      </c>
      <c r="D466" s="57"/>
      <c r="E466" s="57"/>
      <c r="F466" s="17"/>
      <c r="I466" s="10">
        <f>INDEX(Std[],MATCH(F[[#This Row],[Player]],Std[Player],0),20)</f>
        <v>-739.40794895774638</v>
      </c>
      <c r="J466">
        <f>_xlfn.RANK.EQ(F[[#This Row],[Value]],F[Value])</f>
        <v>460</v>
      </c>
      <c r="K466" s="10">
        <f>F[[#This Row],[Value]]-_xlfn.XLOOKUP($G$497,F[Value Rk],F[Value],,-1)</f>
        <v>-1138.821787583493</v>
      </c>
    </row>
    <row r="467" spans="1:11" ht="15.75" thickBot="1" x14ac:dyDescent="0.3">
      <c r="A467" s="108" t="s">
        <v>958</v>
      </c>
      <c r="D467" s="57"/>
      <c r="E467" s="57"/>
      <c r="F467" s="17"/>
      <c r="I467" s="10">
        <f>INDEX(Std[],MATCH(F[[#This Row],[Player]],Std[Player],0),20)</f>
        <v>-775.00787011426246</v>
      </c>
      <c r="J467">
        <f>_xlfn.RANK.EQ(F[[#This Row],[Value]],F[Value])</f>
        <v>463</v>
      </c>
      <c r="K467" s="10">
        <f>F[[#This Row],[Value]]-_xlfn.XLOOKUP($G$497,F[Value Rk],F[Value],,-1)</f>
        <v>-1174.4217087400091</v>
      </c>
    </row>
    <row r="468" spans="1:11" ht="15.75" thickBot="1" x14ac:dyDescent="0.3">
      <c r="A468" s="108" t="s">
        <v>689</v>
      </c>
      <c r="D468" s="57"/>
      <c r="E468" s="57"/>
      <c r="F468" s="17"/>
      <c r="I468" s="10">
        <f>INDEX(Std[],MATCH(F[[#This Row],[Player]],Std[Player],0),20)</f>
        <v>-838.44031690458837</v>
      </c>
      <c r="J468">
        <f>_xlfn.RANK.EQ(F[[#This Row],[Value]],F[Value])</f>
        <v>473</v>
      </c>
      <c r="K468" s="10">
        <f>F[[#This Row],[Value]]-_xlfn.XLOOKUP($G$497,F[Value Rk],F[Value],,-1)</f>
        <v>-1237.854155530335</v>
      </c>
    </row>
    <row r="469" spans="1:11" ht="15.75" thickBot="1" x14ac:dyDescent="0.3">
      <c r="A469" s="108" t="s">
        <v>1154</v>
      </c>
      <c r="D469" s="57"/>
      <c r="E469" s="57"/>
      <c r="F469" s="17"/>
      <c r="I469" s="10">
        <f>INDEX(Std[],MATCH(F[[#This Row],[Player]],Std[Player],0),20)</f>
        <v>-828.80834944409423</v>
      </c>
      <c r="J469">
        <f>_xlfn.RANK.EQ(F[[#This Row],[Value]],F[Value])</f>
        <v>471</v>
      </c>
      <c r="K469" s="10">
        <f>F[[#This Row],[Value]]-_xlfn.XLOOKUP($G$497,F[Value Rk],F[Value],,-1)</f>
        <v>-1228.2221880698407</v>
      </c>
    </row>
    <row r="470" spans="1:11" ht="15.75" thickBot="1" x14ac:dyDescent="0.3">
      <c r="A470" s="108" t="s">
        <v>1156</v>
      </c>
      <c r="D470" s="57"/>
      <c r="E470" s="57"/>
      <c r="F470" s="17"/>
      <c r="I470" s="10">
        <f>INDEX(Std[],MATCH(F[[#This Row],[Player]],Std[Player],0),20)</f>
        <v>-831.218367810931</v>
      </c>
      <c r="J470">
        <f>_xlfn.RANK.EQ(F[[#This Row],[Value]],F[Value])</f>
        <v>472</v>
      </c>
      <c r="K470" s="10">
        <f>F[[#This Row],[Value]]-_xlfn.XLOOKUP($G$497,F[Value Rk],F[Value],,-1)</f>
        <v>-1230.6322064366777</v>
      </c>
    </row>
    <row r="471" spans="1:11" ht="15.75" thickBot="1" x14ac:dyDescent="0.3">
      <c r="A471" s="108" t="s">
        <v>969</v>
      </c>
      <c r="D471" s="57"/>
      <c r="E471" s="57"/>
      <c r="F471" s="17"/>
      <c r="I471" s="10">
        <f>INDEX(Std[],MATCH(F[[#This Row],[Player]],Std[Player],0),20)</f>
        <v>-800.21910938548933</v>
      </c>
      <c r="J471">
        <f>_xlfn.RANK.EQ(F[[#This Row],[Value]],F[Value])</f>
        <v>466</v>
      </c>
      <c r="K471" s="10">
        <f>F[[#This Row],[Value]]-_xlfn.XLOOKUP($G$497,F[Value Rk],F[Value],,-1)</f>
        <v>-1199.6329480112358</v>
      </c>
    </row>
    <row r="472" spans="1:11" ht="15.75" thickBot="1" x14ac:dyDescent="0.3">
      <c r="A472" s="108" t="s">
        <v>1149</v>
      </c>
      <c r="D472" s="57"/>
      <c r="E472" s="57"/>
      <c r="F472" s="17"/>
      <c r="I472" s="10">
        <f>INDEX(Std[],MATCH(F[[#This Row],[Player]],Std[Player],0),20)</f>
        <v>-806.90181270835967</v>
      </c>
      <c r="J472">
        <f>_xlfn.RANK.EQ(F[[#This Row],[Value]],F[Value])</f>
        <v>469</v>
      </c>
      <c r="K472" s="10">
        <f>F[[#This Row],[Value]]-_xlfn.XLOOKUP($G$497,F[Value Rk],F[Value],,-1)</f>
        <v>-1206.3156513341064</v>
      </c>
    </row>
    <row r="473" spans="1:11" ht="15.75" thickBot="1" x14ac:dyDescent="0.3">
      <c r="A473" s="108" t="s">
        <v>1146</v>
      </c>
      <c r="D473" s="57"/>
      <c r="E473" s="57"/>
      <c r="F473" s="17"/>
      <c r="I473" s="10">
        <f>INDEX(Std[],MATCH(F[[#This Row],[Player]],Std[Player],0),20)</f>
        <v>-850.53726696446392</v>
      </c>
      <c r="J473">
        <f>_xlfn.RANK.EQ(F[[#This Row],[Value]],F[Value])</f>
        <v>476</v>
      </c>
      <c r="K473" s="10">
        <f>F[[#This Row],[Value]]-_xlfn.XLOOKUP($G$497,F[Value Rk],F[Value],,-1)</f>
        <v>-1249.9511055902105</v>
      </c>
    </row>
    <row r="474" spans="1:11" ht="15.75" thickBot="1" x14ac:dyDescent="0.3">
      <c r="A474" s="108" t="s">
        <v>566</v>
      </c>
      <c r="D474" s="57"/>
      <c r="E474" s="57"/>
      <c r="F474" s="17"/>
      <c r="I474" s="10">
        <f>INDEX(Std[],MATCH(F[[#This Row],[Player]],Std[Player],0),20)</f>
        <v>-841.29762822778105</v>
      </c>
      <c r="J474">
        <f>_xlfn.RANK.EQ(F[[#This Row],[Value]],F[Value])</f>
        <v>474</v>
      </c>
      <c r="K474" s="10">
        <f>F[[#This Row],[Value]]-_xlfn.XLOOKUP($G$497,F[Value Rk],F[Value],,-1)</f>
        <v>-1240.7114668535278</v>
      </c>
    </row>
    <row r="475" spans="1:11" ht="15.75" thickBot="1" x14ac:dyDescent="0.3">
      <c r="A475" s="108" t="s">
        <v>1153</v>
      </c>
      <c r="D475" s="57"/>
      <c r="E475" s="57"/>
      <c r="F475" s="17"/>
      <c r="I475" s="10">
        <f>INDEX(Std[],MATCH(F[[#This Row],[Player]],Std[Player],0),20)</f>
        <v>-827.60646840212166</v>
      </c>
      <c r="J475">
        <f>_xlfn.RANK.EQ(F[[#This Row],[Value]],F[Value])</f>
        <v>470</v>
      </c>
      <c r="K475" s="10">
        <f>F[[#This Row],[Value]]-_xlfn.XLOOKUP($G$497,F[Value Rk],F[Value],,-1)</f>
        <v>-1227.0203070278683</v>
      </c>
    </row>
    <row r="476" spans="1:11" ht="15.75" thickBot="1" x14ac:dyDescent="0.3">
      <c r="A476" s="108" t="s">
        <v>781</v>
      </c>
      <c r="D476" s="57"/>
      <c r="E476" s="57"/>
      <c r="F476" s="17"/>
      <c r="I476" s="10">
        <f>INDEX(Std[],MATCH(F[[#This Row],[Player]],Std[Player],0),20)</f>
        <v>-804.15748805726389</v>
      </c>
      <c r="J476">
        <f>_xlfn.RANK.EQ(F[[#This Row],[Value]],F[Value])</f>
        <v>468</v>
      </c>
      <c r="K476" s="10">
        <f>F[[#This Row],[Value]]-_xlfn.XLOOKUP($G$497,F[Value Rk],F[Value],,-1)</f>
        <v>-1203.5713266830105</v>
      </c>
    </row>
    <row r="477" spans="1:11" ht="15.75" thickBot="1" x14ac:dyDescent="0.3">
      <c r="A477" s="108" t="s">
        <v>990</v>
      </c>
      <c r="D477" s="57"/>
      <c r="E477" s="57"/>
      <c r="F477" s="17"/>
      <c r="I477" s="10">
        <f>INDEX(Std[],MATCH(F[[#This Row],[Player]],Std[Player],0),20)</f>
        <v>-843.24530201855373</v>
      </c>
      <c r="J477">
        <f>_xlfn.RANK.EQ(F[[#This Row],[Value]],F[Value])</f>
        <v>475</v>
      </c>
      <c r="K477" s="10">
        <f>F[[#This Row],[Value]]-_xlfn.XLOOKUP($G$497,F[Value Rk],F[Value],,-1)</f>
        <v>-1242.6591406443004</v>
      </c>
    </row>
    <row r="478" spans="1:11" ht="15.75" thickBot="1" x14ac:dyDescent="0.3">
      <c r="A478" s="108" t="s">
        <v>832</v>
      </c>
      <c r="D478" s="57"/>
      <c r="E478" s="57"/>
      <c r="F478" s="17"/>
      <c r="I478" s="10">
        <f>INDEX(Std[],MATCH(F[[#This Row],[Player]],Std[Player],0),20)</f>
        <v>-898.1335544115534</v>
      </c>
      <c r="J478">
        <f>_xlfn.RANK.EQ(F[[#This Row],[Value]],F[Value])</f>
        <v>480</v>
      </c>
      <c r="K478" s="10">
        <f>F[[#This Row],[Value]]-_xlfn.XLOOKUP($G$497,F[Value Rk],F[Value],,-1)</f>
        <v>-1297.5473930373</v>
      </c>
    </row>
    <row r="479" spans="1:11" ht="15.75" thickBot="1" x14ac:dyDescent="0.3">
      <c r="A479" s="108" t="s">
        <v>974</v>
      </c>
      <c r="D479" s="57"/>
      <c r="E479" s="57"/>
      <c r="F479" s="17"/>
      <c r="I479" s="10">
        <f>INDEX(Std[],MATCH(F[[#This Row],[Player]],Std[Player],0),20)</f>
        <v>-906.08507876537919</v>
      </c>
      <c r="J479">
        <f>_xlfn.RANK.EQ(F[[#This Row],[Value]],F[Value])</f>
        <v>481</v>
      </c>
      <c r="K479" s="10">
        <f>F[[#This Row],[Value]]-_xlfn.XLOOKUP($G$497,F[Value Rk],F[Value],,-1)</f>
        <v>-1305.4989173911258</v>
      </c>
    </row>
    <row r="480" spans="1:11" ht="15.75" thickBot="1" x14ac:dyDescent="0.3">
      <c r="A480" s="108" t="s">
        <v>1040</v>
      </c>
      <c r="D480" s="57"/>
      <c r="E480" s="57"/>
      <c r="F480" s="17"/>
      <c r="I480" s="10">
        <f>INDEX(Std[],MATCH(F[[#This Row],[Player]],Std[Player],0),20)</f>
        <v>-884.67748319322266</v>
      </c>
      <c r="J480">
        <f>_xlfn.RANK.EQ(F[[#This Row],[Value]],F[Value])</f>
        <v>478</v>
      </c>
      <c r="K480" s="10">
        <f>F[[#This Row],[Value]]-_xlfn.XLOOKUP($G$497,F[Value Rk],F[Value],,-1)</f>
        <v>-1284.0913218189694</v>
      </c>
    </row>
    <row r="481" spans="1:11" ht="15.75" thickBot="1" x14ac:dyDescent="0.3">
      <c r="A481" s="108" t="s">
        <v>1033</v>
      </c>
      <c r="D481" s="57"/>
      <c r="E481" s="57"/>
      <c r="F481" s="17"/>
      <c r="I481" s="10">
        <f>INDEX(Std[],MATCH(F[[#This Row],[Player]],Std[Player],0),20)</f>
        <v>-914.65812209810201</v>
      </c>
      <c r="J481">
        <f>_xlfn.RANK.EQ(F[[#This Row],[Value]],F[Value])</f>
        <v>482</v>
      </c>
      <c r="K481" s="10">
        <f>F[[#This Row],[Value]]-_xlfn.XLOOKUP($G$497,F[Value Rk],F[Value],,-1)</f>
        <v>-1314.0719607238486</v>
      </c>
    </row>
    <row r="482" spans="1:11" ht="15.75" thickBot="1" x14ac:dyDescent="0.3">
      <c r="A482" s="108" t="s">
        <v>858</v>
      </c>
      <c r="D482" s="57"/>
      <c r="E482" s="57"/>
      <c r="F482" s="17"/>
      <c r="I482" s="10">
        <f>INDEX(Std[],MATCH(F[[#This Row],[Player]],Std[Player],0),20)</f>
        <v>-883.49095751964558</v>
      </c>
      <c r="J482">
        <f>_xlfn.RANK.EQ(F[[#This Row],[Value]],F[Value])</f>
        <v>477</v>
      </c>
      <c r="K482" s="10">
        <f>F[[#This Row],[Value]]-_xlfn.XLOOKUP($G$497,F[Value Rk],F[Value],,-1)</f>
        <v>-1282.9047961453921</v>
      </c>
    </row>
    <row r="483" spans="1:11" ht="15.75" thickBot="1" x14ac:dyDescent="0.3">
      <c r="A483" s="108" t="s">
        <v>743</v>
      </c>
      <c r="D483" s="57"/>
      <c r="E483" s="57"/>
      <c r="F483" s="17"/>
      <c r="I483" s="10">
        <f>INDEX(Std[],MATCH(F[[#This Row],[Player]],Std[Player],0),20)</f>
        <v>-941.98588803386406</v>
      </c>
      <c r="J483">
        <f>_xlfn.RANK.EQ(F[[#This Row],[Value]],F[Value])</f>
        <v>485</v>
      </c>
      <c r="K483" s="10">
        <f>F[[#This Row],[Value]]-_xlfn.XLOOKUP($G$497,F[Value Rk],F[Value],,-1)</f>
        <v>-1341.3997266596107</v>
      </c>
    </row>
    <row r="484" spans="1:11" ht="15.75" thickBot="1" x14ac:dyDescent="0.3">
      <c r="A484" s="108" t="s">
        <v>828</v>
      </c>
      <c r="D484" s="57"/>
      <c r="E484" s="57"/>
      <c r="F484" s="17"/>
      <c r="I484" s="10">
        <f>INDEX(Std[],MATCH(F[[#This Row],[Player]],Std[Player],0),20)</f>
        <v>-941.72591238465554</v>
      </c>
      <c r="J484">
        <f>_xlfn.RANK.EQ(F[[#This Row],[Value]],F[Value])</f>
        <v>484</v>
      </c>
      <c r="K484" s="10">
        <f>F[[#This Row],[Value]]-_xlfn.XLOOKUP($G$497,F[Value Rk],F[Value],,-1)</f>
        <v>-1341.1397510104021</v>
      </c>
    </row>
    <row r="485" spans="1:11" ht="15.75" thickBot="1" x14ac:dyDescent="0.3">
      <c r="A485" s="108" t="s">
        <v>818</v>
      </c>
      <c r="D485" s="57"/>
      <c r="E485" s="57"/>
      <c r="F485" s="17"/>
      <c r="I485" s="10">
        <f>INDEX(Std[],MATCH(F[[#This Row],[Player]],Std[Player],0),20)</f>
        <v>-930.64144653576068</v>
      </c>
      <c r="J485">
        <f>_xlfn.RANK.EQ(F[[#This Row],[Value]],F[Value])</f>
        <v>483</v>
      </c>
      <c r="K485" s="10">
        <f>F[[#This Row],[Value]]-_xlfn.XLOOKUP($G$497,F[Value Rk],F[Value],,-1)</f>
        <v>-1330.0552851615073</v>
      </c>
    </row>
    <row r="486" spans="1:11" ht="15.75" thickBot="1" x14ac:dyDescent="0.3">
      <c r="A486" s="108" t="s">
        <v>810</v>
      </c>
      <c r="D486" s="57"/>
      <c r="E486" s="57"/>
      <c r="F486" s="17"/>
      <c r="I486" s="10">
        <f>INDEX(Std[],MATCH(F[[#This Row],[Player]],Std[Player],0),20)</f>
        <v>-889.17183405400897</v>
      </c>
      <c r="J486">
        <f>_xlfn.RANK.EQ(F[[#This Row],[Value]],F[Value])</f>
        <v>479</v>
      </c>
      <c r="K486" s="10">
        <f>F[[#This Row],[Value]]-_xlfn.XLOOKUP($G$497,F[Value Rk],F[Value],,-1)</f>
        <v>-1288.5856726797556</v>
      </c>
    </row>
    <row r="487" spans="1:11" ht="15.75" thickBot="1" x14ac:dyDescent="0.3">
      <c r="A487" s="108" t="s">
        <v>755</v>
      </c>
      <c r="D487" s="57"/>
      <c r="E487" s="57"/>
      <c r="F487" s="17"/>
      <c r="I487" s="10">
        <f>INDEX(Std[],MATCH(F[[#This Row],[Player]],Std[Player],0),20)</f>
        <v>-976.23362409986464</v>
      </c>
      <c r="J487">
        <f>_xlfn.RANK.EQ(F[[#This Row],[Value]],F[Value])</f>
        <v>487</v>
      </c>
      <c r="K487" s="10">
        <f>F[[#This Row],[Value]]-_xlfn.XLOOKUP($G$497,F[Value Rk],F[Value],,-1)</f>
        <v>-1375.6474627256111</v>
      </c>
    </row>
    <row r="488" spans="1:11" ht="15.75" thickBot="1" x14ac:dyDescent="0.3">
      <c r="A488" s="108" t="s">
        <v>1148</v>
      </c>
      <c r="D488" s="57"/>
      <c r="E488" s="57"/>
      <c r="F488" s="17"/>
      <c r="I488" s="10">
        <f>INDEX(Std[],MATCH(F[[#This Row],[Player]],Std[Player],0),20)</f>
        <v>-968.51040267299129</v>
      </c>
      <c r="J488">
        <f>_xlfn.RANK.EQ(F[[#This Row],[Value]],F[Value])</f>
        <v>486</v>
      </c>
      <c r="K488" s="10">
        <f>F[[#This Row],[Value]]-_xlfn.XLOOKUP($G$497,F[Value Rk],F[Value],,-1)</f>
        <v>-1367.9242412987378</v>
      </c>
    </row>
    <row r="489" spans="1:11" ht="15.75" thickBot="1" x14ac:dyDescent="0.3">
      <c r="A489" s="108" t="s">
        <v>1135</v>
      </c>
      <c r="D489" s="57"/>
      <c r="E489" s="57"/>
      <c r="F489" s="17"/>
      <c r="I489" s="10">
        <f>INDEX(Std[],MATCH(F[[#This Row],[Player]],Std[Player],0),20)</f>
        <v>-1021.2879348868903</v>
      </c>
      <c r="J489">
        <f>_xlfn.RANK.EQ(F[[#This Row],[Value]],F[Value])</f>
        <v>488</v>
      </c>
      <c r="K489" s="10">
        <f>F[[#This Row],[Value]]-_xlfn.XLOOKUP($G$497,F[Value Rk],F[Value],,-1)</f>
        <v>-1420.7017735126369</v>
      </c>
    </row>
    <row r="493" spans="1:11" x14ac:dyDescent="0.25">
      <c r="B493" t="s">
        <v>147</v>
      </c>
      <c r="D493" t="s">
        <v>145</v>
      </c>
    </row>
    <row r="494" spans="1:11" x14ac:dyDescent="0.25">
      <c r="B494">
        <f>COUNTIFS(Center[Pos P Rank], "&gt;"&amp;E494,Center[Pos P Rank], "&lt;="&amp;(E494+31))</f>
        <v>0</v>
      </c>
      <c r="D494" t="s">
        <v>74</v>
      </c>
      <c r="E494">
        <f>'League Inputs'!P246*'League Inputs'!$N$13</f>
        <v>0</v>
      </c>
      <c r="G494" s="9"/>
    </row>
    <row r="495" spans="1:11" x14ac:dyDescent="0.25">
      <c r="B495">
        <f>COUNTIFS(Center[Value Rk], "&gt;"&amp;E494,Center[Value Rk], "&lt;="&amp;(E494+31))</f>
        <v>31</v>
      </c>
      <c r="D495" t="s">
        <v>102</v>
      </c>
      <c r="E495">
        <f>'League Inputs'!P247*'League Inputs'!$N$13</f>
        <v>0</v>
      </c>
    </row>
    <row r="496" spans="1:11" x14ac:dyDescent="0.25">
      <c r="B496">
        <f>COUNTIFS(Center[Pos P Rank], "&lt;"&amp;$D$265)</f>
        <v>0</v>
      </c>
      <c r="D496" t="s">
        <v>74</v>
      </c>
      <c r="E496">
        <f>'League Inputs'!P248*'League Inputs'!$N$13</f>
        <v>0</v>
      </c>
    </row>
    <row r="497" spans="2:7" x14ac:dyDescent="0.25">
      <c r="B497">
        <f>COUNTIFS(Center[Value Rk], "&lt;"&amp;$D$265)</f>
        <v>0</v>
      </c>
      <c r="D497" t="s">
        <v>3</v>
      </c>
      <c r="E497">
        <f>'League Inputs'!P249*'League Inputs'!$N$13</f>
        <v>0</v>
      </c>
      <c r="G497">
        <f>'League Inputs'!$O$24*'League Inputs'!$N$13</f>
        <v>126</v>
      </c>
    </row>
  </sheetData>
  <protectedRanges>
    <protectedRange sqref="B1:H1" name="Range2_1_2"/>
  </protectedRange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EEB1-CA5E-47AD-A035-23D3A6DD59CB}">
  <sheetPr codeName="Sheet12"/>
  <dimension ref="A1:K273"/>
  <sheetViews>
    <sheetView topLeftCell="A196" workbookViewId="0">
      <selection activeCell="A187" sqref="A187:XFD187"/>
    </sheetView>
  </sheetViews>
  <sheetFormatPr defaultRowHeight="15" x14ac:dyDescent="0.25"/>
  <cols>
    <col min="1" max="1" width="24.5703125" bestFit="1" customWidth="1"/>
    <col min="6" max="6" width="14.7109375" bestFit="1" customWidth="1"/>
    <col min="7" max="7" width="11.42578125" customWidth="1"/>
    <col min="8" max="8" width="10.28515625" bestFit="1" customWidth="1"/>
  </cols>
  <sheetData>
    <row r="1" spans="1:11" x14ac:dyDescent="0.25">
      <c r="A1" s="3" t="s">
        <v>0</v>
      </c>
      <c r="B1" s="3" t="s">
        <v>54</v>
      </c>
      <c r="C1" s="3" t="s">
        <v>55</v>
      </c>
      <c r="D1" s="53" t="s">
        <v>73</v>
      </c>
      <c r="E1" s="53" t="s">
        <v>121</v>
      </c>
      <c r="F1" s="3" t="s">
        <v>53</v>
      </c>
      <c r="G1" s="3" t="s">
        <v>143</v>
      </c>
      <c r="H1" s="3" t="s">
        <v>148</v>
      </c>
      <c r="I1" s="63" t="s">
        <v>70</v>
      </c>
      <c r="J1" s="63" t="s">
        <v>151</v>
      </c>
      <c r="K1" s="63" t="s">
        <v>123</v>
      </c>
    </row>
    <row r="2" spans="1:11" x14ac:dyDescent="0.25">
      <c r="A2" t="s">
        <v>906</v>
      </c>
      <c r="B2">
        <v>27</v>
      </c>
      <c r="C2" t="s">
        <v>74</v>
      </c>
      <c r="E2" s="57"/>
      <c r="F2" t="s">
        <v>5</v>
      </c>
      <c r="I2" s="10">
        <f>INDEX(Std[],MATCH(Center[[#This Row],[Player]],Std[Player],0),20)</f>
        <v>2217.8806597083476</v>
      </c>
      <c r="J2">
        <f>_xlfn.RANK.EQ(Center[[#This Row],[Value]],Center[Value])</f>
        <v>1</v>
      </c>
      <c r="K2" s="10">
        <f>Center[[#This Row],[Value]]-_xlfn.XLOOKUP($D$263,Center[Value Rk],Center[Value],,-1)</f>
        <v>1483.246805398049</v>
      </c>
    </row>
    <row r="3" spans="1:11" x14ac:dyDescent="0.25">
      <c r="A3" t="s">
        <v>993</v>
      </c>
      <c r="B3">
        <v>28</v>
      </c>
      <c r="C3" t="s">
        <v>74</v>
      </c>
      <c r="E3" s="56"/>
      <c r="F3" t="s">
        <v>28</v>
      </c>
      <c r="I3" s="10">
        <f>INDEX(Std[],MATCH(Center[[#This Row],[Player]],Std[Player],0),20)</f>
        <v>2066.2268157458398</v>
      </c>
      <c r="J3">
        <f>_xlfn.RANK.EQ(Center[[#This Row],[Value]],Center[Value])</f>
        <v>2</v>
      </c>
      <c r="K3" s="10">
        <f>Center[[#This Row],[Value]]-_xlfn.XLOOKUP($D$263,Center[Value Rk],Center[Value],,-1)</f>
        <v>1331.5929614355412</v>
      </c>
    </row>
    <row r="4" spans="1:11" x14ac:dyDescent="0.25">
      <c r="A4" t="s">
        <v>238</v>
      </c>
      <c r="B4">
        <v>28</v>
      </c>
      <c r="C4" t="s">
        <v>74</v>
      </c>
      <c r="D4" t="s">
        <v>102</v>
      </c>
      <c r="E4" s="56"/>
      <c r="F4" t="s">
        <v>154</v>
      </c>
      <c r="I4" s="10">
        <f>INDEX(Std[],MATCH(Center[[#This Row],[Player]],Std[Player],0),20)</f>
        <v>1881.0758987697498</v>
      </c>
      <c r="J4">
        <f>_xlfn.RANK.EQ(Center[[#This Row],[Value]],Center[Value])</f>
        <v>4</v>
      </c>
      <c r="K4" s="10">
        <f>Center[[#This Row],[Value]]-_xlfn.XLOOKUP($D$263,Center[Value Rk],Center[Value],,-1)</f>
        <v>1146.4420444594512</v>
      </c>
    </row>
    <row r="5" spans="1:11" x14ac:dyDescent="0.25">
      <c r="A5" t="s">
        <v>247</v>
      </c>
      <c r="B5">
        <v>36</v>
      </c>
      <c r="C5" t="s">
        <v>74</v>
      </c>
      <c r="E5" s="57"/>
      <c r="F5" t="s">
        <v>32</v>
      </c>
      <c r="I5" s="10">
        <f>INDEX(Std[],MATCH(Center[[#This Row],[Player]],Std[Player],0),20)</f>
        <v>1903.4948069249726</v>
      </c>
      <c r="J5">
        <f>_xlfn.RANK.EQ(Center[[#This Row],[Value]],Center[Value])</f>
        <v>3</v>
      </c>
      <c r="K5" s="10">
        <f>Center[[#This Row],[Value]]-_xlfn.XLOOKUP($D$263,Center[Value Rk],Center[Value],,-1)</f>
        <v>1168.860952614674</v>
      </c>
    </row>
    <row r="6" spans="1:11" x14ac:dyDescent="0.25">
      <c r="A6" t="s">
        <v>884</v>
      </c>
      <c r="B6">
        <v>26</v>
      </c>
      <c r="C6" t="s">
        <v>74</v>
      </c>
      <c r="E6" s="57"/>
      <c r="F6" t="s">
        <v>17</v>
      </c>
      <c r="I6" s="10">
        <f>INDEX(Std[],MATCH(Center[[#This Row],[Player]],Std[Player],0),20)</f>
        <v>1836.9356467682803</v>
      </c>
      <c r="J6">
        <f>_xlfn.RANK.EQ(Center[[#This Row],[Value]],Center[Value])</f>
        <v>6</v>
      </c>
      <c r="K6" s="10">
        <f>Center[[#This Row],[Value]]-_xlfn.XLOOKUP($D$263,Center[Value Rk],Center[Value],,-1)</f>
        <v>1102.3017924579817</v>
      </c>
    </row>
    <row r="7" spans="1:11" x14ac:dyDescent="0.25">
      <c r="A7" t="s">
        <v>239</v>
      </c>
      <c r="B7">
        <v>30</v>
      </c>
      <c r="C7" t="s">
        <v>74</v>
      </c>
      <c r="D7" t="s">
        <v>103</v>
      </c>
      <c r="E7" s="57"/>
      <c r="F7" t="s">
        <v>25</v>
      </c>
      <c r="I7" s="10">
        <f>INDEX(Std[],MATCH(Center[[#This Row],[Player]],Std[Player],0),20)</f>
        <v>1852.1125890723724</v>
      </c>
      <c r="J7">
        <f>_xlfn.RANK.EQ(Center[[#This Row],[Value]],Center[Value])</f>
        <v>5</v>
      </c>
      <c r="K7" s="10">
        <f>Center[[#This Row],[Value]]-_xlfn.XLOOKUP($D$263,Center[Value Rk],Center[Value],,-1)</f>
        <v>1117.4787347620738</v>
      </c>
    </row>
    <row r="8" spans="1:11" x14ac:dyDescent="0.25">
      <c r="A8" t="s">
        <v>273</v>
      </c>
      <c r="B8">
        <v>33</v>
      </c>
      <c r="C8" t="s">
        <v>74</v>
      </c>
      <c r="E8" s="57"/>
      <c r="F8" t="s">
        <v>10</v>
      </c>
      <c r="I8" s="10">
        <f>INDEX(Std[],MATCH(Center[[#This Row],[Player]],Std[Player],0),20)</f>
        <v>1766.7851242524023</v>
      </c>
      <c r="J8">
        <f>_xlfn.RANK.EQ(Center[[#This Row],[Value]],Center[Value])</f>
        <v>7</v>
      </c>
      <c r="K8" s="10">
        <f>Center[[#This Row],[Value]]-_xlfn.XLOOKUP($D$263,Center[Value Rk],Center[Value],,-1)</f>
        <v>1032.1512699421037</v>
      </c>
    </row>
    <row r="9" spans="1:11" x14ac:dyDescent="0.25">
      <c r="A9" t="s">
        <v>422</v>
      </c>
      <c r="B9">
        <v>22</v>
      </c>
      <c r="C9" t="s">
        <v>74</v>
      </c>
      <c r="D9" t="s">
        <v>102</v>
      </c>
      <c r="E9" s="57"/>
      <c r="F9" t="s">
        <v>20</v>
      </c>
      <c r="I9" s="10">
        <f>INDEX(Std[],MATCH(Center[[#This Row],[Player]],Std[Player],0),20)</f>
        <v>1189.3458489330492</v>
      </c>
      <c r="J9">
        <f>_xlfn.RANK.EQ(Center[[#This Row],[Value]],Center[Value])</f>
        <v>13</v>
      </c>
      <c r="K9" s="10">
        <f>Center[[#This Row],[Value]]-_xlfn.XLOOKUP($D$263,Center[Value Rk],Center[Value],,-1)</f>
        <v>454.71199462275058</v>
      </c>
    </row>
    <row r="10" spans="1:11" x14ac:dyDescent="0.25">
      <c r="A10" t="s">
        <v>302</v>
      </c>
      <c r="B10">
        <v>30</v>
      </c>
      <c r="C10" t="s">
        <v>74</v>
      </c>
      <c r="E10" s="57"/>
      <c r="F10" t="s">
        <v>23</v>
      </c>
      <c r="I10" s="10">
        <f>INDEX(Std[],MATCH(Center[[#This Row],[Player]],Std[Player],0),20)</f>
        <v>1446.0530212793985</v>
      </c>
      <c r="J10">
        <f>_xlfn.RANK.EQ(Center[[#This Row],[Value]],Center[Value])</f>
        <v>8</v>
      </c>
      <c r="K10" s="10">
        <f>Center[[#This Row],[Value]]-_xlfn.XLOOKUP($D$263,Center[Value Rk],Center[Value],,-1)</f>
        <v>711.41916696909993</v>
      </c>
    </row>
    <row r="11" spans="1:11" x14ac:dyDescent="0.25">
      <c r="A11" t="s">
        <v>257</v>
      </c>
      <c r="B11">
        <v>37</v>
      </c>
      <c r="C11" t="s">
        <v>74</v>
      </c>
      <c r="E11" s="56"/>
      <c r="F11" t="s">
        <v>7</v>
      </c>
      <c r="I11" s="10">
        <f>INDEX(Std[],MATCH(Center[[#This Row],[Player]],Std[Player],0),20)</f>
        <v>1190.3770607465021</v>
      </c>
      <c r="J11">
        <f>_xlfn.RANK.EQ(Center[[#This Row],[Value]],Center[Value])</f>
        <v>12</v>
      </c>
      <c r="K11" s="10">
        <f>Center[[#This Row],[Value]]-_xlfn.XLOOKUP($D$263,Center[Value Rk],Center[Value],,-1)</f>
        <v>455.74320643620354</v>
      </c>
    </row>
    <row r="12" spans="1:11" x14ac:dyDescent="0.25">
      <c r="A12" t="s">
        <v>291</v>
      </c>
      <c r="B12">
        <v>28</v>
      </c>
      <c r="C12" t="s">
        <v>74</v>
      </c>
      <c r="E12" s="56"/>
      <c r="F12" t="s">
        <v>30</v>
      </c>
      <c r="I12" s="10">
        <f>INDEX(Std[],MATCH(Center[[#This Row],[Player]],Std[Player],0),20)</f>
        <v>1219.6359914829327</v>
      </c>
      <c r="J12">
        <f>_xlfn.RANK.EQ(Center[[#This Row],[Value]],Center[Value])</f>
        <v>11</v>
      </c>
      <c r="K12" s="10">
        <f>Center[[#This Row],[Value]]-_xlfn.XLOOKUP($D$263,Center[Value Rk],Center[Value],,-1)</f>
        <v>485.00213717263409</v>
      </c>
    </row>
    <row r="13" spans="1:11" x14ac:dyDescent="0.25">
      <c r="A13" t="s">
        <v>341</v>
      </c>
      <c r="B13">
        <v>33</v>
      </c>
      <c r="C13" t="s">
        <v>74</v>
      </c>
      <c r="E13" s="56"/>
      <c r="F13" t="s">
        <v>12</v>
      </c>
      <c r="I13" s="10">
        <f>INDEX(Std[],MATCH(Center[[#This Row],[Player]],Std[Player],0),20)</f>
        <v>1076.8795304324876</v>
      </c>
      <c r="J13">
        <f>_xlfn.RANK.EQ(Center[[#This Row],[Value]],Center[Value])</f>
        <v>20</v>
      </c>
      <c r="K13" s="10">
        <f>Center[[#This Row],[Value]]-_xlfn.XLOOKUP($D$263,Center[Value Rk],Center[Value],,-1)</f>
        <v>342.24567612218902</v>
      </c>
    </row>
    <row r="14" spans="1:11" x14ac:dyDescent="0.25">
      <c r="A14" t="s">
        <v>389</v>
      </c>
      <c r="B14">
        <v>25</v>
      </c>
      <c r="C14" t="s">
        <v>74</v>
      </c>
      <c r="E14" s="56"/>
      <c r="F14" t="s">
        <v>34</v>
      </c>
      <c r="I14" s="10">
        <f>INDEX(Std[],MATCH(Center[[#This Row],[Player]],Std[Player],0),20)</f>
        <v>1340.5906443734007</v>
      </c>
      <c r="J14">
        <f>_xlfn.RANK.EQ(Center[[#This Row],[Value]],Center[Value])</f>
        <v>9</v>
      </c>
      <c r="K14" s="10">
        <f>Center[[#This Row],[Value]]-_xlfn.XLOOKUP($D$263,Center[Value Rk],Center[Value],,-1)</f>
        <v>605.95679006310206</v>
      </c>
    </row>
    <row r="15" spans="1:11" x14ac:dyDescent="0.25">
      <c r="A15" t="s">
        <v>312</v>
      </c>
      <c r="B15">
        <v>30</v>
      </c>
      <c r="C15" t="s">
        <v>74</v>
      </c>
      <c r="E15" s="57"/>
      <c r="F15" t="s">
        <v>10</v>
      </c>
      <c r="I15" s="10">
        <f>INDEX(Std[],MATCH(Center[[#This Row],[Player]],Std[Player],0),20)</f>
        <v>1145.7435323622633</v>
      </c>
      <c r="J15">
        <f>_xlfn.RANK.EQ(Center[[#This Row],[Value]],Center[Value])</f>
        <v>15</v>
      </c>
      <c r="K15" s="10">
        <f>Center[[#This Row],[Value]]-_xlfn.XLOOKUP($D$263,Center[Value Rk],Center[Value],,-1)</f>
        <v>411.10967805196469</v>
      </c>
    </row>
    <row r="16" spans="1:11" x14ac:dyDescent="0.25">
      <c r="A16" t="s">
        <v>306</v>
      </c>
      <c r="B16">
        <v>18</v>
      </c>
      <c r="C16" t="s">
        <v>74</v>
      </c>
      <c r="E16" s="56"/>
      <c r="F16" t="s">
        <v>22</v>
      </c>
      <c r="I16" s="10">
        <f>INDEX(Std[],MATCH(Center[[#This Row],[Player]],Std[Player],0),20)</f>
        <v>1287.1494807067243</v>
      </c>
      <c r="J16">
        <f>_xlfn.RANK.EQ(Center[[#This Row],[Value]],Center[Value])</f>
        <v>10</v>
      </c>
      <c r="K16" s="10">
        <f>Center[[#This Row],[Value]]-_xlfn.XLOOKUP($D$263,Center[Value Rk],Center[Value],,-1)</f>
        <v>552.51562639642566</v>
      </c>
    </row>
    <row r="17" spans="1:11" x14ac:dyDescent="0.25">
      <c r="A17" t="s">
        <v>309</v>
      </c>
      <c r="B17">
        <v>27</v>
      </c>
      <c r="C17" t="s">
        <v>74</v>
      </c>
      <c r="E17" s="57"/>
      <c r="F17" t="s">
        <v>21</v>
      </c>
      <c r="I17" s="10">
        <f>INDEX(Std[],MATCH(Center[[#This Row],[Player]],Std[Player],0),20)</f>
        <v>1067.2423641864298</v>
      </c>
      <c r="J17">
        <f>_xlfn.RANK.EQ(Center[[#This Row],[Value]],Center[Value])</f>
        <v>21</v>
      </c>
      <c r="K17" s="10">
        <f>Center[[#This Row],[Value]]-_xlfn.XLOOKUP($D$263,Center[Value Rk],Center[Value],,-1)</f>
        <v>332.60850987613117</v>
      </c>
    </row>
    <row r="18" spans="1:11" x14ac:dyDescent="0.25">
      <c r="A18" t="s">
        <v>266</v>
      </c>
      <c r="B18">
        <v>25</v>
      </c>
      <c r="C18" t="s">
        <v>74</v>
      </c>
      <c r="D18" t="s">
        <v>102</v>
      </c>
      <c r="E18" s="57"/>
      <c r="F18" t="s">
        <v>9</v>
      </c>
      <c r="I18" s="10">
        <f>INDEX(Std[],MATCH(Center[[#This Row],[Player]],Std[Player],0),20)</f>
        <v>1139.5477824861377</v>
      </c>
      <c r="J18">
        <f>_xlfn.RANK.EQ(Center[[#This Row],[Value]],Center[Value])</f>
        <v>16</v>
      </c>
      <c r="K18" s="10">
        <f>Center[[#This Row],[Value]]-_xlfn.XLOOKUP($D$263,Center[Value Rk],Center[Value],,-1)</f>
        <v>404.91392817583915</v>
      </c>
    </row>
    <row r="19" spans="1:11" x14ac:dyDescent="0.25">
      <c r="A19" t="s">
        <v>278</v>
      </c>
      <c r="B19">
        <v>28</v>
      </c>
      <c r="C19" t="s">
        <v>74</v>
      </c>
      <c r="D19" t="s">
        <v>103</v>
      </c>
      <c r="E19" s="57"/>
      <c r="F19" t="s">
        <v>32</v>
      </c>
      <c r="I19" s="10">
        <f>INDEX(Std[],MATCH(Center[[#This Row],[Player]],Std[Player],0),20)</f>
        <v>1188.3015675042641</v>
      </c>
      <c r="J19">
        <f>_xlfn.RANK.EQ(Center[[#This Row],[Value]],Center[Value])</f>
        <v>14</v>
      </c>
      <c r="K19" s="10">
        <f>Center[[#This Row],[Value]]-_xlfn.XLOOKUP($D$263,Center[Value Rk],Center[Value],,-1)</f>
        <v>453.66771319396548</v>
      </c>
    </row>
    <row r="20" spans="1:11" x14ac:dyDescent="0.25">
      <c r="A20" t="s">
        <v>335</v>
      </c>
      <c r="B20">
        <v>22</v>
      </c>
      <c r="C20" t="s">
        <v>74</v>
      </c>
      <c r="D20" t="s">
        <v>102</v>
      </c>
      <c r="E20" s="56"/>
      <c r="F20" t="s">
        <v>13</v>
      </c>
      <c r="I20" s="10">
        <f>INDEX(Std[],MATCH(Center[[#This Row],[Player]],Std[Player],0),20)</f>
        <v>845.37471597967556</v>
      </c>
      <c r="J20">
        <f>_xlfn.RANK.EQ(Center[[#This Row],[Value]],Center[Value])</f>
        <v>34</v>
      </c>
      <c r="K20" s="10">
        <f>Center[[#This Row],[Value]]-_xlfn.XLOOKUP($D$263,Center[Value Rk],Center[Value],,-1)</f>
        <v>110.74086166937695</v>
      </c>
    </row>
    <row r="21" spans="1:11" x14ac:dyDescent="0.25">
      <c r="A21" t="s">
        <v>339</v>
      </c>
      <c r="B21">
        <v>26</v>
      </c>
      <c r="C21" t="s">
        <v>74</v>
      </c>
      <c r="E21" s="57"/>
      <c r="F21" t="s">
        <v>6</v>
      </c>
      <c r="I21" s="10">
        <f>INDEX(Std[],MATCH(Center[[#This Row],[Player]],Std[Player],0),20)</f>
        <v>947.32896167795479</v>
      </c>
      <c r="J21">
        <f>_xlfn.RANK.EQ(Center[[#This Row],[Value]],Center[Value])</f>
        <v>25</v>
      </c>
      <c r="K21" s="10">
        <f>Center[[#This Row],[Value]]-_xlfn.XLOOKUP($D$263,Center[Value Rk],Center[Value],,-1)</f>
        <v>212.69510736765619</v>
      </c>
    </row>
    <row r="22" spans="1:11" x14ac:dyDescent="0.25">
      <c r="A22" t="s">
        <v>277</v>
      </c>
      <c r="B22">
        <v>30</v>
      </c>
      <c r="C22" t="s">
        <v>74</v>
      </c>
      <c r="D22" t="s">
        <v>102</v>
      </c>
      <c r="E22" s="57"/>
      <c r="F22" t="s">
        <v>12</v>
      </c>
      <c r="I22" s="10">
        <f>INDEX(Std[],MATCH(Center[[#This Row],[Player]],Std[Player],0),20)</f>
        <v>1114.6212575953432</v>
      </c>
      <c r="J22">
        <f>_xlfn.RANK.EQ(Center[[#This Row],[Value]],Center[Value])</f>
        <v>17</v>
      </c>
      <c r="K22" s="10">
        <f>Center[[#This Row],[Value]]-_xlfn.XLOOKUP($D$263,Center[Value Rk],Center[Value],,-1)</f>
        <v>379.98740328504459</v>
      </c>
    </row>
    <row r="23" spans="1:11" x14ac:dyDescent="0.25">
      <c r="A23" t="s">
        <v>281</v>
      </c>
      <c r="B23">
        <v>39</v>
      </c>
      <c r="C23" t="s">
        <v>74</v>
      </c>
      <c r="D23" t="s">
        <v>103</v>
      </c>
      <c r="E23" s="57"/>
      <c r="F23" t="s">
        <v>31</v>
      </c>
      <c r="I23" s="10">
        <f>INDEX(Std[],MATCH(Center[[#This Row],[Player]],Std[Player],0),20)</f>
        <v>1109.3268406677091</v>
      </c>
      <c r="J23">
        <f>_xlfn.RANK.EQ(Center[[#This Row],[Value]],Center[Value])</f>
        <v>18</v>
      </c>
      <c r="K23" s="10">
        <f>Center[[#This Row],[Value]]-_xlfn.XLOOKUP($D$263,Center[Value Rk],Center[Value],,-1)</f>
        <v>374.69298635741052</v>
      </c>
    </row>
    <row r="24" spans="1:11" x14ac:dyDescent="0.25">
      <c r="A24" t="s">
        <v>1076</v>
      </c>
      <c r="B24">
        <v>27</v>
      </c>
      <c r="C24" t="s">
        <v>74</v>
      </c>
      <c r="E24" s="56"/>
      <c r="F24" t="s">
        <v>14</v>
      </c>
      <c r="I24" s="10">
        <f>INDEX(Std[],MATCH(Center[[#This Row],[Player]],Std[Player],0),20)</f>
        <v>939.01945902748753</v>
      </c>
      <c r="J24">
        <f>_xlfn.RANK.EQ(Center[[#This Row],[Value]],Center[Value])</f>
        <v>26</v>
      </c>
      <c r="K24" s="10">
        <f>Center[[#This Row],[Value]]-_xlfn.XLOOKUP($D$263,Center[Value Rk],Center[Value],,-1)</f>
        <v>204.38560471718893</v>
      </c>
    </row>
    <row r="25" spans="1:11" x14ac:dyDescent="0.25">
      <c r="A25" t="s">
        <v>354</v>
      </c>
      <c r="B25">
        <v>30</v>
      </c>
      <c r="C25" t="s">
        <v>74</v>
      </c>
      <c r="E25" s="57"/>
      <c r="F25" t="s">
        <v>22</v>
      </c>
      <c r="I25" s="10">
        <f>INDEX(Std[],MATCH(Center[[#This Row],[Player]],Std[Player],0),20)</f>
        <v>911.85606891410771</v>
      </c>
      <c r="J25">
        <f>_xlfn.RANK.EQ(Center[[#This Row],[Value]],Center[Value])</f>
        <v>31</v>
      </c>
      <c r="K25" s="10">
        <f>Center[[#This Row],[Value]]-_xlfn.XLOOKUP($D$263,Center[Value Rk],Center[Value],,-1)</f>
        <v>177.22221460380911</v>
      </c>
    </row>
    <row r="26" spans="1:11" x14ac:dyDescent="0.25">
      <c r="A26" t="s">
        <v>314</v>
      </c>
      <c r="B26">
        <v>27</v>
      </c>
      <c r="C26" t="s">
        <v>74</v>
      </c>
      <c r="D26" t="s">
        <v>103</v>
      </c>
      <c r="E26" s="57"/>
      <c r="F26" t="s">
        <v>153</v>
      </c>
      <c r="I26" s="10">
        <f>INDEX(Std[],MATCH(Center[[#This Row],[Player]],Std[Player],0),20)</f>
        <v>963.95053594807689</v>
      </c>
      <c r="J26">
        <f>_xlfn.RANK.EQ(Center[[#This Row],[Value]],Center[Value])</f>
        <v>24</v>
      </c>
      <c r="K26" s="10">
        <f>Center[[#This Row],[Value]]-_xlfn.XLOOKUP($D$263,Center[Value Rk],Center[Value],,-1)</f>
        <v>229.31668163777829</v>
      </c>
    </row>
    <row r="27" spans="1:11" x14ac:dyDescent="0.25">
      <c r="A27" t="s">
        <v>464</v>
      </c>
      <c r="B27">
        <v>30</v>
      </c>
      <c r="C27" t="s">
        <v>74</v>
      </c>
      <c r="E27" s="57"/>
      <c r="F27" t="s">
        <v>18</v>
      </c>
      <c r="I27" s="10">
        <f>INDEX(Std[],MATCH(Center[[#This Row],[Player]],Std[Player],0),20)</f>
        <v>734.6338543102986</v>
      </c>
      <c r="J27">
        <f>_xlfn.RANK.EQ(Center[[#This Row],[Value]],Center[Value])</f>
        <v>42</v>
      </c>
      <c r="K27" s="10">
        <f>Center[[#This Row],[Value]]-_xlfn.XLOOKUP($D$263,Center[Value Rk],Center[Value],,-1)</f>
        <v>0</v>
      </c>
    </row>
    <row r="28" spans="1:11" x14ac:dyDescent="0.25">
      <c r="A28" t="s">
        <v>397</v>
      </c>
      <c r="B28">
        <v>26</v>
      </c>
      <c r="C28" t="s">
        <v>74</v>
      </c>
      <c r="E28" s="57"/>
      <c r="F28" t="s">
        <v>9</v>
      </c>
      <c r="I28" s="10">
        <f>INDEX(Std[],MATCH(Center[[#This Row],[Player]],Std[Player],0),20)</f>
        <v>741.12511146051918</v>
      </c>
      <c r="J28">
        <f>_xlfn.RANK.EQ(Center[[#This Row],[Value]],Center[Value])</f>
        <v>40</v>
      </c>
      <c r="K28" s="10">
        <f>Center[[#This Row],[Value]]-_xlfn.XLOOKUP($D$263,Center[Value Rk],Center[Value],,-1)</f>
        <v>6.4912571502205765</v>
      </c>
    </row>
    <row r="29" spans="1:11" x14ac:dyDescent="0.25">
      <c r="A29" t="s">
        <v>356</v>
      </c>
      <c r="B29">
        <v>34</v>
      </c>
      <c r="C29" t="s">
        <v>74</v>
      </c>
      <c r="E29" s="56"/>
      <c r="F29" t="s">
        <v>5</v>
      </c>
      <c r="I29" s="10">
        <f>INDEX(Std[],MATCH(Center[[#This Row],[Player]],Std[Player],0),20)</f>
        <v>1077.71422543984</v>
      </c>
      <c r="J29">
        <f>_xlfn.RANK.EQ(Center[[#This Row],[Value]],Center[Value])</f>
        <v>19</v>
      </c>
      <c r="K29" s="10">
        <f>Center[[#This Row],[Value]]-_xlfn.XLOOKUP($D$263,Center[Value Rk],Center[Value],,-1)</f>
        <v>343.08037112954139</v>
      </c>
    </row>
    <row r="30" spans="1:11" x14ac:dyDescent="0.25">
      <c r="A30" t="s">
        <v>413</v>
      </c>
      <c r="B30">
        <v>27</v>
      </c>
      <c r="C30" t="s">
        <v>74</v>
      </c>
      <c r="E30" s="57"/>
      <c r="F30" t="s">
        <v>22</v>
      </c>
      <c r="I30" s="10">
        <f>INDEX(Std[],MATCH(Center[[#This Row],[Player]],Std[Player],0),20)</f>
        <v>880.56653708474903</v>
      </c>
      <c r="J30">
        <f>_xlfn.RANK.EQ(Center[[#This Row],[Value]],Center[Value])</f>
        <v>33</v>
      </c>
      <c r="K30" s="10">
        <f>Center[[#This Row],[Value]]-_xlfn.XLOOKUP($D$263,Center[Value Rk],Center[Value],,-1)</f>
        <v>145.93268277445043</v>
      </c>
    </row>
    <row r="31" spans="1:11" x14ac:dyDescent="0.25">
      <c r="A31" t="s">
        <v>359</v>
      </c>
      <c r="B31">
        <v>27</v>
      </c>
      <c r="C31" t="s">
        <v>74</v>
      </c>
      <c r="E31" s="56"/>
      <c r="F31" t="s">
        <v>32</v>
      </c>
      <c r="I31" s="10">
        <f>INDEX(Std[],MATCH(Center[[#This Row],[Player]],Std[Player],0),20)</f>
        <v>804.27768911733392</v>
      </c>
      <c r="J31">
        <f>_xlfn.RANK.EQ(Center[[#This Row],[Value]],Center[Value])</f>
        <v>36</v>
      </c>
      <c r="K31" s="10">
        <f>Center[[#This Row],[Value]]-_xlfn.XLOOKUP($D$263,Center[Value Rk],Center[Value],,-1)</f>
        <v>69.643834807035319</v>
      </c>
    </row>
    <row r="32" spans="1:11" x14ac:dyDescent="0.25">
      <c r="A32" t="s">
        <v>320</v>
      </c>
      <c r="B32">
        <v>28</v>
      </c>
      <c r="C32" t="s">
        <v>74</v>
      </c>
      <c r="D32" t="s">
        <v>102</v>
      </c>
      <c r="E32" s="56"/>
      <c r="F32" t="s">
        <v>6</v>
      </c>
      <c r="I32" s="10">
        <f>INDEX(Std[],MATCH(Center[[#This Row],[Player]],Std[Player],0),20)</f>
        <v>1001.3068233139866</v>
      </c>
      <c r="J32">
        <f>_xlfn.RANK.EQ(Center[[#This Row],[Value]],Center[Value])</f>
        <v>22</v>
      </c>
      <c r="K32" s="10">
        <f>Center[[#This Row],[Value]]-_xlfn.XLOOKUP($D$263,Center[Value Rk],Center[Value],,-1)</f>
        <v>266.67296900368797</v>
      </c>
    </row>
    <row r="33" spans="1:11" x14ac:dyDescent="0.25">
      <c r="A33" t="s">
        <v>492</v>
      </c>
      <c r="B33">
        <v>36</v>
      </c>
      <c r="C33" t="s">
        <v>74</v>
      </c>
      <c r="E33" s="57"/>
      <c r="F33" t="s">
        <v>16</v>
      </c>
      <c r="I33" s="10">
        <f>INDEX(Std[],MATCH(Center[[#This Row],[Player]],Std[Player],0),20)</f>
        <v>813.1809109228833</v>
      </c>
      <c r="J33">
        <f>_xlfn.RANK.EQ(Center[[#This Row],[Value]],Center[Value])</f>
        <v>35</v>
      </c>
      <c r="K33" s="10">
        <f>Center[[#This Row],[Value]]-_xlfn.XLOOKUP($D$263,Center[Value Rk],Center[Value],,-1)</f>
        <v>78.547056612584697</v>
      </c>
    </row>
    <row r="34" spans="1:11" x14ac:dyDescent="0.25">
      <c r="A34" t="s">
        <v>333</v>
      </c>
      <c r="B34">
        <v>22</v>
      </c>
      <c r="C34" t="s">
        <v>74</v>
      </c>
      <c r="E34" s="57"/>
      <c r="F34" t="s">
        <v>16</v>
      </c>
      <c r="I34" s="10">
        <f>INDEX(Std[],MATCH(Center[[#This Row],[Player]],Std[Player],0),20)</f>
        <v>936.60618486553824</v>
      </c>
      <c r="J34">
        <f>_xlfn.RANK.EQ(Center[[#This Row],[Value]],Center[Value])</f>
        <v>28</v>
      </c>
      <c r="K34" s="10">
        <f>Center[[#This Row],[Value]]-_xlfn.XLOOKUP($D$263,Center[Value Rk],Center[Value],,-1)</f>
        <v>201.97233055523964</v>
      </c>
    </row>
    <row r="35" spans="1:11" x14ac:dyDescent="0.25">
      <c r="A35" t="s">
        <v>601</v>
      </c>
      <c r="B35">
        <v>26</v>
      </c>
      <c r="C35" t="s">
        <v>74</v>
      </c>
      <c r="D35" t="s">
        <v>103</v>
      </c>
      <c r="E35" s="56"/>
      <c r="F35" t="s">
        <v>5</v>
      </c>
      <c r="I35" s="10">
        <f>INDEX(Std[],MATCH(Center[[#This Row],[Player]],Std[Player],0),20)</f>
        <v>609.27696741598049</v>
      </c>
      <c r="J35">
        <f>_xlfn.RANK.EQ(Center[[#This Row],[Value]],Center[Value])</f>
        <v>50</v>
      </c>
      <c r="K35" s="10">
        <f>Center[[#This Row],[Value]]-_xlfn.XLOOKUP($D$263,Center[Value Rk],Center[Value],,-1)</f>
        <v>-125.35688689431811</v>
      </c>
    </row>
    <row r="36" spans="1:11" x14ac:dyDescent="0.25">
      <c r="A36" t="s">
        <v>484</v>
      </c>
      <c r="B36">
        <v>33</v>
      </c>
      <c r="C36" t="s">
        <v>74</v>
      </c>
      <c r="E36" s="56"/>
      <c r="F36" t="s">
        <v>12</v>
      </c>
      <c r="I36" s="10">
        <f>INDEX(Std[],MATCH(Center[[#This Row],[Player]],Std[Player],0),20)</f>
        <v>580.86928338134112</v>
      </c>
      <c r="J36">
        <f>_xlfn.RANK.EQ(Center[[#This Row],[Value]],Center[Value])</f>
        <v>54</v>
      </c>
      <c r="K36" s="10">
        <f>Center[[#This Row],[Value]]-_xlfn.XLOOKUP($D$263,Center[Value Rk],Center[Value],,-1)</f>
        <v>-153.76457092895748</v>
      </c>
    </row>
    <row r="37" spans="1:11" x14ac:dyDescent="0.25">
      <c r="A37" t="s">
        <v>1150</v>
      </c>
      <c r="B37">
        <v>27</v>
      </c>
      <c r="C37" t="s">
        <v>74</v>
      </c>
      <c r="E37" s="57"/>
      <c r="F37" t="s">
        <v>20</v>
      </c>
      <c r="I37" s="10">
        <f>INDEX(Std[],MATCH(Center[[#This Row],[Player]],Std[Player],0),20)</f>
        <v>603.1958837509352</v>
      </c>
      <c r="J37">
        <f>_xlfn.RANK.EQ(Center[[#This Row],[Value]],Center[Value])</f>
        <v>51</v>
      </c>
      <c r="K37" s="10">
        <f>Center[[#This Row],[Value]]-_xlfn.XLOOKUP($D$263,Center[Value Rk],Center[Value],,-1)</f>
        <v>-131.43797055936341</v>
      </c>
    </row>
    <row r="38" spans="1:11" x14ac:dyDescent="0.25">
      <c r="A38" t="s">
        <v>358</v>
      </c>
      <c r="B38">
        <v>29</v>
      </c>
      <c r="C38" t="s">
        <v>74</v>
      </c>
      <c r="E38" s="57"/>
      <c r="F38" t="s">
        <v>6</v>
      </c>
      <c r="I38" s="10">
        <f>INDEX(Std[],MATCH(Center[[#This Row],[Player]],Std[Player],0),20)</f>
        <v>615.0716271833503</v>
      </c>
      <c r="J38">
        <f>_xlfn.RANK.EQ(Center[[#This Row],[Value]],Center[Value])</f>
        <v>48</v>
      </c>
      <c r="K38" s="10">
        <f>Center[[#This Row],[Value]]-_xlfn.XLOOKUP($D$263,Center[Value Rk],Center[Value],,-1)</f>
        <v>-119.5622271269483</v>
      </c>
    </row>
    <row r="39" spans="1:11" x14ac:dyDescent="0.25">
      <c r="A39" t="s">
        <v>374</v>
      </c>
      <c r="B39">
        <v>19</v>
      </c>
      <c r="C39" t="s">
        <v>74</v>
      </c>
      <c r="E39" s="56"/>
      <c r="F39" t="s">
        <v>16</v>
      </c>
      <c r="I39" s="10">
        <f>INDEX(Std[],MATCH(Center[[#This Row],[Player]],Std[Player],0),20)</f>
        <v>988.12948521424835</v>
      </c>
      <c r="J39">
        <f>_xlfn.RANK.EQ(Center[[#This Row],[Value]],Center[Value])</f>
        <v>23</v>
      </c>
      <c r="K39" s="10">
        <f>Center[[#This Row],[Value]]-_xlfn.XLOOKUP($D$263,Center[Value Rk],Center[Value],,-1)</f>
        <v>253.49563090394975</v>
      </c>
    </row>
    <row r="40" spans="1:11" x14ac:dyDescent="0.25">
      <c r="A40" t="s">
        <v>1220</v>
      </c>
      <c r="B40">
        <v>28</v>
      </c>
      <c r="C40" t="s">
        <v>74</v>
      </c>
      <c r="E40" s="57"/>
      <c r="F40" t="s">
        <v>30</v>
      </c>
      <c r="I40" s="10">
        <f>INDEX(Std[],MATCH(Center[[#This Row],[Player]],Std[Player],0),20)</f>
        <v>722.35020864036801</v>
      </c>
      <c r="J40">
        <f>_xlfn.RANK.EQ(Center[[#This Row],[Value]],Center[Value])</f>
        <v>43</v>
      </c>
      <c r="K40" s="10">
        <f>Center[[#This Row],[Value]]-_xlfn.XLOOKUP($D$263,Center[Value Rk],Center[Value],,-1)</f>
        <v>-12.283645669930593</v>
      </c>
    </row>
    <row r="41" spans="1:11" x14ac:dyDescent="0.25">
      <c r="A41" t="s">
        <v>370</v>
      </c>
      <c r="B41">
        <v>36</v>
      </c>
      <c r="C41" t="s">
        <v>74</v>
      </c>
      <c r="D41" t="s">
        <v>103</v>
      </c>
      <c r="E41" s="57"/>
      <c r="F41" t="s">
        <v>20</v>
      </c>
      <c r="I41" s="10">
        <f>INDEX(Std[],MATCH(Center[[#This Row],[Player]],Std[Player],0),20)</f>
        <v>912.942477233967</v>
      </c>
      <c r="J41">
        <f>_xlfn.RANK.EQ(Center[[#This Row],[Value]],Center[Value])</f>
        <v>30</v>
      </c>
      <c r="K41" s="10">
        <f>Center[[#This Row],[Value]]-_xlfn.XLOOKUP($D$263,Center[Value Rk],Center[Value],,-1)</f>
        <v>178.30862292366839</v>
      </c>
    </row>
    <row r="42" spans="1:11" x14ac:dyDescent="0.25">
      <c r="A42" t="s">
        <v>409</v>
      </c>
      <c r="B42">
        <v>27</v>
      </c>
      <c r="C42" t="s">
        <v>74</v>
      </c>
      <c r="E42" s="57"/>
      <c r="F42" t="s">
        <v>28</v>
      </c>
      <c r="I42" s="10">
        <f>INDEX(Std[],MATCH(Center[[#This Row],[Player]],Std[Player],0),20)</f>
        <v>917.1342913729992</v>
      </c>
      <c r="J42">
        <f>_xlfn.RANK.EQ(Center[[#This Row],[Value]],Center[Value])</f>
        <v>29</v>
      </c>
      <c r="K42" s="10">
        <f>Center[[#This Row],[Value]]-_xlfn.XLOOKUP($D$263,Center[Value Rk],Center[Value],,-1)</f>
        <v>182.5004370627006</v>
      </c>
    </row>
    <row r="43" spans="1:11" x14ac:dyDescent="0.25">
      <c r="A43" t="s">
        <v>488</v>
      </c>
      <c r="B43">
        <v>24</v>
      </c>
      <c r="C43" t="s">
        <v>74</v>
      </c>
      <c r="E43" s="57"/>
      <c r="F43" s="59" t="s">
        <v>154</v>
      </c>
      <c r="I43" s="10">
        <f>INDEX(Std[],MATCH(Center[[#This Row],[Player]],Std[Player],0),20)</f>
        <v>938.47939722664717</v>
      </c>
      <c r="J43">
        <f>_xlfn.RANK.EQ(Center[[#This Row],[Value]],Center[Value])</f>
        <v>27</v>
      </c>
      <c r="K43" s="10">
        <f>Center[[#This Row],[Value]]-_xlfn.XLOOKUP($D$263,Center[Value Rk],Center[Value],,-1)</f>
        <v>203.84554291634856</v>
      </c>
    </row>
    <row r="44" spans="1:11" x14ac:dyDescent="0.25">
      <c r="A44" t="s">
        <v>607</v>
      </c>
      <c r="B44">
        <v>25</v>
      </c>
      <c r="C44" t="s">
        <v>74</v>
      </c>
      <c r="E44" s="57"/>
      <c r="F44" t="s">
        <v>32</v>
      </c>
      <c r="I44" s="10">
        <f>INDEX(Std[],MATCH(Center[[#This Row],[Player]],Std[Player],0),20)</f>
        <v>905.05695808364044</v>
      </c>
      <c r="J44">
        <f>_xlfn.RANK.EQ(Center[[#This Row],[Value]],Center[Value])</f>
        <v>32</v>
      </c>
      <c r="K44" s="10">
        <f>Center[[#This Row],[Value]]-_xlfn.XLOOKUP($D$263,Center[Value Rk],Center[Value],,-1)</f>
        <v>170.42310377334184</v>
      </c>
    </row>
    <row r="45" spans="1:11" x14ac:dyDescent="0.25">
      <c r="A45" t="s">
        <v>546</v>
      </c>
      <c r="B45">
        <v>30</v>
      </c>
      <c r="C45" t="s">
        <v>74</v>
      </c>
      <c r="E45" s="57"/>
      <c r="F45" t="s">
        <v>154</v>
      </c>
      <c r="I45" s="10">
        <f>INDEX(Std[],MATCH(Center[[#This Row],[Player]],Std[Player],0),20)</f>
        <v>539.63294291124191</v>
      </c>
      <c r="J45">
        <f>_xlfn.RANK.EQ(Center[[#This Row],[Value]],Center[Value])</f>
        <v>58</v>
      </c>
      <c r="K45" s="10">
        <f>Center[[#This Row],[Value]]-_xlfn.XLOOKUP($D$263,Center[Value Rk],Center[Value],,-1)</f>
        <v>-195.00091139905669</v>
      </c>
    </row>
    <row r="46" spans="1:11" x14ac:dyDescent="0.25">
      <c r="A46" t="s">
        <v>248</v>
      </c>
      <c r="B46">
        <v>25</v>
      </c>
      <c r="C46" t="s">
        <v>74</v>
      </c>
      <c r="D46" t="s">
        <v>103</v>
      </c>
      <c r="E46" s="57"/>
      <c r="F46" t="s">
        <v>9</v>
      </c>
      <c r="I46" s="10">
        <f>INDEX(Std[],MATCH(Center[[#This Row],[Player]],Std[Player],0),20)</f>
        <v>491.35210593405259</v>
      </c>
      <c r="J46">
        <f>_xlfn.RANK.EQ(Center[[#This Row],[Value]],Center[Value])</f>
        <v>64</v>
      </c>
      <c r="K46" s="10">
        <f>Center[[#This Row],[Value]]-_xlfn.XLOOKUP($D$263,Center[Value Rk],Center[Value],,-1)</f>
        <v>-243.28174837624601</v>
      </c>
    </row>
    <row r="47" spans="1:11" x14ac:dyDescent="0.25">
      <c r="A47" t="s">
        <v>321</v>
      </c>
      <c r="B47">
        <v>29</v>
      </c>
      <c r="C47" t="s">
        <v>74</v>
      </c>
      <c r="E47" s="57"/>
      <c r="F47" s="74"/>
      <c r="I47" s="10">
        <f>INDEX(Std[],MATCH(Center[[#This Row],[Player]],Std[Player],0),20)</f>
        <v>633.22169200404983</v>
      </c>
      <c r="J47">
        <f>_xlfn.RANK.EQ(Center[[#This Row],[Value]],Center[Value])</f>
        <v>46</v>
      </c>
      <c r="K47" s="10">
        <f>Center[[#This Row],[Value]]-_xlfn.XLOOKUP($D$263,Center[Value Rk],Center[Value],,-1)</f>
        <v>-101.41216230624877</v>
      </c>
    </row>
    <row r="48" spans="1:11" x14ac:dyDescent="0.25">
      <c r="A48" t="s">
        <v>328</v>
      </c>
      <c r="B48">
        <v>30</v>
      </c>
      <c r="C48" t="s">
        <v>74</v>
      </c>
      <c r="E48" s="56"/>
      <c r="F48" t="s">
        <v>8</v>
      </c>
      <c r="I48" s="10">
        <f>INDEX(Std[],MATCH(Center[[#This Row],[Player]],Std[Player],0),20)</f>
        <v>739.23287129441565</v>
      </c>
      <c r="J48">
        <f>_xlfn.RANK.EQ(Center[[#This Row],[Value]],Center[Value])</f>
        <v>41</v>
      </c>
      <c r="K48" s="10">
        <f>Center[[#This Row],[Value]]-_xlfn.XLOOKUP($D$263,Center[Value Rk],Center[Value],,-1)</f>
        <v>4.5990169841170427</v>
      </c>
    </row>
    <row r="49" spans="1:11" x14ac:dyDescent="0.25">
      <c r="A49" t="s">
        <v>340</v>
      </c>
      <c r="B49">
        <v>29</v>
      </c>
      <c r="C49" t="s">
        <v>74</v>
      </c>
      <c r="D49" t="s">
        <v>103</v>
      </c>
      <c r="E49" s="57"/>
      <c r="F49" t="s">
        <v>15</v>
      </c>
      <c r="I49" s="10">
        <f>INDEX(Std[],MATCH(Center[[#This Row],[Player]],Std[Player],0),20)</f>
        <v>700.05947972818285</v>
      </c>
      <c r="J49">
        <f>_xlfn.RANK.EQ(Center[[#This Row],[Value]],Center[Value])</f>
        <v>45</v>
      </c>
      <c r="K49" s="10">
        <f>Center[[#This Row],[Value]]-_xlfn.XLOOKUP($D$263,Center[Value Rk],Center[Value],,-1)</f>
        <v>-34.574374582115752</v>
      </c>
    </row>
    <row r="50" spans="1:11" x14ac:dyDescent="0.25">
      <c r="A50" t="s">
        <v>373</v>
      </c>
      <c r="B50">
        <v>24</v>
      </c>
      <c r="C50" t="s">
        <v>74</v>
      </c>
      <c r="E50" s="56"/>
      <c r="F50" t="s">
        <v>7</v>
      </c>
      <c r="I50" s="10">
        <f>INDEX(Std[],MATCH(Center[[#This Row],[Player]],Std[Player],0),20)</f>
        <v>468.87897162274214</v>
      </c>
      <c r="J50">
        <f>_xlfn.RANK.EQ(Center[[#This Row],[Value]],Center[Value])</f>
        <v>67</v>
      </c>
      <c r="K50" s="10">
        <f>Center[[#This Row],[Value]]-_xlfn.XLOOKUP($D$263,Center[Value Rk],Center[Value],,-1)</f>
        <v>-265.75488268755646</v>
      </c>
    </row>
    <row r="51" spans="1:11" x14ac:dyDescent="0.25">
      <c r="A51" t="s">
        <v>967</v>
      </c>
      <c r="B51">
        <v>28</v>
      </c>
      <c r="C51" t="s">
        <v>74</v>
      </c>
      <c r="E51" s="56"/>
      <c r="F51" t="s">
        <v>155</v>
      </c>
      <c r="I51" s="10">
        <f>INDEX(Std[],MATCH(Center[[#This Row],[Player]],Std[Player],0),20)</f>
        <v>589.43160156179772</v>
      </c>
      <c r="J51">
        <f>_xlfn.RANK.EQ(Center[[#This Row],[Value]],Center[Value])</f>
        <v>52</v>
      </c>
      <c r="K51" s="10">
        <f>Center[[#This Row],[Value]]-_xlfn.XLOOKUP($D$263,Center[Value Rk],Center[Value],,-1)</f>
        <v>-145.20225274850088</v>
      </c>
    </row>
    <row r="52" spans="1:11" x14ac:dyDescent="0.25">
      <c r="A52" t="s">
        <v>337</v>
      </c>
      <c r="B52">
        <v>22</v>
      </c>
      <c r="C52" t="s">
        <v>74</v>
      </c>
      <c r="E52" s="56"/>
      <c r="F52" t="s">
        <v>18</v>
      </c>
      <c r="I52" s="10">
        <f>INDEX(Std[],MATCH(Center[[#This Row],[Player]],Std[Player],0),20)</f>
        <v>588.16085263792775</v>
      </c>
      <c r="J52">
        <f>_xlfn.RANK.EQ(Center[[#This Row],[Value]],Center[Value])</f>
        <v>53</v>
      </c>
      <c r="K52" s="10">
        <f>Center[[#This Row],[Value]]-_xlfn.XLOOKUP($D$263,Center[Value Rk],Center[Value],,-1)</f>
        <v>-146.47300167237086</v>
      </c>
    </row>
    <row r="53" spans="1:11" x14ac:dyDescent="0.25">
      <c r="A53" t="s">
        <v>909</v>
      </c>
      <c r="B53">
        <v>31</v>
      </c>
      <c r="C53" t="s">
        <v>74</v>
      </c>
      <c r="E53" s="56"/>
      <c r="F53" t="s">
        <v>10</v>
      </c>
      <c r="I53" s="10">
        <f>INDEX(Std[],MATCH(Center[[#This Row],[Player]],Std[Player],0),20)</f>
        <v>479.58963138346917</v>
      </c>
      <c r="J53">
        <f>_xlfn.RANK.EQ(Center[[#This Row],[Value]],Center[Value])</f>
        <v>65</v>
      </c>
      <c r="K53" s="10">
        <f>Center[[#This Row],[Value]]-_xlfn.XLOOKUP($D$263,Center[Value Rk],Center[Value],,-1)</f>
        <v>-255.04422292682943</v>
      </c>
    </row>
    <row r="54" spans="1:11" x14ac:dyDescent="0.25">
      <c r="A54" t="s">
        <v>467</v>
      </c>
      <c r="B54">
        <v>32</v>
      </c>
      <c r="C54" t="s">
        <v>74</v>
      </c>
      <c r="E54" s="56"/>
      <c r="F54" t="s">
        <v>23</v>
      </c>
      <c r="I54" s="10">
        <f>INDEX(Std[],MATCH(Center[[#This Row],[Player]],Std[Player],0),20)</f>
        <v>441.09187262441003</v>
      </c>
      <c r="J54">
        <f>_xlfn.RANK.EQ(Center[[#This Row],[Value]],Center[Value])</f>
        <v>71</v>
      </c>
      <c r="K54" s="10">
        <f>Center[[#This Row],[Value]]-_xlfn.XLOOKUP($D$263,Center[Value Rk],Center[Value],,-1)</f>
        <v>-293.54198168588857</v>
      </c>
    </row>
    <row r="55" spans="1:11" x14ac:dyDescent="0.25">
      <c r="A55" t="s">
        <v>293</v>
      </c>
      <c r="B55">
        <v>29</v>
      </c>
      <c r="C55" t="s">
        <v>74</v>
      </c>
      <c r="E55" s="57"/>
      <c r="F55" t="s">
        <v>8</v>
      </c>
      <c r="I55" s="10">
        <f>INDEX(Std[],MATCH(Center[[#This Row],[Player]],Std[Player],0),20)</f>
        <v>803.63937702565113</v>
      </c>
      <c r="J55">
        <f>_xlfn.RANK.EQ(Center[[#This Row],[Value]],Center[Value])</f>
        <v>37</v>
      </c>
      <c r="K55" s="10">
        <f>Center[[#This Row],[Value]]-_xlfn.XLOOKUP($D$263,Center[Value Rk],Center[Value],,-1)</f>
        <v>69.005522715352527</v>
      </c>
    </row>
    <row r="56" spans="1:11" x14ac:dyDescent="0.25">
      <c r="A56" t="s">
        <v>307</v>
      </c>
      <c r="B56">
        <v>31</v>
      </c>
      <c r="C56" t="s">
        <v>74</v>
      </c>
      <c r="E56" s="56"/>
      <c r="F56" t="s">
        <v>32</v>
      </c>
      <c r="I56" s="10">
        <f>INDEX(Std[],MATCH(Center[[#This Row],[Player]],Std[Player],0),20)</f>
        <v>796.62852002148168</v>
      </c>
      <c r="J56">
        <f>_xlfn.RANK.EQ(Center[[#This Row],[Value]],Center[Value])</f>
        <v>38</v>
      </c>
      <c r="K56" s="10">
        <f>Center[[#This Row],[Value]]-_xlfn.XLOOKUP($D$263,Center[Value Rk],Center[Value],,-1)</f>
        <v>61.994665711183075</v>
      </c>
    </row>
    <row r="57" spans="1:11" x14ac:dyDescent="0.25">
      <c r="A57" t="s">
        <v>519</v>
      </c>
      <c r="B57">
        <v>19</v>
      </c>
      <c r="C57" t="s">
        <v>74</v>
      </c>
      <c r="E57" s="57"/>
      <c r="F57" t="s">
        <v>15</v>
      </c>
      <c r="I57" s="10">
        <f>INDEX(Std[],MATCH(Center[[#This Row],[Player]],Std[Player],0),20)</f>
        <v>718.6352346225234</v>
      </c>
      <c r="J57">
        <f>_xlfn.RANK.EQ(Center[[#This Row],[Value]],Center[Value])</f>
        <v>44</v>
      </c>
      <c r="K57" s="10">
        <f>Center[[#This Row],[Value]]-_xlfn.XLOOKUP($D$263,Center[Value Rk],Center[Value],,-1)</f>
        <v>-15.998619687775204</v>
      </c>
    </row>
    <row r="58" spans="1:11" x14ac:dyDescent="0.25">
      <c r="A58" t="s">
        <v>298</v>
      </c>
      <c r="B58">
        <v>32</v>
      </c>
      <c r="C58" t="s">
        <v>74</v>
      </c>
      <c r="D58" t="s">
        <v>102</v>
      </c>
      <c r="E58" s="56"/>
      <c r="F58" t="s">
        <v>2</v>
      </c>
      <c r="I58" s="10">
        <f>INDEX(Std[],MATCH(Center[[#This Row],[Player]],Std[Player],0),20)</f>
        <v>616.63781418209919</v>
      </c>
      <c r="J58">
        <f>_xlfn.RANK.EQ(Center[[#This Row],[Value]],Center[Value])</f>
        <v>47</v>
      </c>
      <c r="K58" s="10">
        <f>Center[[#This Row],[Value]]-_xlfn.XLOOKUP($D$263,Center[Value Rk],Center[Value],,-1)</f>
        <v>-117.99604012819941</v>
      </c>
    </row>
    <row r="59" spans="1:11" x14ac:dyDescent="0.25">
      <c r="A59" t="s">
        <v>318</v>
      </c>
      <c r="B59">
        <v>33</v>
      </c>
      <c r="C59" t="s">
        <v>74</v>
      </c>
      <c r="D59" t="s">
        <v>103</v>
      </c>
      <c r="E59" s="56"/>
      <c r="F59" t="s">
        <v>87</v>
      </c>
      <c r="I59" s="10">
        <f>INDEX(Std[],MATCH(Center[[#This Row],[Player]],Std[Player],0),20)</f>
        <v>789.94021672912004</v>
      </c>
      <c r="J59">
        <f>_xlfn.RANK.EQ(Center[[#This Row],[Value]],Center[Value])</f>
        <v>39</v>
      </c>
      <c r="K59" s="10">
        <f>Center[[#This Row],[Value]]-_xlfn.XLOOKUP($D$263,Center[Value Rk],Center[Value],,-1)</f>
        <v>55.306362418821436</v>
      </c>
    </row>
    <row r="60" spans="1:11" x14ac:dyDescent="0.25">
      <c r="A60" t="s">
        <v>442</v>
      </c>
      <c r="B60">
        <v>32</v>
      </c>
      <c r="C60" t="s">
        <v>74</v>
      </c>
      <c r="E60" s="57"/>
      <c r="F60" t="s">
        <v>17</v>
      </c>
      <c r="I60" s="10">
        <f>INDEX(Std[],MATCH(Center[[#This Row],[Player]],Std[Player],0),20)</f>
        <v>390.82150756085781</v>
      </c>
      <c r="J60">
        <f>_xlfn.RANK.EQ(Center[[#This Row],[Value]],Center[Value])</f>
        <v>80</v>
      </c>
      <c r="K60" s="10">
        <f>Center[[#This Row],[Value]]-_xlfn.XLOOKUP($D$263,Center[Value Rk],Center[Value],,-1)</f>
        <v>-343.81234674944079</v>
      </c>
    </row>
    <row r="61" spans="1:11" x14ac:dyDescent="0.25">
      <c r="A61" t="s">
        <v>1098</v>
      </c>
      <c r="B61">
        <v>28</v>
      </c>
      <c r="C61" t="s">
        <v>74</v>
      </c>
      <c r="E61" s="57"/>
      <c r="F61" t="s">
        <v>16</v>
      </c>
      <c r="I61" s="10">
        <f>INDEX(Std[],MATCH(Center[[#This Row],[Player]],Std[Player],0),20)</f>
        <v>442.64474642622991</v>
      </c>
      <c r="J61">
        <f>_xlfn.RANK.EQ(Center[[#This Row],[Value]],Center[Value])</f>
        <v>70</v>
      </c>
      <c r="K61" s="10">
        <f>Center[[#This Row],[Value]]-_xlfn.XLOOKUP($D$263,Center[Value Rk],Center[Value],,-1)</f>
        <v>-291.98910788406869</v>
      </c>
    </row>
    <row r="62" spans="1:11" x14ac:dyDescent="0.25">
      <c r="A62" t="s">
        <v>855</v>
      </c>
      <c r="B62">
        <v>31</v>
      </c>
      <c r="C62" t="s">
        <v>74</v>
      </c>
      <c r="E62" s="57"/>
      <c r="F62" t="s">
        <v>31</v>
      </c>
      <c r="I62" s="10">
        <f>INDEX(Std[],MATCH(Center[[#This Row],[Player]],Std[Player],0),20)</f>
        <v>527.02763293149951</v>
      </c>
      <c r="J62">
        <f>_xlfn.RANK.EQ(Center[[#This Row],[Value]],Center[Value])</f>
        <v>61</v>
      </c>
      <c r="K62" s="10">
        <f>Center[[#This Row],[Value]]-_xlfn.XLOOKUP($D$263,Center[Value Rk],Center[Value],,-1)</f>
        <v>-207.60622137879909</v>
      </c>
    </row>
    <row r="63" spans="1:11" x14ac:dyDescent="0.25">
      <c r="A63" t="s">
        <v>634</v>
      </c>
      <c r="B63">
        <v>25</v>
      </c>
      <c r="C63" t="s">
        <v>74</v>
      </c>
      <c r="D63" t="s">
        <v>103</v>
      </c>
      <c r="E63" s="56"/>
      <c r="F63" t="s">
        <v>12</v>
      </c>
      <c r="I63" s="10">
        <f>INDEX(Std[],MATCH(Center[[#This Row],[Player]],Std[Player],0),20)</f>
        <v>554.92338230440851</v>
      </c>
      <c r="J63">
        <f>_xlfn.RANK.EQ(Center[[#This Row],[Value]],Center[Value])</f>
        <v>57</v>
      </c>
      <c r="K63" s="10">
        <f>Center[[#This Row],[Value]]-_xlfn.XLOOKUP($D$263,Center[Value Rk],Center[Value],,-1)</f>
        <v>-179.7104720058901</v>
      </c>
    </row>
    <row r="64" spans="1:11" x14ac:dyDescent="0.25">
      <c r="A64" t="s">
        <v>412</v>
      </c>
      <c r="B64">
        <v>30</v>
      </c>
      <c r="C64" t="s">
        <v>74</v>
      </c>
      <c r="E64" s="57"/>
      <c r="F64" t="s">
        <v>8</v>
      </c>
      <c r="I64" s="10">
        <f>INDEX(Std[],MATCH(Center[[#This Row],[Player]],Std[Player],0),20)</f>
        <v>561.84020275574699</v>
      </c>
      <c r="J64">
        <f>_xlfn.RANK.EQ(Center[[#This Row],[Value]],Center[Value])</f>
        <v>55</v>
      </c>
      <c r="K64" s="10">
        <f>Center[[#This Row],[Value]]-_xlfn.XLOOKUP($D$263,Center[Value Rk],Center[Value],,-1)</f>
        <v>-172.79365155455162</v>
      </c>
    </row>
    <row r="65" spans="1:11" x14ac:dyDescent="0.25">
      <c r="A65" t="s">
        <v>1147</v>
      </c>
      <c r="B65">
        <v>26</v>
      </c>
      <c r="C65" t="s">
        <v>74</v>
      </c>
      <c r="E65" s="57"/>
      <c r="F65" t="s">
        <v>10</v>
      </c>
      <c r="I65" s="10">
        <f>INDEX(Std[],MATCH(Center[[#This Row],[Player]],Std[Player],0),20)</f>
        <v>319.73606942896288</v>
      </c>
      <c r="J65">
        <f>_xlfn.RANK.EQ(Center[[#This Row],[Value]],Center[Value])</f>
        <v>89</v>
      </c>
      <c r="K65" s="10">
        <f>Center[[#This Row],[Value]]-_xlfn.XLOOKUP($D$263,Center[Value Rk],Center[Value],,-1)</f>
        <v>-414.89778488133572</v>
      </c>
    </row>
    <row r="66" spans="1:11" x14ac:dyDescent="0.25">
      <c r="A66" t="s">
        <v>564</v>
      </c>
      <c r="B66">
        <v>22</v>
      </c>
      <c r="C66" t="s">
        <v>74</v>
      </c>
      <c r="E66" s="57"/>
      <c r="F66" t="s">
        <v>12</v>
      </c>
      <c r="I66" s="10">
        <f>INDEX(Std[],MATCH(Center[[#This Row],[Player]],Std[Player],0),20)</f>
        <v>501.78522826807273</v>
      </c>
      <c r="J66">
        <f>_xlfn.RANK.EQ(Center[[#This Row],[Value]],Center[Value])</f>
        <v>63</v>
      </c>
      <c r="K66" s="10">
        <f>Center[[#This Row],[Value]]-_xlfn.XLOOKUP($D$263,Center[Value Rk],Center[Value],,-1)</f>
        <v>-232.84862604222587</v>
      </c>
    </row>
    <row r="67" spans="1:11" x14ac:dyDescent="0.25">
      <c r="A67" t="s">
        <v>410</v>
      </c>
      <c r="B67">
        <v>34</v>
      </c>
      <c r="C67" t="s">
        <v>74</v>
      </c>
      <c r="E67" s="56"/>
      <c r="F67" t="s">
        <v>21</v>
      </c>
      <c r="I67" s="10">
        <f>INDEX(Std[],MATCH(Center[[#This Row],[Player]],Std[Player],0),20)</f>
        <v>328.25757646712901</v>
      </c>
      <c r="J67">
        <f>_xlfn.RANK.EQ(Center[[#This Row],[Value]],Center[Value])</f>
        <v>87</v>
      </c>
      <c r="K67" s="10">
        <f>Center[[#This Row],[Value]]-_xlfn.XLOOKUP($D$263,Center[Value Rk],Center[Value],,-1)</f>
        <v>-406.37627784316959</v>
      </c>
    </row>
    <row r="68" spans="1:11" x14ac:dyDescent="0.25">
      <c r="A68" t="s">
        <v>457</v>
      </c>
      <c r="B68">
        <v>27</v>
      </c>
      <c r="C68" t="s">
        <v>74</v>
      </c>
      <c r="D68" t="s">
        <v>103</v>
      </c>
      <c r="E68" s="56"/>
      <c r="F68" t="s">
        <v>4</v>
      </c>
      <c r="I68" s="10">
        <f>INDEX(Std[],MATCH(Center[[#This Row],[Player]],Std[Player],0),20)</f>
        <v>264.97684256065691</v>
      </c>
      <c r="J68">
        <f>_xlfn.RANK.EQ(Center[[#This Row],[Value]],Center[Value])</f>
        <v>97</v>
      </c>
      <c r="K68" s="10">
        <f>Center[[#This Row],[Value]]-_xlfn.XLOOKUP($D$263,Center[Value Rk],Center[Value],,-1)</f>
        <v>-469.6570117496417</v>
      </c>
    </row>
    <row r="69" spans="1:11" x14ac:dyDescent="0.25">
      <c r="A69" t="s">
        <v>617</v>
      </c>
      <c r="B69">
        <v>28</v>
      </c>
      <c r="C69" t="s">
        <v>74</v>
      </c>
      <c r="D69" t="s">
        <v>102</v>
      </c>
      <c r="E69" s="56"/>
      <c r="F69" t="s">
        <v>34</v>
      </c>
      <c r="I69" s="10">
        <f>INDEX(Std[],MATCH(Center[[#This Row],[Player]],Std[Player],0),20)</f>
        <v>233.3236066412899</v>
      </c>
      <c r="J69">
        <f>_xlfn.RANK.EQ(Center[[#This Row],[Value]],Center[Value])</f>
        <v>106</v>
      </c>
      <c r="K69" s="10">
        <f>Center[[#This Row],[Value]]-_xlfn.XLOOKUP($D$263,Center[Value Rk],Center[Value],,-1)</f>
        <v>-501.31024766900873</v>
      </c>
    </row>
    <row r="70" spans="1:11" x14ac:dyDescent="0.25">
      <c r="A70" t="s">
        <v>641</v>
      </c>
      <c r="B70">
        <v>29</v>
      </c>
      <c r="C70" t="s">
        <v>74</v>
      </c>
      <c r="E70" s="56"/>
      <c r="F70" t="s">
        <v>7</v>
      </c>
      <c r="I70" s="10">
        <f>INDEX(Std[],MATCH(Center[[#This Row],[Player]],Std[Player],0),20)</f>
        <v>283.5669307567187</v>
      </c>
      <c r="J70">
        <f>_xlfn.RANK.EQ(Center[[#This Row],[Value]],Center[Value])</f>
        <v>94</v>
      </c>
      <c r="K70" s="10">
        <f>Center[[#This Row],[Value]]-_xlfn.XLOOKUP($D$263,Center[Value Rk],Center[Value],,-1)</f>
        <v>-451.0669235535799</v>
      </c>
    </row>
    <row r="71" spans="1:11" x14ac:dyDescent="0.25">
      <c r="A71" t="s">
        <v>447</v>
      </c>
      <c r="B71" s="67">
        <v>32</v>
      </c>
      <c r="C71" s="74" t="s">
        <v>74</v>
      </c>
      <c r="D71" s="59"/>
      <c r="E71" s="57"/>
      <c r="F71" s="74"/>
      <c r="I71" s="10">
        <f>INDEX(Std[],MATCH(Center[[#This Row],[Player]],Std[Player],0),20)</f>
        <v>469.93029876190474</v>
      </c>
      <c r="J71">
        <f>_xlfn.RANK.EQ(Center[[#This Row],[Value]],Center[Value])</f>
        <v>66</v>
      </c>
      <c r="K71" s="10">
        <f>Center[[#This Row],[Value]]-_xlfn.XLOOKUP($D$263,Center[Value Rk],Center[Value],,-1)</f>
        <v>-264.70355554839387</v>
      </c>
    </row>
    <row r="72" spans="1:11" x14ac:dyDescent="0.25">
      <c r="A72" t="s">
        <v>353</v>
      </c>
      <c r="B72">
        <v>28</v>
      </c>
      <c r="C72" t="s">
        <v>74</v>
      </c>
      <c r="D72" t="s">
        <v>102</v>
      </c>
      <c r="E72" s="57"/>
      <c r="F72" t="s">
        <v>155</v>
      </c>
      <c r="I72" s="10">
        <f>INDEX(Std[],MATCH(Center[[#This Row],[Player]],Std[Player],0),20)</f>
        <v>227.5526315233713</v>
      </c>
      <c r="J72">
        <f>_xlfn.RANK.EQ(Center[[#This Row],[Value]],Center[Value])</f>
        <v>110</v>
      </c>
      <c r="K72" s="10">
        <f>Center[[#This Row],[Value]]-_xlfn.XLOOKUP($D$263,Center[Value Rk],Center[Value],,-1)</f>
        <v>-507.0812227869273</v>
      </c>
    </row>
    <row r="73" spans="1:11" x14ac:dyDescent="0.25">
      <c r="A73" t="s">
        <v>933</v>
      </c>
      <c r="B73">
        <v>27</v>
      </c>
      <c r="C73" t="s">
        <v>74</v>
      </c>
      <c r="E73" s="57"/>
      <c r="F73" t="s">
        <v>10</v>
      </c>
      <c r="I73" s="10">
        <f>INDEX(Std[],MATCH(Center[[#This Row],[Player]],Std[Player],0),20)</f>
        <v>246.66210920538879</v>
      </c>
      <c r="J73">
        <f>_xlfn.RANK.EQ(Center[[#This Row],[Value]],Center[Value])</f>
        <v>102</v>
      </c>
      <c r="K73" s="10">
        <f>Center[[#This Row],[Value]]-_xlfn.XLOOKUP($D$263,Center[Value Rk],Center[Value],,-1)</f>
        <v>-487.97174510490981</v>
      </c>
    </row>
    <row r="74" spans="1:11" x14ac:dyDescent="0.25">
      <c r="A74" t="s">
        <v>482</v>
      </c>
      <c r="B74">
        <v>23</v>
      </c>
      <c r="C74" t="s">
        <v>74</v>
      </c>
      <c r="E74" s="57"/>
      <c r="F74" t="s">
        <v>17</v>
      </c>
      <c r="I74" s="10">
        <f>INDEX(Std[],MATCH(Center[[#This Row],[Player]],Std[Player],0),20)</f>
        <v>531.98118560615819</v>
      </c>
      <c r="J74">
        <f>_xlfn.RANK.EQ(Center[[#This Row],[Value]],Center[Value])</f>
        <v>59</v>
      </c>
      <c r="K74" s="10">
        <f>Center[[#This Row],[Value]]-_xlfn.XLOOKUP($D$263,Center[Value Rk],Center[Value],,-1)</f>
        <v>-202.65266870414041</v>
      </c>
    </row>
    <row r="75" spans="1:11" x14ac:dyDescent="0.25">
      <c r="A75" t="s">
        <v>451</v>
      </c>
      <c r="B75">
        <v>32</v>
      </c>
      <c r="C75" t="s">
        <v>74</v>
      </c>
      <c r="E75" s="57"/>
      <c r="F75" t="s">
        <v>155</v>
      </c>
      <c r="I75" s="10">
        <f>INDEX(Std[],MATCH(Center[[#This Row],[Player]],Std[Player],0),20)</f>
        <v>220.59988973742253</v>
      </c>
      <c r="J75">
        <f>_xlfn.RANK.EQ(Center[[#This Row],[Value]],Center[Value])</f>
        <v>112</v>
      </c>
      <c r="K75" s="10">
        <f>Center[[#This Row],[Value]]-_xlfn.XLOOKUP($D$263,Center[Value Rk],Center[Value],,-1)</f>
        <v>-514.03396457287613</v>
      </c>
    </row>
    <row r="76" spans="1:11" x14ac:dyDescent="0.25">
      <c r="A76" t="s">
        <v>434</v>
      </c>
      <c r="B76">
        <v>23</v>
      </c>
      <c r="C76" t="s">
        <v>74</v>
      </c>
      <c r="E76" s="56"/>
      <c r="F76" t="s">
        <v>15</v>
      </c>
      <c r="I76" s="10">
        <f>INDEX(Std[],MATCH(Center[[#This Row],[Player]],Std[Player],0),20)</f>
        <v>462.10340164868046</v>
      </c>
      <c r="J76">
        <f>_xlfn.RANK.EQ(Center[[#This Row],[Value]],Center[Value])</f>
        <v>68</v>
      </c>
      <c r="K76" s="10">
        <f>Center[[#This Row],[Value]]-_xlfn.XLOOKUP($D$263,Center[Value Rk],Center[Value],,-1)</f>
        <v>-272.53045266161814</v>
      </c>
    </row>
    <row r="77" spans="1:11" x14ac:dyDescent="0.25">
      <c r="A77" t="s">
        <v>466</v>
      </c>
      <c r="B77">
        <v>31</v>
      </c>
      <c r="C77" t="s">
        <v>74</v>
      </c>
      <c r="E77" s="57"/>
      <c r="F77" t="s">
        <v>7</v>
      </c>
      <c r="I77" s="10">
        <f>INDEX(Std[],MATCH(Center[[#This Row],[Player]],Std[Player],0),20)</f>
        <v>614.16247449252705</v>
      </c>
      <c r="J77">
        <f>_xlfn.RANK.EQ(Center[[#This Row],[Value]],Center[Value])</f>
        <v>49</v>
      </c>
      <c r="K77" s="10">
        <f>Center[[#This Row],[Value]]-_xlfn.XLOOKUP($D$263,Center[Value Rk],Center[Value],,-1)</f>
        <v>-120.47137981777155</v>
      </c>
    </row>
    <row r="78" spans="1:11" x14ac:dyDescent="0.25">
      <c r="A78" t="s">
        <v>364</v>
      </c>
      <c r="B78">
        <v>21</v>
      </c>
      <c r="C78" t="s">
        <v>74</v>
      </c>
      <c r="D78" t="s">
        <v>102</v>
      </c>
      <c r="E78" s="57"/>
      <c r="F78" t="s">
        <v>23</v>
      </c>
      <c r="I78" s="10">
        <f>INDEX(Std[],MATCH(Center[[#This Row],[Player]],Std[Player],0),20)</f>
        <v>360.418486053143</v>
      </c>
      <c r="J78">
        <f>_xlfn.RANK.EQ(Center[[#This Row],[Value]],Center[Value])</f>
        <v>84</v>
      </c>
      <c r="K78" s="10">
        <f>Center[[#This Row],[Value]]-_xlfn.XLOOKUP($D$263,Center[Value Rk],Center[Value],,-1)</f>
        <v>-374.2153682571556</v>
      </c>
    </row>
    <row r="79" spans="1:11" x14ac:dyDescent="0.25">
      <c r="A79" t="s">
        <v>565</v>
      </c>
      <c r="B79">
        <v>21</v>
      </c>
      <c r="C79" t="s">
        <v>74</v>
      </c>
      <c r="E79" s="57"/>
      <c r="F79" s="59" t="s">
        <v>23</v>
      </c>
      <c r="I79" s="10">
        <f>INDEX(Std[],MATCH(Center[[#This Row],[Player]],Std[Player],0),20)</f>
        <v>399.41383862574662</v>
      </c>
      <c r="J79">
        <f>_xlfn.RANK.EQ(Center[[#This Row],[Value]],Center[Value])</f>
        <v>79</v>
      </c>
      <c r="K79" s="10">
        <f>Center[[#This Row],[Value]]-_xlfn.XLOOKUP($D$263,Center[Value Rk],Center[Value],,-1)</f>
        <v>-335.22001568455198</v>
      </c>
    </row>
    <row r="80" spans="1:11" x14ac:dyDescent="0.25">
      <c r="A80" t="s">
        <v>863</v>
      </c>
      <c r="B80">
        <v>23</v>
      </c>
      <c r="C80" t="s">
        <v>74</v>
      </c>
      <c r="E80" s="56"/>
      <c r="F80" t="s">
        <v>9</v>
      </c>
      <c r="I80" s="10">
        <f>INDEX(Std[],MATCH(Center[[#This Row],[Player]],Std[Player],0),20)</f>
        <v>445.76974791859703</v>
      </c>
      <c r="J80">
        <f>_xlfn.RANK.EQ(Center[[#This Row],[Value]],Center[Value])</f>
        <v>69</v>
      </c>
      <c r="K80" s="10">
        <f>Center[[#This Row],[Value]]-_xlfn.XLOOKUP($D$263,Center[Value Rk],Center[Value],,-1)</f>
        <v>-288.86410639170157</v>
      </c>
    </row>
    <row r="81" spans="1:11" x14ac:dyDescent="0.25">
      <c r="A81" t="s">
        <v>1013</v>
      </c>
      <c r="B81">
        <v>24</v>
      </c>
      <c r="C81" t="s">
        <v>74</v>
      </c>
      <c r="E81" s="57"/>
      <c r="F81" t="s">
        <v>29</v>
      </c>
      <c r="I81" s="10">
        <f>INDEX(Std[],MATCH(Center[[#This Row],[Player]],Std[Player],0),20)</f>
        <v>208.87846710257904</v>
      </c>
      <c r="J81">
        <f>_xlfn.RANK.EQ(Center[[#This Row],[Value]],Center[Value])</f>
        <v>114</v>
      </c>
      <c r="K81" s="10">
        <f>Center[[#This Row],[Value]]-_xlfn.XLOOKUP($D$263,Center[Value Rk],Center[Value],,-1)</f>
        <v>-525.75538720771954</v>
      </c>
    </row>
    <row r="82" spans="1:11" x14ac:dyDescent="0.25">
      <c r="A82" t="s">
        <v>807</v>
      </c>
      <c r="B82">
        <v>26</v>
      </c>
      <c r="C82" t="s">
        <v>74</v>
      </c>
      <c r="E82" s="56"/>
      <c r="F82" t="s">
        <v>11</v>
      </c>
      <c r="I82" s="10">
        <f>INDEX(Std[],MATCH(Center[[#This Row],[Player]],Std[Player],0),20)</f>
        <v>229.30729303336071</v>
      </c>
      <c r="J82">
        <f>_xlfn.RANK.EQ(Center[[#This Row],[Value]],Center[Value])</f>
        <v>109</v>
      </c>
      <c r="K82" s="10">
        <f>Center[[#This Row],[Value]]-_xlfn.XLOOKUP($D$263,Center[Value Rk],Center[Value],,-1)</f>
        <v>-505.32656127693792</v>
      </c>
    </row>
    <row r="83" spans="1:11" x14ac:dyDescent="0.25">
      <c r="A83" t="s">
        <v>596</v>
      </c>
      <c r="B83">
        <v>30</v>
      </c>
      <c r="C83" t="s">
        <v>74</v>
      </c>
      <c r="E83" s="56"/>
      <c r="F83" t="s">
        <v>154</v>
      </c>
      <c r="I83" s="10">
        <f>INDEX(Std[],MATCH(Center[[#This Row],[Player]],Std[Player],0),20)</f>
        <v>529.775467676679</v>
      </c>
      <c r="J83">
        <f>_xlfn.RANK.EQ(Center[[#This Row],[Value]],Center[Value])</f>
        <v>60</v>
      </c>
      <c r="K83" s="10">
        <f>Center[[#This Row],[Value]]-_xlfn.XLOOKUP($D$263,Center[Value Rk],Center[Value],,-1)</f>
        <v>-204.8583866336196</v>
      </c>
    </row>
    <row r="84" spans="1:11" x14ac:dyDescent="0.25">
      <c r="A84" t="s">
        <v>529</v>
      </c>
      <c r="B84">
        <v>31</v>
      </c>
      <c r="C84" t="s">
        <v>74</v>
      </c>
      <c r="E84" s="57"/>
      <c r="F84" s="59" t="s">
        <v>9</v>
      </c>
      <c r="I84" s="10">
        <f>INDEX(Std[],MATCH(Center[[#This Row],[Player]],Std[Player],0),20)</f>
        <v>560.47513951911264</v>
      </c>
      <c r="J84">
        <f>_xlfn.RANK.EQ(Center[[#This Row],[Value]],Center[Value])</f>
        <v>56</v>
      </c>
      <c r="K84" s="10">
        <f>Center[[#This Row],[Value]]-_xlfn.XLOOKUP($D$263,Center[Value Rk],Center[Value],,-1)</f>
        <v>-174.15871479118596</v>
      </c>
    </row>
    <row r="85" spans="1:11" x14ac:dyDescent="0.25">
      <c r="A85" t="s">
        <v>521</v>
      </c>
      <c r="B85">
        <v>36</v>
      </c>
      <c r="C85" t="s">
        <v>74</v>
      </c>
      <c r="E85" s="57"/>
      <c r="F85" t="s">
        <v>87</v>
      </c>
      <c r="I85" s="10">
        <f>INDEX(Std[],MATCH(Center[[#This Row],[Player]],Std[Player],0),20)</f>
        <v>524.36191838794025</v>
      </c>
      <c r="J85">
        <f>_xlfn.RANK.EQ(Center[[#This Row],[Value]],Center[Value])</f>
        <v>62</v>
      </c>
      <c r="K85" s="10">
        <f>Center[[#This Row],[Value]]-_xlfn.XLOOKUP($D$263,Center[Value Rk],Center[Value],,-1)</f>
        <v>-210.27193592235835</v>
      </c>
    </row>
    <row r="86" spans="1:11" x14ac:dyDescent="0.25">
      <c r="A86" t="s">
        <v>470</v>
      </c>
      <c r="B86">
        <v>22</v>
      </c>
      <c r="C86" t="s">
        <v>74</v>
      </c>
      <c r="E86" s="57"/>
      <c r="F86" t="s">
        <v>31</v>
      </c>
      <c r="I86" s="10">
        <f>INDEX(Std[],MATCH(Center[[#This Row],[Player]],Std[Player],0),20)</f>
        <v>420.63676957543709</v>
      </c>
      <c r="J86">
        <f>_xlfn.RANK.EQ(Center[[#This Row],[Value]],Center[Value])</f>
        <v>74</v>
      </c>
      <c r="K86" s="10">
        <f>Center[[#This Row],[Value]]-_xlfn.XLOOKUP($D$263,Center[Value Rk],Center[Value],,-1)</f>
        <v>-313.99708473486152</v>
      </c>
    </row>
    <row r="87" spans="1:11" x14ac:dyDescent="0.25">
      <c r="A87" t="s">
        <v>436</v>
      </c>
      <c r="B87">
        <v>26</v>
      </c>
      <c r="C87" t="s">
        <v>74</v>
      </c>
      <c r="E87" s="57"/>
      <c r="F87" t="s">
        <v>30</v>
      </c>
      <c r="I87" s="10">
        <f>INDEX(Std[],MATCH(Center[[#This Row],[Player]],Std[Player],0),20)</f>
        <v>259.31191315703626</v>
      </c>
      <c r="J87">
        <f>_xlfn.RANK.EQ(Center[[#This Row],[Value]],Center[Value])</f>
        <v>99</v>
      </c>
      <c r="K87" s="10">
        <f>Center[[#This Row],[Value]]-_xlfn.XLOOKUP($D$263,Center[Value Rk],Center[Value],,-1)</f>
        <v>-475.32194115326234</v>
      </c>
    </row>
    <row r="88" spans="1:11" x14ac:dyDescent="0.25">
      <c r="A88" t="s">
        <v>891</v>
      </c>
      <c r="B88">
        <v>27</v>
      </c>
      <c r="C88" t="s">
        <v>74</v>
      </c>
      <c r="E88" s="57"/>
      <c r="F88" t="s">
        <v>34</v>
      </c>
      <c r="I88" s="10">
        <f>INDEX(Std[],MATCH(Center[[#This Row],[Player]],Std[Player],0),20)</f>
        <v>427.12873973534391</v>
      </c>
      <c r="J88">
        <f>_xlfn.RANK.EQ(Center[[#This Row],[Value]],Center[Value])</f>
        <v>73</v>
      </c>
      <c r="K88" s="10">
        <f>Center[[#This Row],[Value]]-_xlfn.XLOOKUP($D$263,Center[Value Rk],Center[Value],,-1)</f>
        <v>-307.50511457495469</v>
      </c>
    </row>
    <row r="89" spans="1:11" x14ac:dyDescent="0.25">
      <c r="A89" t="s">
        <v>1070</v>
      </c>
      <c r="B89">
        <v>21</v>
      </c>
      <c r="C89" t="s">
        <v>74</v>
      </c>
      <c r="D89" t="s">
        <v>103</v>
      </c>
      <c r="E89" s="57"/>
      <c r="F89" t="s">
        <v>16</v>
      </c>
      <c r="I89" s="10">
        <f>INDEX(Std[],MATCH(Center[[#This Row],[Player]],Std[Player],0),20)</f>
        <v>169.64204635015844</v>
      </c>
      <c r="J89">
        <f>_xlfn.RANK.EQ(Center[[#This Row],[Value]],Center[Value])</f>
        <v>121</v>
      </c>
      <c r="K89" s="10">
        <f>Center[[#This Row],[Value]]-_xlfn.XLOOKUP($D$263,Center[Value Rk],Center[Value],,-1)</f>
        <v>-564.99180796014014</v>
      </c>
    </row>
    <row r="90" spans="1:11" x14ac:dyDescent="0.25">
      <c r="A90" t="s">
        <v>554</v>
      </c>
      <c r="B90">
        <v>21</v>
      </c>
      <c r="C90" t="s">
        <v>74</v>
      </c>
      <c r="D90" t="s">
        <v>102</v>
      </c>
      <c r="E90" s="57"/>
      <c r="F90" s="59" t="s">
        <v>9</v>
      </c>
      <c r="I90" s="10">
        <f>INDEX(Std[],MATCH(Center[[#This Row],[Player]],Std[Player],0),20)</f>
        <v>237.16843836867034</v>
      </c>
      <c r="J90">
        <f>_xlfn.RANK.EQ(Center[[#This Row],[Value]],Center[Value])</f>
        <v>104</v>
      </c>
      <c r="K90" s="10">
        <f>Center[[#This Row],[Value]]-_xlfn.XLOOKUP($D$263,Center[Value Rk],Center[Value],,-1)</f>
        <v>-497.46541594162829</v>
      </c>
    </row>
    <row r="91" spans="1:11" x14ac:dyDescent="0.25">
      <c r="A91" t="s">
        <v>598</v>
      </c>
      <c r="B91">
        <v>24</v>
      </c>
      <c r="C91" t="s">
        <v>74</v>
      </c>
      <c r="E91" s="57"/>
      <c r="F91" t="s">
        <v>154</v>
      </c>
      <c r="I91" s="10">
        <f>INDEX(Std[],MATCH(Center[[#This Row],[Player]],Std[Player],0),20)</f>
        <v>150.61032362498366</v>
      </c>
      <c r="J91">
        <f>_xlfn.RANK.EQ(Center[[#This Row],[Value]],Center[Value])</f>
        <v>124</v>
      </c>
      <c r="K91" s="10">
        <f>Center[[#This Row],[Value]]-_xlfn.XLOOKUP($D$263,Center[Value Rk],Center[Value],,-1)</f>
        <v>-584.02353068531488</v>
      </c>
    </row>
    <row r="92" spans="1:11" x14ac:dyDescent="0.25">
      <c r="A92" t="s">
        <v>585</v>
      </c>
      <c r="B92">
        <v>20</v>
      </c>
      <c r="C92" t="s">
        <v>74</v>
      </c>
      <c r="E92" s="57"/>
      <c r="F92" s="59" t="s">
        <v>18</v>
      </c>
      <c r="I92" s="10">
        <f>INDEX(Std[],MATCH(Center[[#This Row],[Player]],Std[Player],0),20)</f>
        <v>218.65009695426093</v>
      </c>
      <c r="J92">
        <f>_xlfn.RANK.EQ(Center[[#This Row],[Value]],Center[Value])</f>
        <v>113</v>
      </c>
      <c r="K92" s="10">
        <f>Center[[#This Row],[Value]]-_xlfn.XLOOKUP($D$263,Center[Value Rk],Center[Value],,-1)</f>
        <v>-515.9837573560377</v>
      </c>
    </row>
    <row r="93" spans="1:11" x14ac:dyDescent="0.25">
      <c r="A93" t="s">
        <v>563</v>
      </c>
      <c r="B93">
        <v>32</v>
      </c>
      <c r="C93" t="s">
        <v>74</v>
      </c>
      <c r="E93" s="57"/>
      <c r="F93" s="59" t="s">
        <v>11</v>
      </c>
      <c r="I93" s="10">
        <f>INDEX(Std[],MATCH(Center[[#This Row],[Player]],Std[Player],0),20)</f>
        <v>416.91635165374583</v>
      </c>
      <c r="J93">
        <f>_xlfn.RANK.EQ(Center[[#This Row],[Value]],Center[Value])</f>
        <v>75</v>
      </c>
      <c r="K93" s="10">
        <f>Center[[#This Row],[Value]]-_xlfn.XLOOKUP($D$263,Center[Value Rk],Center[Value],,-1)</f>
        <v>-317.71750265655277</v>
      </c>
    </row>
    <row r="94" spans="1:11" x14ac:dyDescent="0.25">
      <c r="A94" t="s">
        <v>352</v>
      </c>
      <c r="B94">
        <v>22</v>
      </c>
      <c r="C94" t="s">
        <v>74</v>
      </c>
      <c r="D94" t="s">
        <v>103</v>
      </c>
      <c r="E94" s="56"/>
      <c r="F94" t="s">
        <v>13</v>
      </c>
      <c r="I94" s="10">
        <f>INDEX(Std[],MATCH(Center[[#This Row],[Player]],Std[Player],0),20)</f>
        <v>354.88169011789876</v>
      </c>
      <c r="J94">
        <f>_xlfn.RANK.EQ(Center[[#This Row],[Value]],Center[Value])</f>
        <v>86</v>
      </c>
      <c r="K94" s="10">
        <f>Center[[#This Row],[Value]]-_xlfn.XLOOKUP($D$263,Center[Value Rk],Center[Value],,-1)</f>
        <v>-379.75216419239985</v>
      </c>
    </row>
    <row r="95" spans="1:11" x14ac:dyDescent="0.25">
      <c r="A95" t="s">
        <v>854</v>
      </c>
      <c r="B95">
        <v>20</v>
      </c>
      <c r="C95" t="s">
        <v>74</v>
      </c>
      <c r="E95" s="57"/>
      <c r="F95" t="s">
        <v>155</v>
      </c>
      <c r="I95" s="10">
        <f>INDEX(Std[],MATCH(Center[[#This Row],[Player]],Std[Player],0),20)</f>
        <v>317.99606697208895</v>
      </c>
      <c r="J95">
        <f>_xlfn.RANK.EQ(Center[[#This Row],[Value]],Center[Value])</f>
        <v>90</v>
      </c>
      <c r="K95" s="10">
        <f>Center[[#This Row],[Value]]-_xlfn.XLOOKUP($D$263,Center[Value Rk],Center[Value],,-1)</f>
        <v>-416.63778733820965</v>
      </c>
    </row>
    <row r="96" spans="1:11" x14ac:dyDescent="0.25">
      <c r="A96" t="s">
        <v>593</v>
      </c>
      <c r="B96">
        <v>33</v>
      </c>
      <c r="C96" t="s">
        <v>74</v>
      </c>
      <c r="E96" s="56"/>
      <c r="F96" t="s">
        <v>30</v>
      </c>
      <c r="I96" s="10">
        <f>INDEX(Std[],MATCH(Center[[#This Row],[Player]],Std[Player],0),20)</f>
        <v>197.60623468781512</v>
      </c>
      <c r="J96">
        <f>_xlfn.RANK.EQ(Center[[#This Row],[Value]],Center[Value])</f>
        <v>116</v>
      </c>
      <c r="K96" s="10">
        <f>Center[[#This Row],[Value]]-_xlfn.XLOOKUP($D$263,Center[Value Rk],Center[Value],,-1)</f>
        <v>-537.02761962248348</v>
      </c>
    </row>
    <row r="97" spans="1:11" x14ac:dyDescent="0.25">
      <c r="A97" t="s">
        <v>646</v>
      </c>
      <c r="B97">
        <v>31</v>
      </c>
      <c r="C97" t="s">
        <v>74</v>
      </c>
      <c r="E97" s="57"/>
      <c r="F97" t="s">
        <v>153</v>
      </c>
      <c r="I97" s="10">
        <f>INDEX(Std[],MATCH(Center[[#This Row],[Player]],Std[Player],0),20)</f>
        <v>409.46921655310052</v>
      </c>
      <c r="J97">
        <f>_xlfn.RANK.EQ(Center[[#This Row],[Value]],Center[Value])</f>
        <v>78</v>
      </c>
      <c r="K97" s="10">
        <f>Center[[#This Row],[Value]]-_xlfn.XLOOKUP($D$263,Center[Value Rk],Center[Value],,-1)</f>
        <v>-325.16463775719808</v>
      </c>
    </row>
    <row r="98" spans="1:11" x14ac:dyDescent="0.25">
      <c r="A98" t="s">
        <v>532</v>
      </c>
      <c r="B98">
        <v>35</v>
      </c>
      <c r="C98" t="s">
        <v>74</v>
      </c>
      <c r="E98" s="56"/>
      <c r="F98" t="s">
        <v>7</v>
      </c>
      <c r="I98" s="10">
        <f>INDEX(Std[],MATCH(Center[[#This Row],[Player]],Std[Player],0),20)</f>
        <v>366.94138235658079</v>
      </c>
      <c r="J98">
        <f>_xlfn.RANK.EQ(Center[[#This Row],[Value]],Center[Value])</f>
        <v>82</v>
      </c>
      <c r="K98" s="10">
        <f>Center[[#This Row],[Value]]-_xlfn.XLOOKUP($D$263,Center[Value Rk],Center[Value],,-1)</f>
        <v>-367.69247195371781</v>
      </c>
    </row>
    <row r="99" spans="1:11" x14ac:dyDescent="0.25">
      <c r="A99" t="s">
        <v>688</v>
      </c>
      <c r="B99">
        <v>29</v>
      </c>
      <c r="C99" t="s">
        <v>74</v>
      </c>
      <c r="E99" s="56"/>
      <c r="F99" t="s">
        <v>31</v>
      </c>
      <c r="I99" s="10">
        <f>INDEX(Std[],MATCH(Center[[#This Row],[Player]],Std[Player],0),20)</f>
        <v>414.6979015280271</v>
      </c>
      <c r="J99">
        <f>_xlfn.RANK.EQ(Center[[#This Row],[Value]],Center[Value])</f>
        <v>76</v>
      </c>
      <c r="K99" s="10">
        <f>Center[[#This Row],[Value]]-_xlfn.XLOOKUP($D$263,Center[Value Rk],Center[Value],,-1)</f>
        <v>-319.9359527822715</v>
      </c>
    </row>
    <row r="100" spans="1:11" x14ac:dyDescent="0.25">
      <c r="A100" t="s">
        <v>649</v>
      </c>
      <c r="B100">
        <v>35</v>
      </c>
      <c r="C100" t="s">
        <v>74</v>
      </c>
      <c r="E100" s="56"/>
      <c r="F100" t="s">
        <v>7</v>
      </c>
      <c r="I100" s="10">
        <f>INDEX(Std[],MATCH(Center[[#This Row],[Player]],Std[Player],0),20)</f>
        <v>235.24019513508864</v>
      </c>
      <c r="J100">
        <f>_xlfn.RANK.EQ(Center[[#This Row],[Value]],Center[Value])</f>
        <v>105</v>
      </c>
      <c r="K100" s="10">
        <f>Center[[#This Row],[Value]]-_xlfn.XLOOKUP($D$263,Center[Value Rk],Center[Value],,-1)</f>
        <v>-499.39365917520996</v>
      </c>
    </row>
    <row r="101" spans="1:11" x14ac:dyDescent="0.25">
      <c r="A101" t="s">
        <v>615</v>
      </c>
      <c r="B101">
        <v>24</v>
      </c>
      <c r="C101" t="s">
        <v>74</v>
      </c>
      <c r="E101" s="57"/>
      <c r="F101" t="s">
        <v>14</v>
      </c>
      <c r="I101" s="10">
        <f>INDEX(Std[],MATCH(Center[[#This Row],[Player]],Std[Player],0),20)</f>
        <v>427.54833845517493</v>
      </c>
      <c r="J101">
        <f>_xlfn.RANK.EQ(Center[[#This Row],[Value]],Center[Value])</f>
        <v>72</v>
      </c>
      <c r="K101" s="10">
        <f>Center[[#This Row],[Value]]-_xlfn.XLOOKUP($D$263,Center[Value Rk],Center[Value],,-1)</f>
        <v>-307.08551585512367</v>
      </c>
    </row>
    <row r="102" spans="1:11" x14ac:dyDescent="0.25">
      <c r="A102" t="s">
        <v>1106</v>
      </c>
      <c r="B102">
        <v>26</v>
      </c>
      <c r="C102" t="s">
        <v>74</v>
      </c>
      <c r="E102" s="57"/>
      <c r="F102" t="s">
        <v>25</v>
      </c>
      <c r="I102" s="10">
        <f>INDEX(Std[],MATCH(Center[[#This Row],[Player]],Std[Player],0),20)</f>
        <v>269.82765241920828</v>
      </c>
      <c r="J102">
        <f>_xlfn.RANK.EQ(Center[[#This Row],[Value]],Center[Value])</f>
        <v>96</v>
      </c>
      <c r="K102" s="10">
        <f>Center[[#This Row],[Value]]-_xlfn.XLOOKUP($D$263,Center[Value Rk],Center[Value],,-1)</f>
        <v>-464.80620189109032</v>
      </c>
    </row>
    <row r="103" spans="1:11" x14ac:dyDescent="0.25">
      <c r="A103" t="s">
        <v>499</v>
      </c>
      <c r="B103">
        <v>23</v>
      </c>
      <c r="C103" t="s">
        <v>74</v>
      </c>
      <c r="E103" s="57"/>
      <c r="F103" t="s">
        <v>10</v>
      </c>
      <c r="I103" s="10">
        <f>INDEX(Std[],MATCH(Center[[#This Row],[Player]],Std[Player],0),20)</f>
        <v>409.82880253016828</v>
      </c>
      <c r="J103">
        <f>_xlfn.RANK.EQ(Center[[#This Row],[Value]],Center[Value])</f>
        <v>77</v>
      </c>
      <c r="K103" s="10">
        <f>Center[[#This Row],[Value]]-_xlfn.XLOOKUP($D$263,Center[Value Rk],Center[Value],,-1)</f>
        <v>-324.80505178013033</v>
      </c>
    </row>
    <row r="104" spans="1:11" x14ac:dyDescent="0.25">
      <c r="A104" t="s">
        <v>1221</v>
      </c>
      <c r="B104">
        <v>30</v>
      </c>
      <c r="C104" t="s">
        <v>74</v>
      </c>
      <c r="D104" t="s">
        <v>102</v>
      </c>
      <c r="E104" s="57"/>
      <c r="F104" t="s">
        <v>21</v>
      </c>
      <c r="I104" s="10">
        <f>INDEX(Std[],MATCH(Center[[#This Row],[Player]],Std[Player],0),20)</f>
        <v>222.65499072653904</v>
      </c>
      <c r="J104">
        <f>_xlfn.RANK.EQ(Center[[#This Row],[Value]],Center[Value])</f>
        <v>111</v>
      </c>
      <c r="K104" s="10">
        <f>Center[[#This Row],[Value]]-_xlfn.XLOOKUP($D$263,Center[Value Rk],Center[Value],,-1)</f>
        <v>-511.97886358375956</v>
      </c>
    </row>
    <row r="105" spans="1:11" x14ac:dyDescent="0.25">
      <c r="A105" t="s">
        <v>579</v>
      </c>
      <c r="B105">
        <v>24</v>
      </c>
      <c r="C105" t="s">
        <v>74</v>
      </c>
      <c r="E105" s="57"/>
      <c r="F105" t="s">
        <v>29</v>
      </c>
      <c r="I105" s="10">
        <f>INDEX(Std[],MATCH(Center[[#This Row],[Player]],Std[Player],0),20)</f>
        <v>113.29056450689619</v>
      </c>
      <c r="J105">
        <f>_xlfn.RANK.EQ(Center[[#This Row],[Value]],Center[Value])</f>
        <v>127</v>
      </c>
      <c r="K105" s="10">
        <f>Center[[#This Row],[Value]]-_xlfn.XLOOKUP($D$263,Center[Value Rk],Center[Value],,-1)</f>
        <v>-621.3432898034024</v>
      </c>
    </row>
    <row r="106" spans="1:11" x14ac:dyDescent="0.25">
      <c r="A106" t="s">
        <v>919</v>
      </c>
      <c r="B106">
        <v>27</v>
      </c>
      <c r="C106" t="s">
        <v>74</v>
      </c>
      <c r="E106" s="57"/>
      <c r="F106" s="74"/>
      <c r="I106" s="10">
        <f>INDEX(Std[],MATCH(Center[[#This Row],[Player]],Std[Player],0),20)</f>
        <v>255.52308898388202</v>
      </c>
      <c r="J106">
        <f>_xlfn.RANK.EQ(Center[[#This Row],[Value]],Center[Value])</f>
        <v>100</v>
      </c>
      <c r="K106" s="10">
        <f>Center[[#This Row],[Value]]-_xlfn.XLOOKUP($D$263,Center[Value Rk],Center[Value],,-1)</f>
        <v>-479.11076532641658</v>
      </c>
    </row>
    <row r="107" spans="1:11" x14ac:dyDescent="0.25">
      <c r="A107" t="s">
        <v>1218</v>
      </c>
      <c r="B107">
        <v>26</v>
      </c>
      <c r="C107" t="s">
        <v>74</v>
      </c>
      <c r="E107" s="57"/>
      <c r="F107" t="s">
        <v>12</v>
      </c>
      <c r="I107" s="10">
        <f>INDEX(Std[],MATCH(Center[[#This Row],[Player]],Std[Player],0),20)</f>
        <v>204.25853957676759</v>
      </c>
      <c r="J107">
        <f>_xlfn.RANK.EQ(Center[[#This Row],[Value]],Center[Value])</f>
        <v>115</v>
      </c>
      <c r="K107" s="10">
        <f>Center[[#This Row],[Value]]-_xlfn.XLOOKUP($D$263,Center[Value Rk],Center[Value],,-1)</f>
        <v>-530.37531473353101</v>
      </c>
    </row>
    <row r="108" spans="1:11" x14ac:dyDescent="0.25">
      <c r="A108" t="s">
        <v>772</v>
      </c>
      <c r="B108">
        <v>30</v>
      </c>
      <c r="C108" t="s">
        <v>74</v>
      </c>
      <c r="E108" s="57"/>
      <c r="F108" t="s">
        <v>9</v>
      </c>
      <c r="I108" s="10">
        <f>INDEX(Std[],MATCH(Center[[#This Row],[Player]],Std[Player],0),20)</f>
        <v>240.43819922455492</v>
      </c>
      <c r="J108">
        <f>_xlfn.RANK.EQ(Center[[#This Row],[Value]],Center[Value])</f>
        <v>103</v>
      </c>
      <c r="K108" s="10">
        <f>Center[[#This Row],[Value]]-_xlfn.XLOOKUP($D$263,Center[Value Rk],Center[Value],,-1)</f>
        <v>-494.19565508574368</v>
      </c>
    </row>
    <row r="109" spans="1:11" x14ac:dyDescent="0.25">
      <c r="A109" t="s">
        <v>497</v>
      </c>
      <c r="B109" s="67">
        <v>27</v>
      </c>
      <c r="C109" s="74" t="s">
        <v>74</v>
      </c>
      <c r="D109" s="59"/>
      <c r="E109" s="57"/>
      <c r="F109" s="74"/>
      <c r="I109" s="10">
        <f>INDEX(Std[],MATCH(Center[[#This Row],[Player]],Std[Player],0),20)</f>
        <v>98.868007171364098</v>
      </c>
      <c r="J109">
        <f>_xlfn.RANK.EQ(Center[[#This Row],[Value]],Center[Value])</f>
        <v>128</v>
      </c>
      <c r="K109" s="10">
        <f>Center[[#This Row],[Value]]-_xlfn.XLOOKUP($D$263,Center[Value Rk],Center[Value],,-1)</f>
        <v>-635.76584713893453</v>
      </c>
    </row>
    <row r="110" spans="1:11" x14ac:dyDescent="0.25">
      <c r="A110" t="s">
        <v>406</v>
      </c>
      <c r="B110">
        <v>25</v>
      </c>
      <c r="C110" t="s">
        <v>74</v>
      </c>
      <c r="E110" s="56"/>
      <c r="F110" t="s">
        <v>34</v>
      </c>
      <c r="I110" s="10">
        <f>INDEX(Std[],MATCH(Center[[#This Row],[Player]],Std[Player],0),20)</f>
        <v>177.97511783329969</v>
      </c>
      <c r="J110">
        <f>_xlfn.RANK.EQ(Center[[#This Row],[Value]],Center[Value])</f>
        <v>119</v>
      </c>
      <c r="K110" s="10">
        <f>Center[[#This Row],[Value]]-_xlfn.XLOOKUP($D$263,Center[Value Rk],Center[Value],,-1)</f>
        <v>-556.65873647699891</v>
      </c>
    </row>
    <row r="111" spans="1:11" x14ac:dyDescent="0.25">
      <c r="A111" t="s">
        <v>953</v>
      </c>
      <c r="B111">
        <v>24</v>
      </c>
      <c r="C111" t="s">
        <v>74</v>
      </c>
      <c r="E111" s="56"/>
      <c r="F111" t="s">
        <v>22</v>
      </c>
      <c r="I111" s="10">
        <f>INDEX(Std[],MATCH(Center[[#This Row],[Player]],Std[Player],0),20)</f>
        <v>319.86731548970278</v>
      </c>
      <c r="J111">
        <f>_xlfn.RANK.EQ(Center[[#This Row],[Value]],Center[Value])</f>
        <v>88</v>
      </c>
      <c r="K111" s="10">
        <f>Center[[#This Row],[Value]]-_xlfn.XLOOKUP($D$263,Center[Value Rk],Center[Value],,-1)</f>
        <v>-414.76653882059583</v>
      </c>
    </row>
    <row r="112" spans="1:11" x14ac:dyDescent="0.25">
      <c r="A112" t="s">
        <v>581</v>
      </c>
      <c r="B112">
        <v>31</v>
      </c>
      <c r="C112" t="s">
        <v>74</v>
      </c>
      <c r="E112" s="57"/>
      <c r="F112" t="s">
        <v>28</v>
      </c>
      <c r="I112" s="10">
        <f>INDEX(Std[],MATCH(Center[[#This Row],[Player]],Std[Player],0),20)</f>
        <v>294.57375562383248</v>
      </c>
      <c r="J112">
        <f>_xlfn.RANK.EQ(Center[[#This Row],[Value]],Center[Value])</f>
        <v>92</v>
      </c>
      <c r="K112" s="10">
        <f>Center[[#This Row],[Value]]-_xlfn.XLOOKUP($D$263,Center[Value Rk],Center[Value],,-1)</f>
        <v>-440.06009868646612</v>
      </c>
    </row>
    <row r="113" spans="1:11" x14ac:dyDescent="0.25">
      <c r="A113" t="s">
        <v>435</v>
      </c>
      <c r="B113">
        <v>31</v>
      </c>
      <c r="C113" t="s">
        <v>74</v>
      </c>
      <c r="E113" s="57"/>
      <c r="F113" t="s">
        <v>9</v>
      </c>
      <c r="I113" s="10">
        <f>INDEX(Std[],MATCH(Center[[#This Row],[Player]],Std[Player],0),20)</f>
        <v>359.46793343806081</v>
      </c>
      <c r="J113">
        <f>_xlfn.RANK.EQ(Center[[#This Row],[Value]],Center[Value])</f>
        <v>85</v>
      </c>
      <c r="K113" s="10">
        <f>Center[[#This Row],[Value]]-_xlfn.XLOOKUP($D$263,Center[Value Rk],Center[Value],,-1)</f>
        <v>-375.16592087223779</v>
      </c>
    </row>
    <row r="114" spans="1:11" x14ac:dyDescent="0.25">
      <c r="A114" t="s">
        <v>375</v>
      </c>
      <c r="B114">
        <v>27</v>
      </c>
      <c r="C114" t="s">
        <v>74</v>
      </c>
      <c r="E114" s="57"/>
      <c r="F114" t="s">
        <v>28</v>
      </c>
      <c r="I114" s="10">
        <f>INDEX(Std[],MATCH(Center[[#This Row],[Player]],Std[Player],0),20)</f>
        <v>362.18681680556011</v>
      </c>
      <c r="J114">
        <f>_xlfn.RANK.EQ(Center[[#This Row],[Value]],Center[Value])</f>
        <v>83</v>
      </c>
      <c r="K114" s="10">
        <f>Center[[#This Row],[Value]]-_xlfn.XLOOKUP($D$263,Center[Value Rk],Center[Value],,-1)</f>
        <v>-372.44703750473849</v>
      </c>
    </row>
    <row r="115" spans="1:11" x14ac:dyDescent="0.25">
      <c r="A115" s="18" t="s">
        <v>496</v>
      </c>
      <c r="B115">
        <v>32</v>
      </c>
      <c r="C115" t="s">
        <v>74</v>
      </c>
      <c r="E115" s="56"/>
      <c r="F115" t="s">
        <v>28</v>
      </c>
      <c r="I115" s="10">
        <f>INDEX(Std[],MATCH(Center[[#This Row],[Player]],Std[Player],0),20)</f>
        <v>388.1527664635646</v>
      </c>
      <c r="J115">
        <f>_xlfn.RANK.EQ(Center[[#This Row],[Value]],Center[Value])</f>
        <v>81</v>
      </c>
      <c r="K115" s="10">
        <f>Center[[#This Row],[Value]]-_xlfn.XLOOKUP($D$263,Center[Value Rk],Center[Value],,-1)</f>
        <v>-346.481087846734</v>
      </c>
    </row>
    <row r="116" spans="1:11" x14ac:dyDescent="0.25">
      <c r="A116" t="s">
        <v>1097</v>
      </c>
      <c r="B116">
        <v>32</v>
      </c>
      <c r="C116" t="s">
        <v>74</v>
      </c>
      <c r="E116" s="57"/>
      <c r="F116" t="s">
        <v>14</v>
      </c>
      <c r="I116" s="10">
        <f>INDEX(Std[],MATCH(Center[[#This Row],[Player]],Std[Player],0),20)</f>
        <v>185.96754523369719</v>
      </c>
      <c r="J116">
        <f>_xlfn.RANK.EQ(Center[[#This Row],[Value]],Center[Value])</f>
        <v>117</v>
      </c>
      <c r="K116" s="10">
        <f>Center[[#This Row],[Value]]-_xlfn.XLOOKUP($D$263,Center[Value Rk],Center[Value],,-1)</f>
        <v>-548.66630907660146</v>
      </c>
    </row>
    <row r="117" spans="1:11" x14ac:dyDescent="0.25">
      <c r="A117" t="s">
        <v>460</v>
      </c>
      <c r="B117">
        <v>29</v>
      </c>
      <c r="C117" t="s">
        <v>74</v>
      </c>
      <c r="E117" s="57"/>
      <c r="F117" t="s">
        <v>155</v>
      </c>
      <c r="I117" s="10">
        <f>INDEX(Std[],MATCH(Center[[#This Row],[Player]],Std[Player],0),20)</f>
        <v>61.138631659359419</v>
      </c>
      <c r="J117">
        <f>_xlfn.RANK.EQ(Center[[#This Row],[Value]],Center[Value])</f>
        <v>135</v>
      </c>
      <c r="K117" s="10">
        <f>Center[[#This Row],[Value]]-_xlfn.XLOOKUP($D$263,Center[Value Rk],Center[Value],,-1)</f>
        <v>-673.49522265093924</v>
      </c>
    </row>
    <row r="118" spans="1:11" x14ac:dyDescent="0.25">
      <c r="A118" t="s">
        <v>883</v>
      </c>
      <c r="B118">
        <v>31</v>
      </c>
      <c r="C118" t="s">
        <v>74</v>
      </c>
      <c r="E118" s="57"/>
      <c r="F118" t="s">
        <v>156</v>
      </c>
      <c r="I118" s="10">
        <f>INDEX(Std[],MATCH(Center[[#This Row],[Player]],Std[Player],0),20)</f>
        <v>294.02228993600016</v>
      </c>
      <c r="J118">
        <f>_xlfn.RANK.EQ(Center[[#This Row],[Value]],Center[Value])</f>
        <v>93</v>
      </c>
      <c r="K118" s="10">
        <f>Center[[#This Row],[Value]]-_xlfn.XLOOKUP($D$263,Center[Value Rk],Center[Value],,-1)</f>
        <v>-440.61156437429844</v>
      </c>
    </row>
    <row r="119" spans="1:11" x14ac:dyDescent="0.25">
      <c r="A119" t="s">
        <v>681</v>
      </c>
      <c r="B119">
        <v>25</v>
      </c>
      <c r="C119" t="s">
        <v>74</v>
      </c>
      <c r="E119" s="57"/>
      <c r="F119" t="s">
        <v>156</v>
      </c>
      <c r="I119" s="10">
        <f>INDEX(Std[],MATCH(Center[[#This Row],[Player]],Std[Player],0),20)</f>
        <v>260.5758328346372</v>
      </c>
      <c r="J119">
        <f>_xlfn.RANK.EQ(Center[[#This Row],[Value]],Center[Value])</f>
        <v>98</v>
      </c>
      <c r="K119" s="10">
        <f>Center[[#This Row],[Value]]-_xlfn.XLOOKUP($D$263,Center[Value Rk],Center[Value],,-1)</f>
        <v>-474.05802147566141</v>
      </c>
    </row>
    <row r="120" spans="1:11" x14ac:dyDescent="0.25">
      <c r="A120" t="s">
        <v>856</v>
      </c>
      <c r="B120">
        <v>29</v>
      </c>
      <c r="C120" t="s">
        <v>74</v>
      </c>
      <c r="E120" s="56"/>
      <c r="F120" t="s">
        <v>13</v>
      </c>
      <c r="I120" s="10">
        <f>INDEX(Std[],MATCH(Center[[#This Row],[Player]],Std[Player],0),20)</f>
        <v>185.88070897195172</v>
      </c>
      <c r="J120">
        <f>_xlfn.RANK.EQ(Center[[#This Row],[Value]],Center[Value])</f>
        <v>118</v>
      </c>
      <c r="K120" s="10">
        <f>Center[[#This Row],[Value]]-_xlfn.XLOOKUP($D$263,Center[Value Rk],Center[Value],,-1)</f>
        <v>-548.75314533834694</v>
      </c>
    </row>
    <row r="121" spans="1:11" x14ac:dyDescent="0.25">
      <c r="A121" t="s">
        <v>562</v>
      </c>
      <c r="B121">
        <v>39</v>
      </c>
      <c r="C121" t="s">
        <v>74</v>
      </c>
      <c r="E121" s="56"/>
      <c r="F121" t="s">
        <v>12</v>
      </c>
      <c r="I121" s="10">
        <f>INDEX(Std[],MATCH(Center[[#This Row],[Player]],Std[Player],0),20)</f>
        <v>233.07304492236568</v>
      </c>
      <c r="J121">
        <f>_xlfn.RANK.EQ(Center[[#This Row],[Value]],Center[Value])</f>
        <v>107</v>
      </c>
      <c r="K121" s="10">
        <f>Center[[#This Row],[Value]]-_xlfn.XLOOKUP($D$263,Center[Value Rk],Center[Value],,-1)</f>
        <v>-501.56080938793292</v>
      </c>
    </row>
    <row r="122" spans="1:11" x14ac:dyDescent="0.25">
      <c r="A122" t="s">
        <v>1041</v>
      </c>
      <c r="B122">
        <v>24</v>
      </c>
      <c r="C122" t="s">
        <v>74</v>
      </c>
      <c r="E122" s="57"/>
      <c r="F122" t="s">
        <v>4</v>
      </c>
      <c r="I122" s="10">
        <f>INDEX(Std[],MATCH(Center[[#This Row],[Player]],Std[Player],0),20)</f>
        <v>30.364904452457164</v>
      </c>
      <c r="J122">
        <f>_xlfn.RANK.EQ(Center[[#This Row],[Value]],Center[Value])</f>
        <v>138</v>
      </c>
      <c r="K122" s="10">
        <f>Center[[#This Row],[Value]]-_xlfn.XLOOKUP($D$263,Center[Value Rk],Center[Value],,-1)</f>
        <v>-704.26894985784145</v>
      </c>
    </row>
    <row r="123" spans="1:11" x14ac:dyDescent="0.25">
      <c r="A123" t="s">
        <v>747</v>
      </c>
      <c r="B123">
        <v>19</v>
      </c>
      <c r="C123" t="s">
        <v>74</v>
      </c>
      <c r="E123" s="56"/>
      <c r="F123" t="s">
        <v>8</v>
      </c>
      <c r="I123" s="10">
        <f>INDEX(Std[],MATCH(Center[[#This Row],[Player]],Std[Player],0),20)</f>
        <v>63.29087227005801</v>
      </c>
      <c r="J123">
        <f>_xlfn.RANK.EQ(Center[[#This Row],[Value]],Center[Value])</f>
        <v>133</v>
      </c>
      <c r="K123" s="10">
        <f>Center[[#This Row],[Value]]-_xlfn.XLOOKUP($D$263,Center[Value Rk],Center[Value],,-1)</f>
        <v>-671.3429820402406</v>
      </c>
    </row>
    <row r="124" spans="1:11" x14ac:dyDescent="0.25">
      <c r="A124" t="s">
        <v>533</v>
      </c>
      <c r="B124">
        <v>25</v>
      </c>
      <c r="C124" t="s">
        <v>74</v>
      </c>
      <c r="E124" s="56"/>
      <c r="F124" t="s">
        <v>6</v>
      </c>
      <c r="I124" s="10">
        <f>INDEX(Std[],MATCH(Center[[#This Row],[Player]],Std[Player],0),20)</f>
        <v>229.6536142979717</v>
      </c>
      <c r="J124">
        <f>_xlfn.RANK.EQ(Center[[#This Row],[Value]],Center[Value])</f>
        <v>108</v>
      </c>
      <c r="K124" s="10">
        <f>Center[[#This Row],[Value]]-_xlfn.XLOOKUP($D$263,Center[Value Rk],Center[Value],,-1)</f>
        <v>-504.98024001232693</v>
      </c>
    </row>
    <row r="125" spans="1:11" x14ac:dyDescent="0.25">
      <c r="A125" t="s">
        <v>685</v>
      </c>
      <c r="B125">
        <v>30</v>
      </c>
      <c r="C125" t="s">
        <v>74</v>
      </c>
      <c r="E125" s="56"/>
      <c r="F125" t="s">
        <v>154</v>
      </c>
      <c r="I125" s="10">
        <f>INDEX(Std[],MATCH(Center[[#This Row],[Player]],Std[Player],0),20)</f>
        <v>310.50485347995567</v>
      </c>
      <c r="J125">
        <f>_xlfn.RANK.EQ(Center[[#This Row],[Value]],Center[Value])</f>
        <v>91</v>
      </c>
      <c r="K125" s="10">
        <f>Center[[#This Row],[Value]]-_xlfn.XLOOKUP($D$263,Center[Value Rk],Center[Value],,-1)</f>
        <v>-424.12900083034293</v>
      </c>
    </row>
    <row r="126" spans="1:11" x14ac:dyDescent="0.25">
      <c r="A126" t="s">
        <v>771</v>
      </c>
      <c r="B126">
        <v>22</v>
      </c>
      <c r="C126" t="s">
        <v>74</v>
      </c>
      <c r="E126" s="57"/>
      <c r="F126" t="s">
        <v>155</v>
      </c>
      <c r="I126" s="10">
        <f>INDEX(Std[],MATCH(Center[[#This Row],[Player]],Std[Player],0),20)</f>
        <v>255.32528214654769</v>
      </c>
      <c r="J126">
        <f>_xlfn.RANK.EQ(Center[[#This Row],[Value]],Center[Value])</f>
        <v>101</v>
      </c>
      <c r="K126" s="10">
        <f>Center[[#This Row],[Value]]-_xlfn.XLOOKUP($D$263,Center[Value Rk],Center[Value],,-1)</f>
        <v>-479.30857216375091</v>
      </c>
    </row>
    <row r="127" spans="1:11" x14ac:dyDescent="0.25">
      <c r="A127" t="s">
        <v>1254</v>
      </c>
      <c r="B127">
        <v>29</v>
      </c>
      <c r="C127" t="s">
        <v>74</v>
      </c>
      <c r="E127" s="57"/>
      <c r="F127" t="s">
        <v>21</v>
      </c>
      <c r="I127" s="10">
        <f>INDEX(Std[],MATCH(Center[[#This Row],[Player]],Std[Player],0),20)</f>
        <v>59.302504819277125</v>
      </c>
      <c r="J127">
        <f>_xlfn.RANK.EQ(Center[[#This Row],[Value]],Center[Value])</f>
        <v>136</v>
      </c>
      <c r="K127" s="10">
        <f>Center[[#This Row],[Value]]-_xlfn.XLOOKUP($D$263,Center[Value Rk],Center[Value],,-1)</f>
        <v>-675.33134949102146</v>
      </c>
    </row>
    <row r="128" spans="1:11" x14ac:dyDescent="0.25">
      <c r="A128" t="s">
        <v>1043</v>
      </c>
      <c r="B128">
        <v>34</v>
      </c>
      <c r="C128" t="s">
        <v>74</v>
      </c>
      <c r="E128" s="56"/>
      <c r="F128" t="s">
        <v>87</v>
      </c>
      <c r="I128" s="10">
        <f>INDEX(Std[],MATCH(Center[[#This Row],[Player]],Std[Player],0),20)</f>
        <v>75.4747459474832</v>
      </c>
      <c r="J128">
        <f>_xlfn.RANK.EQ(Center[[#This Row],[Value]],Center[Value])</f>
        <v>131</v>
      </c>
      <c r="K128" s="10">
        <f>Center[[#This Row],[Value]]-_xlfn.XLOOKUP($D$263,Center[Value Rk],Center[Value],,-1)</f>
        <v>-659.15910836281546</v>
      </c>
    </row>
    <row r="129" spans="1:11" x14ac:dyDescent="0.25">
      <c r="A129" t="s">
        <v>505</v>
      </c>
      <c r="B129">
        <v>26</v>
      </c>
      <c r="C129" t="s">
        <v>74</v>
      </c>
      <c r="E129" s="57"/>
      <c r="F129" t="s">
        <v>4</v>
      </c>
      <c r="I129" s="10">
        <f>INDEX(Std[],MATCH(Center[[#This Row],[Player]],Std[Player],0),20)</f>
        <v>172.78010185289412</v>
      </c>
      <c r="J129">
        <f>_xlfn.RANK.EQ(Center[[#This Row],[Value]],Center[Value])</f>
        <v>120</v>
      </c>
      <c r="K129" s="10">
        <f>Center[[#This Row],[Value]]-_xlfn.XLOOKUP($D$263,Center[Value Rk],Center[Value],,-1)</f>
        <v>-561.85375245740443</v>
      </c>
    </row>
    <row r="130" spans="1:11" x14ac:dyDescent="0.25">
      <c r="A130" t="s">
        <v>774</v>
      </c>
      <c r="B130">
        <v>25</v>
      </c>
      <c r="C130" t="s">
        <v>74</v>
      </c>
      <c r="E130" s="57"/>
      <c r="F130" t="s">
        <v>153</v>
      </c>
      <c r="I130" s="10">
        <f>INDEX(Std[],MATCH(Center[[#This Row],[Player]],Std[Player],0),20)</f>
        <v>159.6236775199317</v>
      </c>
      <c r="J130">
        <f>_xlfn.RANK.EQ(Center[[#This Row],[Value]],Center[Value])</f>
        <v>122</v>
      </c>
      <c r="K130" s="10">
        <f>Center[[#This Row],[Value]]-_xlfn.XLOOKUP($D$263,Center[Value Rk],Center[Value],,-1)</f>
        <v>-575.01017679036693</v>
      </c>
    </row>
    <row r="131" spans="1:11" x14ac:dyDescent="0.25">
      <c r="A131" t="s">
        <v>613</v>
      </c>
      <c r="B131">
        <v>25</v>
      </c>
      <c r="C131" t="s">
        <v>74</v>
      </c>
      <c r="E131" s="56"/>
      <c r="F131" t="s">
        <v>34</v>
      </c>
      <c r="I131" s="10">
        <f>INDEX(Std[],MATCH(Center[[#This Row],[Player]],Std[Player],0),20)</f>
        <v>150.33081178610152</v>
      </c>
      <c r="J131">
        <f>_xlfn.RANK.EQ(Center[[#This Row],[Value]],Center[Value])</f>
        <v>125</v>
      </c>
      <c r="K131" s="10">
        <f>Center[[#This Row],[Value]]-_xlfn.XLOOKUP($D$263,Center[Value Rk],Center[Value],,-1)</f>
        <v>-584.30304252419705</v>
      </c>
    </row>
    <row r="132" spans="1:11" x14ac:dyDescent="0.25">
      <c r="A132" t="s">
        <v>486</v>
      </c>
      <c r="B132">
        <v>31</v>
      </c>
      <c r="C132" t="s">
        <v>74</v>
      </c>
      <c r="E132" s="57"/>
      <c r="F132" t="s">
        <v>11</v>
      </c>
      <c r="I132" s="10">
        <f>INDEX(Std[],MATCH(Center[[#This Row],[Player]],Std[Player],0),20)</f>
        <v>-8.9210228228900679</v>
      </c>
      <c r="J132">
        <f>_xlfn.RANK.EQ(Center[[#This Row],[Value]],Center[Value])</f>
        <v>146</v>
      </c>
      <c r="K132" s="10">
        <f>Center[[#This Row],[Value]]-_xlfn.XLOOKUP($D$263,Center[Value Rk],Center[Value],,-1)</f>
        <v>-743.55487713318871</v>
      </c>
    </row>
    <row r="133" spans="1:11" x14ac:dyDescent="0.25">
      <c r="A133" t="s">
        <v>679</v>
      </c>
      <c r="B133">
        <v>28</v>
      </c>
      <c r="C133" t="s">
        <v>74</v>
      </c>
      <c r="E133" s="57"/>
      <c r="F133" t="s">
        <v>10</v>
      </c>
      <c r="I133" s="10">
        <f>INDEX(Std[],MATCH(Center[[#This Row],[Player]],Std[Player],0),20)</f>
        <v>75.770442572301093</v>
      </c>
      <c r="J133">
        <f>_xlfn.RANK.EQ(Center[[#This Row],[Value]],Center[Value])</f>
        <v>130</v>
      </c>
      <c r="K133" s="10">
        <f>Center[[#This Row],[Value]]-_xlfn.XLOOKUP($D$263,Center[Value Rk],Center[Value],,-1)</f>
        <v>-658.86341173799747</v>
      </c>
    </row>
    <row r="134" spans="1:11" x14ac:dyDescent="0.25">
      <c r="A134" t="s">
        <v>704</v>
      </c>
      <c r="B134">
        <v>28</v>
      </c>
      <c r="C134" t="s">
        <v>74</v>
      </c>
      <c r="E134" s="57"/>
      <c r="F134" t="s">
        <v>18</v>
      </c>
      <c r="I134" s="10">
        <f>INDEX(Std[],MATCH(Center[[#This Row],[Player]],Std[Player],0),20)</f>
        <v>19.289060794115262</v>
      </c>
      <c r="J134">
        <f>_xlfn.RANK.EQ(Center[[#This Row],[Value]],Center[Value])</f>
        <v>140</v>
      </c>
      <c r="K134" s="10">
        <f>Center[[#This Row],[Value]]-_xlfn.XLOOKUP($D$263,Center[Value Rk],Center[Value],,-1)</f>
        <v>-715.34479351618336</v>
      </c>
    </row>
    <row r="135" spans="1:11" x14ac:dyDescent="0.25">
      <c r="A135" t="s">
        <v>979</v>
      </c>
      <c r="B135">
        <v>26</v>
      </c>
      <c r="C135" t="s">
        <v>74</v>
      </c>
      <c r="E135" s="56"/>
      <c r="F135" t="s">
        <v>31</v>
      </c>
      <c r="I135" s="10">
        <f>INDEX(Std[],MATCH(Center[[#This Row],[Player]],Std[Player],0),20)</f>
        <v>-67.97832303789032</v>
      </c>
      <c r="J135">
        <f>_xlfn.RANK.EQ(Center[[#This Row],[Value]],Center[Value])</f>
        <v>160</v>
      </c>
      <c r="K135" s="10">
        <f>Center[[#This Row],[Value]]-_xlfn.XLOOKUP($D$263,Center[Value Rk],Center[Value],,-1)</f>
        <v>-802.61217734818888</v>
      </c>
    </row>
    <row r="136" spans="1:11" x14ac:dyDescent="0.25">
      <c r="A136" t="s">
        <v>767</v>
      </c>
      <c r="B136">
        <v>21</v>
      </c>
      <c r="C136" t="s">
        <v>74</v>
      </c>
      <c r="E136" s="57"/>
      <c r="F136" t="s">
        <v>29</v>
      </c>
      <c r="I136" s="10">
        <f>INDEX(Std[],MATCH(Center[[#This Row],[Player]],Std[Player],0),20)</f>
        <v>-23.245421133124843</v>
      </c>
      <c r="J136">
        <f>_xlfn.RANK.EQ(Center[[#This Row],[Value]],Center[Value])</f>
        <v>148</v>
      </c>
      <c r="K136" s="10">
        <f>Center[[#This Row],[Value]]-_xlfn.XLOOKUP($D$263,Center[Value Rk],Center[Value],,-1)</f>
        <v>-757.87927544342347</v>
      </c>
    </row>
    <row r="137" spans="1:11" x14ac:dyDescent="0.25">
      <c r="A137" t="s">
        <v>633</v>
      </c>
      <c r="B137">
        <v>27</v>
      </c>
      <c r="C137" t="s">
        <v>74</v>
      </c>
      <c r="E137" s="56"/>
      <c r="F137" t="s">
        <v>156</v>
      </c>
      <c r="I137" s="10">
        <f>INDEX(Std[],MATCH(Center[[#This Row],[Player]],Std[Player],0),20)</f>
        <v>157.05529413628631</v>
      </c>
      <c r="J137">
        <f>_xlfn.RANK.EQ(Center[[#This Row],[Value]],Center[Value])</f>
        <v>123</v>
      </c>
      <c r="K137" s="10">
        <f>Center[[#This Row],[Value]]-_xlfn.XLOOKUP($D$263,Center[Value Rk],Center[Value],,-1)</f>
        <v>-577.5785601740123</v>
      </c>
    </row>
    <row r="138" spans="1:11" x14ac:dyDescent="0.25">
      <c r="A138" t="s">
        <v>778</v>
      </c>
      <c r="B138">
        <v>33</v>
      </c>
      <c r="C138" t="s">
        <v>74</v>
      </c>
      <c r="E138" s="57"/>
      <c r="F138" t="s">
        <v>28</v>
      </c>
      <c r="I138" s="10">
        <f>INDEX(Std[],MATCH(Center[[#This Row],[Player]],Std[Player],0),20)</f>
        <v>-61.088146123760609</v>
      </c>
      <c r="J138">
        <f>_xlfn.RANK.EQ(Center[[#This Row],[Value]],Center[Value])</f>
        <v>156</v>
      </c>
      <c r="K138" s="10">
        <f>Center[[#This Row],[Value]]-_xlfn.XLOOKUP($D$263,Center[Value Rk],Center[Value],,-1)</f>
        <v>-795.72200043405917</v>
      </c>
    </row>
    <row r="139" spans="1:11" x14ac:dyDescent="0.25">
      <c r="A139" t="s">
        <v>500</v>
      </c>
      <c r="B139">
        <v>21</v>
      </c>
      <c r="C139" t="s">
        <v>74</v>
      </c>
      <c r="E139" s="57"/>
      <c r="F139" t="s">
        <v>17</v>
      </c>
      <c r="I139" s="10">
        <f>INDEX(Std[],MATCH(Center[[#This Row],[Player]],Std[Player],0),20)</f>
        <v>-54.90656204526119</v>
      </c>
      <c r="J139">
        <f>_xlfn.RANK.EQ(Center[[#This Row],[Value]],Center[Value])</f>
        <v>155</v>
      </c>
      <c r="K139" s="10">
        <f>Center[[#This Row],[Value]]-_xlfn.XLOOKUP($D$263,Center[Value Rk],Center[Value],,-1)</f>
        <v>-789.54041635555984</v>
      </c>
    </row>
    <row r="140" spans="1:11" x14ac:dyDescent="0.25">
      <c r="A140" t="s">
        <v>647</v>
      </c>
      <c r="B140">
        <v>30</v>
      </c>
      <c r="C140" t="s">
        <v>74</v>
      </c>
      <c r="E140" s="56"/>
      <c r="F140" t="s">
        <v>17</v>
      </c>
      <c r="I140" s="10">
        <f>INDEX(Std[],MATCH(Center[[#This Row],[Player]],Std[Player],0),20)</f>
        <v>61.283627895238865</v>
      </c>
      <c r="J140">
        <f>_xlfn.RANK.EQ(Center[[#This Row],[Value]],Center[Value])</f>
        <v>134</v>
      </c>
      <c r="K140" s="10">
        <f>Center[[#This Row],[Value]]-_xlfn.XLOOKUP($D$263,Center[Value Rk],Center[Value],,-1)</f>
        <v>-673.35022641505975</v>
      </c>
    </row>
    <row r="141" spans="1:11" x14ac:dyDescent="0.25">
      <c r="A141" t="s">
        <v>345</v>
      </c>
      <c r="B141">
        <v>21</v>
      </c>
      <c r="C141" t="s">
        <v>74</v>
      </c>
      <c r="D141" t="s">
        <v>102</v>
      </c>
      <c r="E141" s="57"/>
      <c r="F141" t="s">
        <v>9</v>
      </c>
      <c r="I141" s="10">
        <f>INDEX(Std[],MATCH(Center[[#This Row],[Player]],Std[Player],0),20)</f>
        <v>90.352506317609553</v>
      </c>
      <c r="J141">
        <f>_xlfn.RANK.EQ(Center[[#This Row],[Value]],Center[Value])</f>
        <v>129</v>
      </c>
      <c r="K141" s="10">
        <f>Center[[#This Row],[Value]]-_xlfn.XLOOKUP($D$263,Center[Value Rk],Center[Value],,-1)</f>
        <v>-644.28134799268901</v>
      </c>
    </row>
    <row r="142" spans="1:11" x14ac:dyDescent="0.25">
      <c r="A142" t="s">
        <v>866</v>
      </c>
      <c r="B142">
        <v>22</v>
      </c>
      <c r="C142" t="s">
        <v>74</v>
      </c>
      <c r="E142" s="57"/>
      <c r="F142" t="s">
        <v>30</v>
      </c>
      <c r="I142" s="10">
        <f>INDEX(Std[],MATCH(Center[[#This Row],[Player]],Std[Player],0),20)</f>
        <v>-80.458425639598076</v>
      </c>
      <c r="J142">
        <f>_xlfn.RANK.EQ(Center[[#This Row],[Value]],Center[Value])</f>
        <v>164</v>
      </c>
      <c r="K142" s="10">
        <f>Center[[#This Row],[Value]]-_xlfn.XLOOKUP($D$263,Center[Value Rk],Center[Value],,-1)</f>
        <v>-815.09227994989669</v>
      </c>
    </row>
    <row r="143" spans="1:11" x14ac:dyDescent="0.25">
      <c r="A143" t="s">
        <v>548</v>
      </c>
      <c r="B143">
        <v>29</v>
      </c>
      <c r="C143" t="s">
        <v>74</v>
      </c>
      <c r="E143" s="56"/>
      <c r="F143" t="s">
        <v>31</v>
      </c>
      <c r="I143" s="10">
        <f>INDEX(Std[],MATCH(Center[[#This Row],[Player]],Std[Player],0),20)</f>
        <v>274.84616380497255</v>
      </c>
      <c r="J143">
        <f>_xlfn.RANK.EQ(Center[[#This Row],[Value]],Center[Value])</f>
        <v>95</v>
      </c>
      <c r="K143" s="10">
        <f>Center[[#This Row],[Value]]-_xlfn.XLOOKUP($D$263,Center[Value Rk],Center[Value],,-1)</f>
        <v>-459.78769050532605</v>
      </c>
    </row>
    <row r="144" spans="1:11" x14ac:dyDescent="0.25">
      <c r="A144" t="s">
        <v>1068</v>
      </c>
      <c r="B144">
        <v>19</v>
      </c>
      <c r="C144" t="s">
        <v>74</v>
      </c>
      <c r="E144" s="56"/>
      <c r="F144" t="s">
        <v>22</v>
      </c>
      <c r="I144" s="10">
        <f>INDEX(Std[],MATCH(Center[[#This Row],[Player]],Std[Player],0),20)</f>
        <v>-29.110878873083283</v>
      </c>
      <c r="J144">
        <f>_xlfn.RANK.EQ(Center[[#This Row],[Value]],Center[Value])</f>
        <v>149</v>
      </c>
      <c r="K144" s="10">
        <f>Center[[#This Row],[Value]]-_xlfn.XLOOKUP($D$263,Center[Value Rk],Center[Value],,-1)</f>
        <v>-763.74473318338187</v>
      </c>
    </row>
    <row r="145" spans="1:11" x14ac:dyDescent="0.25">
      <c r="A145" t="s">
        <v>663</v>
      </c>
      <c r="B145">
        <v>25</v>
      </c>
      <c r="C145" t="s">
        <v>74</v>
      </c>
      <c r="E145" s="57"/>
      <c r="F145" t="s">
        <v>9</v>
      </c>
      <c r="I145" s="10">
        <f>INDEX(Std[],MATCH(Center[[#This Row],[Player]],Std[Player],0),20)</f>
        <v>138.81609904598756</v>
      </c>
      <c r="J145">
        <f>_xlfn.RANK.EQ(Center[[#This Row],[Value]],Center[Value])</f>
        <v>126</v>
      </c>
      <c r="K145" s="10">
        <f>Center[[#This Row],[Value]]-_xlfn.XLOOKUP($D$263,Center[Value Rk],Center[Value],,-1)</f>
        <v>-595.81775526431102</v>
      </c>
    </row>
    <row r="146" spans="1:11" x14ac:dyDescent="0.25">
      <c r="A146" t="s">
        <v>951</v>
      </c>
      <c r="B146">
        <v>25</v>
      </c>
      <c r="C146" t="s">
        <v>74</v>
      </c>
      <c r="E146" s="57"/>
      <c r="F146" t="s">
        <v>2</v>
      </c>
      <c r="I146" s="10">
        <f>INDEX(Std[],MATCH(Center[[#This Row],[Player]],Std[Player],0),20)</f>
        <v>8.6536436961031526</v>
      </c>
      <c r="J146">
        <f>_xlfn.RANK.EQ(Center[[#This Row],[Value]],Center[Value])</f>
        <v>142</v>
      </c>
      <c r="K146" s="10">
        <f>Center[[#This Row],[Value]]-_xlfn.XLOOKUP($D$263,Center[Value Rk],Center[Value],,-1)</f>
        <v>-725.98021061419547</v>
      </c>
    </row>
    <row r="147" spans="1:11" x14ac:dyDescent="0.25">
      <c r="A147" t="s">
        <v>644</v>
      </c>
      <c r="B147">
        <v>31</v>
      </c>
      <c r="C147" t="s">
        <v>74</v>
      </c>
      <c r="E147" s="56"/>
      <c r="F147" t="s">
        <v>4</v>
      </c>
      <c r="I147" s="10">
        <f>INDEX(Std[],MATCH(Center[[#This Row],[Player]],Std[Player],0),20)</f>
        <v>-51.253688415422452</v>
      </c>
      <c r="J147">
        <f>_xlfn.RANK.EQ(Center[[#This Row],[Value]],Center[Value])</f>
        <v>154</v>
      </c>
      <c r="K147" s="10">
        <f>Center[[#This Row],[Value]]-_xlfn.XLOOKUP($D$263,Center[Value Rk],Center[Value],,-1)</f>
        <v>-785.887542725721</v>
      </c>
    </row>
    <row r="148" spans="1:11" x14ac:dyDescent="0.25">
      <c r="A148" t="s">
        <v>1048</v>
      </c>
      <c r="B148">
        <v>30</v>
      </c>
      <c r="C148" t="s">
        <v>74</v>
      </c>
      <c r="E148" s="56"/>
      <c r="F148" t="s">
        <v>31</v>
      </c>
      <c r="I148" s="10">
        <f>INDEX(Std[],MATCH(Center[[#This Row],[Player]],Std[Player],0),20)</f>
        <v>19.680449668371846</v>
      </c>
      <c r="J148">
        <f>_xlfn.RANK.EQ(Center[[#This Row],[Value]],Center[Value])</f>
        <v>139</v>
      </c>
      <c r="K148" s="10">
        <f>Center[[#This Row],[Value]]-_xlfn.XLOOKUP($D$263,Center[Value Rk],Center[Value],,-1)</f>
        <v>-714.9534046419268</v>
      </c>
    </row>
    <row r="149" spans="1:11" x14ac:dyDescent="0.25">
      <c r="A149" t="s">
        <v>714</v>
      </c>
      <c r="B149">
        <v>22</v>
      </c>
      <c r="C149" t="s">
        <v>74</v>
      </c>
      <c r="E149" s="56"/>
      <c r="F149" t="s">
        <v>22</v>
      </c>
      <c r="I149" s="10">
        <f>INDEX(Std[],MATCH(Center[[#This Row],[Player]],Std[Player],0),20)</f>
        <v>-61.371862624439459</v>
      </c>
      <c r="J149">
        <f>_xlfn.RANK.EQ(Center[[#This Row],[Value]],Center[Value])</f>
        <v>157</v>
      </c>
      <c r="K149" s="10">
        <f>Center[[#This Row],[Value]]-_xlfn.XLOOKUP($D$263,Center[Value Rk],Center[Value],,-1)</f>
        <v>-796.00571693473807</v>
      </c>
    </row>
    <row r="150" spans="1:11" x14ac:dyDescent="0.25">
      <c r="A150" t="s">
        <v>1094</v>
      </c>
      <c r="B150">
        <v>23</v>
      </c>
      <c r="C150" t="s">
        <v>74</v>
      </c>
      <c r="E150" s="57"/>
      <c r="F150" t="s">
        <v>12</v>
      </c>
      <c r="I150" s="10">
        <f>INDEX(Std[],MATCH(Center[[#This Row],[Player]],Std[Player],0),20)</f>
        <v>-86.521158370964301</v>
      </c>
      <c r="J150">
        <f>_xlfn.RANK.EQ(Center[[#This Row],[Value]],Center[Value])</f>
        <v>165</v>
      </c>
      <c r="K150" s="10">
        <f>Center[[#This Row],[Value]]-_xlfn.XLOOKUP($D$263,Center[Value Rk],Center[Value],,-1)</f>
        <v>-821.15501268126286</v>
      </c>
    </row>
    <row r="151" spans="1:11" x14ac:dyDescent="0.25">
      <c r="A151" t="s">
        <v>420</v>
      </c>
      <c r="B151">
        <v>23</v>
      </c>
      <c r="C151" t="s">
        <v>74</v>
      </c>
      <c r="E151" s="57"/>
      <c r="F151" t="s">
        <v>10</v>
      </c>
      <c r="I151" s="10">
        <f>INDEX(Std[],MATCH(Center[[#This Row],[Player]],Std[Player],0),20)</f>
        <v>4.0974354257079737</v>
      </c>
      <c r="J151">
        <f>_xlfn.RANK.EQ(Center[[#This Row],[Value]],Center[Value])</f>
        <v>143</v>
      </c>
      <c r="K151" s="10">
        <f>Center[[#This Row],[Value]]-_xlfn.XLOOKUP($D$263,Center[Value Rk],Center[Value],,-1)</f>
        <v>-730.5364188845906</v>
      </c>
    </row>
    <row r="152" spans="1:11" x14ac:dyDescent="0.25">
      <c r="A152" t="s">
        <v>723</v>
      </c>
      <c r="B152">
        <v>24</v>
      </c>
      <c r="C152" t="s">
        <v>74</v>
      </c>
      <c r="E152" s="57"/>
      <c r="F152" t="s">
        <v>156</v>
      </c>
      <c r="I152" s="10">
        <f>INDEX(Std[],MATCH(Center[[#This Row],[Player]],Std[Player],0),20)</f>
        <v>-74.325020710320956</v>
      </c>
      <c r="J152">
        <f>_xlfn.RANK.EQ(Center[[#This Row],[Value]],Center[Value])</f>
        <v>161</v>
      </c>
      <c r="K152" s="10">
        <f>Center[[#This Row],[Value]]-_xlfn.XLOOKUP($D$263,Center[Value Rk],Center[Value],,-1)</f>
        <v>-808.95887502061953</v>
      </c>
    </row>
    <row r="153" spans="1:11" x14ac:dyDescent="0.25">
      <c r="A153" t="s">
        <v>669</v>
      </c>
      <c r="B153">
        <v>24</v>
      </c>
      <c r="C153" t="s">
        <v>74</v>
      </c>
      <c r="E153" s="56"/>
      <c r="F153" t="s">
        <v>87</v>
      </c>
      <c r="I153" s="10">
        <f>INDEX(Std[],MATCH(Center[[#This Row],[Player]],Std[Player],0),20)</f>
        <v>-116.84891373313562</v>
      </c>
      <c r="J153">
        <f>_xlfn.RANK.EQ(Center[[#This Row],[Value]],Center[Value])</f>
        <v>168</v>
      </c>
      <c r="K153" s="10">
        <f>Center[[#This Row],[Value]]-_xlfn.XLOOKUP($D$263,Center[Value Rk],Center[Value],,-1)</f>
        <v>-851.48276804343425</v>
      </c>
    </row>
    <row r="154" spans="1:11" x14ac:dyDescent="0.25">
      <c r="A154" t="s">
        <v>1152</v>
      </c>
      <c r="B154">
        <v>28</v>
      </c>
      <c r="C154" t="s">
        <v>74</v>
      </c>
      <c r="E154" s="57"/>
      <c r="F154" t="s">
        <v>153</v>
      </c>
      <c r="I154" s="10">
        <f>INDEX(Std[],MATCH(Center[[#This Row],[Player]],Std[Player],0),20)</f>
        <v>-61.829078482461085</v>
      </c>
      <c r="J154">
        <f>_xlfn.RANK.EQ(Center[[#This Row],[Value]],Center[Value])</f>
        <v>158</v>
      </c>
      <c r="K154" s="10">
        <f>Center[[#This Row],[Value]]-_xlfn.XLOOKUP($D$263,Center[Value Rk],Center[Value],,-1)</f>
        <v>-796.46293279275972</v>
      </c>
    </row>
    <row r="155" spans="1:11" x14ac:dyDescent="0.25">
      <c r="A155" t="s">
        <v>1123</v>
      </c>
      <c r="B155">
        <v>29</v>
      </c>
      <c r="C155" t="s">
        <v>74</v>
      </c>
      <c r="E155" s="56"/>
      <c r="F155" t="s">
        <v>21</v>
      </c>
      <c r="I155" s="10">
        <f>INDEX(Std[],MATCH(Center[[#This Row],[Player]],Std[Player],0),20)</f>
        <v>-167.19950648660742</v>
      </c>
      <c r="J155">
        <f>_xlfn.RANK.EQ(Center[[#This Row],[Value]],Center[Value])</f>
        <v>172</v>
      </c>
      <c r="K155" s="10">
        <f>Center[[#This Row],[Value]]-_xlfn.XLOOKUP($D$263,Center[Value Rk],Center[Value],,-1)</f>
        <v>-901.83336079690605</v>
      </c>
    </row>
    <row r="156" spans="1:11" x14ac:dyDescent="0.25">
      <c r="A156" t="s">
        <v>996</v>
      </c>
      <c r="B156">
        <v>28</v>
      </c>
      <c r="C156" t="s">
        <v>74</v>
      </c>
      <c r="E156" s="57"/>
      <c r="F156" t="s">
        <v>87</v>
      </c>
      <c r="I156" s="10">
        <f>INDEX(Std[],MATCH(Center[[#This Row],[Player]],Std[Player],0),20)</f>
        <v>-74.415980219022444</v>
      </c>
      <c r="J156">
        <f>_xlfn.RANK.EQ(Center[[#This Row],[Value]],Center[Value])</f>
        <v>162</v>
      </c>
      <c r="K156" s="10">
        <f>Center[[#This Row],[Value]]-_xlfn.XLOOKUP($D$263,Center[Value Rk],Center[Value],,-1)</f>
        <v>-809.04983452932106</v>
      </c>
    </row>
    <row r="157" spans="1:11" x14ac:dyDescent="0.25">
      <c r="A157" t="s">
        <v>814</v>
      </c>
      <c r="B157">
        <v>25</v>
      </c>
      <c r="C157" t="s">
        <v>74</v>
      </c>
      <c r="E157" s="57"/>
      <c r="F157" s="74"/>
      <c r="I157" s="10">
        <f>INDEX(Std[],MATCH(Center[[#This Row],[Player]],Std[Player],0),20)</f>
        <v>-180.29227714277761</v>
      </c>
      <c r="J157">
        <f>_xlfn.RANK.EQ(Center[[#This Row],[Value]],Center[Value])</f>
        <v>175</v>
      </c>
      <c r="K157" s="10">
        <f>Center[[#This Row],[Value]]-_xlfn.XLOOKUP($D$263,Center[Value Rk],Center[Value],,-1)</f>
        <v>-914.92613145307621</v>
      </c>
    </row>
    <row r="158" spans="1:11" x14ac:dyDescent="0.25">
      <c r="A158" t="s">
        <v>670</v>
      </c>
      <c r="B158">
        <v>29</v>
      </c>
      <c r="C158" t="s">
        <v>74</v>
      </c>
      <c r="E158" s="57"/>
      <c r="F158" t="s">
        <v>156</v>
      </c>
      <c r="I158" s="10">
        <f>INDEX(Std[],MATCH(Center[[#This Row],[Player]],Std[Player],0),20)</f>
        <v>-196.57828565297595</v>
      </c>
      <c r="J158">
        <f>_xlfn.RANK.EQ(Center[[#This Row],[Value]],Center[Value])</f>
        <v>176</v>
      </c>
      <c r="K158" s="10">
        <f>Center[[#This Row],[Value]]-_xlfn.XLOOKUP($D$263,Center[Value Rk],Center[Value],,-1)</f>
        <v>-931.21213996327458</v>
      </c>
    </row>
    <row r="159" spans="1:11" x14ac:dyDescent="0.25">
      <c r="A159" t="s">
        <v>686</v>
      </c>
      <c r="B159">
        <v>23</v>
      </c>
      <c r="C159" t="s">
        <v>74</v>
      </c>
      <c r="E159" s="56"/>
      <c r="F159" t="s">
        <v>153</v>
      </c>
      <c r="I159" s="10">
        <f>INDEX(Std[],MATCH(Center[[#This Row],[Player]],Std[Player],0),20)</f>
        <v>72.71172327560771</v>
      </c>
      <c r="J159">
        <f>_xlfn.RANK.EQ(Center[[#This Row],[Value]],Center[Value])</f>
        <v>132</v>
      </c>
      <c r="K159" s="10">
        <f>Center[[#This Row],[Value]]-_xlfn.XLOOKUP($D$263,Center[Value Rk],Center[Value],,-1)</f>
        <v>-661.92213103469089</v>
      </c>
    </row>
    <row r="160" spans="1:11" x14ac:dyDescent="0.25">
      <c r="A160" t="s">
        <v>594</v>
      </c>
      <c r="B160">
        <v>26</v>
      </c>
      <c r="C160" t="s">
        <v>74</v>
      </c>
      <c r="E160" s="57"/>
      <c r="F160" t="s">
        <v>18</v>
      </c>
      <c r="I160" s="10">
        <f>INDEX(Std[],MATCH(Center[[#This Row],[Player]],Std[Player],0),20)</f>
        <v>58.370299081465546</v>
      </c>
      <c r="J160">
        <f>_xlfn.RANK.EQ(Center[[#This Row],[Value]],Center[Value])</f>
        <v>137</v>
      </c>
      <c r="K160" s="10">
        <f>Center[[#This Row],[Value]]-_xlfn.XLOOKUP($D$263,Center[Value Rk],Center[Value],,-1)</f>
        <v>-676.26355522883307</v>
      </c>
    </row>
    <row r="161" spans="1:11" x14ac:dyDescent="0.25">
      <c r="A161" t="s">
        <v>678</v>
      </c>
      <c r="B161">
        <v>27</v>
      </c>
      <c r="C161" t="s">
        <v>74</v>
      </c>
      <c r="E161" s="57"/>
      <c r="F161" t="s">
        <v>30</v>
      </c>
      <c r="I161" s="10">
        <f>INDEX(Std[],MATCH(Center[[#This Row],[Player]],Std[Player],0),20)</f>
        <v>-31.36294775012415</v>
      </c>
      <c r="J161">
        <f>_xlfn.RANK.EQ(Center[[#This Row],[Value]],Center[Value])</f>
        <v>150</v>
      </c>
      <c r="K161" s="10">
        <f>Center[[#This Row],[Value]]-_xlfn.XLOOKUP($D$263,Center[Value Rk],Center[Value],,-1)</f>
        <v>-765.99680206042274</v>
      </c>
    </row>
    <row r="162" spans="1:11" x14ac:dyDescent="0.25">
      <c r="A162" t="s">
        <v>550</v>
      </c>
      <c r="B162">
        <v>31</v>
      </c>
      <c r="C162" t="s">
        <v>74</v>
      </c>
      <c r="E162" s="57"/>
      <c r="F162" t="s">
        <v>25</v>
      </c>
      <c r="I162" s="10">
        <f>INDEX(Std[],MATCH(Center[[#This Row],[Player]],Std[Player],0),20)</f>
        <v>3.8823872396178905</v>
      </c>
      <c r="J162">
        <f>_xlfn.RANK.EQ(Center[[#This Row],[Value]],Center[Value])</f>
        <v>144</v>
      </c>
      <c r="K162" s="10">
        <f>Center[[#This Row],[Value]]-_xlfn.XLOOKUP($D$263,Center[Value Rk],Center[Value],,-1)</f>
        <v>-730.75146707068075</v>
      </c>
    </row>
    <row r="163" spans="1:11" x14ac:dyDescent="0.25">
      <c r="A163" t="s">
        <v>536</v>
      </c>
      <c r="B163">
        <v>28</v>
      </c>
      <c r="C163" t="s">
        <v>74</v>
      </c>
      <c r="E163" s="57"/>
      <c r="F163" t="s">
        <v>17</v>
      </c>
      <c r="I163" s="10">
        <f>INDEX(Std[],MATCH(Center[[#This Row],[Player]],Std[Player],0),20)</f>
        <v>-209.3058502959808</v>
      </c>
      <c r="J163">
        <f>_xlfn.RANK.EQ(Center[[#This Row],[Value]],Center[Value])</f>
        <v>179</v>
      </c>
      <c r="K163" s="10">
        <f>Center[[#This Row],[Value]]-_xlfn.XLOOKUP($D$263,Center[Value Rk],Center[Value],,-1)</f>
        <v>-943.93970460627941</v>
      </c>
    </row>
    <row r="164" spans="1:11" x14ac:dyDescent="0.25">
      <c r="A164" t="s">
        <v>1129</v>
      </c>
      <c r="B164">
        <v>35</v>
      </c>
      <c r="C164" t="s">
        <v>74</v>
      </c>
      <c r="E164" s="57"/>
      <c r="F164" t="s">
        <v>31</v>
      </c>
      <c r="I164" s="10">
        <f>INDEX(Std[],MATCH(Center[[#This Row],[Player]],Std[Player],0),20)</f>
        <v>-130.09638221016414</v>
      </c>
      <c r="J164">
        <f>_xlfn.RANK.EQ(Center[[#This Row],[Value]],Center[Value])</f>
        <v>169</v>
      </c>
      <c r="K164" s="10">
        <f>Center[[#This Row],[Value]]-_xlfn.XLOOKUP($D$263,Center[Value Rk],Center[Value],,-1)</f>
        <v>-864.73023652046277</v>
      </c>
    </row>
    <row r="165" spans="1:11" x14ac:dyDescent="0.25">
      <c r="A165" t="s">
        <v>793</v>
      </c>
      <c r="B165">
        <v>23</v>
      </c>
      <c r="C165" t="s">
        <v>74</v>
      </c>
      <c r="E165" s="57"/>
      <c r="F165" t="s">
        <v>17</v>
      </c>
      <c r="I165" s="10">
        <f>INDEX(Std[],MATCH(Center[[#This Row],[Player]],Std[Player],0),20)</f>
        <v>-9.5244135025425614</v>
      </c>
      <c r="J165">
        <f>_xlfn.RANK.EQ(Center[[#This Row],[Value]],Center[Value])</f>
        <v>147</v>
      </c>
      <c r="K165" s="10">
        <f>Center[[#This Row],[Value]]-_xlfn.XLOOKUP($D$263,Center[Value Rk],Center[Value],,-1)</f>
        <v>-744.15826781284113</v>
      </c>
    </row>
    <row r="166" spans="1:11" x14ac:dyDescent="0.25">
      <c r="A166" t="s">
        <v>1209</v>
      </c>
      <c r="B166">
        <v>24</v>
      </c>
      <c r="C166" t="s">
        <v>74</v>
      </c>
      <c r="E166" s="57"/>
      <c r="F166" t="s">
        <v>23</v>
      </c>
      <c r="I166" s="10">
        <f>INDEX(Std[],MATCH(Center[[#This Row],[Player]],Std[Player],0),20)</f>
        <v>-240.18207636971357</v>
      </c>
      <c r="J166">
        <f>_xlfn.RANK.EQ(Center[[#This Row],[Value]],Center[Value])</f>
        <v>186</v>
      </c>
      <c r="K166" s="10">
        <f>Center[[#This Row],[Value]]-_xlfn.XLOOKUP($D$263,Center[Value Rk],Center[Value],,-1)</f>
        <v>-974.81593068001212</v>
      </c>
    </row>
    <row r="167" spans="1:11" x14ac:dyDescent="0.25">
      <c r="A167" t="s">
        <v>708</v>
      </c>
      <c r="B167">
        <v>24</v>
      </c>
      <c r="C167" t="s">
        <v>74</v>
      </c>
      <c r="E167" s="56"/>
      <c r="F167" t="s">
        <v>14</v>
      </c>
      <c r="I167" s="10">
        <f>INDEX(Std[],MATCH(Center[[#This Row],[Player]],Std[Player],0),20)</f>
        <v>-47.281644543152844</v>
      </c>
      <c r="J167">
        <f>_xlfn.RANK.EQ(Center[[#This Row],[Value]],Center[Value])</f>
        <v>152</v>
      </c>
      <c r="K167" s="10">
        <f>Center[[#This Row],[Value]]-_xlfn.XLOOKUP($D$263,Center[Value Rk],Center[Value],,-1)</f>
        <v>-781.91549885345148</v>
      </c>
    </row>
    <row r="168" spans="1:11" x14ac:dyDescent="0.25">
      <c r="A168" t="s">
        <v>751</v>
      </c>
      <c r="B168">
        <v>24</v>
      </c>
      <c r="C168" t="s">
        <v>74</v>
      </c>
      <c r="E168" s="57"/>
      <c r="F168" t="s">
        <v>7</v>
      </c>
      <c r="I168" s="10">
        <f>INDEX(Std[],MATCH(Center[[#This Row],[Player]],Std[Player],0),20)</f>
        <v>-102.90209097521436</v>
      </c>
      <c r="J168">
        <f>_xlfn.RANK.EQ(Center[[#This Row],[Value]],Center[Value])</f>
        <v>167</v>
      </c>
      <c r="K168" s="10">
        <f>Center[[#This Row],[Value]]-_xlfn.XLOOKUP($D$263,Center[Value Rk],Center[Value],,-1)</f>
        <v>-837.53594528551298</v>
      </c>
    </row>
    <row r="169" spans="1:11" x14ac:dyDescent="0.25">
      <c r="A169" t="s">
        <v>446</v>
      </c>
      <c r="B169">
        <v>27</v>
      </c>
      <c r="C169" t="s">
        <v>74</v>
      </c>
      <c r="E169" s="57"/>
      <c r="F169" t="s">
        <v>34</v>
      </c>
      <c r="I169" s="10">
        <f>INDEX(Std[],MATCH(Center[[#This Row],[Player]],Std[Player],0),20)</f>
        <v>14.14770922853087</v>
      </c>
      <c r="J169">
        <f>_xlfn.RANK.EQ(Center[[#This Row],[Value]],Center[Value])</f>
        <v>141</v>
      </c>
      <c r="K169" s="10">
        <f>Center[[#This Row],[Value]]-_xlfn.XLOOKUP($D$263,Center[Value Rk],Center[Value],,-1)</f>
        <v>-720.48614508176775</v>
      </c>
    </row>
    <row r="170" spans="1:11" x14ac:dyDescent="0.25">
      <c r="A170" t="s">
        <v>726</v>
      </c>
      <c r="B170">
        <v>28</v>
      </c>
      <c r="C170" t="s">
        <v>74</v>
      </c>
      <c r="E170" s="57"/>
      <c r="F170" t="s">
        <v>87</v>
      </c>
      <c r="I170" s="10">
        <f>INDEX(Std[],MATCH(Center[[#This Row],[Player]],Std[Player],0),20)</f>
        <v>-173.05656634156742</v>
      </c>
      <c r="J170">
        <f>_xlfn.RANK.EQ(Center[[#This Row],[Value]],Center[Value])</f>
        <v>173</v>
      </c>
      <c r="K170" s="10">
        <f>Center[[#This Row],[Value]]-_xlfn.XLOOKUP($D$263,Center[Value Rk],Center[Value],,-1)</f>
        <v>-907.69042065186602</v>
      </c>
    </row>
    <row r="171" spans="1:11" x14ac:dyDescent="0.25">
      <c r="A171" t="s">
        <v>756</v>
      </c>
      <c r="B171">
        <v>30</v>
      </c>
      <c r="C171" t="s">
        <v>74</v>
      </c>
      <c r="E171" s="57"/>
      <c r="F171" t="s">
        <v>18</v>
      </c>
      <c r="I171" s="10">
        <f>INDEX(Std[],MATCH(Center[[#This Row],[Player]],Std[Player],0),20)</f>
        <v>-48.834989905769667</v>
      </c>
      <c r="J171">
        <f>_xlfn.RANK.EQ(Center[[#This Row],[Value]],Center[Value])</f>
        <v>153</v>
      </c>
      <c r="K171" s="10">
        <f>Center[[#This Row],[Value]]-_xlfn.XLOOKUP($D$263,Center[Value Rk],Center[Value],,-1)</f>
        <v>-783.46884421606831</v>
      </c>
    </row>
    <row r="172" spans="1:11" x14ac:dyDescent="0.25">
      <c r="A172" t="s">
        <v>898</v>
      </c>
      <c r="B172">
        <v>25</v>
      </c>
      <c r="C172" t="s">
        <v>74</v>
      </c>
      <c r="E172" s="57"/>
      <c r="F172" t="s">
        <v>154</v>
      </c>
      <c r="I172" s="10">
        <f>INDEX(Std[],MATCH(Center[[#This Row],[Player]],Std[Player],0),20)</f>
        <v>-64.303384548616052</v>
      </c>
      <c r="J172">
        <f>_xlfn.RANK.EQ(Center[[#This Row],[Value]],Center[Value])</f>
        <v>159</v>
      </c>
      <c r="K172" s="10">
        <f>Center[[#This Row],[Value]]-_xlfn.XLOOKUP($D$263,Center[Value Rk],Center[Value],,-1)</f>
        <v>-798.93723885891461</v>
      </c>
    </row>
    <row r="173" spans="1:11" x14ac:dyDescent="0.25">
      <c r="A173" t="s">
        <v>473</v>
      </c>
      <c r="B173">
        <v>25</v>
      </c>
      <c r="C173" t="s">
        <v>74</v>
      </c>
      <c r="E173" s="57"/>
      <c r="F173" t="s">
        <v>17</v>
      </c>
      <c r="I173" s="10">
        <f>INDEX(Std[],MATCH(Center[[#This Row],[Player]],Std[Player],0),20)</f>
        <v>2.5254890019006311</v>
      </c>
      <c r="J173">
        <f>_xlfn.RANK.EQ(Center[[#This Row],[Value]],Center[Value])</f>
        <v>145</v>
      </c>
      <c r="K173" s="10">
        <f>Center[[#This Row],[Value]]-_xlfn.XLOOKUP($D$263,Center[Value Rk],Center[Value],,-1)</f>
        <v>-732.10836530839799</v>
      </c>
    </row>
    <row r="174" spans="1:11" x14ac:dyDescent="0.25">
      <c r="A174" t="s">
        <v>701</v>
      </c>
      <c r="B174">
        <v>29</v>
      </c>
      <c r="C174" t="s">
        <v>74</v>
      </c>
      <c r="E174" s="57"/>
      <c r="F174" t="s">
        <v>6</v>
      </c>
      <c r="I174" s="10">
        <f>INDEX(Std[],MATCH(Center[[#This Row],[Player]],Std[Player],0),20)</f>
        <v>-149.44827030465788</v>
      </c>
      <c r="J174">
        <f>_xlfn.RANK.EQ(Center[[#This Row],[Value]],Center[Value])</f>
        <v>170</v>
      </c>
      <c r="K174" s="10">
        <f>Center[[#This Row],[Value]]-_xlfn.XLOOKUP($D$263,Center[Value Rk],Center[Value],,-1)</f>
        <v>-884.08212461495646</v>
      </c>
    </row>
    <row r="175" spans="1:11" x14ac:dyDescent="0.25">
      <c r="A175" t="s">
        <v>523</v>
      </c>
      <c r="B175">
        <v>33</v>
      </c>
      <c r="C175" t="s">
        <v>74</v>
      </c>
      <c r="E175" s="57"/>
      <c r="F175" t="s">
        <v>22</v>
      </c>
      <c r="I175" s="10">
        <f>INDEX(Std[],MATCH(Center[[#This Row],[Player]],Std[Player],0),20)</f>
        <v>-261.80839632297887</v>
      </c>
      <c r="J175">
        <f>_xlfn.RANK.EQ(Center[[#This Row],[Value]],Center[Value])</f>
        <v>187</v>
      </c>
      <c r="K175" s="10">
        <f>Center[[#This Row],[Value]]-_xlfn.XLOOKUP($D$263,Center[Value Rk],Center[Value],,-1)</f>
        <v>-996.44225063327747</v>
      </c>
    </row>
    <row r="176" spans="1:11" x14ac:dyDescent="0.25">
      <c r="A176" t="s">
        <v>790</v>
      </c>
      <c r="B176">
        <v>27</v>
      </c>
      <c r="C176" t="s">
        <v>74</v>
      </c>
      <c r="E176" s="57"/>
      <c r="F176" t="s">
        <v>28</v>
      </c>
      <c r="I176" s="10">
        <f>INDEX(Std[],MATCH(Center[[#This Row],[Player]],Std[Player],0),20)</f>
        <v>-281.8962384024407</v>
      </c>
      <c r="J176">
        <f>_xlfn.RANK.EQ(Center[[#This Row],[Value]],Center[Value])</f>
        <v>190</v>
      </c>
      <c r="K176" s="10">
        <f>Center[[#This Row],[Value]]-_xlfn.XLOOKUP($D$263,Center[Value Rk],Center[Value],,-1)</f>
        <v>-1016.5300927127394</v>
      </c>
    </row>
    <row r="177" spans="1:11" x14ac:dyDescent="0.25">
      <c r="A177" t="s">
        <v>697</v>
      </c>
      <c r="B177">
        <v>31</v>
      </c>
      <c r="C177" t="s">
        <v>74</v>
      </c>
      <c r="E177" s="57"/>
      <c r="F177" t="s">
        <v>155</v>
      </c>
      <c r="I177" s="10">
        <f>INDEX(Std[],MATCH(Center[[#This Row],[Player]],Std[Player],0),20)</f>
        <v>-75.409319183694606</v>
      </c>
      <c r="J177">
        <f>_xlfn.RANK.EQ(Center[[#This Row],[Value]],Center[Value])</f>
        <v>163</v>
      </c>
      <c r="K177" s="10">
        <f>Center[[#This Row],[Value]]-_xlfn.XLOOKUP($D$263,Center[Value Rk],Center[Value],,-1)</f>
        <v>-810.04317349399321</v>
      </c>
    </row>
    <row r="178" spans="1:11" x14ac:dyDescent="0.25">
      <c r="A178" t="s">
        <v>806</v>
      </c>
      <c r="B178">
        <v>24</v>
      </c>
      <c r="C178" t="s">
        <v>74</v>
      </c>
      <c r="E178" s="57"/>
      <c r="F178" t="s">
        <v>25</v>
      </c>
      <c r="I178" s="10">
        <f>INDEX(Std[],MATCH(Center[[#This Row],[Player]],Std[Player],0),20)</f>
        <v>-203.9700762956561</v>
      </c>
      <c r="J178">
        <f>_xlfn.RANK.EQ(Center[[#This Row],[Value]],Center[Value])</f>
        <v>178</v>
      </c>
      <c r="K178" s="10">
        <f>Center[[#This Row],[Value]]-_xlfn.XLOOKUP($D$263,Center[Value Rk],Center[Value],,-1)</f>
        <v>-938.6039306059547</v>
      </c>
    </row>
    <row r="179" spans="1:11" x14ac:dyDescent="0.25">
      <c r="A179" t="s">
        <v>680</v>
      </c>
      <c r="B179">
        <v>33</v>
      </c>
      <c r="C179" t="s">
        <v>74</v>
      </c>
      <c r="E179" s="57"/>
      <c r="F179" t="s">
        <v>14</v>
      </c>
      <c r="I179" s="10">
        <f>INDEX(Std[],MATCH(Center[[#This Row],[Player]],Std[Player],0),20)</f>
        <v>-300.56991491581471</v>
      </c>
      <c r="J179">
        <f>_xlfn.RANK.EQ(Center[[#This Row],[Value]],Center[Value])</f>
        <v>193</v>
      </c>
      <c r="K179" s="10">
        <f>Center[[#This Row],[Value]]-_xlfn.XLOOKUP($D$263,Center[Value Rk],Center[Value],,-1)</f>
        <v>-1035.2037692261133</v>
      </c>
    </row>
    <row r="180" spans="1:11" x14ac:dyDescent="0.25">
      <c r="A180" t="s">
        <v>638</v>
      </c>
      <c r="B180">
        <v>30</v>
      </c>
      <c r="C180" t="s">
        <v>74</v>
      </c>
      <c r="E180" s="57"/>
      <c r="F180" t="s">
        <v>12</v>
      </c>
      <c r="I180" s="10">
        <f>INDEX(Std[],MATCH(Center[[#This Row],[Player]],Std[Player],0),20)</f>
        <v>-198.86308072506614</v>
      </c>
      <c r="J180">
        <f>_xlfn.RANK.EQ(Center[[#This Row],[Value]],Center[Value])</f>
        <v>177</v>
      </c>
      <c r="K180" s="10">
        <f>Center[[#This Row],[Value]]-_xlfn.XLOOKUP($D$263,Center[Value Rk],Center[Value],,-1)</f>
        <v>-933.49693503536469</v>
      </c>
    </row>
    <row r="181" spans="1:11" x14ac:dyDescent="0.25">
      <c r="A181" t="s">
        <v>905</v>
      </c>
      <c r="B181">
        <v>25</v>
      </c>
      <c r="C181" t="s">
        <v>74</v>
      </c>
      <c r="E181" s="57"/>
      <c r="F181" t="s">
        <v>28</v>
      </c>
      <c r="I181" s="10">
        <f>INDEX(Std[],MATCH(Center[[#This Row],[Player]],Std[Player],0),20)</f>
        <v>-211.47231380487989</v>
      </c>
      <c r="J181">
        <f>_xlfn.RANK.EQ(Center[[#This Row],[Value]],Center[Value])</f>
        <v>180</v>
      </c>
      <c r="K181" s="10">
        <f>Center[[#This Row],[Value]]-_xlfn.XLOOKUP($D$263,Center[Value Rk],Center[Value],,-1)</f>
        <v>-946.10616811517843</v>
      </c>
    </row>
    <row r="182" spans="1:11" x14ac:dyDescent="0.25">
      <c r="A182" t="s">
        <v>1003</v>
      </c>
      <c r="B182">
        <v>27</v>
      </c>
      <c r="C182" t="s">
        <v>74</v>
      </c>
      <c r="E182" s="57"/>
      <c r="F182" t="s">
        <v>2</v>
      </c>
      <c r="I182" s="10">
        <f>INDEX(Std[],MATCH(Center[[#This Row],[Player]],Std[Player],0),20)</f>
        <v>-150.04179997209835</v>
      </c>
      <c r="J182">
        <f>_xlfn.RANK.EQ(Center[[#This Row],[Value]],Center[Value])</f>
        <v>171</v>
      </c>
      <c r="K182" s="10">
        <f>Center[[#This Row],[Value]]-_xlfn.XLOOKUP($D$263,Center[Value Rk],Center[Value],,-1)</f>
        <v>-884.67565428239698</v>
      </c>
    </row>
    <row r="183" spans="1:11" x14ac:dyDescent="0.25">
      <c r="A183" t="s">
        <v>591</v>
      </c>
      <c r="B183">
        <v>25</v>
      </c>
      <c r="C183" t="s">
        <v>74</v>
      </c>
      <c r="E183" s="57"/>
      <c r="F183" t="s">
        <v>20</v>
      </c>
      <c r="I183" s="10">
        <f>INDEX(Std[],MATCH(Center[[#This Row],[Player]],Std[Player],0),20)</f>
        <v>-232.45439206109086</v>
      </c>
      <c r="J183">
        <f>_xlfn.RANK.EQ(Center[[#This Row],[Value]],Center[Value])</f>
        <v>185</v>
      </c>
      <c r="K183" s="10">
        <f>Center[[#This Row],[Value]]-_xlfn.XLOOKUP($D$263,Center[Value Rk],Center[Value],,-1)</f>
        <v>-967.08824637138946</v>
      </c>
    </row>
    <row r="184" spans="1:11" x14ac:dyDescent="0.25">
      <c r="A184" t="s">
        <v>770</v>
      </c>
      <c r="B184">
        <v>22</v>
      </c>
      <c r="C184" t="s">
        <v>74</v>
      </c>
      <c r="E184" s="57"/>
      <c r="F184" t="s">
        <v>2</v>
      </c>
      <c r="I184" s="10">
        <f>INDEX(Std[],MATCH(Center[[#This Row],[Player]],Std[Player],0),20)</f>
        <v>-40.927328898601864</v>
      </c>
      <c r="J184">
        <f>_xlfn.RANK.EQ(Center[[#This Row],[Value]],Center[Value])</f>
        <v>151</v>
      </c>
      <c r="K184" s="10">
        <f>Center[[#This Row],[Value]]-_xlfn.XLOOKUP($D$263,Center[Value Rk],Center[Value],,-1)</f>
        <v>-775.5611832089005</v>
      </c>
    </row>
    <row r="185" spans="1:11" x14ac:dyDescent="0.25">
      <c r="A185" t="s">
        <v>676</v>
      </c>
      <c r="B185">
        <v>20</v>
      </c>
      <c r="C185" t="s">
        <v>74</v>
      </c>
      <c r="E185" s="57"/>
      <c r="F185" t="s">
        <v>11</v>
      </c>
      <c r="I185" s="10">
        <f>INDEX(Std[],MATCH(Center[[#This Row],[Player]],Std[Player],0),20)</f>
        <v>-220.86271273016703</v>
      </c>
      <c r="J185">
        <f>_xlfn.RANK.EQ(Center[[#This Row],[Value]],Center[Value])</f>
        <v>184</v>
      </c>
      <c r="K185" s="10">
        <f>Center[[#This Row],[Value]]-_xlfn.XLOOKUP($D$263,Center[Value Rk],Center[Value],,-1)</f>
        <v>-955.49656704046561</v>
      </c>
    </row>
    <row r="186" spans="1:11" x14ac:dyDescent="0.25">
      <c r="A186" t="s">
        <v>694</v>
      </c>
      <c r="B186">
        <v>29</v>
      </c>
      <c r="C186" t="s">
        <v>74</v>
      </c>
      <c r="E186" s="57"/>
      <c r="F186" s="74"/>
      <c r="I186" s="10">
        <f>INDEX(Std[],MATCH(Center[[#This Row],[Player]],Std[Player],0),20)</f>
        <v>-212.41704916309939</v>
      </c>
      <c r="J186">
        <f>_xlfn.RANK.EQ(Center[[#This Row],[Value]],Center[Value])</f>
        <v>181</v>
      </c>
      <c r="K186" s="10">
        <f>Center[[#This Row],[Value]]-_xlfn.XLOOKUP($D$263,Center[Value Rk],Center[Value],,-1)</f>
        <v>-947.05090347339797</v>
      </c>
    </row>
    <row r="187" spans="1:11" x14ac:dyDescent="0.25">
      <c r="A187" t="s">
        <v>808</v>
      </c>
      <c r="B187">
        <v>25</v>
      </c>
      <c r="C187" t="s">
        <v>74</v>
      </c>
      <c r="E187" s="57"/>
      <c r="F187" t="s">
        <v>16</v>
      </c>
      <c r="I187" s="10">
        <f>INDEX(Std[],MATCH(Center[[#This Row],[Player]],Std[Player],0),20)</f>
        <v>-288.38681290656541</v>
      </c>
      <c r="J187">
        <f>_xlfn.RANK.EQ(Center[[#This Row],[Value]],Center[Value])</f>
        <v>191</v>
      </c>
      <c r="K187" s="10">
        <f>Center[[#This Row],[Value]]-_xlfn.XLOOKUP($D$263,Center[Value Rk],Center[Value],,-1)</f>
        <v>-1023.020667216864</v>
      </c>
    </row>
    <row r="188" spans="1:11" x14ac:dyDescent="0.25">
      <c r="A188" t="s">
        <v>590</v>
      </c>
      <c r="B188">
        <v>24</v>
      </c>
      <c r="C188" t="s">
        <v>74</v>
      </c>
      <c r="E188" s="57"/>
      <c r="F188" t="s">
        <v>154</v>
      </c>
      <c r="I188" s="10">
        <f>INDEX(Std[],MATCH(Center[[#This Row],[Player]],Std[Player],0),20)</f>
        <v>-91.761226936383977</v>
      </c>
      <c r="J188">
        <f>_xlfn.RANK.EQ(Center[[#This Row],[Value]],Center[Value])</f>
        <v>166</v>
      </c>
      <c r="K188" s="10">
        <f>Center[[#This Row],[Value]]-_xlfn.XLOOKUP($D$263,Center[Value Rk],Center[Value],,-1)</f>
        <v>-826.39508124668259</v>
      </c>
    </row>
    <row r="189" spans="1:11" x14ac:dyDescent="0.25">
      <c r="A189" t="s">
        <v>734</v>
      </c>
      <c r="B189">
        <v>34</v>
      </c>
      <c r="C189" t="s">
        <v>74</v>
      </c>
      <c r="E189" s="57"/>
      <c r="F189" t="s">
        <v>18</v>
      </c>
      <c r="I189" s="10">
        <f>INDEX(Std[],MATCH(Center[[#This Row],[Player]],Std[Player],0),20)</f>
        <v>-268.65666459173622</v>
      </c>
      <c r="J189">
        <f>_xlfn.RANK.EQ(Center[[#This Row],[Value]],Center[Value])</f>
        <v>189</v>
      </c>
      <c r="K189" s="10">
        <f>Center[[#This Row],[Value]]-_xlfn.XLOOKUP($D$263,Center[Value Rk],Center[Value],,-1)</f>
        <v>-1003.2905189020348</v>
      </c>
    </row>
    <row r="190" spans="1:11" x14ac:dyDescent="0.25">
      <c r="A190" t="s">
        <v>1005</v>
      </c>
      <c r="B190">
        <v>24</v>
      </c>
      <c r="C190" t="s">
        <v>74</v>
      </c>
      <c r="E190" s="57"/>
      <c r="F190" t="s">
        <v>16</v>
      </c>
      <c r="I190" s="10">
        <f>INDEX(Std[],MATCH(Center[[#This Row],[Player]],Std[Player],0),20)</f>
        <v>-332.01904955239945</v>
      </c>
      <c r="J190">
        <f>_xlfn.RANK.EQ(Center[[#This Row],[Value]],Center[Value])</f>
        <v>197</v>
      </c>
      <c r="K190" s="10">
        <f>Center[[#This Row],[Value]]-_xlfn.XLOOKUP($D$263,Center[Value Rk],Center[Value],,-1)</f>
        <v>-1066.6529038626982</v>
      </c>
    </row>
    <row r="191" spans="1:11" x14ac:dyDescent="0.25">
      <c r="A191" t="s">
        <v>637</v>
      </c>
      <c r="B191">
        <v>36</v>
      </c>
      <c r="C191" t="s">
        <v>74</v>
      </c>
      <c r="E191" s="57"/>
      <c r="F191" t="s">
        <v>17</v>
      </c>
      <c r="I191" s="10">
        <f>INDEX(Std[],MATCH(Center[[#This Row],[Player]],Std[Player],0),20)</f>
        <v>-368.48071180677829</v>
      </c>
      <c r="J191">
        <f>_xlfn.RANK.EQ(Center[[#This Row],[Value]],Center[Value])</f>
        <v>199</v>
      </c>
      <c r="K191" s="10">
        <f>Center[[#This Row],[Value]]-_xlfn.XLOOKUP($D$263,Center[Value Rk],Center[Value],,-1)</f>
        <v>-1103.1145661170769</v>
      </c>
    </row>
    <row r="192" spans="1:11" x14ac:dyDescent="0.25">
      <c r="A192" t="s">
        <v>773</v>
      </c>
      <c r="B192">
        <v>32</v>
      </c>
      <c r="C192" t="s">
        <v>74</v>
      </c>
      <c r="E192" s="57"/>
      <c r="F192" t="s">
        <v>15</v>
      </c>
      <c r="I192" s="10">
        <f>INDEX(Std[],MATCH(Center[[#This Row],[Player]],Std[Player],0),20)</f>
        <v>-262.50088503784588</v>
      </c>
      <c r="J192">
        <f>_xlfn.RANK.EQ(Center[[#This Row],[Value]],Center[Value])</f>
        <v>188</v>
      </c>
      <c r="K192" s="10">
        <f>Center[[#This Row],[Value]]-_xlfn.XLOOKUP($D$263,Center[Value Rk],Center[Value],,-1)</f>
        <v>-997.13473934814442</v>
      </c>
    </row>
    <row r="193" spans="1:11" x14ac:dyDescent="0.25">
      <c r="A193" t="s">
        <v>656</v>
      </c>
      <c r="B193">
        <v>37</v>
      </c>
      <c r="C193" t="s">
        <v>74</v>
      </c>
      <c r="E193" s="57"/>
      <c r="F193" t="s">
        <v>9</v>
      </c>
      <c r="I193" s="10">
        <f>INDEX(Std[],MATCH(Center[[#This Row],[Player]],Std[Player],0),20)</f>
        <v>-216.69936397828465</v>
      </c>
      <c r="J193">
        <f>_xlfn.RANK.EQ(Center[[#This Row],[Value]],Center[Value])</f>
        <v>182</v>
      </c>
      <c r="K193" s="10">
        <f>Center[[#This Row],[Value]]-_xlfn.XLOOKUP($D$263,Center[Value Rk],Center[Value],,-1)</f>
        <v>-951.33321828858323</v>
      </c>
    </row>
    <row r="194" spans="1:11" x14ac:dyDescent="0.25">
      <c r="A194" t="s">
        <v>742</v>
      </c>
      <c r="B194">
        <v>27</v>
      </c>
      <c r="C194" t="s">
        <v>74</v>
      </c>
      <c r="E194" s="57"/>
      <c r="F194" t="s">
        <v>23</v>
      </c>
      <c r="I194" s="10">
        <f>INDEX(Std[],MATCH(Center[[#This Row],[Player]],Std[Player],0),20)</f>
        <v>-357.19633806655156</v>
      </c>
      <c r="J194">
        <f>_xlfn.RANK.EQ(Center[[#This Row],[Value]],Center[Value])</f>
        <v>198</v>
      </c>
      <c r="K194" s="10">
        <f>Center[[#This Row],[Value]]-_xlfn.XLOOKUP($D$263,Center[Value Rk],Center[Value],,-1)</f>
        <v>-1091.8301923768502</v>
      </c>
    </row>
    <row r="195" spans="1:11" x14ac:dyDescent="0.25">
      <c r="A195" t="s">
        <v>859</v>
      </c>
      <c r="B195">
        <v>34</v>
      </c>
      <c r="C195" t="s">
        <v>74</v>
      </c>
      <c r="E195" s="57"/>
      <c r="F195" t="s">
        <v>17</v>
      </c>
      <c r="I195" s="10">
        <f>INDEX(Std[],MATCH(Center[[#This Row],[Player]],Std[Player],0),20)</f>
        <v>-402.68343125621442</v>
      </c>
      <c r="J195">
        <f>_xlfn.RANK.EQ(Center[[#This Row],[Value]],Center[Value])</f>
        <v>205</v>
      </c>
      <c r="K195" s="10">
        <f>Center[[#This Row],[Value]]-_xlfn.XLOOKUP($D$263,Center[Value Rk],Center[Value],,-1)</f>
        <v>-1137.317285566513</v>
      </c>
    </row>
    <row r="196" spans="1:11" x14ac:dyDescent="0.25">
      <c r="A196" t="s">
        <v>805</v>
      </c>
      <c r="B196">
        <v>23</v>
      </c>
      <c r="C196" t="s">
        <v>74</v>
      </c>
      <c r="E196" s="56"/>
      <c r="F196" t="s">
        <v>5</v>
      </c>
      <c r="I196" s="10">
        <f>INDEX(Std[],MATCH(Center[[#This Row],[Player]],Std[Player],0),20)</f>
        <v>-377.27851676789618</v>
      </c>
      <c r="J196">
        <f>_xlfn.RANK.EQ(Center[[#This Row],[Value]],Center[Value])</f>
        <v>202</v>
      </c>
      <c r="K196" s="10">
        <f>Center[[#This Row],[Value]]-_xlfn.XLOOKUP($D$263,Center[Value Rk],Center[Value],,-1)</f>
        <v>-1111.9123710781948</v>
      </c>
    </row>
    <row r="197" spans="1:11" x14ac:dyDescent="0.25">
      <c r="A197" t="s">
        <v>1139</v>
      </c>
      <c r="B197">
        <v>24</v>
      </c>
      <c r="C197" t="s">
        <v>74</v>
      </c>
      <c r="E197" s="57"/>
      <c r="F197" t="s">
        <v>31</v>
      </c>
      <c r="I197" s="10">
        <f>INDEX(Std[],MATCH(Center[[#This Row],[Player]],Std[Player],0),20)</f>
        <v>-216.89255380356173</v>
      </c>
      <c r="J197">
        <f>_xlfn.RANK.EQ(Center[[#This Row],[Value]],Center[Value])</f>
        <v>183</v>
      </c>
      <c r="K197" s="10">
        <f>Center[[#This Row],[Value]]-_xlfn.XLOOKUP($D$263,Center[Value Rk],Center[Value],,-1)</f>
        <v>-951.52640811386027</v>
      </c>
    </row>
    <row r="198" spans="1:11" x14ac:dyDescent="0.25">
      <c r="A198" t="s">
        <v>1219</v>
      </c>
      <c r="B198">
        <v>24</v>
      </c>
      <c r="C198" t="s">
        <v>74</v>
      </c>
      <c r="E198" s="57"/>
      <c r="F198" t="s">
        <v>7</v>
      </c>
      <c r="I198" s="10">
        <f>INDEX(Std[],MATCH(Center[[#This Row],[Player]],Std[Player],0),20)</f>
        <v>-301.1586294857525</v>
      </c>
      <c r="J198">
        <f>_xlfn.RANK.EQ(Center[[#This Row],[Value]],Center[Value])</f>
        <v>194</v>
      </c>
      <c r="K198" s="10">
        <f>Center[[#This Row],[Value]]-_xlfn.XLOOKUP($D$263,Center[Value Rk],Center[Value],,-1)</f>
        <v>-1035.7924837960511</v>
      </c>
    </row>
    <row r="199" spans="1:11" x14ac:dyDescent="0.25">
      <c r="A199" t="s">
        <v>1009</v>
      </c>
      <c r="B199">
        <v>39</v>
      </c>
      <c r="C199" t="s">
        <v>74</v>
      </c>
      <c r="E199" s="58"/>
      <c r="F199" t="s">
        <v>154</v>
      </c>
      <c r="I199" s="10">
        <f>INDEX(Std[],MATCH(Center[[#This Row],[Player]],Std[Player],0),20)</f>
        <v>-370.1957474983119</v>
      </c>
      <c r="J199">
        <f>_xlfn.RANK.EQ(Center[[#This Row],[Value]],Center[Value])</f>
        <v>200</v>
      </c>
      <c r="K199" s="10">
        <f>Center[[#This Row],[Value]]-_xlfn.XLOOKUP($D$263,Center[Value Rk],Center[Value],,-1)</f>
        <v>-1104.8296018086105</v>
      </c>
    </row>
    <row r="200" spans="1:11" x14ac:dyDescent="0.25">
      <c r="A200" t="s">
        <v>707</v>
      </c>
      <c r="B200">
        <v>22</v>
      </c>
      <c r="C200" t="s">
        <v>74</v>
      </c>
      <c r="E200" s="58"/>
      <c r="F200" t="s">
        <v>11</v>
      </c>
      <c r="I200" s="10">
        <f>INDEX(Std[],MATCH(Center[[#This Row],[Player]],Std[Player],0),20)</f>
        <v>-383.39428474538317</v>
      </c>
      <c r="J200">
        <f>_xlfn.RANK.EQ(Center[[#This Row],[Value]],Center[Value])</f>
        <v>203</v>
      </c>
      <c r="K200" s="10">
        <f>Center[[#This Row],[Value]]-_xlfn.XLOOKUP($D$263,Center[Value Rk],Center[Value],,-1)</f>
        <v>-1118.0281390556818</v>
      </c>
    </row>
    <row r="201" spans="1:11" x14ac:dyDescent="0.25">
      <c r="A201" t="s">
        <v>1118</v>
      </c>
      <c r="B201">
        <v>29</v>
      </c>
      <c r="C201" t="s">
        <v>74</v>
      </c>
      <c r="E201" s="57"/>
      <c r="F201" t="s">
        <v>29</v>
      </c>
      <c r="I201" s="10">
        <f>INDEX(Std[],MATCH(Center[[#This Row],[Player]],Std[Player],0),20)</f>
        <v>-400.09330126420429</v>
      </c>
      <c r="J201">
        <f>_xlfn.RANK.EQ(Center[[#This Row],[Value]],Center[Value])</f>
        <v>204</v>
      </c>
      <c r="K201" s="10">
        <f>Center[[#This Row],[Value]]-_xlfn.XLOOKUP($D$263,Center[Value Rk],Center[Value],,-1)</f>
        <v>-1134.7271555745028</v>
      </c>
    </row>
    <row r="202" spans="1:11" x14ac:dyDescent="0.25">
      <c r="A202" t="s">
        <v>667</v>
      </c>
      <c r="B202">
        <v>24</v>
      </c>
      <c r="C202" t="s">
        <v>74</v>
      </c>
      <c r="E202" s="64"/>
      <c r="F202" t="s">
        <v>15</v>
      </c>
      <c r="I202" s="10">
        <f>INDEX(Std[],MATCH(Center[[#This Row],[Player]],Std[Player],0),20)</f>
        <v>-179.110344650429</v>
      </c>
      <c r="J202">
        <f>_xlfn.RANK.EQ(Center[[#This Row],[Value]],Center[Value])</f>
        <v>174</v>
      </c>
      <c r="K202" s="10">
        <f>Center[[#This Row],[Value]]-_xlfn.XLOOKUP($D$263,Center[Value Rk],Center[Value],,-1)</f>
        <v>-913.74419896072754</v>
      </c>
    </row>
    <row r="203" spans="1:11" x14ac:dyDescent="0.25">
      <c r="A203" t="s">
        <v>732</v>
      </c>
      <c r="B203">
        <v>26</v>
      </c>
      <c r="C203" t="s">
        <v>74</v>
      </c>
      <c r="E203" s="56"/>
      <c r="F203" t="s">
        <v>6</v>
      </c>
      <c r="I203" s="10">
        <f>INDEX(Std[],MATCH(Center[[#This Row],[Player]],Std[Player],0),20)</f>
        <v>-375.37330305568162</v>
      </c>
      <c r="J203">
        <f>_xlfn.RANK.EQ(Center[[#This Row],[Value]],Center[Value])</f>
        <v>201</v>
      </c>
      <c r="K203" s="10">
        <f>Center[[#This Row],[Value]]-_xlfn.XLOOKUP($D$263,Center[Value Rk],Center[Value],,-1)</f>
        <v>-1110.0071573659802</v>
      </c>
    </row>
    <row r="204" spans="1:11" x14ac:dyDescent="0.25">
      <c r="A204" t="s">
        <v>1222</v>
      </c>
      <c r="B204">
        <v>29</v>
      </c>
      <c r="C204" t="s">
        <v>74</v>
      </c>
      <c r="E204" s="58"/>
      <c r="F204" t="s">
        <v>2</v>
      </c>
      <c r="I204" s="10">
        <f>INDEX(Std[],MATCH(Center[[#This Row],[Player]],Std[Player],0),20)</f>
        <v>-308.34796369947981</v>
      </c>
      <c r="J204">
        <f>_xlfn.RANK.EQ(Center[[#This Row],[Value]],Center[Value])</f>
        <v>195</v>
      </c>
      <c r="K204" s="10">
        <f>Center[[#This Row],[Value]]-_xlfn.XLOOKUP($D$263,Center[Value Rk],Center[Value],,-1)</f>
        <v>-1042.9818180097784</v>
      </c>
    </row>
    <row r="205" spans="1:11" x14ac:dyDescent="0.25">
      <c r="A205" t="s">
        <v>652</v>
      </c>
      <c r="B205">
        <v>29</v>
      </c>
      <c r="C205" t="s">
        <v>74</v>
      </c>
      <c r="E205" s="58"/>
      <c r="F205" t="s">
        <v>8</v>
      </c>
      <c r="I205" s="10">
        <f>INDEX(Std[],MATCH(Center[[#This Row],[Player]],Std[Player],0),20)</f>
        <v>-289.76030321562808</v>
      </c>
      <c r="J205">
        <f>_xlfn.RANK.EQ(Center[[#This Row],[Value]],Center[Value])</f>
        <v>192</v>
      </c>
      <c r="K205" s="10">
        <f>Center[[#This Row],[Value]]-_xlfn.XLOOKUP($D$263,Center[Value Rk],Center[Value],,-1)</f>
        <v>-1024.3941575259266</v>
      </c>
    </row>
    <row r="206" spans="1:11" x14ac:dyDescent="0.25">
      <c r="A206" t="s">
        <v>664</v>
      </c>
      <c r="B206">
        <v>27</v>
      </c>
      <c r="C206" t="s">
        <v>74</v>
      </c>
      <c r="E206" s="57"/>
      <c r="F206" t="s">
        <v>6</v>
      </c>
      <c r="I206" s="10">
        <f>INDEX(Std[],MATCH(Center[[#This Row],[Player]],Std[Player],0),20)</f>
        <v>-431.23013505180126</v>
      </c>
      <c r="J206">
        <f>_xlfn.RANK.EQ(Center[[#This Row],[Value]],Center[Value])</f>
        <v>206</v>
      </c>
      <c r="K206" s="10">
        <f>Center[[#This Row],[Value]]-_xlfn.XLOOKUP($D$263,Center[Value Rk],Center[Value],,-1)</f>
        <v>-1165.8639893620998</v>
      </c>
    </row>
    <row r="207" spans="1:11" x14ac:dyDescent="0.25">
      <c r="A207" t="s">
        <v>1017</v>
      </c>
      <c r="B207">
        <v>25</v>
      </c>
      <c r="C207" t="s">
        <v>74</v>
      </c>
      <c r="E207" s="57"/>
      <c r="F207" t="s">
        <v>34</v>
      </c>
      <c r="I207" s="10">
        <f>INDEX(Std[],MATCH(Center[[#This Row],[Player]],Std[Player],0),20)</f>
        <v>-477.11308548965638</v>
      </c>
      <c r="J207">
        <f>_xlfn.RANK.EQ(Center[[#This Row],[Value]],Center[Value])</f>
        <v>208</v>
      </c>
      <c r="K207" s="10">
        <f>Center[[#This Row],[Value]]-_xlfn.XLOOKUP($D$263,Center[Value Rk],Center[Value],,-1)</f>
        <v>-1211.746939799955</v>
      </c>
    </row>
    <row r="208" spans="1:11" x14ac:dyDescent="0.25">
      <c r="A208" t="s">
        <v>1039</v>
      </c>
      <c r="B208">
        <v>28</v>
      </c>
      <c r="C208" t="s">
        <v>74</v>
      </c>
      <c r="E208" s="57"/>
      <c r="F208" s="59" t="s">
        <v>32</v>
      </c>
      <c r="I208" s="10">
        <f>INDEX(Std[],MATCH(Center[[#This Row],[Player]],Std[Player],0),20)</f>
        <v>-491.42050533148955</v>
      </c>
      <c r="J208">
        <f>_xlfn.RANK.EQ(Center[[#This Row],[Value]],Center[Value])</f>
        <v>209</v>
      </c>
      <c r="K208" s="10">
        <f>Center[[#This Row],[Value]]-_xlfn.XLOOKUP($D$263,Center[Value Rk],Center[Value],,-1)</f>
        <v>-1226.0543596417881</v>
      </c>
    </row>
    <row r="209" spans="1:11" x14ac:dyDescent="0.25">
      <c r="A209" t="s">
        <v>574</v>
      </c>
      <c r="B209">
        <v>24</v>
      </c>
      <c r="C209" t="s">
        <v>74</v>
      </c>
      <c r="E209" s="56"/>
      <c r="F209" t="s">
        <v>32</v>
      </c>
      <c r="I209" s="10">
        <f>INDEX(Std[],MATCH(Center[[#This Row],[Player]],Std[Player],0),20)</f>
        <v>-500.58953173775569</v>
      </c>
      <c r="J209">
        <f>_xlfn.RANK.EQ(Center[[#This Row],[Value]],Center[Value])</f>
        <v>210</v>
      </c>
      <c r="K209" s="10">
        <f>Center[[#This Row],[Value]]-_xlfn.XLOOKUP($D$263,Center[Value Rk],Center[Value],,-1)</f>
        <v>-1235.2233860480542</v>
      </c>
    </row>
    <row r="210" spans="1:11" x14ac:dyDescent="0.25">
      <c r="A210" t="s">
        <v>631</v>
      </c>
      <c r="B210">
        <v>27</v>
      </c>
      <c r="C210" t="s">
        <v>74</v>
      </c>
      <c r="E210" s="57"/>
      <c r="F210" t="s">
        <v>11</v>
      </c>
      <c r="I210" s="10">
        <f>INDEX(Std[],MATCH(Center[[#This Row],[Player]],Std[Player],0),20)</f>
        <v>-515.8902671715507</v>
      </c>
      <c r="J210">
        <f>_xlfn.RANK.EQ(Center[[#This Row],[Value]],Center[Value])</f>
        <v>213</v>
      </c>
      <c r="K210" s="10">
        <f>Center[[#This Row],[Value]]-_xlfn.XLOOKUP($D$263,Center[Value Rk],Center[Value],,-1)</f>
        <v>-1250.5241214818493</v>
      </c>
    </row>
    <row r="211" spans="1:11" x14ac:dyDescent="0.25">
      <c r="A211" t="s">
        <v>737</v>
      </c>
      <c r="B211">
        <v>25</v>
      </c>
      <c r="C211" t="s">
        <v>74</v>
      </c>
      <c r="E211" s="56"/>
      <c r="F211" t="s">
        <v>13</v>
      </c>
      <c r="I211" s="10">
        <f>INDEX(Std[],MATCH(Center[[#This Row],[Player]],Std[Player],0),20)</f>
        <v>-544.23232461328166</v>
      </c>
      <c r="J211">
        <f>_xlfn.RANK.EQ(Center[[#This Row],[Value]],Center[Value])</f>
        <v>215</v>
      </c>
      <c r="K211" s="10">
        <f>Center[[#This Row],[Value]]-_xlfn.XLOOKUP($D$263,Center[Value Rk],Center[Value],,-1)</f>
        <v>-1278.8661789235803</v>
      </c>
    </row>
    <row r="212" spans="1:11" x14ac:dyDescent="0.25">
      <c r="A212" t="s">
        <v>762</v>
      </c>
      <c r="B212">
        <v>24</v>
      </c>
      <c r="C212" t="s">
        <v>74</v>
      </c>
      <c r="E212" s="57"/>
      <c r="F212" t="s">
        <v>23</v>
      </c>
      <c r="I212" s="10">
        <f>INDEX(Std[],MATCH(Center[[#This Row],[Player]],Std[Player],0),20)</f>
        <v>-308.65202266991855</v>
      </c>
      <c r="J212">
        <f>_xlfn.RANK.EQ(Center[[#This Row],[Value]],Center[Value])</f>
        <v>196</v>
      </c>
      <c r="K212" s="10">
        <f>Center[[#This Row],[Value]]-_xlfn.XLOOKUP($D$263,Center[Value Rk],Center[Value],,-1)</f>
        <v>-1043.2858769802172</v>
      </c>
    </row>
    <row r="213" spans="1:11" x14ac:dyDescent="0.25">
      <c r="A213" t="s">
        <v>673</v>
      </c>
      <c r="B213">
        <v>38</v>
      </c>
      <c r="C213" t="s">
        <v>74</v>
      </c>
      <c r="E213" s="56"/>
      <c r="F213" t="s">
        <v>34</v>
      </c>
      <c r="I213" s="10">
        <f>INDEX(Std[],MATCH(Center[[#This Row],[Player]],Std[Player],0),20)</f>
        <v>-511.17668533603887</v>
      </c>
      <c r="J213">
        <f>_xlfn.RANK.EQ(Center[[#This Row],[Value]],Center[Value])</f>
        <v>212</v>
      </c>
      <c r="K213" s="10">
        <f>Center[[#This Row],[Value]]-_xlfn.XLOOKUP($D$263,Center[Value Rk],Center[Value],,-1)</f>
        <v>-1245.8105396463375</v>
      </c>
    </row>
    <row r="214" spans="1:11" x14ac:dyDescent="0.25">
      <c r="A214" t="s">
        <v>820</v>
      </c>
      <c r="B214">
        <v>37</v>
      </c>
      <c r="C214" t="s">
        <v>74</v>
      </c>
      <c r="E214" s="57"/>
      <c r="F214" t="s">
        <v>5</v>
      </c>
      <c r="I214" s="10">
        <f>INDEX(Std[],MATCH(Center[[#This Row],[Player]],Std[Player],0),20)</f>
        <v>-556.57222853041753</v>
      </c>
      <c r="J214">
        <f>_xlfn.RANK.EQ(Center[[#This Row],[Value]],Center[Value])</f>
        <v>218</v>
      </c>
      <c r="K214" s="10">
        <f>Center[[#This Row],[Value]]-_xlfn.XLOOKUP($D$263,Center[Value Rk],Center[Value],,-1)</f>
        <v>-1291.2060828407161</v>
      </c>
    </row>
    <row r="215" spans="1:11" x14ac:dyDescent="0.25">
      <c r="A215" t="s">
        <v>952</v>
      </c>
      <c r="B215">
        <v>23</v>
      </c>
      <c r="C215" t="s">
        <v>74</v>
      </c>
      <c r="E215" s="57"/>
      <c r="F215" t="s">
        <v>20</v>
      </c>
      <c r="I215" s="10">
        <f>INDEX(Std[],MATCH(Center[[#This Row],[Player]],Std[Player],0),20)</f>
        <v>-575.21883862058382</v>
      </c>
      <c r="J215">
        <f>_xlfn.RANK.EQ(Center[[#This Row],[Value]],Center[Value])</f>
        <v>222</v>
      </c>
      <c r="K215" s="10">
        <f>Center[[#This Row],[Value]]-_xlfn.XLOOKUP($D$263,Center[Value Rk],Center[Value],,-1)</f>
        <v>-1309.8526929308823</v>
      </c>
    </row>
    <row r="216" spans="1:11" x14ac:dyDescent="0.25">
      <c r="A216" t="s">
        <v>672</v>
      </c>
      <c r="B216">
        <v>24</v>
      </c>
      <c r="C216" t="s">
        <v>74</v>
      </c>
      <c r="E216" s="57"/>
      <c r="F216" t="s">
        <v>29</v>
      </c>
      <c r="I216" s="10">
        <f>INDEX(Std[],MATCH(Center[[#This Row],[Player]],Std[Player],0),20)</f>
        <v>-571.00242175179346</v>
      </c>
      <c r="J216">
        <f>_xlfn.RANK.EQ(Center[[#This Row],[Value]],Center[Value])</f>
        <v>219</v>
      </c>
      <c r="K216" s="10">
        <f>Center[[#This Row],[Value]]-_xlfn.XLOOKUP($D$263,Center[Value Rk],Center[Value],,-1)</f>
        <v>-1305.6362760620921</v>
      </c>
    </row>
    <row r="217" spans="1:11" x14ac:dyDescent="0.25">
      <c r="A217" t="s">
        <v>985</v>
      </c>
      <c r="B217">
        <v>36</v>
      </c>
      <c r="C217" t="s">
        <v>74</v>
      </c>
      <c r="E217" s="56"/>
      <c r="F217" t="s">
        <v>34</v>
      </c>
      <c r="I217" s="10">
        <f>INDEX(Std[],MATCH(Center[[#This Row],[Player]],Std[Player],0),20)</f>
        <v>-501.34022959067812</v>
      </c>
      <c r="J217">
        <f>_xlfn.RANK.EQ(Center[[#This Row],[Value]],Center[Value])</f>
        <v>211</v>
      </c>
      <c r="K217" s="10">
        <f>Center[[#This Row],[Value]]-_xlfn.XLOOKUP($D$263,Center[Value Rk],Center[Value],,-1)</f>
        <v>-1235.9740839009767</v>
      </c>
    </row>
    <row r="218" spans="1:11" x14ac:dyDescent="0.25">
      <c r="A218" t="s">
        <v>795</v>
      </c>
      <c r="B218">
        <v>31</v>
      </c>
      <c r="C218" t="s">
        <v>74</v>
      </c>
      <c r="E218" s="56"/>
      <c r="F218" t="s">
        <v>8</v>
      </c>
      <c r="I218" s="10">
        <f>INDEX(Std[],MATCH(Center[[#This Row],[Player]],Std[Player],0),20)</f>
        <v>-572.30495516433268</v>
      </c>
      <c r="J218">
        <f>_xlfn.RANK.EQ(Center[[#This Row],[Value]],Center[Value])</f>
        <v>220</v>
      </c>
      <c r="K218" s="10">
        <f>Center[[#This Row],[Value]]-_xlfn.XLOOKUP($D$263,Center[Value Rk],Center[Value],,-1)</f>
        <v>-1306.9388094746314</v>
      </c>
    </row>
    <row r="219" spans="1:11" x14ac:dyDescent="0.25">
      <c r="A219" t="s">
        <v>622</v>
      </c>
      <c r="B219">
        <v>34</v>
      </c>
      <c r="C219" t="s">
        <v>74</v>
      </c>
      <c r="E219" s="56"/>
      <c r="F219" t="s">
        <v>153</v>
      </c>
      <c r="I219" s="10">
        <f>INDEX(Std[],MATCH(Center[[#This Row],[Player]],Std[Player],0),20)</f>
        <v>-610.82300722903665</v>
      </c>
      <c r="J219">
        <f>_xlfn.RANK.EQ(Center[[#This Row],[Value]],Center[Value])</f>
        <v>224</v>
      </c>
      <c r="K219" s="10">
        <f>Center[[#This Row],[Value]]-_xlfn.XLOOKUP($D$263,Center[Value Rk],Center[Value],,-1)</f>
        <v>-1345.4568615393353</v>
      </c>
    </row>
    <row r="220" spans="1:11" x14ac:dyDescent="0.25">
      <c r="A220" t="s">
        <v>621</v>
      </c>
      <c r="B220">
        <v>25</v>
      </c>
      <c r="C220" t="s">
        <v>74</v>
      </c>
      <c r="E220" s="57"/>
      <c r="F220" s="59" t="s">
        <v>30</v>
      </c>
      <c r="I220" s="10">
        <f>INDEX(Std[],MATCH(Center[[#This Row],[Player]],Std[Player],0),20)</f>
        <v>-475.87346651743508</v>
      </c>
      <c r="J220">
        <f>_xlfn.RANK.EQ(Center[[#This Row],[Value]],Center[Value])</f>
        <v>207</v>
      </c>
      <c r="K220" s="10">
        <f>Center[[#This Row],[Value]]-_xlfn.XLOOKUP($D$263,Center[Value Rk],Center[Value],,-1)</f>
        <v>-1210.5073208277336</v>
      </c>
    </row>
    <row r="221" spans="1:11" x14ac:dyDescent="0.25">
      <c r="A221" t="s">
        <v>1112</v>
      </c>
      <c r="B221">
        <v>29</v>
      </c>
      <c r="C221" t="s">
        <v>74</v>
      </c>
      <c r="D221" t="s">
        <v>102</v>
      </c>
      <c r="E221" s="57"/>
      <c r="F221" t="s">
        <v>31</v>
      </c>
      <c r="I221" s="10">
        <f>INDEX(Std[],MATCH(Center[[#This Row],[Player]],Std[Player],0),20)</f>
        <v>-574.89011424848195</v>
      </c>
      <c r="J221">
        <f>_xlfn.RANK.EQ(Center[[#This Row],[Value]],Center[Value])</f>
        <v>221</v>
      </c>
      <c r="K221" s="10">
        <f>Center[[#This Row],[Value]]-_xlfn.XLOOKUP($D$263,Center[Value Rk],Center[Value],,-1)</f>
        <v>-1309.5239685587806</v>
      </c>
    </row>
    <row r="222" spans="1:11" x14ac:dyDescent="0.25">
      <c r="A222" t="s">
        <v>803</v>
      </c>
      <c r="B222">
        <v>23</v>
      </c>
      <c r="C222" t="s">
        <v>74</v>
      </c>
      <c r="E222" s="57"/>
      <c r="F222" t="s">
        <v>22</v>
      </c>
      <c r="I222" s="10">
        <f>INDEX(Std[],MATCH(Center[[#This Row],[Player]],Std[Player],0),20)</f>
        <v>-593.78835099919468</v>
      </c>
      <c r="J222">
        <f>_xlfn.RANK.EQ(Center[[#This Row],[Value]],Center[Value])</f>
        <v>223</v>
      </c>
      <c r="K222" s="10">
        <f>Center[[#This Row],[Value]]-_xlfn.XLOOKUP($D$263,Center[Value Rk],Center[Value],,-1)</f>
        <v>-1328.4222053094932</v>
      </c>
    </row>
    <row r="223" spans="1:11" x14ac:dyDescent="0.25">
      <c r="A223" t="s">
        <v>783</v>
      </c>
      <c r="B223">
        <v>27</v>
      </c>
      <c r="C223" t="s">
        <v>74</v>
      </c>
      <c r="E223" s="56"/>
      <c r="F223" t="s">
        <v>9</v>
      </c>
      <c r="I223" s="10">
        <f>INDEX(Std[],MATCH(Center[[#This Row],[Player]],Std[Player],0),20)</f>
        <v>-614.04546398945365</v>
      </c>
      <c r="J223">
        <f>_xlfn.RANK.EQ(Center[[#This Row],[Value]],Center[Value])</f>
        <v>225</v>
      </c>
      <c r="K223" s="10">
        <f>Center[[#This Row],[Value]]-_xlfn.XLOOKUP($D$263,Center[Value Rk],Center[Value],,-1)</f>
        <v>-1348.6793182997521</v>
      </c>
    </row>
    <row r="224" spans="1:11" x14ac:dyDescent="0.25">
      <c r="A224" t="s">
        <v>740</v>
      </c>
      <c r="B224">
        <v>25</v>
      </c>
      <c r="C224" t="s">
        <v>74</v>
      </c>
      <c r="E224" s="56"/>
      <c r="F224" t="s">
        <v>15</v>
      </c>
      <c r="I224" s="10">
        <f>INDEX(Std[],MATCH(Center[[#This Row],[Player]],Std[Player],0),20)</f>
        <v>-528.47702086925472</v>
      </c>
      <c r="J224">
        <f>_xlfn.RANK.EQ(Center[[#This Row],[Value]],Center[Value])</f>
        <v>214</v>
      </c>
      <c r="K224" s="10">
        <f>Center[[#This Row],[Value]]-_xlfn.XLOOKUP($D$263,Center[Value Rk],Center[Value],,-1)</f>
        <v>-1263.1108751795532</v>
      </c>
    </row>
    <row r="225" spans="1:11" x14ac:dyDescent="0.25">
      <c r="A225" t="s">
        <v>722</v>
      </c>
      <c r="B225">
        <v>27</v>
      </c>
      <c r="C225" t="s">
        <v>74</v>
      </c>
      <c r="E225" s="56"/>
      <c r="F225" t="s">
        <v>21</v>
      </c>
      <c r="I225" s="10">
        <f>INDEX(Std[],MATCH(Center[[#This Row],[Player]],Std[Player],0),20)</f>
        <v>-650.48868307797875</v>
      </c>
      <c r="J225">
        <f>_xlfn.RANK.EQ(Center[[#This Row],[Value]],Center[Value])</f>
        <v>229</v>
      </c>
      <c r="K225" s="10">
        <f>Center[[#This Row],[Value]]-_xlfn.XLOOKUP($D$263,Center[Value Rk],Center[Value],,-1)</f>
        <v>-1385.1225373882774</v>
      </c>
    </row>
    <row r="226" spans="1:11" x14ac:dyDescent="0.25">
      <c r="A226" t="s">
        <v>792</v>
      </c>
      <c r="B226">
        <v>25</v>
      </c>
      <c r="C226" t="s">
        <v>74</v>
      </c>
      <c r="E226" s="57"/>
      <c r="F226" t="s">
        <v>30</v>
      </c>
      <c r="I226" s="10">
        <f>INDEX(Std[],MATCH(Center[[#This Row],[Player]],Std[Player],0),20)</f>
        <v>-553.11125767898147</v>
      </c>
      <c r="J226">
        <f>_xlfn.RANK.EQ(Center[[#This Row],[Value]],Center[Value])</f>
        <v>217</v>
      </c>
      <c r="K226" s="10">
        <f>Center[[#This Row],[Value]]-_xlfn.XLOOKUP($D$263,Center[Value Rk],Center[Value],,-1)</f>
        <v>-1287.7451119892801</v>
      </c>
    </row>
    <row r="227" spans="1:11" x14ac:dyDescent="0.25">
      <c r="A227" t="s">
        <v>763</v>
      </c>
      <c r="B227">
        <v>23</v>
      </c>
      <c r="C227" t="s">
        <v>74</v>
      </c>
      <c r="E227" s="56"/>
      <c r="F227" t="s">
        <v>8</v>
      </c>
      <c r="I227" s="10">
        <f>INDEX(Std[],MATCH(Center[[#This Row],[Player]],Std[Player],0),20)</f>
        <v>-548.99950689636535</v>
      </c>
      <c r="J227">
        <f>_xlfn.RANK.EQ(Center[[#This Row],[Value]],Center[Value])</f>
        <v>216</v>
      </c>
      <c r="K227" s="10">
        <f>Center[[#This Row],[Value]]-_xlfn.XLOOKUP($D$263,Center[Value Rk],Center[Value],,-1)</f>
        <v>-1283.6333612066639</v>
      </c>
    </row>
    <row r="228" spans="1:11" x14ac:dyDescent="0.25">
      <c r="A228" t="s">
        <v>1145</v>
      </c>
      <c r="B228">
        <v>31</v>
      </c>
      <c r="C228" t="s">
        <v>74</v>
      </c>
      <c r="E228" s="57"/>
      <c r="F228" t="s">
        <v>5</v>
      </c>
      <c r="I228" s="10">
        <f>INDEX(Std[],MATCH(Center[[#This Row],[Player]],Std[Player],0),20)</f>
        <v>-626.82537362957669</v>
      </c>
      <c r="J228">
        <f>_xlfn.RANK.EQ(Center[[#This Row],[Value]],Center[Value])</f>
        <v>226</v>
      </c>
      <c r="K228" s="10">
        <f>Center[[#This Row],[Value]]-_xlfn.XLOOKUP($D$263,Center[Value Rk],Center[Value],,-1)</f>
        <v>-1361.4592279398753</v>
      </c>
    </row>
    <row r="229" spans="1:11" x14ac:dyDescent="0.25">
      <c r="A229" t="s">
        <v>826</v>
      </c>
      <c r="B229">
        <v>23</v>
      </c>
      <c r="C229" t="s">
        <v>74</v>
      </c>
      <c r="E229" s="56"/>
      <c r="F229" t="s">
        <v>31</v>
      </c>
      <c r="I229" s="10">
        <f>INDEX(Std[],MATCH(Center[[#This Row],[Player]],Std[Player],0),20)</f>
        <v>-630.06573223965745</v>
      </c>
      <c r="J229">
        <f>_xlfn.RANK.EQ(Center[[#This Row],[Value]],Center[Value])</f>
        <v>227</v>
      </c>
      <c r="K229" s="10">
        <f>Center[[#This Row],[Value]]-_xlfn.XLOOKUP($D$263,Center[Value Rk],Center[Value],,-1)</f>
        <v>-1364.6995865499562</v>
      </c>
    </row>
    <row r="230" spans="1:11" x14ac:dyDescent="0.25">
      <c r="A230" t="s">
        <v>1032</v>
      </c>
      <c r="B230">
        <v>27</v>
      </c>
      <c r="C230" t="s">
        <v>74</v>
      </c>
      <c r="E230" s="56"/>
      <c r="F230" t="s">
        <v>20</v>
      </c>
      <c r="I230" s="10">
        <f>INDEX(Std[],MATCH(Center[[#This Row],[Player]],Std[Player],0),20)</f>
        <v>-664.10630154216301</v>
      </c>
      <c r="J230">
        <f>_xlfn.RANK.EQ(Center[[#This Row],[Value]],Center[Value])</f>
        <v>230</v>
      </c>
      <c r="K230" s="10">
        <f>Center[[#This Row],[Value]]-_xlfn.XLOOKUP($D$263,Center[Value Rk],Center[Value],,-1)</f>
        <v>-1398.7401558524616</v>
      </c>
    </row>
    <row r="231" spans="1:11" x14ac:dyDescent="0.25">
      <c r="A231" t="s">
        <v>674</v>
      </c>
      <c r="B231">
        <v>23</v>
      </c>
      <c r="C231" t="s">
        <v>74</v>
      </c>
      <c r="E231" s="57"/>
      <c r="F231" t="s">
        <v>17</v>
      </c>
      <c r="I231" s="10">
        <f>INDEX(Std[],MATCH(Center[[#This Row],[Player]],Std[Player],0),20)</f>
        <v>-715.55259873705222</v>
      </c>
      <c r="J231">
        <f>_xlfn.RANK.EQ(Center[[#This Row],[Value]],Center[Value])</f>
        <v>235</v>
      </c>
      <c r="K231" s="10">
        <f>Center[[#This Row],[Value]]-_xlfn.XLOOKUP($D$263,Center[Value Rk],Center[Value],,-1)</f>
        <v>-1450.1864530473508</v>
      </c>
    </row>
    <row r="232" spans="1:11" x14ac:dyDescent="0.25">
      <c r="A232" t="s">
        <v>819</v>
      </c>
      <c r="B232">
        <v>30</v>
      </c>
      <c r="C232" t="s">
        <v>74</v>
      </c>
      <c r="E232" s="57"/>
      <c r="F232" t="s">
        <v>28</v>
      </c>
      <c r="I232" s="10">
        <f>INDEX(Std[],MATCH(Center[[#This Row],[Player]],Std[Player],0),20)</f>
        <v>-734.60723922834177</v>
      </c>
      <c r="J232">
        <f>_xlfn.RANK.EQ(Center[[#This Row],[Value]],Center[Value])</f>
        <v>236</v>
      </c>
      <c r="K232" s="10">
        <f>Center[[#This Row],[Value]]-_xlfn.XLOOKUP($D$263,Center[Value Rk],Center[Value],,-1)</f>
        <v>-1469.2410935386404</v>
      </c>
    </row>
    <row r="233" spans="1:11" x14ac:dyDescent="0.25">
      <c r="A233" t="s">
        <v>748</v>
      </c>
      <c r="B233">
        <v>26</v>
      </c>
      <c r="C233" t="s">
        <v>74</v>
      </c>
      <c r="E233" s="57"/>
      <c r="F233" t="s">
        <v>21</v>
      </c>
      <c r="I233" s="10">
        <f>INDEX(Std[],MATCH(Center[[#This Row],[Player]],Std[Player],0),20)</f>
        <v>-680.09075610671823</v>
      </c>
      <c r="J233">
        <f>_xlfn.RANK.EQ(Center[[#This Row],[Value]],Center[Value])</f>
        <v>231</v>
      </c>
      <c r="K233" s="10">
        <f>Center[[#This Row],[Value]]-_xlfn.XLOOKUP($D$263,Center[Value Rk],Center[Value],,-1)</f>
        <v>-1414.7246104170167</v>
      </c>
    </row>
    <row r="234" spans="1:11" x14ac:dyDescent="0.25">
      <c r="A234" t="s">
        <v>775</v>
      </c>
      <c r="B234">
        <v>26</v>
      </c>
      <c r="C234" t="s">
        <v>74</v>
      </c>
      <c r="E234" s="57"/>
      <c r="F234" t="s">
        <v>25</v>
      </c>
      <c r="I234" s="10">
        <f>INDEX(Std[],MATCH(Center[[#This Row],[Player]],Std[Player],0),20)</f>
        <v>-687.96464459083029</v>
      </c>
      <c r="J234">
        <f>_xlfn.RANK.EQ(Center[[#This Row],[Value]],Center[Value])</f>
        <v>233</v>
      </c>
      <c r="K234" s="10">
        <f>Center[[#This Row],[Value]]-_xlfn.XLOOKUP($D$263,Center[Value Rk],Center[Value],,-1)</f>
        <v>-1422.598498901129</v>
      </c>
    </row>
    <row r="235" spans="1:11" x14ac:dyDescent="0.25">
      <c r="A235" t="s">
        <v>823</v>
      </c>
      <c r="B235">
        <v>32</v>
      </c>
      <c r="C235" t="s">
        <v>74</v>
      </c>
      <c r="E235" s="57"/>
      <c r="F235" t="s">
        <v>156</v>
      </c>
      <c r="I235" s="10">
        <f>INDEX(Std[],MATCH(Center[[#This Row],[Player]],Std[Player],0),20)</f>
        <v>-649.78657044508736</v>
      </c>
      <c r="J235">
        <f>_xlfn.RANK.EQ(Center[[#This Row],[Value]],Center[Value])</f>
        <v>228</v>
      </c>
      <c r="K235" s="10">
        <f>Center[[#This Row],[Value]]-_xlfn.XLOOKUP($D$263,Center[Value Rk],Center[Value],,-1)</f>
        <v>-1384.420424755386</v>
      </c>
    </row>
    <row r="236" spans="1:11" x14ac:dyDescent="0.25">
      <c r="A236" t="s">
        <v>886</v>
      </c>
      <c r="B236">
        <v>33</v>
      </c>
      <c r="C236" t="s">
        <v>74</v>
      </c>
      <c r="E236" s="57"/>
      <c r="F236" t="s">
        <v>2</v>
      </c>
      <c r="I236" s="10">
        <f>INDEX(Std[],MATCH(Center[[#This Row],[Player]],Std[Player],0),20)</f>
        <v>-684.92360518237876</v>
      </c>
      <c r="J236">
        <f>_xlfn.RANK.EQ(Center[[#This Row],[Value]],Center[Value])</f>
        <v>232</v>
      </c>
      <c r="K236" s="10">
        <f>Center[[#This Row],[Value]]-_xlfn.XLOOKUP($D$263,Center[Value Rk],Center[Value],,-1)</f>
        <v>-1419.5574594926775</v>
      </c>
    </row>
    <row r="237" spans="1:11" x14ac:dyDescent="0.25">
      <c r="A237" t="s">
        <v>724</v>
      </c>
      <c r="B237">
        <v>39</v>
      </c>
      <c r="C237" t="s">
        <v>74</v>
      </c>
      <c r="E237" s="57"/>
      <c r="F237" t="s">
        <v>14</v>
      </c>
      <c r="I237" s="10">
        <f>INDEX(Std[],MATCH(Center[[#This Row],[Player]],Std[Player],0),20)</f>
        <v>-738.40676639247431</v>
      </c>
      <c r="J237">
        <f>_xlfn.RANK.EQ(Center[[#This Row],[Value]],Center[Value])</f>
        <v>237</v>
      </c>
      <c r="K237" s="10">
        <f>Center[[#This Row],[Value]]-_xlfn.XLOOKUP($D$263,Center[Value Rk],Center[Value],,-1)</f>
        <v>-1473.0406207027729</v>
      </c>
    </row>
    <row r="238" spans="1:11" x14ac:dyDescent="0.25">
      <c r="A238" t="s">
        <v>710</v>
      </c>
      <c r="B238">
        <v>21</v>
      </c>
      <c r="C238" t="s">
        <v>74</v>
      </c>
      <c r="E238" s="56"/>
      <c r="F238" t="s">
        <v>15</v>
      </c>
      <c r="I238" s="10">
        <f>INDEX(Std[],MATCH(Center[[#This Row],[Player]],Std[Player],0),20)</f>
        <v>-707.46600828008798</v>
      </c>
      <c r="J238">
        <f>_xlfn.RANK.EQ(Center[[#This Row],[Value]],Center[Value])</f>
        <v>234</v>
      </c>
      <c r="K238" s="10">
        <f>Center[[#This Row],[Value]]-_xlfn.XLOOKUP($D$263,Center[Value Rk],Center[Value],,-1)</f>
        <v>-1442.0998625903867</v>
      </c>
    </row>
    <row r="239" spans="1:11" x14ac:dyDescent="0.25">
      <c r="A239" t="s">
        <v>1133</v>
      </c>
      <c r="B239">
        <v>23</v>
      </c>
      <c r="C239" t="s">
        <v>74</v>
      </c>
      <c r="E239" s="57"/>
      <c r="F239" t="s">
        <v>21</v>
      </c>
      <c r="I239" s="10">
        <f>INDEX(Std[],MATCH(Center[[#This Row],[Player]],Std[Player],0),20)</f>
        <v>-787.53701463029006</v>
      </c>
      <c r="J239">
        <f>_xlfn.RANK.EQ(Center[[#This Row],[Value]],Center[Value])</f>
        <v>241</v>
      </c>
      <c r="K239" s="10">
        <f>Center[[#This Row],[Value]]-_xlfn.XLOOKUP($D$263,Center[Value Rk],Center[Value],,-1)</f>
        <v>-1522.1708689405887</v>
      </c>
    </row>
    <row r="240" spans="1:11" x14ac:dyDescent="0.25">
      <c r="A240" t="s">
        <v>934</v>
      </c>
      <c r="B240">
        <v>23</v>
      </c>
      <c r="C240" t="s">
        <v>74</v>
      </c>
      <c r="E240" s="57"/>
      <c r="F240" t="s">
        <v>29</v>
      </c>
      <c r="I240" s="10">
        <f>INDEX(Std[],MATCH(Center[[#This Row],[Player]],Std[Player],0),20)</f>
        <v>-739.37045938299389</v>
      </c>
      <c r="J240">
        <f>_xlfn.RANK.EQ(Center[[#This Row],[Value]],Center[Value])</f>
        <v>238</v>
      </c>
      <c r="K240" s="10">
        <f>Center[[#This Row],[Value]]-_xlfn.XLOOKUP($D$263,Center[Value Rk],Center[Value],,-1)</f>
        <v>-1474.0043136932925</v>
      </c>
    </row>
    <row r="241" spans="1:11" x14ac:dyDescent="0.25">
      <c r="A241" t="s">
        <v>752</v>
      </c>
      <c r="B241">
        <v>27</v>
      </c>
      <c r="C241" t="s">
        <v>74</v>
      </c>
      <c r="E241" s="56"/>
      <c r="F241" t="s">
        <v>14</v>
      </c>
      <c r="I241" s="10">
        <f>INDEX(Std[],MATCH(Center[[#This Row],[Player]],Std[Player],0),20)</f>
        <v>-739.40794895774638</v>
      </c>
      <c r="J241">
        <f>_xlfn.RANK.EQ(Center[[#This Row],[Value]],Center[Value])</f>
        <v>239</v>
      </c>
      <c r="K241" s="10">
        <f>Center[[#This Row],[Value]]-_xlfn.XLOOKUP($D$263,Center[Value Rk],Center[Value],,-1)</f>
        <v>-1474.041803268045</v>
      </c>
    </row>
    <row r="242" spans="1:11" x14ac:dyDescent="0.25">
      <c r="A242" t="s">
        <v>958</v>
      </c>
      <c r="B242">
        <v>27</v>
      </c>
      <c r="C242" t="s">
        <v>74</v>
      </c>
      <c r="E242" s="57"/>
      <c r="F242" t="s">
        <v>9</v>
      </c>
      <c r="I242" s="10">
        <f>INDEX(Std[],MATCH(Center[[#This Row],[Player]],Std[Player],0),20)</f>
        <v>-775.00787011426246</v>
      </c>
      <c r="J242">
        <f>_xlfn.RANK.EQ(Center[[#This Row],[Value]],Center[Value])</f>
        <v>240</v>
      </c>
      <c r="K242" s="10">
        <f>Center[[#This Row],[Value]]-_xlfn.XLOOKUP($D$263,Center[Value Rk],Center[Value],,-1)</f>
        <v>-1509.6417244245611</v>
      </c>
    </row>
    <row r="243" spans="1:11" x14ac:dyDescent="0.25">
      <c r="A243" t="s">
        <v>689</v>
      </c>
      <c r="B243">
        <v>31</v>
      </c>
      <c r="C243" t="s">
        <v>74</v>
      </c>
      <c r="E243" s="57"/>
      <c r="F243" t="s">
        <v>10</v>
      </c>
      <c r="I243" s="10">
        <f>INDEX(Std[],MATCH(Center[[#This Row],[Player]],Std[Player],0),20)</f>
        <v>-838.44031690458837</v>
      </c>
      <c r="J243">
        <f>_xlfn.RANK.EQ(Center[[#This Row],[Value]],Center[Value])</f>
        <v>246</v>
      </c>
      <c r="K243" s="10">
        <f>Center[[#This Row],[Value]]-_xlfn.XLOOKUP($D$263,Center[Value Rk],Center[Value],,-1)</f>
        <v>-1573.074171214887</v>
      </c>
    </row>
    <row r="244" spans="1:11" x14ac:dyDescent="0.25">
      <c r="A244" t="s">
        <v>969</v>
      </c>
      <c r="B244">
        <v>25</v>
      </c>
      <c r="C244" t="s">
        <v>74</v>
      </c>
      <c r="E244" s="57"/>
      <c r="F244" t="s">
        <v>31</v>
      </c>
      <c r="I244" s="10">
        <f>INDEX(Std[],MATCH(Center[[#This Row],[Player]],Std[Player],0),20)</f>
        <v>-800.21910938548933</v>
      </c>
      <c r="J244">
        <f>_xlfn.RANK.EQ(Center[[#This Row],[Value]],Center[Value])</f>
        <v>242</v>
      </c>
      <c r="K244" s="10">
        <f>Center[[#This Row],[Value]]-_xlfn.XLOOKUP($D$263,Center[Value Rk],Center[Value],,-1)</f>
        <v>-1534.8529636957878</v>
      </c>
    </row>
    <row r="245" spans="1:11" x14ac:dyDescent="0.25">
      <c r="A245" t="s">
        <v>1149</v>
      </c>
      <c r="B245">
        <v>24</v>
      </c>
      <c r="C245" t="s">
        <v>74</v>
      </c>
      <c r="E245" s="56"/>
      <c r="F245" t="s">
        <v>2</v>
      </c>
      <c r="I245" s="10">
        <f>INDEX(Std[],MATCH(Center[[#This Row],[Player]],Std[Player],0),20)</f>
        <v>-806.90181270835967</v>
      </c>
      <c r="J245">
        <f>_xlfn.RANK.EQ(Center[[#This Row],[Value]],Center[Value])</f>
        <v>244</v>
      </c>
      <c r="K245" s="10">
        <f>Center[[#This Row],[Value]]-_xlfn.XLOOKUP($D$263,Center[Value Rk],Center[Value],,-1)</f>
        <v>-1541.5356670186584</v>
      </c>
    </row>
    <row r="246" spans="1:11" x14ac:dyDescent="0.25">
      <c r="A246" t="s">
        <v>1153</v>
      </c>
      <c r="B246">
        <v>25</v>
      </c>
      <c r="C246" t="s">
        <v>74</v>
      </c>
      <c r="E246" s="57"/>
      <c r="F246" t="s">
        <v>6</v>
      </c>
      <c r="I246" s="10">
        <f>INDEX(Std[],MATCH(Center[[#This Row],[Player]],Std[Player],0),20)</f>
        <v>-827.60646840212166</v>
      </c>
      <c r="J246">
        <f>_xlfn.RANK.EQ(Center[[#This Row],[Value]],Center[Value])</f>
        <v>245</v>
      </c>
      <c r="K246" s="10">
        <f>Center[[#This Row],[Value]]-_xlfn.XLOOKUP($D$263,Center[Value Rk],Center[Value],,-1)</f>
        <v>-1562.2403227124203</v>
      </c>
    </row>
    <row r="247" spans="1:11" x14ac:dyDescent="0.25">
      <c r="A247" t="s">
        <v>781</v>
      </c>
      <c r="B247">
        <v>26</v>
      </c>
      <c r="C247" t="s">
        <v>74</v>
      </c>
      <c r="E247" s="56"/>
      <c r="F247" t="s">
        <v>4</v>
      </c>
      <c r="I247" s="10">
        <f>INDEX(Std[],MATCH(Center[[#This Row],[Player]],Std[Player],0),20)</f>
        <v>-804.15748805726389</v>
      </c>
      <c r="J247">
        <f>_xlfn.RANK.EQ(Center[[#This Row],[Value]],Center[Value])</f>
        <v>243</v>
      </c>
      <c r="K247" s="10">
        <f>Center[[#This Row],[Value]]-_xlfn.XLOOKUP($D$263,Center[Value Rk],Center[Value],,-1)</f>
        <v>-1538.7913423675625</v>
      </c>
    </row>
    <row r="248" spans="1:11" x14ac:dyDescent="0.25">
      <c r="A248" t="s">
        <v>990</v>
      </c>
      <c r="B248">
        <v>31</v>
      </c>
      <c r="C248" t="s">
        <v>74</v>
      </c>
      <c r="E248" s="57"/>
      <c r="F248" t="s">
        <v>13</v>
      </c>
      <c r="I248" s="10">
        <f>INDEX(Std[],MATCH(Center[[#This Row],[Player]],Std[Player],0),20)</f>
        <v>-843.24530201855373</v>
      </c>
      <c r="J248">
        <f>_xlfn.RANK.EQ(Center[[#This Row],[Value]],Center[Value])</f>
        <v>247</v>
      </c>
      <c r="K248" s="10">
        <f>Center[[#This Row],[Value]]-_xlfn.XLOOKUP($D$263,Center[Value Rk],Center[Value],,-1)</f>
        <v>-1577.8791563288523</v>
      </c>
    </row>
    <row r="249" spans="1:11" x14ac:dyDescent="0.25">
      <c r="A249" t="s">
        <v>974</v>
      </c>
      <c r="B249">
        <v>29</v>
      </c>
      <c r="C249" t="s">
        <v>74</v>
      </c>
      <c r="E249" s="57"/>
      <c r="F249" t="s">
        <v>10</v>
      </c>
      <c r="I249" s="10">
        <f>INDEX(Std[],MATCH(Center[[#This Row],[Player]],Std[Player],0),20)</f>
        <v>-906.08507876537919</v>
      </c>
      <c r="J249">
        <f>_xlfn.RANK.EQ(Center[[#This Row],[Value]],Center[Value])</f>
        <v>251</v>
      </c>
      <c r="K249" s="10">
        <f>Center[[#This Row],[Value]]-_xlfn.XLOOKUP($D$263,Center[Value Rk],Center[Value],,-1)</f>
        <v>-1640.7189330756778</v>
      </c>
    </row>
    <row r="250" spans="1:11" x14ac:dyDescent="0.25">
      <c r="A250" t="s">
        <v>1040</v>
      </c>
      <c r="B250">
        <v>29</v>
      </c>
      <c r="C250" t="s">
        <v>74</v>
      </c>
      <c r="E250" s="56"/>
      <c r="F250" t="s">
        <v>5</v>
      </c>
      <c r="I250" s="10">
        <f>INDEX(Std[],MATCH(Center[[#This Row],[Player]],Std[Player],0),20)</f>
        <v>-884.67748319322266</v>
      </c>
      <c r="J250">
        <f>_xlfn.RANK.EQ(Center[[#This Row],[Value]],Center[Value])</f>
        <v>249</v>
      </c>
      <c r="K250" s="10">
        <f>Center[[#This Row],[Value]]-_xlfn.XLOOKUP($D$263,Center[Value Rk],Center[Value],,-1)</f>
        <v>-1619.3113375035214</v>
      </c>
    </row>
    <row r="251" spans="1:11" x14ac:dyDescent="0.25">
      <c r="A251" t="s">
        <v>858</v>
      </c>
      <c r="B251">
        <v>26</v>
      </c>
      <c r="C251" t="s">
        <v>74</v>
      </c>
      <c r="E251" s="57"/>
      <c r="F251" t="s">
        <v>31</v>
      </c>
      <c r="I251" s="10">
        <f>INDEX(Std[],MATCH(Center[[#This Row],[Player]],Std[Player],0),20)</f>
        <v>-883.49095751964558</v>
      </c>
      <c r="J251">
        <f>_xlfn.RANK.EQ(Center[[#This Row],[Value]],Center[Value])</f>
        <v>248</v>
      </c>
      <c r="K251" s="10">
        <f>Center[[#This Row],[Value]]-_xlfn.XLOOKUP($D$263,Center[Value Rk],Center[Value],,-1)</f>
        <v>-1618.1248118299441</v>
      </c>
    </row>
    <row r="252" spans="1:11" x14ac:dyDescent="0.25">
      <c r="A252" t="s">
        <v>743</v>
      </c>
      <c r="B252">
        <v>26</v>
      </c>
      <c r="C252" t="s">
        <v>74</v>
      </c>
      <c r="E252" s="57"/>
      <c r="F252" t="s">
        <v>87</v>
      </c>
      <c r="I252" s="10">
        <f>INDEX(Std[],MATCH(Center[[#This Row],[Player]],Std[Player],0),20)</f>
        <v>-941.98588803386406</v>
      </c>
      <c r="J252">
        <f>_xlfn.RANK.EQ(Center[[#This Row],[Value]],Center[Value])</f>
        <v>253</v>
      </c>
      <c r="K252" s="10">
        <f>Center[[#This Row],[Value]]-_xlfn.XLOOKUP($D$263,Center[Value Rk],Center[Value],,-1)</f>
        <v>-1676.6197423441627</v>
      </c>
    </row>
    <row r="253" spans="1:11" x14ac:dyDescent="0.25">
      <c r="A253" t="s">
        <v>818</v>
      </c>
      <c r="B253">
        <v>34</v>
      </c>
      <c r="C253" t="s">
        <v>74</v>
      </c>
      <c r="E253" s="57"/>
      <c r="F253" t="s">
        <v>11</v>
      </c>
      <c r="I253" s="10">
        <f>INDEX(Std[],MATCH(Center[[#This Row],[Player]],Std[Player],0),20)</f>
        <v>-930.64144653576068</v>
      </c>
      <c r="J253">
        <f>_xlfn.RANK.EQ(Center[[#This Row],[Value]],Center[Value])</f>
        <v>252</v>
      </c>
      <c r="K253" s="10">
        <f>Center[[#This Row],[Value]]-_xlfn.XLOOKUP($D$263,Center[Value Rk],Center[Value],,-1)</f>
        <v>-1665.2753008460593</v>
      </c>
    </row>
    <row r="254" spans="1:11" x14ac:dyDescent="0.25">
      <c r="A254" t="s">
        <v>810</v>
      </c>
      <c r="B254">
        <v>23</v>
      </c>
      <c r="C254" t="s">
        <v>74</v>
      </c>
      <c r="E254" s="57"/>
      <c r="F254" t="s">
        <v>32</v>
      </c>
      <c r="I254" s="10">
        <f>INDEX(Std[],MATCH(Center[[#This Row],[Player]],Std[Player],0),20)</f>
        <v>-889.17183405400897</v>
      </c>
      <c r="J254">
        <f>_xlfn.RANK.EQ(Center[[#This Row],[Value]],Center[Value])</f>
        <v>250</v>
      </c>
      <c r="K254" s="10">
        <f>Center[[#This Row],[Value]]-_xlfn.XLOOKUP($D$263,Center[Value Rk],Center[Value],,-1)</f>
        <v>-1623.8056883643076</v>
      </c>
    </row>
    <row r="255" spans="1:11" x14ac:dyDescent="0.25">
      <c r="E255" s="59"/>
      <c r="F255" s="67" t="str" cm="1">
        <f t="array" ref="F255">INDEX(Center[Pos],MODE(MATCH(Center[Pos],Center[Pos],0)))</f>
        <v>C</v>
      </c>
      <c r="I255" s="10"/>
      <c r="K255" s="10"/>
    </row>
    <row r="256" spans="1:11" x14ac:dyDescent="0.25">
      <c r="E256" s="59"/>
      <c r="F256" s="67"/>
      <c r="I256" s="10"/>
      <c r="K256" s="10"/>
    </row>
    <row r="257" spans="1:11" x14ac:dyDescent="0.25">
      <c r="E257" s="59"/>
      <c r="F257" s="67"/>
      <c r="I257" s="10"/>
      <c r="K257" s="10"/>
    </row>
    <row r="258" spans="1:11" x14ac:dyDescent="0.25">
      <c r="A258" s="67"/>
      <c r="B258" s="67"/>
      <c r="C258" s="67"/>
      <c r="D258" s="59"/>
      <c r="E258" s="59"/>
      <c r="F258" s="67"/>
      <c r="I258" s="10"/>
      <c r="K258" s="10"/>
    </row>
    <row r="259" spans="1:11" x14ac:dyDescent="0.25">
      <c r="A259" s="67"/>
      <c r="B259" s="67"/>
      <c r="C259" s="67"/>
      <c r="D259" s="59"/>
      <c r="E259" s="59"/>
      <c r="F259" s="67"/>
      <c r="I259" s="10"/>
      <c r="K259" s="10"/>
    </row>
    <row r="260" spans="1:11" x14ac:dyDescent="0.25">
      <c r="A260" s="67"/>
      <c r="B260" s="67"/>
      <c r="C260" s="67"/>
      <c r="D260" s="59"/>
      <c r="E260" s="59"/>
      <c r="F260" s="67"/>
      <c r="I260" s="10"/>
      <c r="K260" s="10"/>
    </row>
    <row r="261" spans="1:11" x14ac:dyDescent="0.25">
      <c r="A261" s="67"/>
      <c r="B261" s="67"/>
      <c r="C261" s="67"/>
      <c r="D261" s="59"/>
      <c r="E261" s="59"/>
      <c r="F261" s="67"/>
      <c r="I261" s="10"/>
      <c r="K261" s="10"/>
    </row>
    <row r="262" spans="1:11" x14ac:dyDescent="0.25">
      <c r="A262" t="s">
        <v>147</v>
      </c>
      <c r="C262" t="s">
        <v>145</v>
      </c>
    </row>
    <row r="263" spans="1:11" x14ac:dyDescent="0.25">
      <c r="A263">
        <f>COUNTIFS(Center[Pos P Rank], "&gt;"&amp;D263,Center[Pos P Rank], "&lt;="&amp;(D263+31))</f>
        <v>0</v>
      </c>
      <c r="C263" t="s">
        <v>74</v>
      </c>
      <c r="D263">
        <f>'League Inputs'!O16*'League Inputs'!$N$13</f>
        <v>42</v>
      </c>
      <c r="F263" s="9"/>
      <c r="G263" s="9"/>
      <c r="H263" s="9"/>
    </row>
    <row r="264" spans="1:11" x14ac:dyDescent="0.25">
      <c r="A264">
        <f>COUNTIFS(Center[Value Rk], "&gt;"&amp;D263,Center[Value Rk], "&lt;="&amp;(D263+31))</f>
        <v>31</v>
      </c>
      <c r="C264" t="s">
        <v>102</v>
      </c>
      <c r="D264">
        <f>'League Inputs'!O17*'League Inputs'!$N$13</f>
        <v>42</v>
      </c>
    </row>
    <row r="265" spans="1:11" x14ac:dyDescent="0.25">
      <c r="A265">
        <f>COUNTIFS(Center[Pos P Rank], "&lt;"&amp;$D$265)</f>
        <v>0</v>
      </c>
      <c r="C265" t="s">
        <v>74</v>
      </c>
      <c r="D265">
        <f>'League Inputs'!O18*'League Inputs'!$N$13</f>
        <v>42</v>
      </c>
    </row>
    <row r="266" spans="1:11" x14ac:dyDescent="0.25">
      <c r="A266">
        <f>COUNTIFS(Center[Value Rk], "&lt;"&amp;$D$265)</f>
        <v>41</v>
      </c>
      <c r="C266" t="s">
        <v>3</v>
      </c>
      <c r="D266">
        <f>'League Inputs'!O19*'League Inputs'!$N$13</f>
        <v>70</v>
      </c>
      <c r="F266">
        <f>D263+A$263</f>
        <v>42</v>
      </c>
    </row>
    <row r="269" spans="1:11" x14ac:dyDescent="0.25">
      <c r="D269" t="s">
        <v>146</v>
      </c>
    </row>
    <row r="271" spans="1:11" x14ac:dyDescent="0.25">
      <c r="C271" s="27"/>
      <c r="D271" s="60" t="s">
        <v>51</v>
      </c>
      <c r="E271" s="60" t="s">
        <v>45</v>
      </c>
      <c r="F271" s="60" t="s">
        <v>50</v>
      </c>
      <c r="G271" s="60" t="s">
        <v>64</v>
      </c>
      <c r="H271" s="60" t="s">
        <v>65</v>
      </c>
    </row>
    <row r="272" spans="1:11" x14ac:dyDescent="0.25">
      <c r="C272" s="29" t="s">
        <v>85</v>
      </c>
      <c r="D272" s="61" t="e">
        <f>AVERAGEIFS(#REF!,Center[Pos P Rank], "&gt;"&amp;$D$263,Center[Pos P Rank], "&lt;="&amp;($D$263+31))</f>
        <v>#REF!</v>
      </c>
      <c r="E272" s="61" t="e">
        <f>AVERAGEIFS(#REF!,Center[Pos P Rank], "&gt;"&amp;$D$263,Center[Pos P Rank], "&lt;="&amp;($D$263+31))</f>
        <v>#REF!</v>
      </c>
      <c r="F272" s="61" t="e">
        <f>AVERAGEIFS(#REF!,Center[Pos P Rank], "&gt;"&amp;$D$263,Center[Pos P Rank], "&lt;="&amp;($D$263+31))</f>
        <v>#REF!</v>
      </c>
      <c r="G272" s="61" t="e">
        <f>AVERAGEIFS(#REF!,Center[Pos P Rank], "&gt;"&amp;$D$263,Center[Pos P Rank], "&lt;="&amp;($D$263+31))</f>
        <v>#REF!</v>
      </c>
      <c r="H272" s="61" t="e">
        <f>AVERAGEIFS(#REF!,Center[Pos P Rank], "&gt;"&amp;$D$263,Center[Pos P Rank], "&lt;="&amp;($D$263+31))</f>
        <v>#REF!</v>
      </c>
    </row>
    <row r="273" spans="3:8" x14ac:dyDescent="0.25">
      <c r="C273" s="19" t="s">
        <v>86</v>
      </c>
      <c r="D273" s="62" t="e">
        <f>SQRT((SUMIFS(#REF!,Center[Pos P Rank], "&lt;"&amp;$D$265)-(SUMIFS(#REF!,Center[Pos P Rank], "&lt;"&amp;$D$265)^2)/$A$265)/($A$265-1))</f>
        <v>#REF!</v>
      </c>
      <c r="E273" s="62" t="e">
        <f>SQRT((SUMIFS(#REF!,Center[Pos P Rank], "&lt;"&amp;$D$265)-(SUMIFS(#REF!,Center[Pos P Rank], "&lt;"&amp;$D$265)^2)/$A$265)/($A$265-1))</f>
        <v>#REF!</v>
      </c>
      <c r="F273" s="62" t="e">
        <f>SQRT((SUMIFS(#REF!,Center[Pos P Rank], "&lt;"&amp;$D$265)-(SUMIFS(#REF!,Center[Pos P Rank], "&lt;"&amp;$D$265)^2)/$A$265)/($A$265-1))</f>
        <v>#REF!</v>
      </c>
      <c r="G273" s="62" t="e">
        <f>SQRT((SUMIFS(#REF!,Center[Pos P Rank], "&lt;"&amp;$D$265)-(SUMIFS(#REF!,Center[Pos P Rank], "&lt;"&amp;$D$265)^2)/$A$265)/($A$265-1))</f>
        <v>#REF!</v>
      </c>
      <c r="H273" s="62" t="e">
        <f>SQRT((SUMIFS(#REF!,Center[Pos P Rank], "&lt;"&amp;$D$265)-(SUMIFS(#REF!,Center[Pos P Rank], "&lt;"&amp;$D$265)^2)/$A$265)/($A$265-1))</f>
        <v>#REF!</v>
      </c>
    </row>
  </sheetData>
  <protectedRanges>
    <protectedRange sqref="B1:F1" name="Range2_1_2"/>
    <protectedRange sqref="D271:H271" name="Range2_1_2_1_1"/>
    <protectedRange sqref="G1:H1" name="Range2_1_2_2"/>
  </protectedRanges>
  <conditionalFormatting sqref="A258:A261">
    <cfRule type="duplicateValues" dxfId="5" priority="223"/>
  </conditionalFormatting>
  <conditionalFormatting sqref="A247:A249">
    <cfRule type="duplicateValues" dxfId="4" priority="1"/>
  </conditionalFormatting>
  <conditionalFormatting sqref="A2:A254">
    <cfRule type="duplicateValues" dxfId="3" priority="323"/>
    <cfRule type="duplicateValues" dxfId="2" priority="324"/>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1367D-0BDF-464F-8CCA-A7C48FE66169}">
  <sheetPr codeName="Sheet13"/>
  <dimension ref="A1:K289"/>
  <sheetViews>
    <sheetView workbookViewId="0">
      <selection activeCell="A45" sqref="A45:XFD45"/>
    </sheetView>
  </sheetViews>
  <sheetFormatPr defaultRowHeight="15" x14ac:dyDescent="0.25"/>
  <cols>
    <col min="1" max="1" width="24.5703125" bestFit="1" customWidth="1"/>
    <col min="6" max="6" width="14.7109375" bestFit="1" customWidth="1"/>
    <col min="7" max="7" width="11.42578125" customWidth="1"/>
  </cols>
  <sheetData>
    <row r="1" spans="1:11" x14ac:dyDescent="0.25">
      <c r="A1" s="3" t="s">
        <v>0</v>
      </c>
      <c r="B1" s="3" t="s">
        <v>54</v>
      </c>
      <c r="C1" s="3" t="s">
        <v>55</v>
      </c>
      <c r="D1" s="53" t="s">
        <v>120</v>
      </c>
      <c r="E1" s="53" t="s">
        <v>121</v>
      </c>
      <c r="F1" s="3" t="s">
        <v>53</v>
      </c>
      <c r="G1" s="3" t="s">
        <v>143</v>
      </c>
      <c r="H1" s="3" t="s">
        <v>148</v>
      </c>
      <c r="I1" s="63" t="s">
        <v>150</v>
      </c>
      <c r="J1" s="63" t="s">
        <v>151</v>
      </c>
      <c r="K1" s="63" t="s">
        <v>123</v>
      </c>
    </row>
    <row r="2" spans="1:11" x14ac:dyDescent="0.25">
      <c r="A2" t="s">
        <v>240</v>
      </c>
      <c r="B2">
        <v>33</v>
      </c>
      <c r="C2" t="s">
        <v>3</v>
      </c>
      <c r="D2" s="68"/>
      <c r="E2" s="57"/>
      <c r="F2" t="s">
        <v>7</v>
      </c>
      <c r="I2" s="10">
        <f>INDEX(Std[],MATCH(Def[[#This Row],[Player]],Std[Player],0),20)</f>
        <v>1187.0947638662492</v>
      </c>
      <c r="J2">
        <f>_xlfn.RANK.EQ(Def[[#This Row],[value]],Def[value])</f>
        <v>1</v>
      </c>
      <c r="K2" s="10">
        <f>Def[[#This Row],[value]]-_xlfn.XLOOKUP($D$282,Def[Value Rk],Def[value],,-1)</f>
        <v>1079.7299961467847</v>
      </c>
    </row>
    <row r="3" spans="1:11" x14ac:dyDescent="0.25">
      <c r="A3" t="s">
        <v>279</v>
      </c>
      <c r="B3">
        <v>36</v>
      </c>
      <c r="C3" t="s">
        <v>3</v>
      </c>
      <c r="D3" s="57"/>
      <c r="E3" s="57"/>
      <c r="F3" t="s">
        <v>25</v>
      </c>
      <c r="I3" s="10">
        <f>INDEX(Std[],MATCH(Def[[#This Row],[Player]],Std[Player],0),20)</f>
        <v>1031.3113553747901</v>
      </c>
      <c r="J3">
        <f>_xlfn.RANK.EQ(Def[[#This Row],[value]],Def[value])</f>
        <v>3</v>
      </c>
      <c r="K3" s="10">
        <f>Def[[#This Row],[value]]-_xlfn.XLOOKUP($D$282,Def[Value Rk],Def[value],,-1)</f>
        <v>923.94658765532563</v>
      </c>
    </row>
    <row r="4" spans="1:11" x14ac:dyDescent="0.25">
      <c r="A4" t="s">
        <v>280</v>
      </c>
      <c r="B4">
        <v>25</v>
      </c>
      <c r="C4" t="s">
        <v>3</v>
      </c>
      <c r="D4" s="57"/>
      <c r="E4" s="57"/>
      <c r="F4" t="s">
        <v>10</v>
      </c>
      <c r="I4" s="10">
        <f>INDEX(Std[],MATCH(Def[[#This Row],[Player]],Std[Player],0),20)</f>
        <v>1096.2913570065143</v>
      </c>
      <c r="J4">
        <f>_xlfn.RANK.EQ(Def[[#This Row],[value]],Def[value])</f>
        <v>2</v>
      </c>
      <c r="K4" s="10">
        <f>Def[[#This Row],[value]]-_xlfn.XLOOKUP($D$282,Def[Value Rk],Def[value],,-1)</f>
        <v>988.92658928704986</v>
      </c>
    </row>
    <row r="5" spans="1:11" x14ac:dyDescent="0.25">
      <c r="A5" t="s">
        <v>246</v>
      </c>
      <c r="B5">
        <v>23</v>
      </c>
      <c r="C5" t="s">
        <v>3</v>
      </c>
      <c r="D5" s="57"/>
      <c r="E5" s="57"/>
      <c r="F5" t="s">
        <v>4</v>
      </c>
      <c r="I5" s="10">
        <f>INDEX(Std[],MATCH(Def[[#This Row],[Player]],Std[Player],0),20)</f>
        <v>1000.3873498558552</v>
      </c>
      <c r="J5">
        <f>_xlfn.RANK.EQ(Def[[#This Row],[value]],Def[value])</f>
        <v>4</v>
      </c>
      <c r="K5" s="10">
        <f>Def[[#This Row],[value]]-_xlfn.XLOOKUP($D$282,Def[Value Rk],Def[value],,-1)</f>
        <v>893.02258213639072</v>
      </c>
    </row>
    <row r="6" spans="1:11" x14ac:dyDescent="0.25">
      <c r="A6" t="s">
        <v>289</v>
      </c>
      <c r="B6">
        <v>25</v>
      </c>
      <c r="C6" t="s">
        <v>3</v>
      </c>
      <c r="D6" s="57"/>
      <c r="E6" s="57"/>
      <c r="F6" t="s">
        <v>11</v>
      </c>
      <c r="I6" s="10">
        <f>INDEX(Std[],MATCH(Def[[#This Row],[Player]],Std[Player],0),20)</f>
        <v>852.97247345241851</v>
      </c>
      <c r="J6">
        <f>_xlfn.RANK.EQ(Def[[#This Row],[value]],Def[value])</f>
        <v>6</v>
      </c>
      <c r="K6" s="10">
        <f>Def[[#This Row],[value]]-_xlfn.XLOOKUP($D$282,Def[Value Rk],Def[value],,-1)</f>
        <v>745.60770573295406</v>
      </c>
    </row>
    <row r="7" spans="1:11" x14ac:dyDescent="0.25">
      <c r="A7" t="s">
        <v>259</v>
      </c>
      <c r="B7">
        <v>34</v>
      </c>
      <c r="C7" t="s">
        <v>3</v>
      </c>
      <c r="D7" s="57"/>
      <c r="E7" s="56"/>
      <c r="F7" t="s">
        <v>29</v>
      </c>
      <c r="I7" s="10">
        <f>INDEX(Std[],MATCH(Def[[#This Row],[Player]],Std[Player],0),20)</f>
        <v>840.95279379674821</v>
      </c>
      <c r="J7">
        <f>_xlfn.RANK.EQ(Def[[#This Row],[value]],Def[value])</f>
        <v>7</v>
      </c>
      <c r="K7" s="10">
        <f>Def[[#This Row],[value]]-_xlfn.XLOOKUP($D$282,Def[Value Rk],Def[value],,-1)</f>
        <v>733.58802607728376</v>
      </c>
    </row>
    <row r="8" spans="1:11" x14ac:dyDescent="0.25">
      <c r="A8" t="s">
        <v>875</v>
      </c>
      <c r="B8">
        <v>29</v>
      </c>
      <c r="C8" t="s">
        <v>3</v>
      </c>
      <c r="D8" s="57"/>
      <c r="E8" s="57"/>
      <c r="F8" t="s">
        <v>31</v>
      </c>
      <c r="I8" s="10">
        <f>INDEX(Std[],MATCH(Def[[#This Row],[Player]],Std[Player],0),20)</f>
        <v>823.62442885656333</v>
      </c>
      <c r="J8">
        <f>_xlfn.RANK.EQ(Def[[#This Row],[value]],Def[value])</f>
        <v>8</v>
      </c>
      <c r="K8" s="10">
        <f>Def[[#This Row],[value]]-_xlfn.XLOOKUP($D$282,Def[Value Rk],Def[value],,-1)</f>
        <v>716.25966113709887</v>
      </c>
    </row>
    <row r="9" spans="1:11" x14ac:dyDescent="0.25">
      <c r="A9" t="s">
        <v>294</v>
      </c>
      <c r="B9">
        <v>22</v>
      </c>
      <c r="C9" t="s">
        <v>3</v>
      </c>
      <c r="D9" s="57"/>
      <c r="E9" s="56"/>
      <c r="F9" t="s">
        <v>2</v>
      </c>
      <c r="I9" s="10">
        <f>INDEX(Std[],MATCH(Def[[#This Row],[Player]],Std[Player],0),20)</f>
        <v>865.24696932954589</v>
      </c>
      <c r="J9">
        <f>_xlfn.RANK.EQ(Def[[#This Row],[value]],Def[value])</f>
        <v>5</v>
      </c>
      <c r="K9" s="10">
        <f>Def[[#This Row],[value]]-_xlfn.XLOOKUP($D$282,Def[Value Rk],Def[value],,-1)</f>
        <v>757.88220161008144</v>
      </c>
    </row>
    <row r="10" spans="1:11" x14ac:dyDescent="0.25">
      <c r="A10" t="s">
        <v>299</v>
      </c>
      <c r="B10">
        <v>33</v>
      </c>
      <c r="C10" t="s">
        <v>3</v>
      </c>
      <c r="D10" s="57"/>
      <c r="E10" s="56"/>
      <c r="F10" t="s">
        <v>153</v>
      </c>
      <c r="I10" s="10">
        <f>INDEX(Std[],MATCH(Def[[#This Row],[Player]],Std[Player],0),20)</f>
        <v>762.06754855522718</v>
      </c>
      <c r="J10">
        <f>_xlfn.RANK.EQ(Def[[#This Row],[value]],Def[value])</f>
        <v>9</v>
      </c>
      <c r="K10" s="10">
        <f>Def[[#This Row],[value]]-_xlfn.XLOOKUP($D$282,Def[Value Rk],Def[value],,-1)</f>
        <v>654.70278083576272</v>
      </c>
    </row>
    <row r="11" spans="1:11" x14ac:dyDescent="0.25">
      <c r="A11" t="s">
        <v>256</v>
      </c>
      <c r="B11">
        <v>24</v>
      </c>
      <c r="C11" t="s">
        <v>3</v>
      </c>
      <c r="D11" s="57"/>
      <c r="E11" s="56"/>
      <c r="F11" t="s">
        <v>8</v>
      </c>
      <c r="I11" s="10">
        <f>INDEX(Std[],MATCH(Def[[#This Row],[Player]],Std[Player],0),20)</f>
        <v>741.68114592885627</v>
      </c>
      <c r="J11">
        <f>_xlfn.RANK.EQ(Def[[#This Row],[value]],Def[value])</f>
        <v>10</v>
      </c>
      <c r="K11" s="10">
        <f>Def[[#This Row],[value]]-_xlfn.XLOOKUP($D$282,Def[Value Rk],Def[value],,-1)</f>
        <v>634.31637820939181</v>
      </c>
    </row>
    <row r="12" spans="1:11" x14ac:dyDescent="0.25">
      <c r="A12" t="s">
        <v>395</v>
      </c>
      <c r="B12">
        <v>30</v>
      </c>
      <c r="C12" t="s">
        <v>3</v>
      </c>
      <c r="D12" s="57"/>
      <c r="E12" s="57"/>
      <c r="F12" t="s">
        <v>156</v>
      </c>
      <c r="I12" s="10">
        <f>INDEX(Std[],MATCH(Def[[#This Row],[Player]],Std[Player],0),20)</f>
        <v>738.75397124828146</v>
      </c>
      <c r="J12">
        <f>_xlfn.RANK.EQ(Def[[#This Row],[value]],Def[value])</f>
        <v>11</v>
      </c>
      <c r="K12" s="10">
        <f>Def[[#This Row],[value]]-_xlfn.XLOOKUP($D$282,Def[Value Rk],Def[value],,-1)</f>
        <v>631.38920352881701</v>
      </c>
    </row>
    <row r="13" spans="1:11" x14ac:dyDescent="0.25">
      <c r="A13" t="s">
        <v>329</v>
      </c>
      <c r="B13">
        <v>27</v>
      </c>
      <c r="C13" t="s">
        <v>3</v>
      </c>
      <c r="D13" s="57"/>
      <c r="E13" s="56"/>
      <c r="F13" t="s">
        <v>31</v>
      </c>
      <c r="I13" s="10">
        <f>INDEX(Std[],MATCH(Def[[#This Row],[Player]],Std[Player],0),20)</f>
        <v>710.65130710682536</v>
      </c>
      <c r="J13">
        <f>_xlfn.RANK.EQ(Def[[#This Row],[value]],Def[value])</f>
        <v>12</v>
      </c>
      <c r="K13" s="10">
        <f>Def[[#This Row],[value]]-_xlfn.XLOOKUP($D$282,Def[Value Rk],Def[value],,-1)</f>
        <v>603.2865393873609</v>
      </c>
    </row>
    <row r="14" spans="1:11" x14ac:dyDescent="0.25">
      <c r="A14" t="s">
        <v>885</v>
      </c>
      <c r="B14">
        <v>29</v>
      </c>
      <c r="C14" t="s">
        <v>3</v>
      </c>
      <c r="D14" s="57"/>
      <c r="E14" s="56"/>
      <c r="F14" t="s">
        <v>10</v>
      </c>
      <c r="I14" s="10">
        <f>INDEX(Std[],MATCH(Def[[#This Row],[Player]],Std[Player],0),20)</f>
        <v>664.17975164466191</v>
      </c>
      <c r="J14">
        <f>_xlfn.RANK.EQ(Def[[#This Row],[value]],Def[value])</f>
        <v>14</v>
      </c>
      <c r="K14" s="10">
        <f>Def[[#This Row],[value]]-_xlfn.XLOOKUP($D$282,Def[Value Rk],Def[value],,-1)</f>
        <v>556.81498392519745</v>
      </c>
    </row>
    <row r="15" spans="1:11" x14ac:dyDescent="0.25">
      <c r="A15" t="s">
        <v>251</v>
      </c>
      <c r="B15">
        <v>26</v>
      </c>
      <c r="C15" t="s">
        <v>3</v>
      </c>
      <c r="D15" s="57"/>
      <c r="E15" s="57"/>
      <c r="F15" t="s">
        <v>12</v>
      </c>
      <c r="I15" s="10">
        <f>INDEX(Std[],MATCH(Def[[#This Row],[Player]],Std[Player],0),20)</f>
        <v>662.12145474726458</v>
      </c>
      <c r="J15">
        <f>_xlfn.RANK.EQ(Def[[#This Row],[value]],Def[value])</f>
        <v>15</v>
      </c>
      <c r="K15" s="10">
        <f>Def[[#This Row],[value]]-_xlfn.XLOOKUP($D$282,Def[Value Rk],Def[value],,-1)</f>
        <v>554.75668702780013</v>
      </c>
    </row>
    <row r="16" spans="1:11" x14ac:dyDescent="0.25">
      <c r="A16" t="s">
        <v>350</v>
      </c>
      <c r="B16">
        <v>28</v>
      </c>
      <c r="C16" t="s">
        <v>3</v>
      </c>
      <c r="D16" s="57"/>
      <c r="E16" s="56"/>
      <c r="F16" t="s">
        <v>9</v>
      </c>
      <c r="I16" s="10">
        <f>INDEX(Std[],MATCH(Def[[#This Row],[Player]],Std[Player],0),20)</f>
        <v>664.28301849882303</v>
      </c>
      <c r="J16">
        <f>_xlfn.RANK.EQ(Def[[#This Row],[value]],Def[value])</f>
        <v>13</v>
      </c>
      <c r="K16" s="10">
        <f>Def[[#This Row],[value]]-_xlfn.XLOOKUP($D$282,Def[Value Rk],Def[value],,-1)</f>
        <v>556.91825077935857</v>
      </c>
    </row>
    <row r="17" spans="1:11" x14ac:dyDescent="0.25">
      <c r="A17" t="s">
        <v>241</v>
      </c>
      <c r="B17">
        <v>25</v>
      </c>
      <c r="C17" t="s">
        <v>3</v>
      </c>
      <c r="D17" s="57"/>
      <c r="E17" s="57"/>
      <c r="F17" t="s">
        <v>153</v>
      </c>
      <c r="I17" s="10">
        <f>INDEX(Std[],MATCH(Def[[#This Row],[Player]],Std[Player],0),20)</f>
        <v>655.48702179616157</v>
      </c>
      <c r="J17">
        <f>_xlfn.RANK.EQ(Def[[#This Row],[value]],Def[value])</f>
        <v>16</v>
      </c>
      <c r="K17" s="10">
        <f>Def[[#This Row],[value]]-_xlfn.XLOOKUP($D$282,Def[Value Rk],Def[value],,-1)</f>
        <v>548.12225407669712</v>
      </c>
    </row>
    <row r="18" spans="1:11" x14ac:dyDescent="0.25">
      <c r="A18" t="s">
        <v>274</v>
      </c>
      <c r="B18">
        <v>28</v>
      </c>
      <c r="C18" t="s">
        <v>3</v>
      </c>
      <c r="D18" s="57"/>
      <c r="E18" s="57"/>
      <c r="F18" t="s">
        <v>16</v>
      </c>
      <c r="I18" s="10">
        <f>INDEX(Std[],MATCH(Def[[#This Row],[Player]],Std[Player],0),20)</f>
        <v>617.15196960798392</v>
      </c>
      <c r="J18">
        <f>_xlfn.RANK.EQ(Def[[#This Row],[value]],Def[value])</f>
        <v>17</v>
      </c>
      <c r="K18" s="10">
        <f>Def[[#This Row],[value]]-_xlfn.XLOOKUP($D$282,Def[Value Rk],Def[value],,-1)</f>
        <v>509.78720188851946</v>
      </c>
    </row>
    <row r="19" spans="1:11" x14ac:dyDescent="0.25">
      <c r="A19" t="s">
        <v>441</v>
      </c>
      <c r="B19">
        <v>33</v>
      </c>
      <c r="C19" t="s">
        <v>3</v>
      </c>
      <c r="D19" s="57"/>
      <c r="E19" s="57"/>
      <c r="F19" t="s">
        <v>25</v>
      </c>
      <c r="I19" s="10">
        <f>INDEX(Std[],MATCH(Def[[#This Row],[Player]],Std[Player],0),20)</f>
        <v>515.51733248340895</v>
      </c>
      <c r="J19">
        <f>_xlfn.RANK.EQ(Def[[#This Row],[value]],Def[value])</f>
        <v>24</v>
      </c>
      <c r="K19" s="10">
        <f>Def[[#This Row],[value]]-_xlfn.XLOOKUP($D$282,Def[Value Rk],Def[value],,-1)</f>
        <v>408.1525647639445</v>
      </c>
    </row>
    <row r="20" spans="1:11" x14ac:dyDescent="0.25">
      <c r="A20" t="s">
        <v>244</v>
      </c>
      <c r="B20">
        <v>38</v>
      </c>
      <c r="C20" t="s">
        <v>3</v>
      </c>
      <c r="D20" s="57"/>
      <c r="E20" s="56"/>
      <c r="F20" t="s">
        <v>34</v>
      </c>
      <c r="I20" s="10">
        <f>INDEX(Std[],MATCH(Def[[#This Row],[Player]],Std[Player],0),20)</f>
        <v>613.45995793382804</v>
      </c>
      <c r="J20">
        <f>_xlfn.RANK.EQ(Def[[#This Row],[value]],Def[value])</f>
        <v>18</v>
      </c>
      <c r="K20" s="10">
        <f>Def[[#This Row],[value]]-_xlfn.XLOOKUP($D$282,Def[Value Rk],Def[value],,-1)</f>
        <v>506.09519021436358</v>
      </c>
    </row>
    <row r="21" spans="1:11" x14ac:dyDescent="0.25">
      <c r="A21" t="s">
        <v>393</v>
      </c>
      <c r="B21">
        <v>27</v>
      </c>
      <c r="C21" t="s">
        <v>3</v>
      </c>
      <c r="D21" s="57"/>
      <c r="E21" s="56"/>
      <c r="F21" t="s">
        <v>15</v>
      </c>
      <c r="I21" s="10">
        <f>INDEX(Std[],MATCH(Def[[#This Row],[Player]],Std[Player],0),20)</f>
        <v>586.49395352345391</v>
      </c>
      <c r="J21">
        <f>_xlfn.RANK.EQ(Def[[#This Row],[value]],Def[value])</f>
        <v>19</v>
      </c>
      <c r="K21" s="10">
        <f>Def[[#This Row],[value]]-_xlfn.XLOOKUP($D$282,Def[Value Rk],Def[value],,-1)</f>
        <v>479.12918580398946</v>
      </c>
    </row>
    <row r="22" spans="1:11" x14ac:dyDescent="0.25">
      <c r="A22" t="s">
        <v>287</v>
      </c>
      <c r="B22">
        <v>34</v>
      </c>
      <c r="C22" t="s">
        <v>3</v>
      </c>
      <c r="D22" s="57"/>
      <c r="E22" s="57"/>
      <c r="F22" t="s">
        <v>28</v>
      </c>
      <c r="I22" s="10">
        <f>INDEX(Std[],MATCH(Def[[#This Row],[Player]],Std[Player],0),20)</f>
        <v>507.27669742350957</v>
      </c>
      <c r="J22">
        <f>_xlfn.RANK.EQ(Def[[#This Row],[value]],Def[value])</f>
        <v>25</v>
      </c>
      <c r="K22" s="10">
        <f>Def[[#This Row],[value]]-_xlfn.XLOOKUP($D$282,Def[Value Rk],Def[value],,-1)</f>
        <v>399.91192970404506</v>
      </c>
    </row>
    <row r="23" spans="1:11" x14ac:dyDescent="0.25">
      <c r="A23" t="s">
        <v>297</v>
      </c>
      <c r="B23">
        <v>29</v>
      </c>
      <c r="C23" t="s">
        <v>3</v>
      </c>
      <c r="D23" s="57"/>
      <c r="E23" s="57"/>
      <c r="F23" t="s">
        <v>21</v>
      </c>
      <c r="I23" s="10">
        <f>INDEX(Std[],MATCH(Def[[#This Row],[Player]],Std[Player],0),20)</f>
        <v>554.94339506604149</v>
      </c>
      <c r="J23">
        <f>_xlfn.RANK.EQ(Def[[#This Row],[value]],Def[value])</f>
        <v>21</v>
      </c>
      <c r="K23" s="10">
        <f>Def[[#This Row],[value]]-_xlfn.XLOOKUP($D$282,Def[Value Rk],Def[value],,-1)</f>
        <v>447.57862734657704</v>
      </c>
    </row>
    <row r="24" spans="1:11" x14ac:dyDescent="0.25">
      <c r="A24" t="s">
        <v>270</v>
      </c>
      <c r="B24">
        <v>34</v>
      </c>
      <c r="C24" t="s">
        <v>3</v>
      </c>
      <c r="D24" s="57"/>
      <c r="E24" s="57"/>
      <c r="F24" t="s">
        <v>155</v>
      </c>
      <c r="I24" s="10">
        <f>INDEX(Std[],MATCH(Def[[#This Row],[Player]],Std[Player],0),20)</f>
        <v>565.27258113605205</v>
      </c>
      <c r="J24">
        <f>_xlfn.RANK.EQ(Def[[#This Row],[value]],Def[value])</f>
        <v>20</v>
      </c>
      <c r="K24" s="10">
        <f>Def[[#This Row],[value]]-_xlfn.XLOOKUP($D$282,Def[Value Rk],Def[value],,-1)</f>
        <v>457.9078134165876</v>
      </c>
    </row>
    <row r="25" spans="1:11" x14ac:dyDescent="0.25">
      <c r="A25" t="s">
        <v>267</v>
      </c>
      <c r="B25">
        <v>30</v>
      </c>
      <c r="C25" t="s">
        <v>3</v>
      </c>
      <c r="D25" s="57"/>
      <c r="E25" s="56"/>
      <c r="F25" t="s">
        <v>22</v>
      </c>
      <c r="I25" s="10">
        <f>INDEX(Std[],MATCH(Def[[#This Row],[Player]],Std[Player],0),20)</f>
        <v>519.4996184543777</v>
      </c>
      <c r="J25">
        <f>_xlfn.RANK.EQ(Def[[#This Row],[value]],Def[value])</f>
        <v>23</v>
      </c>
      <c r="K25" s="10">
        <f>Def[[#This Row],[value]]-_xlfn.XLOOKUP($D$282,Def[Value Rk],Def[value],,-1)</f>
        <v>412.13485073491324</v>
      </c>
    </row>
    <row r="26" spans="1:11" x14ac:dyDescent="0.25">
      <c r="A26" t="s">
        <v>275</v>
      </c>
      <c r="B26">
        <v>29</v>
      </c>
      <c r="C26" t="s">
        <v>3</v>
      </c>
      <c r="D26" s="57"/>
      <c r="E26" s="57"/>
      <c r="F26" t="s">
        <v>30</v>
      </c>
      <c r="I26" s="10">
        <f>INDEX(Std[],MATCH(Def[[#This Row],[Player]],Std[Player],0),20)</f>
        <v>536.59124975430825</v>
      </c>
      <c r="J26">
        <f>_xlfn.RANK.EQ(Def[[#This Row],[value]],Def[value])</f>
        <v>22</v>
      </c>
      <c r="K26" s="10">
        <f>Def[[#This Row],[value]]-_xlfn.XLOOKUP($D$282,Def[Value Rk],Def[value],,-1)</f>
        <v>429.2264820348438</v>
      </c>
    </row>
    <row r="27" spans="1:11" x14ac:dyDescent="0.25">
      <c r="A27" t="s">
        <v>315</v>
      </c>
      <c r="B27">
        <v>27</v>
      </c>
      <c r="C27" t="s">
        <v>3</v>
      </c>
      <c r="D27" s="57"/>
      <c r="E27" s="56"/>
      <c r="F27" t="s">
        <v>87</v>
      </c>
      <c r="I27" s="10">
        <f>INDEX(Std[],MATCH(Def[[#This Row],[Player]],Std[Player],0),20)</f>
        <v>339.54826942104887</v>
      </c>
      <c r="J27">
        <f>_xlfn.RANK.EQ(Def[[#This Row],[value]],Def[value])</f>
        <v>34</v>
      </c>
      <c r="K27" s="10">
        <f>Def[[#This Row],[value]]-_xlfn.XLOOKUP($D$282,Def[Value Rk],Def[value],,-1)</f>
        <v>232.18350170158439</v>
      </c>
    </row>
    <row r="28" spans="1:11" x14ac:dyDescent="0.25">
      <c r="A28" t="s">
        <v>380</v>
      </c>
      <c r="B28">
        <v>24</v>
      </c>
      <c r="C28" t="s">
        <v>3</v>
      </c>
      <c r="D28" s="57"/>
      <c r="E28" s="56"/>
      <c r="F28" t="s">
        <v>17</v>
      </c>
      <c r="I28" s="10">
        <f>INDEX(Std[],MATCH(Def[[#This Row],[Player]],Std[Player],0),20)</f>
        <v>413.3837215321617</v>
      </c>
      <c r="J28">
        <f>_xlfn.RANK.EQ(Def[[#This Row],[value]],Def[value])</f>
        <v>29</v>
      </c>
      <c r="K28" s="10">
        <f>Def[[#This Row],[value]]-_xlfn.XLOOKUP($D$282,Def[Value Rk],Def[value],,-1)</f>
        <v>306.01895381269719</v>
      </c>
    </row>
    <row r="29" spans="1:11" x14ac:dyDescent="0.25">
      <c r="A29" t="s">
        <v>265</v>
      </c>
      <c r="B29">
        <v>33</v>
      </c>
      <c r="C29" t="s">
        <v>3</v>
      </c>
      <c r="D29" s="57"/>
      <c r="E29" s="57"/>
      <c r="F29" t="s">
        <v>5</v>
      </c>
      <c r="I29" s="10">
        <f>INDEX(Std[],MATCH(Def[[#This Row],[Player]],Std[Player],0),20)</f>
        <v>310.75558209342546</v>
      </c>
      <c r="J29">
        <f>_xlfn.RANK.EQ(Def[[#This Row],[value]],Def[value])</f>
        <v>42</v>
      </c>
      <c r="K29" s="10">
        <f>Def[[#This Row],[value]]-_xlfn.XLOOKUP($D$282,Def[Value Rk],Def[value],,-1)</f>
        <v>203.39081437396098</v>
      </c>
    </row>
    <row r="30" spans="1:11" x14ac:dyDescent="0.25">
      <c r="A30" t="s">
        <v>478</v>
      </c>
      <c r="B30">
        <v>27</v>
      </c>
      <c r="C30" t="s">
        <v>3</v>
      </c>
      <c r="D30" s="57"/>
      <c r="E30" s="56"/>
      <c r="F30" t="s">
        <v>22</v>
      </c>
      <c r="I30" s="10">
        <f>INDEX(Std[],MATCH(Def[[#This Row],[Player]],Std[Player],0),20)</f>
        <v>484.67771659273507</v>
      </c>
      <c r="J30">
        <f>_xlfn.RANK.EQ(Def[[#This Row],[value]],Def[value])</f>
        <v>26</v>
      </c>
      <c r="K30" s="10">
        <f>Def[[#This Row],[value]]-_xlfn.XLOOKUP($D$282,Def[Value Rk],Def[value],,-1)</f>
        <v>377.31294887327056</v>
      </c>
    </row>
    <row r="31" spans="1:11" x14ac:dyDescent="0.25">
      <c r="A31" t="s">
        <v>326</v>
      </c>
      <c r="B31">
        <v>24</v>
      </c>
      <c r="C31" t="s">
        <v>3</v>
      </c>
      <c r="D31" s="57"/>
      <c r="E31" s="56"/>
      <c r="F31" t="s">
        <v>16</v>
      </c>
      <c r="I31" s="10">
        <f>INDEX(Std[],MATCH(Def[[#This Row],[Player]],Std[Player],0),20)</f>
        <v>439.28207171519136</v>
      </c>
      <c r="J31">
        <f>_xlfn.RANK.EQ(Def[[#This Row],[value]],Def[value])</f>
        <v>28</v>
      </c>
      <c r="K31" s="10">
        <f>Def[[#This Row],[value]]-_xlfn.XLOOKUP($D$282,Def[Value Rk],Def[value],,-1)</f>
        <v>331.91730399572691</v>
      </c>
    </row>
    <row r="32" spans="1:11" x14ac:dyDescent="0.25">
      <c r="A32" t="s">
        <v>319</v>
      </c>
      <c r="B32">
        <v>31</v>
      </c>
      <c r="C32" t="s">
        <v>3</v>
      </c>
      <c r="D32" s="57"/>
      <c r="E32" s="56"/>
      <c r="F32" t="s">
        <v>14</v>
      </c>
      <c r="I32" s="10">
        <f>INDEX(Std[],MATCH(Def[[#This Row],[Player]],Std[Player],0),20)</f>
        <v>443.83434823393134</v>
      </c>
      <c r="J32">
        <f>_xlfn.RANK.EQ(Def[[#This Row],[value]],Def[value])</f>
        <v>27</v>
      </c>
      <c r="K32" s="10">
        <f>Def[[#This Row],[value]]-_xlfn.XLOOKUP($D$282,Def[Value Rk],Def[value],,-1)</f>
        <v>336.46958051446688</v>
      </c>
    </row>
    <row r="33" spans="1:11" x14ac:dyDescent="0.25">
      <c r="A33" t="s">
        <v>391</v>
      </c>
      <c r="B33">
        <v>34</v>
      </c>
      <c r="C33" t="s">
        <v>3</v>
      </c>
      <c r="D33" s="57"/>
      <c r="E33" s="56"/>
      <c r="F33" t="s">
        <v>7</v>
      </c>
      <c r="I33" s="10">
        <f>INDEX(Std[],MATCH(Def[[#This Row],[Player]],Std[Player],0),20)</f>
        <v>400.60420889491547</v>
      </c>
      <c r="J33">
        <f>_xlfn.RANK.EQ(Def[[#This Row],[value]],Def[value])</f>
        <v>30</v>
      </c>
      <c r="K33" s="10">
        <f>Def[[#This Row],[value]]-_xlfn.XLOOKUP($D$282,Def[Value Rk],Def[value],,-1)</f>
        <v>293.23944117545102</v>
      </c>
    </row>
    <row r="34" spans="1:11" x14ac:dyDescent="0.25">
      <c r="A34" t="s">
        <v>387</v>
      </c>
      <c r="B34">
        <v>29</v>
      </c>
      <c r="C34" t="s">
        <v>3</v>
      </c>
      <c r="D34" s="57"/>
      <c r="E34" s="56"/>
      <c r="F34" t="s">
        <v>11</v>
      </c>
      <c r="I34" s="10">
        <f>INDEX(Std[],MATCH(Def[[#This Row],[Player]],Std[Player],0),20)</f>
        <v>315.68732157116483</v>
      </c>
      <c r="J34">
        <f>_xlfn.RANK.EQ(Def[[#This Row],[value]],Def[value])</f>
        <v>40</v>
      </c>
      <c r="K34" s="10">
        <f>Def[[#This Row],[value]]-_xlfn.XLOOKUP($D$282,Def[Value Rk],Def[value],,-1)</f>
        <v>208.32255385170035</v>
      </c>
    </row>
    <row r="35" spans="1:11" x14ac:dyDescent="0.25">
      <c r="A35" t="s">
        <v>271</v>
      </c>
      <c r="B35">
        <v>28</v>
      </c>
      <c r="C35" t="s">
        <v>3</v>
      </c>
      <c r="D35" s="57"/>
      <c r="E35" s="56"/>
      <c r="F35" t="s">
        <v>34</v>
      </c>
      <c r="I35" s="10">
        <f>INDEX(Std[],MATCH(Def[[#This Row],[Player]],Std[Player],0),20)</f>
        <v>379.36521868215181</v>
      </c>
      <c r="J35">
        <f>_xlfn.RANK.EQ(Def[[#This Row],[value]],Def[value])</f>
        <v>32</v>
      </c>
      <c r="K35" s="10">
        <f>Def[[#This Row],[value]]-_xlfn.XLOOKUP($D$282,Def[Value Rk],Def[value],,-1)</f>
        <v>272.0004509626873</v>
      </c>
    </row>
    <row r="36" spans="1:11" x14ac:dyDescent="0.25">
      <c r="A36" t="s">
        <v>303</v>
      </c>
      <c r="B36">
        <v>24</v>
      </c>
      <c r="C36" t="s">
        <v>3</v>
      </c>
      <c r="D36" s="57"/>
      <c r="E36" s="56"/>
      <c r="F36" t="s">
        <v>20</v>
      </c>
      <c r="I36" s="10">
        <f>INDEX(Std[],MATCH(Def[[#This Row],[Player]],Std[Player],0),20)</f>
        <v>346.7221876751496</v>
      </c>
      <c r="J36">
        <f>_xlfn.RANK.EQ(Def[[#This Row],[value]],Def[value])</f>
        <v>33</v>
      </c>
      <c r="K36" s="10">
        <f>Def[[#This Row],[value]]-_xlfn.XLOOKUP($D$282,Def[Value Rk],Def[value],,-1)</f>
        <v>239.35741995568512</v>
      </c>
    </row>
    <row r="37" spans="1:11" x14ac:dyDescent="0.25">
      <c r="A37" t="s">
        <v>1212</v>
      </c>
      <c r="B37">
        <v>23</v>
      </c>
      <c r="C37" t="s">
        <v>3</v>
      </c>
      <c r="D37" s="57"/>
      <c r="E37" s="57"/>
      <c r="F37" t="s">
        <v>6</v>
      </c>
      <c r="I37" s="10">
        <f>INDEX(Std[],MATCH(Def[[#This Row],[Player]],Std[Player],0),20)</f>
        <v>337.45447470956594</v>
      </c>
      <c r="J37">
        <f>_xlfn.RANK.EQ(Def[[#This Row],[value]],Def[value])</f>
        <v>35</v>
      </c>
      <c r="K37" s="10">
        <f>Def[[#This Row],[value]]-_xlfn.XLOOKUP($D$282,Def[Value Rk],Def[value],,-1)</f>
        <v>230.08970699010146</v>
      </c>
    </row>
    <row r="38" spans="1:11" x14ac:dyDescent="0.25">
      <c r="A38" t="s">
        <v>1074</v>
      </c>
      <c r="B38">
        <v>31</v>
      </c>
      <c r="C38" t="s">
        <v>3</v>
      </c>
      <c r="D38" s="57"/>
      <c r="E38" s="57"/>
      <c r="F38" t="s">
        <v>87</v>
      </c>
      <c r="I38" s="10">
        <f>INDEX(Std[],MATCH(Def[[#This Row],[Player]],Std[Player],0),20)</f>
        <v>325.78882246306932</v>
      </c>
      <c r="J38">
        <f>_xlfn.RANK.EQ(Def[[#This Row],[value]],Def[value])</f>
        <v>38</v>
      </c>
      <c r="K38" s="10">
        <f>Def[[#This Row],[value]]-_xlfn.XLOOKUP($D$282,Def[Value Rk],Def[value],,-1)</f>
        <v>218.42405474360484</v>
      </c>
    </row>
    <row r="39" spans="1:11" x14ac:dyDescent="0.25">
      <c r="A39" t="s">
        <v>296</v>
      </c>
      <c r="B39">
        <v>26</v>
      </c>
      <c r="C39" t="s">
        <v>3</v>
      </c>
      <c r="D39" s="57"/>
      <c r="E39" s="56"/>
      <c r="F39" t="s">
        <v>23</v>
      </c>
      <c r="I39" s="10">
        <f>INDEX(Std[],MATCH(Def[[#This Row],[Player]],Std[Player],0),20)</f>
        <v>325.99540251079867</v>
      </c>
      <c r="J39">
        <f>_xlfn.RANK.EQ(Def[[#This Row],[value]],Def[value])</f>
        <v>37</v>
      </c>
      <c r="K39" s="10">
        <f>Def[[#This Row],[value]]-_xlfn.XLOOKUP($D$282,Def[Value Rk],Def[value],,-1)</f>
        <v>218.63063479133419</v>
      </c>
    </row>
    <row r="40" spans="1:11" x14ac:dyDescent="0.25">
      <c r="A40" t="s">
        <v>379</v>
      </c>
      <c r="B40">
        <v>36</v>
      </c>
      <c r="C40" t="s">
        <v>3</v>
      </c>
      <c r="D40" s="57"/>
      <c r="E40" s="57"/>
      <c r="F40" t="s">
        <v>6</v>
      </c>
      <c r="I40" s="10">
        <f>INDEX(Std[],MATCH(Def[[#This Row],[Player]],Std[Player],0),20)</f>
        <v>321.57377469071434</v>
      </c>
      <c r="J40">
        <f>_xlfn.RANK.EQ(Def[[#This Row],[value]],Def[value])</f>
        <v>39</v>
      </c>
      <c r="K40" s="10">
        <f>Def[[#This Row],[value]]-_xlfn.XLOOKUP($D$282,Def[Value Rk],Def[value],,-1)</f>
        <v>214.20900697124986</v>
      </c>
    </row>
    <row r="41" spans="1:11" x14ac:dyDescent="0.25">
      <c r="A41" t="s">
        <v>282</v>
      </c>
      <c r="B41">
        <v>28</v>
      </c>
      <c r="C41" t="s">
        <v>3</v>
      </c>
      <c r="D41" s="57"/>
      <c r="E41" s="56"/>
      <c r="F41" t="s">
        <v>9</v>
      </c>
      <c r="I41" s="10">
        <f>INDEX(Std[],MATCH(Def[[#This Row],[Player]],Std[Player],0),20)</f>
        <v>327.63845375950149</v>
      </c>
      <c r="J41">
        <f>_xlfn.RANK.EQ(Def[[#This Row],[value]],Def[value])</f>
        <v>36</v>
      </c>
      <c r="K41" s="10">
        <f>Def[[#This Row],[value]]-_xlfn.XLOOKUP($D$282,Def[Value Rk],Def[value],,-1)</f>
        <v>220.27368604003701</v>
      </c>
    </row>
    <row r="42" spans="1:11" x14ac:dyDescent="0.25">
      <c r="A42" t="s">
        <v>284</v>
      </c>
      <c r="B42">
        <v>29</v>
      </c>
      <c r="C42" t="s">
        <v>3</v>
      </c>
      <c r="D42" s="57"/>
      <c r="E42" s="56"/>
      <c r="F42" t="s">
        <v>6</v>
      </c>
      <c r="I42" s="10">
        <f>INDEX(Std[],MATCH(Def[[#This Row],[Player]],Std[Player],0),20)</f>
        <v>301.41780829254009</v>
      </c>
      <c r="J42">
        <f>_xlfn.RANK.EQ(Def[[#This Row],[value]],Def[value])</f>
        <v>43</v>
      </c>
      <c r="K42" s="10">
        <f>Def[[#This Row],[value]]-_xlfn.XLOOKUP($D$282,Def[Value Rk],Def[value],,-1)</f>
        <v>194.05304057307561</v>
      </c>
    </row>
    <row r="43" spans="1:11" x14ac:dyDescent="0.25">
      <c r="A43" t="s">
        <v>323</v>
      </c>
      <c r="B43">
        <v>28</v>
      </c>
      <c r="C43" t="s">
        <v>3</v>
      </c>
      <c r="D43" s="57"/>
      <c r="E43" s="57"/>
      <c r="F43" t="s">
        <v>28</v>
      </c>
      <c r="I43" s="10">
        <f>INDEX(Std[],MATCH(Def[[#This Row],[Player]],Std[Player],0),20)</f>
        <v>310.93531854713422</v>
      </c>
      <c r="J43">
        <f>_xlfn.RANK.EQ(Def[[#This Row],[value]],Def[value])</f>
        <v>41</v>
      </c>
      <c r="K43" s="10">
        <f>Def[[#This Row],[value]]-_xlfn.XLOOKUP($D$282,Def[Value Rk],Def[value],,-1)</f>
        <v>203.57055082766973</v>
      </c>
    </row>
    <row r="44" spans="1:11" x14ac:dyDescent="0.25">
      <c r="A44" t="s">
        <v>431</v>
      </c>
      <c r="B44">
        <v>25</v>
      </c>
      <c r="C44" t="s">
        <v>3</v>
      </c>
      <c r="D44" s="57"/>
      <c r="E44" s="56"/>
      <c r="F44" t="s">
        <v>15</v>
      </c>
      <c r="I44" s="10">
        <f>INDEX(Std[],MATCH(Def[[#This Row],[Player]],Std[Player],0),20)</f>
        <v>230.35745289500449</v>
      </c>
      <c r="J44">
        <f>_xlfn.RANK.EQ(Def[[#This Row],[value]],Def[value])</f>
        <v>46</v>
      </c>
      <c r="K44" s="10">
        <f>Def[[#This Row],[value]]-_xlfn.XLOOKUP($D$282,Def[Value Rk],Def[value],,-1)</f>
        <v>122.99268517554</v>
      </c>
    </row>
    <row r="45" spans="1:11" x14ac:dyDescent="0.25">
      <c r="A45" t="s">
        <v>367</v>
      </c>
      <c r="B45">
        <v>30</v>
      </c>
      <c r="C45" t="s">
        <v>3</v>
      </c>
      <c r="D45" s="57"/>
      <c r="E45" s="57"/>
      <c r="F45" t="s">
        <v>12</v>
      </c>
      <c r="I45" s="10">
        <f>INDEX(Std[],MATCH(Def[[#This Row],[Player]],Std[Player],0),20)</f>
        <v>240.29633761741019</v>
      </c>
      <c r="J45">
        <f>_xlfn.RANK.EQ(Def[[#This Row],[value]],Def[value])</f>
        <v>45</v>
      </c>
      <c r="K45" s="10">
        <f>Def[[#This Row],[value]]-_xlfn.XLOOKUP($D$282,Def[Value Rk],Def[value],,-1)</f>
        <v>132.93156989794571</v>
      </c>
    </row>
    <row r="46" spans="1:11" x14ac:dyDescent="0.25">
      <c r="A46" t="s">
        <v>700</v>
      </c>
      <c r="B46">
        <v>32</v>
      </c>
      <c r="C46" t="s">
        <v>3</v>
      </c>
      <c r="D46" s="57"/>
      <c r="E46" s="56"/>
      <c r="F46" t="s">
        <v>7</v>
      </c>
      <c r="I46" s="10">
        <f>INDEX(Std[],MATCH(Def[[#This Row],[Player]],Std[Player],0),20)</f>
        <v>247.51294151819928</v>
      </c>
      <c r="J46">
        <f>_xlfn.RANK.EQ(Def[[#This Row],[value]],Def[value])</f>
        <v>44</v>
      </c>
      <c r="K46" s="10">
        <f>Def[[#This Row],[value]]-_xlfn.XLOOKUP($D$282,Def[Value Rk],Def[value],,-1)</f>
        <v>140.1481737987348</v>
      </c>
    </row>
    <row r="47" spans="1:11" x14ac:dyDescent="0.25">
      <c r="A47" t="s">
        <v>346</v>
      </c>
      <c r="B47">
        <v>32</v>
      </c>
      <c r="C47" t="s">
        <v>3</v>
      </c>
      <c r="D47" s="57"/>
      <c r="E47" s="56"/>
      <c r="F47" t="s">
        <v>11</v>
      </c>
      <c r="I47" s="10">
        <f>INDEX(Std[],MATCH(Def[[#This Row],[Player]],Std[Player],0),20)</f>
        <v>215.57373951458243</v>
      </c>
      <c r="J47">
        <f>_xlfn.RANK.EQ(Def[[#This Row],[value]],Def[value])</f>
        <v>48</v>
      </c>
      <c r="K47" s="10">
        <f>Def[[#This Row],[value]]-_xlfn.XLOOKUP($D$282,Def[Value Rk],Def[value],,-1)</f>
        <v>108.20897179511795</v>
      </c>
    </row>
    <row r="48" spans="1:11" x14ac:dyDescent="0.25">
      <c r="A48" t="s">
        <v>384</v>
      </c>
      <c r="B48">
        <v>27</v>
      </c>
      <c r="C48" t="s">
        <v>3</v>
      </c>
      <c r="D48" s="57"/>
      <c r="E48" s="56"/>
      <c r="F48" t="s">
        <v>22</v>
      </c>
      <c r="I48" s="10">
        <f>INDEX(Std[],MATCH(Def[[#This Row],[Player]],Std[Player],0),20)</f>
        <v>208.09469735752742</v>
      </c>
      <c r="J48">
        <f>_xlfn.RANK.EQ(Def[[#This Row],[value]],Def[value])</f>
        <v>49</v>
      </c>
      <c r="K48" s="10">
        <f>Def[[#This Row],[value]]-_xlfn.XLOOKUP($D$282,Def[Value Rk],Def[value],,-1)</f>
        <v>100.72992963806294</v>
      </c>
    </row>
    <row r="49" spans="1:11" x14ac:dyDescent="0.25">
      <c r="A49" t="s">
        <v>394</v>
      </c>
      <c r="B49">
        <v>26</v>
      </c>
      <c r="C49" t="s">
        <v>3</v>
      </c>
      <c r="D49" s="57"/>
      <c r="E49" s="57"/>
      <c r="F49" t="s">
        <v>8</v>
      </c>
      <c r="I49" s="10">
        <f>INDEX(Std[],MATCH(Def[[#This Row],[Player]],Std[Player],0),20)</f>
        <v>221.84449374216254</v>
      </c>
      <c r="J49">
        <f>_xlfn.RANK.EQ(Def[[#This Row],[value]],Def[value])</f>
        <v>47</v>
      </c>
      <c r="K49" s="10">
        <f>Def[[#This Row],[value]]-_xlfn.XLOOKUP($D$282,Def[Value Rk],Def[value],,-1)</f>
        <v>114.47972602269806</v>
      </c>
    </row>
    <row r="50" spans="1:11" x14ac:dyDescent="0.25">
      <c r="A50" t="s">
        <v>368</v>
      </c>
      <c r="B50">
        <v>33</v>
      </c>
      <c r="C50" t="s">
        <v>3</v>
      </c>
      <c r="D50" s="57"/>
      <c r="E50" s="57"/>
      <c r="F50" t="s">
        <v>8</v>
      </c>
      <c r="I50" s="10">
        <f>INDEX(Std[],MATCH(Def[[#This Row],[Player]],Std[Player],0),20)</f>
        <v>196.40611063926843</v>
      </c>
      <c r="J50">
        <f>_xlfn.RANK.EQ(Def[[#This Row],[value]],Def[value])</f>
        <v>52</v>
      </c>
      <c r="K50" s="10">
        <f>Def[[#This Row],[value]]-_xlfn.XLOOKUP($D$282,Def[Value Rk],Def[value],,-1)</f>
        <v>89.041342919803952</v>
      </c>
    </row>
    <row r="51" spans="1:11" x14ac:dyDescent="0.25">
      <c r="A51" t="s">
        <v>261</v>
      </c>
      <c r="B51">
        <v>22</v>
      </c>
      <c r="C51" t="s">
        <v>3</v>
      </c>
      <c r="D51" s="57"/>
      <c r="E51" s="57"/>
      <c r="F51" t="s">
        <v>11</v>
      </c>
      <c r="I51" s="10">
        <f>INDEX(Std[],MATCH(Def[[#This Row],[Player]],Std[Player],0),20)</f>
        <v>206.47243139811539</v>
      </c>
      <c r="J51">
        <f>_xlfn.RANK.EQ(Def[[#This Row],[value]],Def[value])</f>
        <v>50</v>
      </c>
      <c r="K51" s="10">
        <f>Def[[#This Row],[value]]-_xlfn.XLOOKUP($D$282,Def[Value Rk],Def[value],,-1)</f>
        <v>99.107663678650908</v>
      </c>
    </row>
    <row r="52" spans="1:11" x14ac:dyDescent="0.25">
      <c r="A52" t="s">
        <v>880</v>
      </c>
      <c r="B52">
        <v>29</v>
      </c>
      <c r="C52" t="s">
        <v>3</v>
      </c>
      <c r="D52" s="57"/>
      <c r="E52" s="57"/>
      <c r="F52" t="s">
        <v>13</v>
      </c>
      <c r="I52" s="10">
        <f>INDEX(Std[],MATCH(Def[[#This Row],[Player]],Std[Player],0),20)</f>
        <v>202.28575407240385</v>
      </c>
      <c r="J52">
        <f>_xlfn.RANK.EQ(Def[[#This Row],[value]],Def[value])</f>
        <v>51</v>
      </c>
      <c r="K52" s="10">
        <f>Def[[#This Row],[value]]-_xlfn.XLOOKUP($D$282,Def[Value Rk],Def[value],,-1)</f>
        <v>94.920986352939366</v>
      </c>
    </row>
    <row r="53" spans="1:11" x14ac:dyDescent="0.25">
      <c r="A53" t="s">
        <v>610</v>
      </c>
      <c r="B53">
        <v>32</v>
      </c>
      <c r="C53" t="s">
        <v>3</v>
      </c>
      <c r="D53" s="57"/>
      <c r="E53" s="57"/>
      <c r="F53" t="s">
        <v>2</v>
      </c>
      <c r="I53" s="10">
        <f>INDEX(Std[],MATCH(Def[[#This Row],[Player]],Std[Player],0),20)</f>
        <v>164.90401091108384</v>
      </c>
      <c r="J53">
        <f>_xlfn.RANK.EQ(Def[[#This Row],[value]],Def[value])</f>
        <v>55</v>
      </c>
      <c r="K53" s="10">
        <f>Def[[#This Row],[value]]-_xlfn.XLOOKUP($D$282,Def[Value Rk],Def[value],,-1)</f>
        <v>57.539243191619363</v>
      </c>
    </row>
    <row r="54" spans="1:11" x14ac:dyDescent="0.25">
      <c r="A54" t="s">
        <v>376</v>
      </c>
      <c r="B54">
        <v>32</v>
      </c>
      <c r="C54" t="s">
        <v>3</v>
      </c>
      <c r="D54" s="57"/>
      <c r="E54" s="57"/>
      <c r="F54" t="s">
        <v>34</v>
      </c>
      <c r="I54" s="10">
        <f>INDEX(Std[],MATCH(Def[[#This Row],[Player]],Std[Player],0),20)</f>
        <v>179.68005042737931</v>
      </c>
      <c r="J54">
        <f>_xlfn.RANK.EQ(Def[[#This Row],[value]],Def[value])</f>
        <v>53</v>
      </c>
      <c r="K54" s="10">
        <f>Def[[#This Row],[value]]-_xlfn.XLOOKUP($D$282,Def[Value Rk],Def[value],,-1)</f>
        <v>72.315282707914832</v>
      </c>
    </row>
    <row r="55" spans="1:11" x14ac:dyDescent="0.25">
      <c r="A55" t="s">
        <v>365</v>
      </c>
      <c r="B55">
        <v>32</v>
      </c>
      <c r="C55" t="s">
        <v>3</v>
      </c>
      <c r="D55" s="57"/>
      <c r="E55" s="56"/>
      <c r="F55" t="s">
        <v>23</v>
      </c>
      <c r="I55" s="10">
        <f>INDEX(Std[],MATCH(Def[[#This Row],[Player]],Std[Player],0),20)</f>
        <v>166.94000532620032</v>
      </c>
      <c r="J55">
        <f>_xlfn.RANK.EQ(Def[[#This Row],[value]],Def[value])</f>
        <v>54</v>
      </c>
      <c r="K55" s="10">
        <f>Def[[#This Row],[value]]-_xlfn.XLOOKUP($D$282,Def[Value Rk],Def[value],,-1)</f>
        <v>59.57523760673584</v>
      </c>
    </row>
    <row r="56" spans="1:11" x14ac:dyDescent="0.25">
      <c r="A56" t="s">
        <v>411</v>
      </c>
      <c r="B56">
        <v>33</v>
      </c>
      <c r="C56" t="s">
        <v>3</v>
      </c>
      <c r="D56" s="57"/>
      <c r="E56" s="57"/>
      <c r="F56" t="s">
        <v>28</v>
      </c>
      <c r="I56" s="10">
        <f>INDEX(Std[],MATCH(Def[[#This Row],[Player]],Std[Player],0),20)</f>
        <v>159.02285760073545</v>
      </c>
      <c r="J56">
        <f>_xlfn.RANK.EQ(Def[[#This Row],[value]],Def[value])</f>
        <v>56</v>
      </c>
      <c r="K56" s="10">
        <f>Def[[#This Row],[value]]-_xlfn.XLOOKUP($D$282,Def[Value Rk],Def[value],,-1)</f>
        <v>51.658089881270968</v>
      </c>
    </row>
    <row r="57" spans="1:11" x14ac:dyDescent="0.25">
      <c r="A57" t="s">
        <v>946</v>
      </c>
      <c r="B57">
        <v>32</v>
      </c>
      <c r="C57" t="s">
        <v>3</v>
      </c>
      <c r="D57" s="57"/>
      <c r="E57" s="56"/>
      <c r="F57" t="s">
        <v>14</v>
      </c>
      <c r="I57" s="10">
        <f>INDEX(Std[],MATCH(Def[[#This Row],[Player]],Std[Player],0),20)</f>
        <v>151.21206429598666</v>
      </c>
      <c r="J57">
        <f>_xlfn.RANK.EQ(Def[[#This Row],[value]],Def[value])</f>
        <v>57</v>
      </c>
      <c r="K57" s="10">
        <f>Def[[#This Row],[value]]-_xlfn.XLOOKUP($D$282,Def[Value Rk],Def[value],,-1)</f>
        <v>43.847296576522183</v>
      </c>
    </row>
    <row r="58" spans="1:11" x14ac:dyDescent="0.25">
      <c r="A58" t="s">
        <v>1073</v>
      </c>
      <c r="B58">
        <v>29</v>
      </c>
      <c r="C58" t="s">
        <v>3</v>
      </c>
      <c r="D58" s="57"/>
      <c r="E58" s="56"/>
      <c r="F58" t="s">
        <v>34</v>
      </c>
      <c r="I58" s="10">
        <f>INDEX(Std[],MATCH(Def[[#This Row],[Player]],Std[Player],0),20)</f>
        <v>-234.2150957247953</v>
      </c>
      <c r="J58">
        <f>_xlfn.RANK.EQ(Def[[#This Row],[value]],Def[value])</f>
        <v>155</v>
      </c>
      <c r="K58" s="10">
        <f>Def[[#This Row],[value]]-_xlfn.XLOOKUP($D$282,Def[Value Rk],Def[value],,-1)</f>
        <v>-341.57986344425979</v>
      </c>
    </row>
    <row r="59" spans="1:11" x14ac:dyDescent="0.25">
      <c r="A59" t="s">
        <v>433</v>
      </c>
      <c r="B59">
        <v>32</v>
      </c>
      <c r="C59" t="s">
        <v>3</v>
      </c>
      <c r="D59" s="57"/>
      <c r="E59" s="57"/>
      <c r="F59" t="s">
        <v>5</v>
      </c>
      <c r="I59" s="10">
        <f>INDEX(Std[],MATCH(Def[[#This Row],[Player]],Std[Player],0),20)</f>
        <v>150.8965012103267</v>
      </c>
      <c r="J59">
        <f>_xlfn.RANK.EQ(Def[[#This Row],[value]],Def[value])</f>
        <v>58</v>
      </c>
      <c r="K59" s="10">
        <f>Def[[#This Row],[value]]-_xlfn.XLOOKUP($D$282,Def[Value Rk],Def[value],,-1)</f>
        <v>43.531733490862223</v>
      </c>
    </row>
    <row r="60" spans="1:11" x14ac:dyDescent="0.25">
      <c r="A60" t="s">
        <v>351</v>
      </c>
      <c r="B60">
        <v>27</v>
      </c>
      <c r="C60" t="s">
        <v>3</v>
      </c>
      <c r="D60" s="57"/>
      <c r="E60" s="57"/>
      <c r="F60" t="s">
        <v>31</v>
      </c>
      <c r="I60" s="10">
        <f>INDEX(Std[],MATCH(Def[[#This Row],[Player]],Std[Player],0),20)</f>
        <v>141.84815456595146</v>
      </c>
      <c r="J60">
        <f>_xlfn.RANK.EQ(Def[[#This Row],[value]],Def[value])</f>
        <v>60</v>
      </c>
      <c r="K60" s="10">
        <f>Def[[#This Row],[value]]-_xlfn.XLOOKUP($D$282,Def[Value Rk],Def[value],,-1)</f>
        <v>34.483386846486979</v>
      </c>
    </row>
    <row r="61" spans="1:11" x14ac:dyDescent="0.25">
      <c r="A61" t="s">
        <v>400</v>
      </c>
      <c r="B61">
        <v>30</v>
      </c>
      <c r="C61" t="s">
        <v>3</v>
      </c>
      <c r="D61" s="57"/>
      <c r="E61" s="57"/>
      <c r="F61" t="s">
        <v>14</v>
      </c>
      <c r="I61" s="10">
        <f>INDEX(Std[],MATCH(Def[[#This Row],[Player]],Std[Player],0),20)</f>
        <v>136.62170404033145</v>
      </c>
      <c r="J61">
        <f>_xlfn.RANK.EQ(Def[[#This Row],[value]],Def[value])</f>
        <v>61</v>
      </c>
      <c r="K61" s="10">
        <f>Def[[#This Row],[value]]-_xlfn.XLOOKUP($D$282,Def[Value Rk],Def[value],,-1)</f>
        <v>29.25693632086697</v>
      </c>
    </row>
    <row r="62" spans="1:11" x14ac:dyDescent="0.25">
      <c r="A62" t="s">
        <v>408</v>
      </c>
      <c r="B62">
        <v>22</v>
      </c>
      <c r="C62" t="s">
        <v>3</v>
      </c>
      <c r="D62" s="57"/>
      <c r="E62" s="56"/>
      <c r="F62" t="s">
        <v>6</v>
      </c>
      <c r="I62" s="10">
        <f>INDEX(Std[],MATCH(Def[[#This Row],[Player]],Std[Player],0),20)</f>
        <v>111.60707867868295</v>
      </c>
      <c r="J62">
        <f>_xlfn.RANK.EQ(Def[[#This Row],[value]],Def[value])</f>
        <v>67</v>
      </c>
      <c r="K62" s="10">
        <f>Def[[#This Row],[value]]-_xlfn.XLOOKUP($D$282,Def[Value Rk],Def[value],,-1)</f>
        <v>4.2423109592184716</v>
      </c>
    </row>
    <row r="63" spans="1:11" x14ac:dyDescent="0.25">
      <c r="A63" t="s">
        <v>915</v>
      </c>
      <c r="B63">
        <v>21</v>
      </c>
      <c r="C63" t="s">
        <v>3</v>
      </c>
      <c r="D63" s="57"/>
      <c r="E63" s="57"/>
      <c r="F63" t="s">
        <v>15</v>
      </c>
      <c r="I63" s="10">
        <f>INDEX(Std[],MATCH(Def[[#This Row],[Player]],Std[Player],0),20)</f>
        <v>130.66015944244049</v>
      </c>
      <c r="J63">
        <f>_xlfn.RANK.EQ(Def[[#This Row],[value]],Def[value])</f>
        <v>62</v>
      </c>
      <c r="K63" s="10">
        <f>Def[[#This Row],[value]]-_xlfn.XLOOKUP($D$282,Def[Value Rk],Def[value],,-1)</f>
        <v>23.295391722976007</v>
      </c>
    </row>
    <row r="64" spans="1:11" x14ac:dyDescent="0.25">
      <c r="A64" t="s">
        <v>361</v>
      </c>
      <c r="B64">
        <v>30</v>
      </c>
      <c r="C64" t="s">
        <v>3</v>
      </c>
      <c r="D64" s="57"/>
      <c r="E64" s="57"/>
      <c r="F64" t="s">
        <v>2</v>
      </c>
      <c r="I64" s="10">
        <f>INDEX(Std[],MATCH(Def[[#This Row],[Player]],Std[Player],0),20)</f>
        <v>129.19358831189865</v>
      </c>
      <c r="J64">
        <f>_xlfn.RANK.EQ(Def[[#This Row],[value]],Def[value])</f>
        <v>63</v>
      </c>
      <c r="K64" s="10">
        <f>Def[[#This Row],[value]]-_xlfn.XLOOKUP($D$282,Def[Value Rk],Def[value],,-1)</f>
        <v>21.82882059243417</v>
      </c>
    </row>
    <row r="65" spans="1:11" x14ac:dyDescent="0.25">
      <c r="A65" t="s">
        <v>421</v>
      </c>
      <c r="B65">
        <v>31</v>
      </c>
      <c r="C65" t="s">
        <v>3</v>
      </c>
      <c r="D65" s="57"/>
      <c r="E65" s="56"/>
      <c r="F65" t="s">
        <v>20</v>
      </c>
      <c r="I65" s="10">
        <f>INDEX(Std[],MATCH(Def[[#This Row],[Player]],Std[Player],0),20)</f>
        <v>116.39084778986914</v>
      </c>
      <c r="J65">
        <f>_xlfn.RANK.EQ(Def[[#This Row],[value]],Def[value])</f>
        <v>65</v>
      </c>
      <c r="K65" s="10">
        <f>Def[[#This Row],[value]]-_xlfn.XLOOKUP($D$282,Def[Value Rk],Def[value],,-1)</f>
        <v>9.0260800704046602</v>
      </c>
    </row>
    <row r="66" spans="1:11" x14ac:dyDescent="0.25">
      <c r="A66" t="s">
        <v>338</v>
      </c>
      <c r="B66">
        <v>33</v>
      </c>
      <c r="C66" t="s">
        <v>3</v>
      </c>
      <c r="D66" s="57"/>
      <c r="E66" s="57"/>
      <c r="F66" t="s">
        <v>9</v>
      </c>
      <c r="I66" s="10">
        <f>INDEX(Std[],MATCH(Def[[#This Row],[Player]],Std[Player],0),20)</f>
        <v>123.17963003406651</v>
      </c>
      <c r="J66">
        <f>_xlfn.RANK.EQ(Def[[#This Row],[value]],Def[value])</f>
        <v>64</v>
      </c>
      <c r="K66" s="10">
        <f>Def[[#This Row],[value]]-_xlfn.XLOOKUP($D$282,Def[Value Rk],Def[value],,-1)</f>
        <v>15.814862314602024</v>
      </c>
    </row>
    <row r="67" spans="1:11" x14ac:dyDescent="0.25">
      <c r="A67" t="s">
        <v>325</v>
      </c>
      <c r="B67">
        <v>30</v>
      </c>
      <c r="C67" t="s">
        <v>3</v>
      </c>
      <c r="D67" s="57"/>
      <c r="E67" s="56"/>
      <c r="F67" t="s">
        <v>21</v>
      </c>
      <c r="I67" s="10">
        <f>INDEX(Std[],MATCH(Def[[#This Row],[Player]],Std[Player],0),20)</f>
        <v>115.25400537259729</v>
      </c>
      <c r="J67">
        <f>_xlfn.RANK.EQ(Def[[#This Row],[value]],Def[value])</f>
        <v>66</v>
      </c>
      <c r="K67" s="10">
        <f>Def[[#This Row],[value]]-_xlfn.XLOOKUP($D$282,Def[Value Rk],Def[value],,-1)</f>
        <v>7.8892376531328097</v>
      </c>
    </row>
    <row r="68" spans="1:11" x14ac:dyDescent="0.25">
      <c r="A68" t="s">
        <v>428</v>
      </c>
      <c r="B68">
        <v>27</v>
      </c>
      <c r="C68" t="s">
        <v>3</v>
      </c>
      <c r="D68" s="57"/>
      <c r="E68" s="57"/>
      <c r="F68" t="s">
        <v>23</v>
      </c>
      <c r="I68" s="10">
        <f>INDEX(Std[],MATCH(Def[[#This Row],[Player]],Std[Player],0),20)</f>
        <v>109.83516629187535</v>
      </c>
      <c r="J68">
        <f>_xlfn.RANK.EQ(Def[[#This Row],[value]],Def[value])</f>
        <v>68</v>
      </c>
      <c r="K68" s="10">
        <f>Def[[#This Row],[value]]-_xlfn.XLOOKUP($D$282,Def[Value Rk],Def[value],,-1)</f>
        <v>2.4703985724108719</v>
      </c>
    </row>
    <row r="69" spans="1:11" x14ac:dyDescent="0.25">
      <c r="A69" t="s">
        <v>908</v>
      </c>
      <c r="B69">
        <v>29</v>
      </c>
      <c r="C69" t="s">
        <v>3</v>
      </c>
      <c r="D69" s="57"/>
      <c r="E69" s="57"/>
      <c r="F69" t="s">
        <v>8</v>
      </c>
      <c r="I69" s="10">
        <f>INDEX(Std[],MATCH(Def[[#This Row],[Player]],Std[Player],0),20)</f>
        <v>107.78889036051677</v>
      </c>
      <c r="J69">
        <f>_xlfn.RANK.EQ(Def[[#This Row],[value]],Def[value])</f>
        <v>69</v>
      </c>
      <c r="K69" s="10">
        <f>Def[[#This Row],[value]]-_xlfn.XLOOKUP($D$282,Def[Value Rk],Def[value],,-1)</f>
        <v>0.42412264105229269</v>
      </c>
    </row>
    <row r="70" spans="1:11" x14ac:dyDescent="0.25">
      <c r="A70" t="s">
        <v>454</v>
      </c>
      <c r="B70">
        <v>29</v>
      </c>
      <c r="C70" t="s">
        <v>3</v>
      </c>
      <c r="D70" s="57"/>
      <c r="E70" s="57"/>
      <c r="F70" t="s">
        <v>23</v>
      </c>
      <c r="I70" s="10">
        <f>INDEX(Std[],MATCH(Def[[#This Row],[Player]],Std[Player],0),20)</f>
        <v>107.36476771946448</v>
      </c>
      <c r="J70">
        <f>_xlfn.RANK.EQ(Def[[#This Row],[value]],Def[value])</f>
        <v>70</v>
      </c>
      <c r="K70" s="10">
        <f>Def[[#This Row],[value]]-_xlfn.XLOOKUP($D$282,Def[Value Rk],Def[value],,-1)</f>
        <v>0</v>
      </c>
    </row>
    <row r="71" spans="1:11" x14ac:dyDescent="0.25">
      <c r="A71" t="s">
        <v>871</v>
      </c>
      <c r="B71">
        <v>26</v>
      </c>
      <c r="C71" t="s">
        <v>3</v>
      </c>
      <c r="D71" s="57"/>
      <c r="E71" s="57"/>
      <c r="F71" t="s">
        <v>7</v>
      </c>
      <c r="I71" s="10">
        <f>INDEX(Std[],MATCH(Def[[#This Row],[Player]],Std[Player],0),20)</f>
        <v>92.689082523297145</v>
      </c>
      <c r="J71">
        <f>_xlfn.RANK.EQ(Def[[#This Row],[value]],Def[value])</f>
        <v>71</v>
      </c>
      <c r="K71" s="10">
        <f>Def[[#This Row],[value]]-_xlfn.XLOOKUP($D$282,Def[Value Rk],Def[value],,-1)</f>
        <v>-14.675685196167336</v>
      </c>
    </row>
    <row r="72" spans="1:11" x14ac:dyDescent="0.25">
      <c r="A72" t="s">
        <v>403</v>
      </c>
      <c r="B72">
        <v>25</v>
      </c>
      <c r="C72" t="s">
        <v>3</v>
      </c>
      <c r="D72" s="57"/>
      <c r="E72" s="57"/>
      <c r="F72" t="s">
        <v>23</v>
      </c>
      <c r="I72" s="10">
        <f>INDEX(Std[],MATCH(Def[[#This Row],[Player]],Std[Player],0),20)</f>
        <v>-99.948075313593861</v>
      </c>
      <c r="J72">
        <f>_xlfn.RANK.EQ(Def[[#This Row],[value]],Def[value])</f>
        <v>113</v>
      </c>
      <c r="K72" s="10">
        <f>Def[[#This Row],[value]]-_xlfn.XLOOKUP($D$282,Def[Value Rk],Def[value],,-1)</f>
        <v>-207.31284303305836</v>
      </c>
    </row>
    <row r="73" spans="1:11" x14ac:dyDescent="0.25">
      <c r="A73" t="s">
        <v>624</v>
      </c>
      <c r="B73">
        <v>30</v>
      </c>
      <c r="C73" t="s">
        <v>3</v>
      </c>
      <c r="D73" s="57"/>
      <c r="E73" s="57"/>
      <c r="F73" t="s">
        <v>30</v>
      </c>
      <c r="I73" s="10">
        <f>INDEX(Std[],MATCH(Def[[#This Row],[Player]],Std[Player],0),20)</f>
        <v>86.388608428023389</v>
      </c>
      <c r="J73">
        <f>_xlfn.RANK.EQ(Def[[#This Row],[value]],Def[value])</f>
        <v>72</v>
      </c>
      <c r="K73" s="10">
        <f>Def[[#This Row],[value]]-_xlfn.XLOOKUP($D$282,Def[Value Rk],Def[value],,-1)</f>
        <v>-20.976159291441093</v>
      </c>
    </row>
    <row r="74" spans="1:11" x14ac:dyDescent="0.25">
      <c r="A74" t="s">
        <v>777</v>
      </c>
      <c r="B74">
        <v>24</v>
      </c>
      <c r="C74" t="s">
        <v>3</v>
      </c>
      <c r="D74" s="57"/>
      <c r="E74" s="56"/>
      <c r="F74" t="s">
        <v>29</v>
      </c>
      <c r="I74" s="10">
        <f>INDEX(Std[],MATCH(Def[[#This Row],[Player]],Std[Player],0),20)</f>
        <v>62.339257796643544</v>
      </c>
      <c r="J74">
        <f>_xlfn.RANK.EQ(Def[[#This Row],[value]],Def[value])</f>
        <v>74</v>
      </c>
      <c r="K74" s="10">
        <f>Def[[#This Row],[value]]-_xlfn.XLOOKUP($D$282,Def[Value Rk],Def[value],,-1)</f>
        <v>-45.025509922820937</v>
      </c>
    </row>
    <row r="75" spans="1:11" x14ac:dyDescent="0.25">
      <c r="A75" t="s">
        <v>489</v>
      </c>
      <c r="B75">
        <v>28</v>
      </c>
      <c r="C75" t="s">
        <v>3</v>
      </c>
      <c r="D75" s="57"/>
      <c r="E75" s="56"/>
      <c r="F75" t="s">
        <v>155</v>
      </c>
      <c r="I75" s="10">
        <f>INDEX(Std[],MATCH(Def[[#This Row],[Player]],Std[Player],0),20)</f>
        <v>75.473432292657066</v>
      </c>
      <c r="J75">
        <f>_xlfn.RANK.EQ(Def[[#This Row],[value]],Def[value])</f>
        <v>73</v>
      </c>
      <c r="K75" s="10">
        <f>Def[[#This Row],[value]]-_xlfn.XLOOKUP($D$282,Def[Value Rk],Def[value],,-1)</f>
        <v>-31.891335426807416</v>
      </c>
    </row>
    <row r="76" spans="1:11" x14ac:dyDescent="0.25">
      <c r="A76" t="s">
        <v>415</v>
      </c>
      <c r="B76">
        <v>24</v>
      </c>
      <c r="C76" t="s">
        <v>3</v>
      </c>
      <c r="D76" s="57"/>
      <c r="E76" s="56"/>
      <c r="F76" t="s">
        <v>10</v>
      </c>
      <c r="I76" s="10">
        <f>INDEX(Std[],MATCH(Def[[#This Row],[Player]],Std[Player],0),20)</f>
        <v>58.405501009253499</v>
      </c>
      <c r="J76">
        <f>_xlfn.RANK.EQ(Def[[#This Row],[value]],Def[value])</f>
        <v>75</v>
      </c>
      <c r="K76" s="10">
        <f>Def[[#This Row],[value]]-_xlfn.XLOOKUP($D$282,Def[Value Rk],Def[value],,-1)</f>
        <v>-48.959266710210983</v>
      </c>
    </row>
    <row r="77" spans="1:11" x14ac:dyDescent="0.25">
      <c r="A77" t="s">
        <v>753</v>
      </c>
      <c r="B77">
        <v>35</v>
      </c>
      <c r="C77" t="s">
        <v>3</v>
      </c>
      <c r="D77" s="57"/>
      <c r="E77" s="56"/>
      <c r="F77" t="s">
        <v>12</v>
      </c>
      <c r="I77" s="10">
        <f>INDEX(Std[],MATCH(Def[[#This Row],[Player]],Std[Player],0),20)</f>
        <v>45.800994727743351</v>
      </c>
      <c r="J77">
        <f>_xlfn.RANK.EQ(Def[[#This Row],[value]],Def[value])</f>
        <v>76</v>
      </c>
      <c r="K77" s="10">
        <f>Def[[#This Row],[value]]-_xlfn.XLOOKUP($D$282,Def[Value Rk],Def[value],,-1)</f>
        <v>-61.56377299172113</v>
      </c>
    </row>
    <row r="78" spans="1:11" x14ac:dyDescent="0.25">
      <c r="A78" t="s">
        <v>925</v>
      </c>
      <c r="B78">
        <v>0</v>
      </c>
      <c r="C78" t="s">
        <v>3</v>
      </c>
      <c r="D78" s="57"/>
      <c r="E78" s="57"/>
      <c r="F78" t="s">
        <v>156</v>
      </c>
      <c r="I78" s="10">
        <f>INDEX(Std[],MATCH(Def[[#This Row],[Player]],Std[Player],0),20)</f>
        <v>35.62603110239926</v>
      </c>
      <c r="J78">
        <f>_xlfn.RANK.EQ(Def[[#This Row],[value]],Def[value])</f>
        <v>80</v>
      </c>
      <c r="K78" s="10">
        <f>Def[[#This Row],[value]]-_xlfn.XLOOKUP($D$282,Def[Value Rk],Def[value],,-1)</f>
        <v>-71.738736617065229</v>
      </c>
    </row>
    <row r="79" spans="1:11" x14ac:dyDescent="0.25">
      <c r="A79" t="s">
        <v>867</v>
      </c>
      <c r="B79">
        <v>0</v>
      </c>
      <c r="C79" t="s">
        <v>3</v>
      </c>
      <c r="D79" s="57"/>
      <c r="E79" s="57"/>
      <c r="I79" s="10">
        <f>INDEX(Std[],MATCH(Def[[#This Row],[Player]],Std[Player],0),20)</f>
        <v>38.176228506685518</v>
      </c>
      <c r="J79">
        <f>_xlfn.RANK.EQ(Def[[#This Row],[value]],Def[value])</f>
        <v>79</v>
      </c>
      <c r="K79" s="10">
        <f>Def[[#This Row],[value]]-_xlfn.XLOOKUP($D$282,Def[Value Rk],Def[value],,-1)</f>
        <v>-69.188539212778963</v>
      </c>
    </row>
    <row r="80" spans="1:11" x14ac:dyDescent="0.25">
      <c r="A80" t="s">
        <v>348</v>
      </c>
      <c r="B80">
        <v>33</v>
      </c>
      <c r="C80" t="s">
        <v>3</v>
      </c>
      <c r="D80" s="57"/>
      <c r="E80" s="57"/>
      <c r="F80" t="s">
        <v>15</v>
      </c>
      <c r="I80" s="10">
        <f>INDEX(Std[],MATCH(Def[[#This Row],[Player]],Std[Player],0),20)</f>
        <v>40.427875858152618</v>
      </c>
      <c r="J80">
        <f>_xlfn.RANK.EQ(Def[[#This Row],[value]],Def[value])</f>
        <v>78</v>
      </c>
      <c r="K80" s="10">
        <f>Def[[#This Row],[value]]-_xlfn.XLOOKUP($D$282,Def[Value Rk],Def[value],,-1)</f>
        <v>-66.936891861311864</v>
      </c>
    </row>
    <row r="81" spans="1:11" x14ac:dyDescent="0.25">
      <c r="A81" t="s">
        <v>343</v>
      </c>
      <c r="B81">
        <v>31</v>
      </c>
      <c r="C81" t="s">
        <v>3</v>
      </c>
      <c r="D81" s="57"/>
      <c r="E81" s="57"/>
      <c r="F81" t="s">
        <v>17</v>
      </c>
      <c r="I81" s="10">
        <f>INDEX(Std[],MATCH(Def[[#This Row],[Player]],Std[Player],0),20)</f>
        <v>6.1831144700348233</v>
      </c>
      <c r="J81">
        <f>_xlfn.RANK.EQ(Def[[#This Row],[value]],Def[value])</f>
        <v>85</v>
      </c>
      <c r="K81" s="10">
        <f>Def[[#This Row],[value]]-_xlfn.XLOOKUP($D$282,Def[Value Rk],Def[value],,-1)</f>
        <v>-101.18165324942966</v>
      </c>
    </row>
    <row r="82" spans="1:11" x14ac:dyDescent="0.25">
      <c r="A82" t="s">
        <v>877</v>
      </c>
      <c r="B82">
        <v>29</v>
      </c>
      <c r="C82" t="s">
        <v>3</v>
      </c>
      <c r="D82" s="57"/>
      <c r="E82" s="57"/>
      <c r="F82" t="s">
        <v>20</v>
      </c>
      <c r="I82" s="10">
        <f>INDEX(Std[],MATCH(Def[[#This Row],[Player]],Std[Player],0),20)</f>
        <v>-14.431467932420544</v>
      </c>
      <c r="J82">
        <f>_xlfn.RANK.EQ(Def[[#This Row],[value]],Def[value])</f>
        <v>92</v>
      </c>
      <c r="K82" s="10">
        <f>Def[[#This Row],[value]]-_xlfn.XLOOKUP($D$282,Def[Value Rk],Def[value],,-1)</f>
        <v>-121.79623565188503</v>
      </c>
    </row>
    <row r="83" spans="1:11" x14ac:dyDescent="0.25">
      <c r="A83" t="s">
        <v>334</v>
      </c>
      <c r="B83">
        <v>34</v>
      </c>
      <c r="C83" t="s">
        <v>3</v>
      </c>
      <c r="D83" s="57"/>
      <c r="E83" s="56"/>
      <c r="F83" t="s">
        <v>18</v>
      </c>
      <c r="I83" s="10">
        <f>INDEX(Std[],MATCH(Def[[#This Row],[Player]],Std[Player],0),20)</f>
        <v>44.396247124157576</v>
      </c>
      <c r="J83">
        <f>_xlfn.RANK.EQ(Def[[#This Row],[value]],Def[value])</f>
        <v>77</v>
      </c>
      <c r="K83" s="10">
        <f>Def[[#This Row],[value]]-_xlfn.XLOOKUP($D$282,Def[Value Rk],Def[value],,-1)</f>
        <v>-62.968520595306906</v>
      </c>
    </row>
    <row r="84" spans="1:11" x14ac:dyDescent="0.25">
      <c r="A84" t="s">
        <v>418</v>
      </c>
      <c r="B84">
        <v>27</v>
      </c>
      <c r="C84" t="s">
        <v>3</v>
      </c>
      <c r="D84" s="57"/>
      <c r="E84" s="57"/>
      <c r="F84" t="s">
        <v>25</v>
      </c>
      <c r="I84" s="10">
        <f>INDEX(Std[],MATCH(Def[[#This Row],[Player]],Std[Player],0),20)</f>
        <v>29.87047320517755</v>
      </c>
      <c r="J84">
        <f>_xlfn.RANK.EQ(Def[[#This Row],[value]],Def[value])</f>
        <v>81</v>
      </c>
      <c r="K84" s="10">
        <f>Def[[#This Row],[value]]-_xlfn.XLOOKUP($D$282,Def[Value Rk],Def[value],,-1)</f>
        <v>-77.494294514286935</v>
      </c>
    </row>
    <row r="85" spans="1:11" x14ac:dyDescent="0.25">
      <c r="A85" t="s">
        <v>1199</v>
      </c>
      <c r="B85">
        <v>24</v>
      </c>
      <c r="C85" t="s">
        <v>3</v>
      </c>
      <c r="D85" s="57"/>
      <c r="E85" s="57"/>
      <c r="F85" t="s">
        <v>20</v>
      </c>
      <c r="I85" s="10">
        <f>INDEX(Std[],MATCH(Def[[#This Row],[Player]],Std[Player],0),20)</f>
        <v>20.448517768674289</v>
      </c>
      <c r="J85">
        <f>_xlfn.RANK.EQ(Def[[#This Row],[value]],Def[value])</f>
        <v>82</v>
      </c>
      <c r="K85" s="10">
        <f>Def[[#This Row],[value]]-_xlfn.XLOOKUP($D$282,Def[Value Rk],Def[value],,-1)</f>
        <v>-86.916249950790188</v>
      </c>
    </row>
    <row r="86" spans="1:11" x14ac:dyDescent="0.25">
      <c r="A86" t="s">
        <v>588</v>
      </c>
      <c r="B86">
        <v>28</v>
      </c>
      <c r="C86" t="s">
        <v>3</v>
      </c>
      <c r="D86" s="57"/>
      <c r="E86" s="56"/>
      <c r="F86" t="s">
        <v>22</v>
      </c>
      <c r="I86" s="10">
        <f>INDEX(Std[],MATCH(Def[[#This Row],[Player]],Std[Player],0),20)</f>
        <v>18.38693543034924</v>
      </c>
      <c r="J86">
        <f>_xlfn.RANK.EQ(Def[[#This Row],[value]],Def[value])</f>
        <v>83</v>
      </c>
      <c r="K86" s="10">
        <f>Def[[#This Row],[value]]-_xlfn.XLOOKUP($D$282,Def[Value Rk],Def[value],,-1)</f>
        <v>-88.977832289115241</v>
      </c>
    </row>
    <row r="87" spans="1:11" x14ac:dyDescent="0.25">
      <c r="A87" t="s">
        <v>401</v>
      </c>
      <c r="B87">
        <v>29</v>
      </c>
      <c r="C87" t="s">
        <v>3</v>
      </c>
      <c r="D87" s="57"/>
      <c r="E87" s="56"/>
      <c r="F87" t="s">
        <v>34</v>
      </c>
      <c r="I87" s="10">
        <f>INDEX(Std[],MATCH(Def[[#This Row],[Player]],Std[Player],0),20)</f>
        <v>13.653530523404346</v>
      </c>
      <c r="J87">
        <f>_xlfn.RANK.EQ(Def[[#This Row],[value]],Def[value])</f>
        <v>84</v>
      </c>
      <c r="K87" s="10">
        <f>Def[[#This Row],[value]]-_xlfn.XLOOKUP($D$282,Def[Value Rk],Def[value],,-1)</f>
        <v>-93.711237196060139</v>
      </c>
    </row>
    <row r="88" spans="1:11" x14ac:dyDescent="0.25">
      <c r="A88" t="s">
        <v>560</v>
      </c>
      <c r="B88">
        <v>28</v>
      </c>
      <c r="C88" t="s">
        <v>3</v>
      </c>
      <c r="D88" s="57"/>
      <c r="E88" s="56"/>
      <c r="F88" t="s">
        <v>18</v>
      </c>
      <c r="I88" s="10">
        <f>INDEX(Std[],MATCH(Def[[#This Row],[Player]],Std[Player],0),20)</f>
        <v>1.6396033908940788</v>
      </c>
      <c r="J88">
        <f>_xlfn.RANK.EQ(Def[[#This Row],[value]],Def[value])</f>
        <v>86</v>
      </c>
      <c r="K88" s="10">
        <f>Def[[#This Row],[value]]-_xlfn.XLOOKUP($D$282,Def[Value Rk],Def[value],,-1)</f>
        <v>-105.7251643285704</v>
      </c>
    </row>
    <row r="89" spans="1:11" x14ac:dyDescent="0.25">
      <c r="A89" t="s">
        <v>305</v>
      </c>
      <c r="B89">
        <v>40</v>
      </c>
      <c r="C89" t="s">
        <v>3</v>
      </c>
      <c r="D89" s="57"/>
      <c r="E89" s="57"/>
      <c r="F89" t="s">
        <v>30</v>
      </c>
      <c r="I89" s="10">
        <f>INDEX(Std[],MATCH(Def[[#This Row],[Player]],Std[Player],0),20)</f>
        <v>-2.2428337559211196</v>
      </c>
      <c r="J89">
        <f>_xlfn.RANK.EQ(Def[[#This Row],[value]],Def[value])</f>
        <v>87</v>
      </c>
      <c r="K89" s="10">
        <f>Def[[#This Row],[value]]-_xlfn.XLOOKUP($D$282,Def[Value Rk],Def[value],,-1)</f>
        <v>-109.60760147538561</v>
      </c>
    </row>
    <row r="90" spans="1:11" x14ac:dyDescent="0.25">
      <c r="A90" t="s">
        <v>390</v>
      </c>
      <c r="B90">
        <v>28</v>
      </c>
      <c r="C90" t="s">
        <v>3</v>
      </c>
      <c r="D90" s="57"/>
      <c r="E90" s="56"/>
      <c r="F90" t="s">
        <v>25</v>
      </c>
      <c r="I90" s="10">
        <f>INDEX(Std[],MATCH(Def[[#This Row],[Player]],Std[Player],0),20)</f>
        <v>-3.9530960056567839</v>
      </c>
      <c r="J90">
        <f>_xlfn.RANK.EQ(Def[[#This Row],[value]],Def[value])</f>
        <v>88</v>
      </c>
      <c r="K90" s="10">
        <f>Def[[#This Row],[value]]-_xlfn.XLOOKUP($D$282,Def[Value Rk],Def[value],,-1)</f>
        <v>-111.31786372512127</v>
      </c>
    </row>
    <row r="91" spans="1:11" x14ac:dyDescent="0.25">
      <c r="A91" t="s">
        <v>509</v>
      </c>
      <c r="B91">
        <v>33</v>
      </c>
      <c r="C91" t="s">
        <v>3</v>
      </c>
      <c r="D91" s="57"/>
      <c r="E91" s="57"/>
      <c r="F91" t="s">
        <v>6</v>
      </c>
      <c r="I91" s="10">
        <f>INDEX(Std[],MATCH(Def[[#This Row],[Player]],Std[Player],0),20)</f>
        <v>-4.1908148479277072</v>
      </c>
      <c r="J91">
        <f>_xlfn.RANK.EQ(Def[[#This Row],[value]],Def[value])</f>
        <v>89</v>
      </c>
      <c r="K91" s="10">
        <f>Def[[#This Row],[value]]-_xlfn.XLOOKUP($D$282,Def[Value Rk],Def[value],,-1)</f>
        <v>-111.55558256739219</v>
      </c>
    </row>
    <row r="92" spans="1:11" x14ac:dyDescent="0.25">
      <c r="A92" t="s">
        <v>424</v>
      </c>
      <c r="B92">
        <v>33</v>
      </c>
      <c r="C92" t="s">
        <v>3</v>
      </c>
      <c r="D92" s="57"/>
      <c r="E92" s="56"/>
      <c r="F92" t="s">
        <v>16</v>
      </c>
      <c r="I92" s="10">
        <f>INDEX(Std[],MATCH(Def[[#This Row],[Player]],Std[Player],0),20)</f>
        <v>-7.8341928166067776</v>
      </c>
      <c r="J92">
        <f>_xlfn.RANK.EQ(Def[[#This Row],[value]],Def[value])</f>
        <v>90</v>
      </c>
      <c r="K92" s="10">
        <f>Def[[#This Row],[value]]-_xlfn.XLOOKUP($D$282,Def[Value Rk],Def[value],,-1)</f>
        <v>-115.19896053607125</v>
      </c>
    </row>
    <row r="93" spans="1:11" x14ac:dyDescent="0.25">
      <c r="A93" t="s">
        <v>459</v>
      </c>
      <c r="B93">
        <v>28</v>
      </c>
      <c r="C93" t="s">
        <v>3</v>
      </c>
      <c r="D93" s="57"/>
      <c r="E93" s="56"/>
      <c r="F93" t="s">
        <v>4</v>
      </c>
      <c r="I93" s="10">
        <f>INDEX(Std[],MATCH(Def[[#This Row],[Player]],Std[Player],0),20)</f>
        <v>-37.77959168809322</v>
      </c>
      <c r="J93">
        <f>_xlfn.RANK.EQ(Def[[#This Row],[value]],Def[value])</f>
        <v>97</v>
      </c>
      <c r="K93" s="10">
        <f>Def[[#This Row],[value]]-_xlfn.XLOOKUP($D$282,Def[Value Rk],Def[value],,-1)</f>
        <v>-145.14435940755772</v>
      </c>
    </row>
    <row r="94" spans="1:11" x14ac:dyDescent="0.25">
      <c r="A94" t="s">
        <v>349</v>
      </c>
      <c r="B94">
        <v>34</v>
      </c>
      <c r="C94" t="s">
        <v>3</v>
      </c>
      <c r="D94" s="57"/>
      <c r="E94" s="57"/>
      <c r="F94" t="s">
        <v>8</v>
      </c>
      <c r="I94" s="10">
        <f>INDEX(Std[],MATCH(Def[[#This Row],[Player]],Std[Player],0),20)</f>
        <v>-15.096276604282743</v>
      </c>
      <c r="J94">
        <f>_xlfn.RANK.EQ(Def[[#This Row],[value]],Def[value])</f>
        <v>93</v>
      </c>
      <c r="K94" s="10">
        <f>Def[[#This Row],[value]]-_xlfn.XLOOKUP($D$282,Def[Value Rk],Def[value],,-1)</f>
        <v>-122.46104432374722</v>
      </c>
    </row>
    <row r="95" spans="1:11" x14ac:dyDescent="0.25">
      <c r="A95" t="s">
        <v>332</v>
      </c>
      <c r="B95">
        <v>29</v>
      </c>
      <c r="C95" t="s">
        <v>3</v>
      </c>
      <c r="D95" s="57"/>
      <c r="E95" s="57"/>
      <c r="F95" t="s">
        <v>17</v>
      </c>
      <c r="I95" s="10">
        <f>INDEX(Std[],MATCH(Def[[#This Row],[Player]],Std[Player],0),20)</f>
        <v>-18.79374451143385</v>
      </c>
      <c r="J95">
        <f>_xlfn.RANK.EQ(Def[[#This Row],[value]],Def[value])</f>
        <v>94</v>
      </c>
      <c r="K95" s="10">
        <f>Def[[#This Row],[value]]-_xlfn.XLOOKUP($D$282,Def[Value Rk],Def[value],,-1)</f>
        <v>-126.15851223089834</v>
      </c>
    </row>
    <row r="96" spans="1:11" x14ac:dyDescent="0.25">
      <c r="A96" t="s">
        <v>443</v>
      </c>
      <c r="B96">
        <v>34</v>
      </c>
      <c r="C96" t="s">
        <v>3</v>
      </c>
      <c r="D96" s="57"/>
      <c r="E96" s="56"/>
      <c r="F96" t="s">
        <v>7</v>
      </c>
      <c r="I96" s="10">
        <f>INDEX(Std[],MATCH(Def[[#This Row],[Player]],Std[Player],0),20)</f>
        <v>-12.689424218224909</v>
      </c>
      <c r="J96">
        <f>_xlfn.RANK.EQ(Def[[#This Row],[value]],Def[value])</f>
        <v>91</v>
      </c>
      <c r="K96" s="10">
        <f>Def[[#This Row],[value]]-_xlfn.XLOOKUP($D$282,Def[Value Rk],Def[value],,-1)</f>
        <v>-120.0541919376894</v>
      </c>
    </row>
    <row r="97" spans="1:11" x14ac:dyDescent="0.25">
      <c r="A97" t="s">
        <v>449</v>
      </c>
      <c r="B97">
        <v>25</v>
      </c>
      <c r="C97" t="s">
        <v>3</v>
      </c>
      <c r="D97" s="57"/>
      <c r="E97" s="57"/>
      <c r="F97" t="s">
        <v>28</v>
      </c>
      <c r="I97" s="10">
        <f>INDEX(Std[],MATCH(Def[[#This Row],[Player]],Std[Player],0),20)</f>
        <v>-73.241732527364761</v>
      </c>
      <c r="J97">
        <f>_xlfn.RANK.EQ(Def[[#This Row],[value]],Def[value])</f>
        <v>107</v>
      </c>
      <c r="K97" s="10">
        <f>Def[[#This Row],[value]]-_xlfn.XLOOKUP($D$282,Def[Value Rk],Def[value],,-1)</f>
        <v>-180.60650024682923</v>
      </c>
    </row>
    <row r="98" spans="1:11" x14ac:dyDescent="0.25">
      <c r="A98" t="s">
        <v>357</v>
      </c>
      <c r="B98">
        <v>29</v>
      </c>
      <c r="C98" t="s">
        <v>3</v>
      </c>
      <c r="D98" s="57"/>
      <c r="E98" s="57"/>
      <c r="F98" t="s">
        <v>20</v>
      </c>
      <c r="I98" s="10">
        <f>INDEX(Std[],MATCH(Def[[#This Row],[Player]],Std[Player],0),20)</f>
        <v>-30.705570793095905</v>
      </c>
      <c r="J98">
        <f>_xlfn.RANK.EQ(Def[[#This Row],[value]],Def[value])</f>
        <v>95</v>
      </c>
      <c r="K98" s="10">
        <f>Def[[#This Row],[value]]-_xlfn.XLOOKUP($D$282,Def[Value Rk],Def[value],,-1)</f>
        <v>-138.0703385125604</v>
      </c>
    </row>
    <row r="99" spans="1:11" x14ac:dyDescent="0.25">
      <c r="A99" t="s">
        <v>584</v>
      </c>
      <c r="B99">
        <v>31</v>
      </c>
      <c r="C99" t="s">
        <v>3</v>
      </c>
      <c r="D99" s="57"/>
      <c r="E99" s="56"/>
      <c r="F99" t="s">
        <v>87</v>
      </c>
      <c r="I99" s="10">
        <f>INDEX(Std[],MATCH(Def[[#This Row],[Player]],Std[Player],0),20)</f>
        <v>-36.602182824996291</v>
      </c>
      <c r="J99">
        <f>_xlfn.RANK.EQ(Def[[#This Row],[value]],Def[value])</f>
        <v>96</v>
      </c>
      <c r="K99" s="10">
        <f>Def[[#This Row],[value]]-_xlfn.XLOOKUP($D$282,Def[Value Rk],Def[value],,-1)</f>
        <v>-143.96695054446076</v>
      </c>
    </row>
    <row r="100" spans="1:11" x14ac:dyDescent="0.25">
      <c r="A100" t="s">
        <v>383</v>
      </c>
      <c r="B100">
        <v>29</v>
      </c>
      <c r="C100" t="s">
        <v>3</v>
      </c>
      <c r="D100" s="57"/>
      <c r="E100" s="56"/>
      <c r="F100" t="s">
        <v>34</v>
      </c>
      <c r="I100" s="10">
        <f>INDEX(Std[],MATCH(Def[[#This Row],[Player]],Std[Player],0),20)</f>
        <v>-38.108837612993653</v>
      </c>
      <c r="J100">
        <f>_xlfn.RANK.EQ(Def[[#This Row],[value]],Def[value])</f>
        <v>98</v>
      </c>
      <c r="K100" s="10">
        <f>Def[[#This Row],[value]]-_xlfn.XLOOKUP($D$282,Def[Value Rk],Def[value],,-1)</f>
        <v>-145.47360533245813</v>
      </c>
    </row>
    <row r="101" spans="1:11" x14ac:dyDescent="0.25">
      <c r="A101" t="s">
        <v>392</v>
      </c>
      <c r="B101">
        <v>29</v>
      </c>
      <c r="C101" t="s">
        <v>3</v>
      </c>
      <c r="D101" s="57"/>
      <c r="E101" s="56"/>
      <c r="F101" t="s">
        <v>32</v>
      </c>
      <c r="I101" s="10">
        <f>INDEX(Std[],MATCH(Def[[#This Row],[Player]],Std[Player],0),20)</f>
        <v>-40.669290174714156</v>
      </c>
      <c r="J101">
        <f>_xlfn.RANK.EQ(Def[[#This Row],[value]],Def[value])</f>
        <v>99</v>
      </c>
      <c r="K101" s="10">
        <f>Def[[#This Row],[value]]-_xlfn.XLOOKUP($D$282,Def[Value Rk],Def[value],,-1)</f>
        <v>-148.03405789417863</v>
      </c>
    </row>
    <row r="102" spans="1:11" x14ac:dyDescent="0.25">
      <c r="A102" t="s">
        <v>347</v>
      </c>
      <c r="B102">
        <v>32</v>
      </c>
      <c r="C102" t="s">
        <v>3</v>
      </c>
      <c r="D102" s="57"/>
      <c r="E102" s="57"/>
      <c r="F102" t="s">
        <v>31</v>
      </c>
      <c r="I102" s="10">
        <f>INDEX(Std[],MATCH(Def[[#This Row],[Player]],Std[Player],0),20)</f>
        <v>-56.439056238994745</v>
      </c>
      <c r="J102">
        <f>_xlfn.RANK.EQ(Def[[#This Row],[value]],Def[value])</f>
        <v>102</v>
      </c>
      <c r="K102" s="10">
        <f>Def[[#This Row],[value]]-_xlfn.XLOOKUP($D$282,Def[Value Rk],Def[value],,-1)</f>
        <v>-163.80382395845922</v>
      </c>
    </row>
    <row r="103" spans="1:11" x14ac:dyDescent="0.25">
      <c r="A103" t="s">
        <v>342</v>
      </c>
      <c r="B103">
        <v>25</v>
      </c>
      <c r="C103" t="s">
        <v>3</v>
      </c>
      <c r="D103" s="57"/>
      <c r="E103" s="57"/>
      <c r="F103" t="s">
        <v>11</v>
      </c>
      <c r="I103" s="10">
        <f>INDEX(Std[],MATCH(Def[[#This Row],[Player]],Std[Player],0),20)</f>
        <v>-57.016374107053402</v>
      </c>
      <c r="J103">
        <f>_xlfn.RANK.EQ(Def[[#This Row],[value]],Def[value])</f>
        <v>103</v>
      </c>
      <c r="K103" s="10">
        <f>Def[[#This Row],[value]]-_xlfn.XLOOKUP($D$282,Def[Value Rk],Def[value],,-1)</f>
        <v>-164.38114182651788</v>
      </c>
    </row>
    <row r="104" spans="1:11" x14ac:dyDescent="0.25">
      <c r="A104" t="s">
        <v>912</v>
      </c>
      <c r="B104">
        <v>28</v>
      </c>
      <c r="C104" t="s">
        <v>3</v>
      </c>
      <c r="D104" s="57"/>
      <c r="E104" s="56"/>
      <c r="F104" t="s">
        <v>155</v>
      </c>
      <c r="I104" s="10">
        <f>INDEX(Std[],MATCH(Def[[#This Row],[Player]],Std[Player],0),20)</f>
        <v>-57.335145866313816</v>
      </c>
      <c r="J104">
        <f>_xlfn.RANK.EQ(Def[[#This Row],[value]],Def[value])</f>
        <v>104</v>
      </c>
      <c r="K104" s="10">
        <f>Def[[#This Row],[value]]-_xlfn.XLOOKUP($D$282,Def[Value Rk],Def[value],,-1)</f>
        <v>-164.69991358577829</v>
      </c>
    </row>
    <row r="105" spans="1:11" x14ac:dyDescent="0.25">
      <c r="A105" t="s">
        <v>495</v>
      </c>
      <c r="B105">
        <v>30</v>
      </c>
      <c r="C105" t="s">
        <v>3</v>
      </c>
      <c r="D105" s="57"/>
      <c r="E105" s="57"/>
      <c r="F105" t="s">
        <v>29</v>
      </c>
      <c r="I105" s="10">
        <f>INDEX(Std[],MATCH(Def[[#This Row],[Player]],Std[Player],0),20)</f>
        <v>-64.513848101471254</v>
      </c>
      <c r="J105">
        <f>_xlfn.RANK.EQ(Def[[#This Row],[value]],Def[value])</f>
        <v>105</v>
      </c>
      <c r="K105" s="10">
        <f>Def[[#This Row],[value]]-_xlfn.XLOOKUP($D$282,Def[Value Rk],Def[value],,-1)</f>
        <v>-171.87861582093575</v>
      </c>
    </row>
    <row r="106" spans="1:11" x14ac:dyDescent="0.25">
      <c r="A106" t="s">
        <v>936</v>
      </c>
      <c r="B106">
        <v>23</v>
      </c>
      <c r="C106" t="s">
        <v>3</v>
      </c>
      <c r="D106" s="57"/>
      <c r="E106" s="56"/>
      <c r="F106" t="s">
        <v>13</v>
      </c>
      <c r="I106" s="10">
        <f>INDEX(Std[],MATCH(Def[[#This Row],[Player]],Std[Player],0),20)</f>
        <v>-52.841629054035558</v>
      </c>
      <c r="J106">
        <f>_xlfn.RANK.EQ(Def[[#This Row],[value]],Def[value])</f>
        <v>101</v>
      </c>
      <c r="K106" s="10">
        <f>Def[[#This Row],[value]]-_xlfn.XLOOKUP($D$282,Def[Value Rk],Def[value],,-1)</f>
        <v>-160.20639677350005</v>
      </c>
    </row>
    <row r="107" spans="1:11" x14ac:dyDescent="0.25">
      <c r="A107" t="s">
        <v>779</v>
      </c>
      <c r="B107">
        <v>21</v>
      </c>
      <c r="C107" t="s">
        <v>3</v>
      </c>
      <c r="D107" s="57"/>
      <c r="E107" s="57"/>
      <c r="F107" t="s">
        <v>4</v>
      </c>
      <c r="I107" s="10">
        <f>INDEX(Std[],MATCH(Def[[#This Row],[Player]],Std[Player],0),20)</f>
        <v>-68.671364870956481</v>
      </c>
      <c r="J107">
        <f>_xlfn.RANK.EQ(Def[[#This Row],[value]],Def[value])</f>
        <v>106</v>
      </c>
      <c r="K107" s="10">
        <f>Def[[#This Row],[value]]-_xlfn.XLOOKUP($D$282,Def[Value Rk],Def[value],,-1)</f>
        <v>-176.03613259042095</v>
      </c>
    </row>
    <row r="108" spans="1:11" x14ac:dyDescent="0.25">
      <c r="A108" t="s">
        <v>920</v>
      </c>
      <c r="B108">
        <v>25</v>
      </c>
      <c r="C108" t="s">
        <v>3</v>
      </c>
      <c r="D108" s="57"/>
      <c r="E108" s="57"/>
      <c r="F108" t="s">
        <v>23</v>
      </c>
      <c r="I108" s="10">
        <f>INDEX(Std[],MATCH(Def[[#This Row],[Player]],Std[Player],0),20)</f>
        <v>-85.922071494366719</v>
      </c>
      <c r="J108">
        <f>_xlfn.RANK.EQ(Def[[#This Row],[value]],Def[value])</f>
        <v>108</v>
      </c>
      <c r="K108" s="10">
        <f>Def[[#This Row],[value]]-_xlfn.XLOOKUP($D$282,Def[Value Rk],Def[value],,-1)</f>
        <v>-193.2868392138312</v>
      </c>
    </row>
    <row r="109" spans="1:11" x14ac:dyDescent="0.25">
      <c r="A109" t="s">
        <v>572</v>
      </c>
      <c r="B109">
        <v>26</v>
      </c>
      <c r="C109" t="s">
        <v>3</v>
      </c>
      <c r="D109" s="57"/>
      <c r="E109" s="57"/>
      <c r="F109" t="s">
        <v>153</v>
      </c>
      <c r="I109" s="10">
        <f>INDEX(Std[],MATCH(Def[[#This Row],[Player]],Std[Player],0),20)</f>
        <v>-100.91518136251231</v>
      </c>
      <c r="J109">
        <f>_xlfn.RANK.EQ(Def[[#This Row],[value]],Def[value])</f>
        <v>114</v>
      </c>
      <c r="K109" s="10">
        <f>Def[[#This Row],[value]]-_xlfn.XLOOKUP($D$282,Def[Value Rk],Def[value],,-1)</f>
        <v>-208.27994908197678</v>
      </c>
    </row>
    <row r="110" spans="1:11" x14ac:dyDescent="0.25">
      <c r="A110" t="s">
        <v>897</v>
      </c>
      <c r="B110">
        <v>27</v>
      </c>
      <c r="C110" t="s">
        <v>3</v>
      </c>
      <c r="D110" s="57"/>
      <c r="E110" s="56"/>
      <c r="F110" t="s">
        <v>2</v>
      </c>
      <c r="I110" s="10">
        <f>INDEX(Std[],MATCH(Def[[#This Row],[Player]],Std[Player],0),20)</f>
        <v>-91.46705229151101</v>
      </c>
      <c r="J110">
        <f>_xlfn.RANK.EQ(Def[[#This Row],[value]],Def[value])</f>
        <v>110</v>
      </c>
      <c r="K110" s="10">
        <f>Def[[#This Row],[value]]-_xlfn.XLOOKUP($D$282,Def[Value Rk],Def[value],,-1)</f>
        <v>-198.83182001097549</v>
      </c>
    </row>
    <row r="111" spans="1:11" x14ac:dyDescent="0.25">
      <c r="A111" t="s">
        <v>414</v>
      </c>
      <c r="B111">
        <v>28</v>
      </c>
      <c r="C111" t="s">
        <v>3</v>
      </c>
      <c r="D111" s="57"/>
      <c r="E111" s="56"/>
      <c r="F111" t="s">
        <v>15</v>
      </c>
      <c r="I111" s="10">
        <f>INDEX(Std[],MATCH(Def[[#This Row],[Player]],Std[Player],0),20)</f>
        <v>-131.78484339764037</v>
      </c>
      <c r="J111">
        <f>_xlfn.RANK.EQ(Def[[#This Row],[value]],Def[value])</f>
        <v>121</v>
      </c>
      <c r="K111" s="10">
        <f>Def[[#This Row],[value]]-_xlfn.XLOOKUP($D$282,Def[Value Rk],Def[value],,-1)</f>
        <v>-239.14961111710485</v>
      </c>
    </row>
    <row r="112" spans="1:11" x14ac:dyDescent="0.25">
      <c r="A112" t="s">
        <v>378</v>
      </c>
      <c r="B112">
        <v>27</v>
      </c>
      <c r="C112" t="s">
        <v>3</v>
      </c>
      <c r="D112" s="57"/>
      <c r="E112" s="56"/>
      <c r="F112" t="s">
        <v>7</v>
      </c>
      <c r="I112" s="10">
        <f>INDEX(Std[],MATCH(Def[[#This Row],[Player]],Std[Player],0),20)</f>
        <v>-98.991731895904806</v>
      </c>
      <c r="J112">
        <f>_xlfn.RANK.EQ(Def[[#This Row],[value]],Def[value])</f>
        <v>112</v>
      </c>
      <c r="K112" s="10">
        <f>Def[[#This Row],[value]]-_xlfn.XLOOKUP($D$282,Def[Value Rk],Def[value],,-1)</f>
        <v>-206.35649961536927</v>
      </c>
    </row>
    <row r="113" spans="1:11" x14ac:dyDescent="0.25">
      <c r="A113" t="s">
        <v>864</v>
      </c>
      <c r="B113">
        <v>25</v>
      </c>
      <c r="C113" t="s">
        <v>3</v>
      </c>
      <c r="D113" s="57"/>
      <c r="E113" s="56"/>
      <c r="F113" t="s">
        <v>5</v>
      </c>
      <c r="I113" s="10">
        <f>INDEX(Std[],MATCH(Def[[#This Row],[Player]],Std[Player],0),20)</f>
        <v>-87.034730807942879</v>
      </c>
      <c r="J113">
        <f>_xlfn.RANK.EQ(Def[[#This Row],[value]],Def[value])</f>
        <v>109</v>
      </c>
      <c r="K113" s="10">
        <f>Def[[#This Row],[value]]-_xlfn.XLOOKUP($D$282,Def[Value Rk],Def[value],,-1)</f>
        <v>-194.39949852740736</v>
      </c>
    </row>
    <row r="114" spans="1:11" x14ac:dyDescent="0.25">
      <c r="A114" t="s">
        <v>369</v>
      </c>
      <c r="B114">
        <v>31</v>
      </c>
      <c r="C114" t="s">
        <v>3</v>
      </c>
      <c r="D114" s="57"/>
      <c r="E114" s="57"/>
      <c r="F114" t="s">
        <v>156</v>
      </c>
      <c r="I114" s="10">
        <f>INDEX(Std[],MATCH(Def[[#This Row],[Player]],Std[Player],0),20)</f>
        <v>-122.50775724717211</v>
      </c>
      <c r="J114">
        <f>_xlfn.RANK.EQ(Def[[#This Row],[value]],Def[value])</f>
        <v>118</v>
      </c>
      <c r="K114" s="10">
        <f>Def[[#This Row],[value]]-_xlfn.XLOOKUP($D$282,Def[Value Rk],Def[value],,-1)</f>
        <v>-229.8725249666366</v>
      </c>
    </row>
    <row r="115" spans="1:11" x14ac:dyDescent="0.25">
      <c r="A115" t="s">
        <v>445</v>
      </c>
      <c r="B115">
        <v>32</v>
      </c>
      <c r="C115" t="s">
        <v>3</v>
      </c>
      <c r="D115" s="57"/>
      <c r="E115" s="56"/>
      <c r="F115" t="s">
        <v>2</v>
      </c>
      <c r="I115" s="10">
        <f>INDEX(Std[],MATCH(Def[[#This Row],[Player]],Std[Player],0),20)</f>
        <v>-113.53515430710826</v>
      </c>
      <c r="J115">
        <f>_xlfn.RANK.EQ(Def[[#This Row],[value]],Def[value])</f>
        <v>115</v>
      </c>
      <c r="K115" s="10">
        <f>Def[[#This Row],[value]]-_xlfn.XLOOKUP($D$282,Def[Value Rk],Def[value],,-1)</f>
        <v>-220.89992202657274</v>
      </c>
    </row>
    <row r="116" spans="1:11" x14ac:dyDescent="0.25">
      <c r="A116" t="s">
        <v>1205</v>
      </c>
      <c r="B116">
        <v>27</v>
      </c>
      <c r="C116" t="s">
        <v>3</v>
      </c>
      <c r="D116" s="57"/>
      <c r="E116" s="57"/>
      <c r="F116" t="s">
        <v>87</v>
      </c>
      <c r="I116" s="10">
        <f>INDEX(Std[],MATCH(Def[[#This Row],[Player]],Std[Player],0),20)</f>
        <v>-116.49774734510889</v>
      </c>
      <c r="J116">
        <f>_xlfn.RANK.EQ(Def[[#This Row],[value]],Def[value])</f>
        <v>116</v>
      </c>
      <c r="K116" s="10">
        <f>Def[[#This Row],[value]]-_xlfn.XLOOKUP($D$282,Def[Value Rk],Def[value],,-1)</f>
        <v>-223.86251506457336</v>
      </c>
    </row>
    <row r="117" spans="1:11" x14ac:dyDescent="0.25">
      <c r="A117" t="s">
        <v>666</v>
      </c>
      <c r="B117">
        <v>39</v>
      </c>
      <c r="C117" t="s">
        <v>3</v>
      </c>
      <c r="D117" s="57"/>
      <c r="E117" s="56"/>
      <c r="F117" t="s">
        <v>17</v>
      </c>
      <c r="I117" s="10">
        <f>INDEX(Std[],MATCH(Def[[#This Row],[Player]],Std[Player],0),20)</f>
        <v>-126.18021905130435</v>
      </c>
      <c r="J117">
        <f>_xlfn.RANK.EQ(Def[[#This Row],[value]],Def[value])</f>
        <v>119</v>
      </c>
      <c r="K117" s="10">
        <f>Def[[#This Row],[value]]-_xlfn.XLOOKUP($D$282,Def[Value Rk],Def[value],,-1)</f>
        <v>-233.54498677076884</v>
      </c>
    </row>
    <row r="118" spans="1:11" x14ac:dyDescent="0.25">
      <c r="A118" t="s">
        <v>427</v>
      </c>
      <c r="B118">
        <v>23</v>
      </c>
      <c r="C118" t="s">
        <v>3</v>
      </c>
      <c r="D118" s="57"/>
      <c r="E118" s="57"/>
      <c r="F118" t="s">
        <v>29</v>
      </c>
      <c r="I118" s="10">
        <f>INDEX(Std[],MATCH(Def[[#This Row],[Player]],Std[Player],0),20)</f>
        <v>-126.24386270285181</v>
      </c>
      <c r="J118">
        <f>_xlfn.RANK.EQ(Def[[#This Row],[value]],Def[value])</f>
        <v>120</v>
      </c>
      <c r="K118" s="10">
        <f>Def[[#This Row],[value]]-_xlfn.XLOOKUP($D$282,Def[Value Rk],Def[value],,-1)</f>
        <v>-233.60863042231631</v>
      </c>
    </row>
    <row r="119" spans="1:11" x14ac:dyDescent="0.25">
      <c r="A119" t="s">
        <v>444</v>
      </c>
      <c r="B119">
        <v>31</v>
      </c>
      <c r="C119" t="s">
        <v>3</v>
      </c>
      <c r="D119" s="57"/>
      <c r="E119" s="57"/>
      <c r="F119" t="s">
        <v>30</v>
      </c>
      <c r="I119" s="10">
        <f>INDEX(Std[],MATCH(Def[[#This Row],[Player]],Std[Player],0),20)</f>
        <v>-137.3892787132005</v>
      </c>
      <c r="J119">
        <f>_xlfn.RANK.EQ(Def[[#This Row],[value]],Def[value])</f>
        <v>122</v>
      </c>
      <c r="K119" s="10">
        <f>Def[[#This Row],[value]]-_xlfn.XLOOKUP($D$282,Def[Value Rk],Def[value],,-1)</f>
        <v>-244.75404643266498</v>
      </c>
    </row>
    <row r="120" spans="1:11" x14ac:dyDescent="0.25">
      <c r="A120" t="s">
        <v>1206</v>
      </c>
      <c r="B120">
        <v>24</v>
      </c>
      <c r="C120" t="s">
        <v>3</v>
      </c>
      <c r="D120" s="57"/>
      <c r="E120" s="57"/>
      <c r="F120" t="s">
        <v>30</v>
      </c>
      <c r="I120" s="10">
        <f>INDEX(Std[],MATCH(Def[[#This Row],[Player]],Std[Player],0),20)</f>
        <v>-141.1699748223599</v>
      </c>
      <c r="J120">
        <f>_xlfn.RANK.EQ(Def[[#This Row],[value]],Def[value])</f>
        <v>123</v>
      </c>
      <c r="K120" s="10">
        <f>Def[[#This Row],[value]]-_xlfn.XLOOKUP($D$282,Def[Value Rk],Def[value],,-1)</f>
        <v>-248.53474254182439</v>
      </c>
    </row>
    <row r="121" spans="1:11" x14ac:dyDescent="0.25">
      <c r="A121" t="s">
        <v>322</v>
      </c>
      <c r="B121">
        <v>27</v>
      </c>
      <c r="C121" t="s">
        <v>3</v>
      </c>
      <c r="D121" s="57"/>
      <c r="E121" s="57"/>
      <c r="F121" t="s">
        <v>32</v>
      </c>
      <c r="I121" s="10">
        <f>INDEX(Std[],MATCH(Def[[#This Row],[Player]],Std[Player],0),20)</f>
        <v>-144.52285704986636</v>
      </c>
      <c r="J121">
        <f>_xlfn.RANK.EQ(Def[[#This Row],[value]],Def[value])</f>
        <v>125</v>
      </c>
      <c r="K121" s="10">
        <f>Def[[#This Row],[value]]-_xlfn.XLOOKUP($D$282,Def[Value Rk],Def[value],,-1)</f>
        <v>-251.88762476933084</v>
      </c>
    </row>
    <row r="122" spans="1:11" x14ac:dyDescent="0.25">
      <c r="A122" t="s">
        <v>868</v>
      </c>
      <c r="B122">
        <v>35</v>
      </c>
      <c r="C122" t="s">
        <v>3</v>
      </c>
      <c r="D122" s="57"/>
      <c r="E122" s="57"/>
      <c r="F122" t="s">
        <v>4</v>
      </c>
      <c r="I122" s="10">
        <f>INDEX(Std[],MATCH(Def[[#This Row],[Player]],Std[Player],0),20)</f>
        <v>-143.4884485437812</v>
      </c>
      <c r="J122">
        <f>_xlfn.RANK.EQ(Def[[#This Row],[value]],Def[value])</f>
        <v>124</v>
      </c>
      <c r="K122" s="10">
        <f>Def[[#This Row],[value]]-_xlfn.XLOOKUP($D$282,Def[Value Rk],Def[value],,-1)</f>
        <v>-250.85321626324568</v>
      </c>
    </row>
    <row r="123" spans="1:11" x14ac:dyDescent="0.25">
      <c r="A123" t="s">
        <v>480</v>
      </c>
      <c r="B123">
        <v>27</v>
      </c>
      <c r="C123" t="s">
        <v>3</v>
      </c>
      <c r="D123" s="57"/>
      <c r="E123" s="57"/>
      <c r="F123" t="s">
        <v>31</v>
      </c>
      <c r="I123" s="10">
        <f>INDEX(Std[],MATCH(Def[[#This Row],[Player]],Std[Player],0),20)</f>
        <v>-148.33380543761305</v>
      </c>
      <c r="J123">
        <f>_xlfn.RANK.EQ(Def[[#This Row],[value]],Def[value])</f>
        <v>126</v>
      </c>
      <c r="K123" s="10">
        <f>Def[[#This Row],[value]]-_xlfn.XLOOKUP($D$282,Def[Value Rk],Def[value],,-1)</f>
        <v>-255.69857315707753</v>
      </c>
    </row>
    <row r="124" spans="1:11" x14ac:dyDescent="0.25">
      <c r="A124" t="s">
        <v>524</v>
      </c>
      <c r="B124">
        <v>30</v>
      </c>
      <c r="C124" t="s">
        <v>3</v>
      </c>
      <c r="D124" s="57"/>
      <c r="E124" s="57"/>
      <c r="F124" t="s">
        <v>18</v>
      </c>
      <c r="I124" s="10">
        <f>INDEX(Std[],MATCH(Def[[#This Row],[Player]],Std[Player],0),20)</f>
        <v>-153.39626986444111</v>
      </c>
      <c r="J124">
        <f>_xlfn.RANK.EQ(Def[[#This Row],[value]],Def[value])</f>
        <v>127</v>
      </c>
      <c r="K124" s="10">
        <f>Def[[#This Row],[value]]-_xlfn.XLOOKUP($D$282,Def[Value Rk],Def[value],,-1)</f>
        <v>-260.76103758390559</v>
      </c>
    </row>
    <row r="125" spans="1:11" x14ac:dyDescent="0.25">
      <c r="A125" t="s">
        <v>971</v>
      </c>
      <c r="B125">
        <v>25</v>
      </c>
      <c r="C125" t="s">
        <v>3</v>
      </c>
      <c r="D125" s="57"/>
      <c r="E125" s="56"/>
      <c r="F125" t="s">
        <v>154</v>
      </c>
      <c r="I125" s="10">
        <f>INDEX(Std[],MATCH(Def[[#This Row],[Player]],Std[Player],0),20)</f>
        <v>-157.80724592646592</v>
      </c>
      <c r="J125">
        <f>_xlfn.RANK.EQ(Def[[#This Row],[value]],Def[value])</f>
        <v>128</v>
      </c>
      <c r="K125" s="10">
        <f>Def[[#This Row],[value]]-_xlfn.XLOOKUP($D$282,Def[Value Rk],Def[value],,-1)</f>
        <v>-265.17201364593041</v>
      </c>
    </row>
    <row r="126" spans="1:11" x14ac:dyDescent="0.25">
      <c r="A126" t="s">
        <v>557</v>
      </c>
      <c r="B126">
        <v>25</v>
      </c>
      <c r="C126" t="s">
        <v>3</v>
      </c>
      <c r="D126" s="57"/>
      <c r="E126" s="56"/>
      <c r="F126" t="s">
        <v>23</v>
      </c>
      <c r="I126" s="10">
        <f>INDEX(Std[],MATCH(Def[[#This Row],[Player]],Std[Player],0),20)</f>
        <v>-159.5106195274339</v>
      </c>
      <c r="J126">
        <f>_xlfn.RANK.EQ(Def[[#This Row],[value]],Def[value])</f>
        <v>129</v>
      </c>
      <c r="K126" s="10">
        <f>Def[[#This Row],[value]]-_xlfn.XLOOKUP($D$282,Def[Value Rk],Def[value],,-1)</f>
        <v>-266.87538724689841</v>
      </c>
    </row>
    <row r="127" spans="1:11" x14ac:dyDescent="0.25">
      <c r="A127" t="s">
        <v>498</v>
      </c>
      <c r="B127">
        <v>25</v>
      </c>
      <c r="C127" t="s">
        <v>3</v>
      </c>
      <c r="D127" s="57"/>
      <c r="E127" s="56"/>
      <c r="F127" t="s">
        <v>10</v>
      </c>
      <c r="I127" s="10">
        <f>INDEX(Std[],MATCH(Def[[#This Row],[Player]],Std[Player],0),20)</f>
        <v>-164.05678309232445</v>
      </c>
      <c r="J127">
        <f>_xlfn.RANK.EQ(Def[[#This Row],[value]],Def[value])</f>
        <v>130</v>
      </c>
      <c r="K127" s="10">
        <f>Def[[#This Row],[value]]-_xlfn.XLOOKUP($D$282,Def[Value Rk],Def[value],,-1)</f>
        <v>-271.42155081178896</v>
      </c>
    </row>
    <row r="128" spans="1:11" x14ac:dyDescent="0.25">
      <c r="A128" t="s">
        <v>385</v>
      </c>
      <c r="B128">
        <v>25</v>
      </c>
      <c r="C128" t="s">
        <v>3</v>
      </c>
      <c r="D128" s="57"/>
      <c r="E128" s="56"/>
      <c r="F128" t="s">
        <v>13</v>
      </c>
      <c r="I128" s="10">
        <f>INDEX(Std[],MATCH(Def[[#This Row],[Player]],Std[Player],0),20)</f>
        <v>-165.10599845317509</v>
      </c>
      <c r="J128">
        <f>_xlfn.RANK.EQ(Def[[#This Row],[value]],Def[value])</f>
        <v>131</v>
      </c>
      <c r="K128" s="10">
        <f>Def[[#This Row],[value]]-_xlfn.XLOOKUP($D$282,Def[Value Rk],Def[value],,-1)</f>
        <v>-272.47076617263957</v>
      </c>
    </row>
    <row r="129" spans="1:11" x14ac:dyDescent="0.25">
      <c r="A129" t="s">
        <v>363</v>
      </c>
      <c r="B129">
        <v>23</v>
      </c>
      <c r="C129" t="s">
        <v>3</v>
      </c>
      <c r="D129" s="57"/>
      <c r="E129" s="56"/>
      <c r="F129" t="s">
        <v>32</v>
      </c>
      <c r="I129" s="10">
        <f>INDEX(Std[],MATCH(Def[[#This Row],[Player]],Std[Player],0),20)</f>
        <v>-187.54690550693641</v>
      </c>
      <c r="J129">
        <f>_xlfn.RANK.EQ(Def[[#This Row],[value]],Def[value])</f>
        <v>134</v>
      </c>
      <c r="K129" s="10">
        <f>Def[[#This Row],[value]]-_xlfn.XLOOKUP($D$282,Def[Value Rk],Def[value],,-1)</f>
        <v>-294.91167322640092</v>
      </c>
    </row>
    <row r="130" spans="1:11" x14ac:dyDescent="0.25">
      <c r="A130" t="s">
        <v>1189</v>
      </c>
      <c r="B130">
        <v>30</v>
      </c>
      <c r="C130" t="s">
        <v>3</v>
      </c>
      <c r="D130" s="57"/>
      <c r="E130" s="57"/>
      <c r="F130" t="s">
        <v>16</v>
      </c>
      <c r="I130" s="10">
        <f>INDEX(Std[],MATCH(Def[[#This Row],[Player]],Std[Player],0),20)</f>
        <v>-175.6479062894486</v>
      </c>
      <c r="J130">
        <f>_xlfn.RANK.EQ(Def[[#This Row],[value]],Def[value])</f>
        <v>132</v>
      </c>
      <c r="K130" s="10">
        <f>Def[[#This Row],[value]]-_xlfn.XLOOKUP($D$282,Def[Value Rk],Def[value],,-1)</f>
        <v>-283.01267400891311</v>
      </c>
    </row>
    <row r="131" spans="1:11" x14ac:dyDescent="0.25">
      <c r="A131" t="s">
        <v>438</v>
      </c>
      <c r="B131">
        <v>31</v>
      </c>
      <c r="C131" t="s">
        <v>3</v>
      </c>
      <c r="D131" s="57"/>
      <c r="E131" s="57"/>
      <c r="F131" t="s">
        <v>21</v>
      </c>
      <c r="I131" s="10">
        <f>INDEX(Std[],MATCH(Def[[#This Row],[Player]],Std[Player],0),20)</f>
        <v>-178.86766161855948</v>
      </c>
      <c r="J131">
        <f>_xlfn.RANK.EQ(Def[[#This Row],[value]],Def[value])</f>
        <v>133</v>
      </c>
      <c r="K131" s="10">
        <f>Def[[#This Row],[value]]-_xlfn.XLOOKUP($D$282,Def[Value Rk],Def[value],,-1)</f>
        <v>-286.23242933802396</v>
      </c>
    </row>
    <row r="132" spans="1:11" x14ac:dyDescent="0.25">
      <c r="A132" t="s">
        <v>1021</v>
      </c>
      <c r="B132">
        <v>24</v>
      </c>
      <c r="C132" t="s">
        <v>3</v>
      </c>
      <c r="D132" s="57"/>
      <c r="E132" s="56"/>
      <c r="F132" t="s">
        <v>155</v>
      </c>
      <c r="I132" s="10">
        <f>INDEX(Std[],MATCH(Def[[#This Row],[Player]],Std[Player],0),20)</f>
        <v>-195.59650662931833</v>
      </c>
      <c r="J132">
        <f>_xlfn.RANK.EQ(Def[[#This Row],[value]],Def[value])</f>
        <v>140</v>
      </c>
      <c r="K132" s="10">
        <f>Def[[#This Row],[value]]-_xlfn.XLOOKUP($D$282,Def[Value Rk],Def[value],,-1)</f>
        <v>-302.96127434878281</v>
      </c>
    </row>
    <row r="133" spans="1:11" x14ac:dyDescent="0.25">
      <c r="A133" t="s">
        <v>1057</v>
      </c>
      <c r="B133">
        <v>27</v>
      </c>
      <c r="C133" t="s">
        <v>3</v>
      </c>
      <c r="D133" s="57"/>
      <c r="E133" s="56"/>
      <c r="F133" t="s">
        <v>28</v>
      </c>
      <c r="I133" s="10">
        <f>INDEX(Std[],MATCH(Def[[#This Row],[Player]],Std[Player],0),20)</f>
        <v>-188.48493891020337</v>
      </c>
      <c r="J133">
        <f>_xlfn.RANK.EQ(Def[[#This Row],[value]],Def[value])</f>
        <v>135</v>
      </c>
      <c r="K133" s="10">
        <f>Def[[#This Row],[value]]-_xlfn.XLOOKUP($D$282,Def[Value Rk],Def[value],,-1)</f>
        <v>-295.84970662966782</v>
      </c>
    </row>
    <row r="134" spans="1:11" x14ac:dyDescent="0.25">
      <c r="A134" t="s">
        <v>1099</v>
      </c>
      <c r="B134">
        <v>23</v>
      </c>
      <c r="C134" t="s">
        <v>3</v>
      </c>
      <c r="D134" s="57"/>
      <c r="E134" s="57"/>
      <c r="F134" t="s">
        <v>18</v>
      </c>
      <c r="I134" s="10">
        <f>INDEX(Std[],MATCH(Def[[#This Row],[Player]],Std[Player],0),20)</f>
        <v>-201.32840040055967</v>
      </c>
      <c r="J134">
        <f>_xlfn.RANK.EQ(Def[[#This Row],[value]],Def[value])</f>
        <v>144</v>
      </c>
      <c r="K134" s="10">
        <f>Def[[#This Row],[value]]-_xlfn.XLOOKUP($D$282,Def[Value Rk],Def[value],,-1)</f>
        <v>-308.69316812002415</v>
      </c>
    </row>
    <row r="135" spans="1:11" x14ac:dyDescent="0.25">
      <c r="A135" t="s">
        <v>508</v>
      </c>
      <c r="B135">
        <v>33</v>
      </c>
      <c r="C135" t="s">
        <v>3</v>
      </c>
      <c r="D135" s="57"/>
      <c r="E135" s="57"/>
      <c r="F135" t="s">
        <v>29</v>
      </c>
      <c r="I135" s="10">
        <f>INDEX(Std[],MATCH(Def[[#This Row],[Player]],Std[Player],0),20)</f>
        <v>-191.83546885308226</v>
      </c>
      <c r="J135">
        <f>_xlfn.RANK.EQ(Def[[#This Row],[value]],Def[value])</f>
        <v>136</v>
      </c>
      <c r="K135" s="10">
        <f>Def[[#This Row],[value]]-_xlfn.XLOOKUP($D$282,Def[Value Rk],Def[value],,-1)</f>
        <v>-299.20023657254671</v>
      </c>
    </row>
    <row r="136" spans="1:11" x14ac:dyDescent="0.25">
      <c r="A136" t="s">
        <v>541</v>
      </c>
      <c r="B136">
        <v>33</v>
      </c>
      <c r="C136" t="s">
        <v>3</v>
      </c>
      <c r="D136" s="57"/>
      <c r="E136" s="57"/>
      <c r="F136" t="s">
        <v>31</v>
      </c>
      <c r="I136" s="10">
        <f>INDEX(Std[],MATCH(Def[[#This Row],[Player]],Std[Player],0),20)</f>
        <v>-193.35621044298966</v>
      </c>
      <c r="J136">
        <f>_xlfn.RANK.EQ(Def[[#This Row],[value]],Def[value])</f>
        <v>138</v>
      </c>
      <c r="K136" s="10">
        <f>Def[[#This Row],[value]]-_xlfn.XLOOKUP($D$282,Def[Value Rk],Def[value],,-1)</f>
        <v>-300.72097816245412</v>
      </c>
    </row>
    <row r="137" spans="1:11" x14ac:dyDescent="0.25">
      <c r="A137" t="s">
        <v>503</v>
      </c>
      <c r="B137" s="67"/>
      <c r="C137" s="74" t="s">
        <v>3</v>
      </c>
      <c r="D137" s="57"/>
      <c r="E137" s="57"/>
      <c r="I137" s="10">
        <f>INDEX(Std[],MATCH(Def[[#This Row],[Player]],Std[Player],0),20)</f>
        <v>-192.20490633514095</v>
      </c>
      <c r="J137">
        <f>_xlfn.RANK.EQ(Def[[#This Row],[value]],Def[value])</f>
        <v>137</v>
      </c>
      <c r="K137" s="10">
        <f>Def[[#This Row],[value]]-_xlfn.XLOOKUP($D$282,Def[Value Rk],Def[value],,-1)</f>
        <v>-299.56967405460546</v>
      </c>
    </row>
    <row r="138" spans="1:11" x14ac:dyDescent="0.25">
      <c r="A138" t="s">
        <v>570</v>
      </c>
      <c r="B138">
        <v>28</v>
      </c>
      <c r="C138" t="s">
        <v>3</v>
      </c>
      <c r="D138" s="57"/>
      <c r="E138" s="57"/>
      <c r="F138" t="s">
        <v>154</v>
      </c>
      <c r="I138" s="10">
        <f>INDEX(Std[],MATCH(Def[[#This Row],[Player]],Std[Player],0),20)</f>
        <v>-198.40816716355585</v>
      </c>
      <c r="J138">
        <f>_xlfn.RANK.EQ(Def[[#This Row],[value]],Def[value])</f>
        <v>142</v>
      </c>
      <c r="K138" s="10">
        <f>Def[[#This Row],[value]]-_xlfn.XLOOKUP($D$282,Def[Value Rk],Def[value],,-1)</f>
        <v>-305.7729348830203</v>
      </c>
    </row>
    <row r="139" spans="1:11" x14ac:dyDescent="0.25">
      <c r="A139" t="s">
        <v>582</v>
      </c>
      <c r="B139">
        <v>32</v>
      </c>
      <c r="C139" t="s">
        <v>3</v>
      </c>
      <c r="D139" s="57"/>
      <c r="E139" s="56"/>
      <c r="F139" t="s">
        <v>87</v>
      </c>
      <c r="I139" s="10">
        <f>INDEX(Std[],MATCH(Def[[#This Row],[Player]],Std[Player],0),20)</f>
        <v>-198.02544103778038</v>
      </c>
      <c r="J139">
        <f>_xlfn.RANK.EQ(Def[[#This Row],[value]],Def[value])</f>
        <v>141</v>
      </c>
      <c r="K139" s="10">
        <f>Def[[#This Row],[value]]-_xlfn.XLOOKUP($D$282,Def[Value Rk],Def[value],,-1)</f>
        <v>-305.39020875724486</v>
      </c>
    </row>
    <row r="140" spans="1:11" x14ac:dyDescent="0.25">
      <c r="A140" t="s">
        <v>316</v>
      </c>
      <c r="B140">
        <v>30</v>
      </c>
      <c r="C140" t="s">
        <v>3</v>
      </c>
      <c r="D140" s="57"/>
      <c r="E140" s="57"/>
      <c r="F140" t="s">
        <v>32</v>
      </c>
      <c r="I140" s="10">
        <f>INDEX(Std[],MATCH(Def[[#This Row],[Player]],Std[Player],0),20)</f>
        <v>-201.35843525566196</v>
      </c>
      <c r="J140">
        <f>_xlfn.RANK.EQ(Def[[#This Row],[value]],Def[value])</f>
        <v>145</v>
      </c>
      <c r="K140" s="10">
        <f>Def[[#This Row],[value]]-_xlfn.XLOOKUP($D$282,Def[Value Rk],Def[value],,-1)</f>
        <v>-308.72320297512647</v>
      </c>
    </row>
    <row r="141" spans="1:11" x14ac:dyDescent="0.25">
      <c r="A141" t="s">
        <v>381</v>
      </c>
      <c r="B141">
        <v>30</v>
      </c>
      <c r="C141" t="s">
        <v>3</v>
      </c>
      <c r="D141" s="57"/>
      <c r="E141" s="56"/>
      <c r="F141" t="s">
        <v>13</v>
      </c>
      <c r="I141" s="10">
        <f>INDEX(Std[],MATCH(Def[[#This Row],[Player]],Std[Player],0),20)</f>
        <v>-201.91906766159545</v>
      </c>
      <c r="J141">
        <f>_xlfn.RANK.EQ(Def[[#This Row],[value]],Def[value])</f>
        <v>146</v>
      </c>
      <c r="K141" s="10">
        <f>Def[[#This Row],[value]]-_xlfn.XLOOKUP($D$282,Def[Value Rk],Def[value],,-1)</f>
        <v>-309.28383538105993</v>
      </c>
    </row>
    <row r="142" spans="1:11" x14ac:dyDescent="0.25">
      <c r="A142" t="s">
        <v>972</v>
      </c>
      <c r="B142">
        <v>26</v>
      </c>
      <c r="C142" t="s">
        <v>3</v>
      </c>
      <c r="D142" s="57"/>
      <c r="E142" s="57"/>
      <c r="F142" t="s">
        <v>156</v>
      </c>
      <c r="I142" s="10">
        <f>INDEX(Std[],MATCH(Def[[#This Row],[Player]],Std[Player],0),20)</f>
        <v>-195.15585444156818</v>
      </c>
      <c r="J142">
        <f>_xlfn.RANK.EQ(Def[[#This Row],[value]],Def[value])</f>
        <v>139</v>
      </c>
      <c r="K142" s="10">
        <f>Def[[#This Row],[value]]-_xlfn.XLOOKUP($D$282,Def[Value Rk],Def[value],,-1)</f>
        <v>-302.52062216103263</v>
      </c>
    </row>
    <row r="143" spans="1:11" x14ac:dyDescent="0.25">
      <c r="A143" t="s">
        <v>1056</v>
      </c>
      <c r="B143">
        <v>24</v>
      </c>
      <c r="C143" t="s">
        <v>3</v>
      </c>
      <c r="D143" s="57"/>
      <c r="E143" s="56"/>
      <c r="F143" t="s">
        <v>4</v>
      </c>
      <c r="I143" s="10">
        <f>INDEX(Std[],MATCH(Def[[#This Row],[Player]],Std[Player],0),20)</f>
        <v>-206.32398032297789</v>
      </c>
      <c r="J143">
        <f>_xlfn.RANK.EQ(Def[[#This Row],[value]],Def[value])</f>
        <v>147</v>
      </c>
      <c r="K143" s="10">
        <f>Def[[#This Row],[value]]-_xlfn.XLOOKUP($D$282,Def[Value Rk],Def[value],,-1)</f>
        <v>-313.6887480424424</v>
      </c>
    </row>
    <row r="144" spans="1:11" x14ac:dyDescent="0.25">
      <c r="A144" t="s">
        <v>861</v>
      </c>
      <c r="B144">
        <v>36</v>
      </c>
      <c r="C144" t="s">
        <v>3</v>
      </c>
      <c r="D144" s="57"/>
      <c r="E144" s="57"/>
      <c r="F144" t="s">
        <v>28</v>
      </c>
      <c r="I144" s="10">
        <f>INDEX(Std[],MATCH(Def[[#This Row],[Player]],Std[Player],0),20)</f>
        <v>-120.58272405922739</v>
      </c>
      <c r="J144">
        <f>_xlfn.RANK.EQ(Def[[#This Row],[value]],Def[value])</f>
        <v>117</v>
      </c>
      <c r="K144" s="10">
        <f>Def[[#This Row],[value]]-_xlfn.XLOOKUP($D$282,Def[Value Rk],Def[value],,-1)</f>
        <v>-227.94749177869187</v>
      </c>
    </row>
    <row r="145" spans="1:11" x14ac:dyDescent="0.25">
      <c r="A145" t="s">
        <v>537</v>
      </c>
      <c r="B145">
        <v>30</v>
      </c>
      <c r="C145" t="s">
        <v>3</v>
      </c>
      <c r="D145" s="57"/>
      <c r="E145" s="56"/>
      <c r="F145" t="s">
        <v>9</v>
      </c>
      <c r="I145" s="10">
        <f>INDEX(Std[],MATCH(Def[[#This Row],[Player]],Std[Player],0),20)</f>
        <v>-212.7900124123789</v>
      </c>
      <c r="J145">
        <f>_xlfn.RANK.EQ(Def[[#This Row],[value]],Def[value])</f>
        <v>148</v>
      </c>
      <c r="K145" s="10">
        <f>Def[[#This Row],[value]]-_xlfn.XLOOKUP($D$282,Def[Value Rk],Def[value],,-1)</f>
        <v>-320.15478013184338</v>
      </c>
    </row>
    <row r="146" spans="1:11" x14ac:dyDescent="0.25">
      <c r="A146" t="s">
        <v>966</v>
      </c>
      <c r="B146">
        <v>25</v>
      </c>
      <c r="C146" t="s">
        <v>3</v>
      </c>
      <c r="D146" s="57"/>
      <c r="E146" s="57"/>
      <c r="F146" t="s">
        <v>7</v>
      </c>
      <c r="I146" s="10">
        <f>INDEX(Std[],MATCH(Def[[#This Row],[Player]],Std[Player],0),20)</f>
        <v>-216.20688229819586</v>
      </c>
      <c r="J146">
        <f>_xlfn.RANK.EQ(Def[[#This Row],[value]],Def[value])</f>
        <v>149</v>
      </c>
      <c r="K146" s="10">
        <f>Def[[#This Row],[value]]-_xlfn.XLOOKUP($D$282,Def[Value Rk],Def[value],,-1)</f>
        <v>-323.57165001766032</v>
      </c>
    </row>
    <row r="147" spans="1:11" x14ac:dyDescent="0.25">
      <c r="A147" t="s">
        <v>608</v>
      </c>
      <c r="B147">
        <v>26</v>
      </c>
      <c r="C147" t="s">
        <v>3</v>
      </c>
      <c r="D147" s="57"/>
      <c r="E147" s="56"/>
      <c r="F147" t="s">
        <v>22</v>
      </c>
      <c r="I147" s="10">
        <f>INDEX(Std[],MATCH(Def[[#This Row],[Player]],Std[Player],0),20)</f>
        <v>-224.92050373102853</v>
      </c>
      <c r="J147">
        <f>_xlfn.RANK.EQ(Def[[#This Row],[value]],Def[value])</f>
        <v>150</v>
      </c>
      <c r="K147" s="10">
        <f>Def[[#This Row],[value]]-_xlfn.XLOOKUP($D$282,Def[Value Rk],Def[value],,-1)</f>
        <v>-332.28527145049304</v>
      </c>
    </row>
    <row r="148" spans="1:11" x14ac:dyDescent="0.25">
      <c r="A148" t="s">
        <v>515</v>
      </c>
      <c r="B148">
        <v>26</v>
      </c>
      <c r="C148" t="s">
        <v>3</v>
      </c>
      <c r="D148" s="57"/>
      <c r="E148" s="57"/>
      <c r="F148" t="s">
        <v>156</v>
      </c>
      <c r="I148" s="10">
        <f>INDEX(Std[],MATCH(Def[[#This Row],[Player]],Std[Player],0),20)</f>
        <v>-230.03139129944455</v>
      </c>
      <c r="J148">
        <f>_xlfn.RANK.EQ(Def[[#This Row],[value]],Def[value])</f>
        <v>151</v>
      </c>
      <c r="K148" s="10">
        <f>Def[[#This Row],[value]]-_xlfn.XLOOKUP($D$282,Def[Value Rk],Def[value],,-1)</f>
        <v>-337.39615901890903</v>
      </c>
    </row>
    <row r="149" spans="1:11" x14ac:dyDescent="0.25">
      <c r="A149" t="s">
        <v>583</v>
      </c>
      <c r="B149">
        <v>28</v>
      </c>
      <c r="C149" t="s">
        <v>3</v>
      </c>
      <c r="D149" s="57"/>
      <c r="E149" s="57"/>
      <c r="F149" t="s">
        <v>156</v>
      </c>
      <c r="I149" s="10">
        <f>INDEX(Std[],MATCH(Def[[#This Row],[Player]],Std[Player],0),20)</f>
        <v>-231.28867230612875</v>
      </c>
      <c r="J149">
        <f>_xlfn.RANK.EQ(Def[[#This Row],[value]],Def[value])</f>
        <v>152</v>
      </c>
      <c r="K149" s="10">
        <f>Def[[#This Row],[value]]-_xlfn.XLOOKUP($D$282,Def[Value Rk],Def[value],,-1)</f>
        <v>-338.65344002559323</v>
      </c>
    </row>
    <row r="150" spans="1:11" x14ac:dyDescent="0.25">
      <c r="A150" t="s">
        <v>469</v>
      </c>
      <c r="B150">
        <v>30</v>
      </c>
      <c r="C150" t="s">
        <v>3</v>
      </c>
      <c r="D150" s="57"/>
      <c r="E150" s="57"/>
      <c r="F150" t="s">
        <v>16</v>
      </c>
      <c r="I150" s="10">
        <f>INDEX(Std[],MATCH(Def[[#This Row],[Player]],Std[Player],0),20)</f>
        <v>-233.14151294175383</v>
      </c>
      <c r="J150">
        <f>_xlfn.RANK.EQ(Def[[#This Row],[value]],Def[value])</f>
        <v>153</v>
      </c>
      <c r="K150" s="10">
        <f>Def[[#This Row],[value]]-_xlfn.XLOOKUP($D$282,Def[Value Rk],Def[value],,-1)</f>
        <v>-340.50628066121828</v>
      </c>
    </row>
    <row r="151" spans="1:11" x14ac:dyDescent="0.25">
      <c r="A151" t="s">
        <v>462</v>
      </c>
      <c r="B151">
        <v>33</v>
      </c>
      <c r="C151" t="s">
        <v>3</v>
      </c>
      <c r="D151" s="57"/>
      <c r="E151" s="57"/>
      <c r="F151" t="s">
        <v>87</v>
      </c>
      <c r="I151" s="10">
        <f>INDEX(Std[],MATCH(Def[[#This Row],[Player]],Std[Player],0),20)</f>
        <v>-234.3760160024099</v>
      </c>
      <c r="J151">
        <f>_xlfn.RANK.EQ(Def[[#This Row],[value]],Def[value])</f>
        <v>156</v>
      </c>
      <c r="K151" s="10">
        <f>Def[[#This Row],[value]]-_xlfn.XLOOKUP($D$282,Def[Value Rk],Def[value],,-1)</f>
        <v>-341.74078372187438</v>
      </c>
    </row>
    <row r="152" spans="1:11" x14ac:dyDescent="0.25">
      <c r="A152" t="s">
        <v>639</v>
      </c>
      <c r="B152">
        <v>31</v>
      </c>
      <c r="C152" t="s">
        <v>3</v>
      </c>
      <c r="D152" s="57"/>
      <c r="E152" s="57"/>
      <c r="F152" t="s">
        <v>12</v>
      </c>
      <c r="I152" s="10">
        <f>INDEX(Std[],MATCH(Def[[#This Row],[Player]],Std[Player],0),20)</f>
        <v>-234.16638447676615</v>
      </c>
      <c r="J152">
        <f>_xlfn.RANK.EQ(Def[[#This Row],[value]],Def[value])</f>
        <v>154</v>
      </c>
      <c r="K152" s="10">
        <f>Def[[#This Row],[value]]-_xlfn.XLOOKUP($D$282,Def[Value Rk],Def[value],,-1)</f>
        <v>-341.53115219623066</v>
      </c>
    </row>
    <row r="153" spans="1:11" x14ac:dyDescent="0.25">
      <c r="A153" t="s">
        <v>1182</v>
      </c>
      <c r="B153">
        <v>21</v>
      </c>
      <c r="C153" t="s">
        <v>3</v>
      </c>
      <c r="D153" s="57"/>
      <c r="E153" s="56"/>
      <c r="F153" t="s">
        <v>5</v>
      </c>
      <c r="I153" s="10">
        <f>INDEX(Std[],MATCH(Def[[#This Row],[Player]],Std[Player],0),20)</f>
        <v>-247.95484110148021</v>
      </c>
      <c r="J153">
        <f>_xlfn.RANK.EQ(Def[[#This Row],[value]],Def[value])</f>
        <v>161</v>
      </c>
      <c r="K153" s="10">
        <f>Def[[#This Row],[value]]-_xlfn.XLOOKUP($D$282,Def[Value Rk],Def[value],,-1)</f>
        <v>-355.31960882094472</v>
      </c>
    </row>
    <row r="154" spans="1:11" x14ac:dyDescent="0.25">
      <c r="A154" t="s">
        <v>360</v>
      </c>
      <c r="B154">
        <v>27</v>
      </c>
      <c r="C154" t="s">
        <v>3</v>
      </c>
      <c r="D154" s="57"/>
      <c r="E154" s="57"/>
      <c r="F154" t="s">
        <v>12</v>
      </c>
      <c r="I154" s="10">
        <f>INDEX(Std[],MATCH(Def[[#This Row],[Player]],Std[Player],0),20)</f>
        <v>-237.80400919412176</v>
      </c>
      <c r="J154">
        <f>_xlfn.RANK.EQ(Def[[#This Row],[value]],Def[value])</f>
        <v>157</v>
      </c>
      <c r="K154" s="10">
        <f>Def[[#This Row],[value]]-_xlfn.XLOOKUP($D$282,Def[Value Rk],Def[value],,-1)</f>
        <v>-345.16877691358627</v>
      </c>
    </row>
    <row r="155" spans="1:11" x14ac:dyDescent="0.25">
      <c r="A155" t="s">
        <v>620</v>
      </c>
      <c r="B155">
        <v>26</v>
      </c>
      <c r="C155" t="s">
        <v>3</v>
      </c>
      <c r="D155" s="57"/>
      <c r="E155" s="57"/>
      <c r="F155" t="s">
        <v>154</v>
      </c>
      <c r="I155" s="10">
        <f>INDEX(Std[],MATCH(Def[[#This Row],[Player]],Std[Player],0),20)</f>
        <v>-238.63982210236952</v>
      </c>
      <c r="J155">
        <f>_xlfn.RANK.EQ(Def[[#This Row],[value]],Def[value])</f>
        <v>158</v>
      </c>
      <c r="K155" s="10">
        <f>Def[[#This Row],[value]]-_xlfn.XLOOKUP($D$282,Def[Value Rk],Def[value],,-1)</f>
        <v>-346.00458982183397</v>
      </c>
    </row>
    <row r="156" spans="1:11" x14ac:dyDescent="0.25">
      <c r="A156" t="s">
        <v>924</v>
      </c>
      <c r="B156">
        <v>26</v>
      </c>
      <c r="C156" t="s">
        <v>3</v>
      </c>
      <c r="D156" s="57"/>
      <c r="E156" s="56"/>
      <c r="F156" t="s">
        <v>34</v>
      </c>
      <c r="I156" s="10">
        <f>INDEX(Std[],MATCH(Def[[#This Row],[Player]],Std[Player],0),20)</f>
        <v>-238.80399443573853</v>
      </c>
      <c r="J156">
        <f>_xlfn.RANK.EQ(Def[[#This Row],[value]],Def[value])</f>
        <v>159</v>
      </c>
      <c r="K156" s="10">
        <f>Def[[#This Row],[value]]-_xlfn.XLOOKUP($D$282,Def[Value Rk],Def[value],,-1)</f>
        <v>-346.16876215520301</v>
      </c>
    </row>
    <row r="157" spans="1:11" x14ac:dyDescent="0.25">
      <c r="A157" t="s">
        <v>577</v>
      </c>
      <c r="B157">
        <v>23</v>
      </c>
      <c r="C157" t="s">
        <v>3</v>
      </c>
      <c r="D157" s="57"/>
      <c r="E157" s="57"/>
      <c r="F157" t="s">
        <v>23</v>
      </c>
      <c r="I157" s="10">
        <f>INDEX(Std[],MATCH(Def[[#This Row],[Player]],Std[Player],0),20)</f>
        <v>-242.73733419170145</v>
      </c>
      <c r="J157">
        <f>_xlfn.RANK.EQ(Def[[#This Row],[value]],Def[value])</f>
        <v>160</v>
      </c>
      <c r="K157" s="10">
        <f>Def[[#This Row],[value]]-_xlfn.XLOOKUP($D$282,Def[Value Rk],Def[value],,-1)</f>
        <v>-350.10210191116596</v>
      </c>
    </row>
    <row r="158" spans="1:11" x14ac:dyDescent="0.25">
      <c r="A158" t="s">
        <v>1198</v>
      </c>
      <c r="B158">
        <v>34</v>
      </c>
      <c r="C158" t="s">
        <v>3</v>
      </c>
      <c r="D158" s="57"/>
      <c r="E158" s="57"/>
      <c r="F158" t="s">
        <v>156</v>
      </c>
      <c r="I158" s="10">
        <f>INDEX(Std[],MATCH(Def[[#This Row],[Player]],Std[Player],0),20)</f>
        <v>-252.8417647603936</v>
      </c>
      <c r="J158">
        <f>_xlfn.RANK.EQ(Def[[#This Row],[value]],Def[value])</f>
        <v>162</v>
      </c>
      <c r="K158" s="10">
        <f>Def[[#This Row],[value]]-_xlfn.XLOOKUP($D$282,Def[Value Rk],Def[value],,-1)</f>
        <v>-360.20653247985808</v>
      </c>
    </row>
    <row r="159" spans="1:11" x14ac:dyDescent="0.25">
      <c r="A159" t="s">
        <v>432</v>
      </c>
      <c r="B159">
        <v>31</v>
      </c>
      <c r="C159" t="s">
        <v>3</v>
      </c>
      <c r="D159" s="57"/>
      <c r="E159" s="57"/>
      <c r="F159" t="s">
        <v>10</v>
      </c>
      <c r="I159" s="10">
        <f>INDEX(Std[],MATCH(Def[[#This Row],[Player]],Std[Player],0),20)</f>
        <v>-256.98858978242515</v>
      </c>
      <c r="J159">
        <f>_xlfn.RANK.EQ(Def[[#This Row],[value]],Def[value])</f>
        <v>163</v>
      </c>
      <c r="K159" s="10">
        <f>Def[[#This Row],[value]]-_xlfn.XLOOKUP($D$282,Def[Value Rk],Def[value],,-1)</f>
        <v>-364.3533575018896</v>
      </c>
    </row>
    <row r="160" spans="1:11" x14ac:dyDescent="0.25">
      <c r="A160" t="s">
        <v>899</v>
      </c>
      <c r="B160">
        <v>23</v>
      </c>
      <c r="C160" t="s">
        <v>3</v>
      </c>
      <c r="D160" s="57"/>
      <c r="E160" s="57"/>
      <c r="F160" t="s">
        <v>4</v>
      </c>
      <c r="I160" s="10">
        <f>INDEX(Std[],MATCH(Def[[#This Row],[Player]],Std[Player],0),20)</f>
        <v>-269.67959401906302</v>
      </c>
      <c r="J160">
        <f>_xlfn.RANK.EQ(Def[[#This Row],[value]],Def[value])</f>
        <v>164</v>
      </c>
      <c r="K160" s="10">
        <f>Def[[#This Row],[value]]-_xlfn.XLOOKUP($D$282,Def[Value Rk],Def[value],,-1)</f>
        <v>-377.04436173852753</v>
      </c>
    </row>
    <row r="161" spans="1:11" x14ac:dyDescent="0.25">
      <c r="A161" t="s">
        <v>876</v>
      </c>
      <c r="B161">
        <v>29</v>
      </c>
      <c r="C161" t="s">
        <v>3</v>
      </c>
      <c r="D161" s="57"/>
      <c r="E161" s="56"/>
      <c r="F161" t="s">
        <v>154</v>
      </c>
      <c r="I161" s="10">
        <f>INDEX(Std[],MATCH(Def[[#This Row],[Player]],Std[Player],0),20)</f>
        <v>-278.25719057673848</v>
      </c>
      <c r="J161">
        <f>_xlfn.RANK.EQ(Def[[#This Row],[value]],Def[value])</f>
        <v>165</v>
      </c>
      <c r="K161" s="10">
        <f>Def[[#This Row],[value]]-_xlfn.XLOOKUP($D$282,Def[Value Rk],Def[value],,-1)</f>
        <v>-385.62195829620293</v>
      </c>
    </row>
    <row r="162" spans="1:11" x14ac:dyDescent="0.25">
      <c r="A162" t="s">
        <v>439</v>
      </c>
      <c r="B162">
        <v>37</v>
      </c>
      <c r="C162" t="s">
        <v>3</v>
      </c>
      <c r="D162" s="57"/>
      <c r="E162" s="56"/>
      <c r="F162" t="s">
        <v>11</v>
      </c>
      <c r="I162" s="10">
        <f>INDEX(Std[],MATCH(Def[[#This Row],[Player]],Std[Player],0),20)</f>
        <v>-292.30855375429343</v>
      </c>
      <c r="J162">
        <f>_xlfn.RANK.EQ(Def[[#This Row],[value]],Def[value])</f>
        <v>169</v>
      </c>
      <c r="K162" s="10">
        <f>Def[[#This Row],[value]]-_xlfn.XLOOKUP($D$282,Def[Value Rk],Def[value],,-1)</f>
        <v>-399.67332147375794</v>
      </c>
    </row>
    <row r="163" spans="1:11" x14ac:dyDescent="0.25">
      <c r="A163" t="s">
        <v>954</v>
      </c>
      <c r="B163">
        <v>37</v>
      </c>
      <c r="C163" t="s">
        <v>3</v>
      </c>
      <c r="D163" s="57"/>
      <c r="E163" s="57"/>
      <c r="I163" s="10">
        <f>INDEX(Std[],MATCH(Def[[#This Row],[Player]],Std[Player],0),20)</f>
        <v>-282.79414060011197</v>
      </c>
      <c r="J163">
        <f>_xlfn.RANK.EQ(Def[[#This Row],[value]],Def[value])</f>
        <v>166</v>
      </c>
      <c r="K163" s="10">
        <f>Def[[#This Row],[value]]-_xlfn.XLOOKUP($D$282,Def[Value Rk],Def[value],,-1)</f>
        <v>-390.15890831957643</v>
      </c>
    </row>
    <row r="164" spans="1:11" x14ac:dyDescent="0.25">
      <c r="A164" t="s">
        <v>922</v>
      </c>
      <c r="B164">
        <v>37</v>
      </c>
      <c r="C164" t="s">
        <v>3</v>
      </c>
      <c r="D164" s="57"/>
      <c r="E164" s="57"/>
      <c r="F164" t="s">
        <v>32</v>
      </c>
      <c r="I164" s="10">
        <f>INDEX(Std[],MATCH(Def[[#This Row],[Player]],Std[Player],0),20)</f>
        <v>-289.39953987444653</v>
      </c>
      <c r="J164">
        <f>_xlfn.RANK.EQ(Def[[#This Row],[value]],Def[value])</f>
        <v>167</v>
      </c>
      <c r="K164" s="10">
        <f>Def[[#This Row],[value]]-_xlfn.XLOOKUP($D$282,Def[Value Rk],Def[value],,-1)</f>
        <v>-396.76430759391098</v>
      </c>
    </row>
    <row r="165" spans="1:11" x14ac:dyDescent="0.25">
      <c r="A165" t="s">
        <v>559</v>
      </c>
      <c r="B165">
        <v>0</v>
      </c>
      <c r="C165" t="s">
        <v>3</v>
      </c>
      <c r="D165" s="57"/>
      <c r="E165" s="56"/>
      <c r="F165" t="s">
        <v>18</v>
      </c>
      <c r="I165" s="10">
        <f>INDEX(Std[],MATCH(Def[[#This Row],[Player]],Std[Player],0),20)</f>
        <v>-291.05506544533262</v>
      </c>
      <c r="J165">
        <f>_xlfn.RANK.EQ(Def[[#This Row],[value]],Def[value])</f>
        <v>168</v>
      </c>
      <c r="K165" s="10">
        <f>Def[[#This Row],[value]]-_xlfn.XLOOKUP($D$282,Def[Value Rk],Def[value],,-1)</f>
        <v>-398.41983316479707</v>
      </c>
    </row>
    <row r="166" spans="1:11" x14ac:dyDescent="0.25">
      <c r="A166" t="s">
        <v>539</v>
      </c>
      <c r="B166">
        <v>0</v>
      </c>
      <c r="C166" t="s">
        <v>3</v>
      </c>
      <c r="D166" s="57"/>
      <c r="E166" s="57"/>
      <c r="I166" s="10">
        <f>INDEX(Std[],MATCH(Def[[#This Row],[Player]],Std[Player],0),20)</f>
        <v>-304.73395967237536</v>
      </c>
      <c r="J166">
        <f>_xlfn.RANK.EQ(Def[[#This Row],[value]],Def[value])</f>
        <v>171</v>
      </c>
      <c r="K166" s="10">
        <f>Def[[#This Row],[value]]-_xlfn.XLOOKUP($D$282,Def[Value Rk],Def[value],,-1)</f>
        <v>-412.09872739183982</v>
      </c>
    </row>
    <row r="167" spans="1:11" x14ac:dyDescent="0.25">
      <c r="A167" t="s">
        <v>932</v>
      </c>
      <c r="B167">
        <v>37</v>
      </c>
      <c r="C167" t="s">
        <v>3</v>
      </c>
      <c r="D167" s="57"/>
      <c r="E167" s="56"/>
      <c r="F167" t="s">
        <v>155</v>
      </c>
      <c r="I167" s="10">
        <f>INDEX(Std[],MATCH(Def[[#This Row],[Player]],Std[Player],0),20)</f>
        <v>-305.20522108273201</v>
      </c>
      <c r="J167">
        <f>_xlfn.RANK.EQ(Def[[#This Row],[value]],Def[value])</f>
        <v>172</v>
      </c>
      <c r="K167" s="10">
        <f>Def[[#This Row],[value]]-_xlfn.XLOOKUP($D$282,Def[Value Rk],Def[value],,-1)</f>
        <v>-412.56998880219646</v>
      </c>
    </row>
    <row r="168" spans="1:11" x14ac:dyDescent="0.25">
      <c r="A168" t="s">
        <v>1186</v>
      </c>
      <c r="B168">
        <v>32</v>
      </c>
      <c r="C168" t="s">
        <v>3</v>
      </c>
      <c r="D168" s="57"/>
      <c r="E168" s="56"/>
      <c r="F168" t="s">
        <v>9</v>
      </c>
      <c r="I168" s="10">
        <f>INDEX(Std[],MATCH(Def[[#This Row],[Player]],Std[Player],0),20)</f>
        <v>-308.18775190516186</v>
      </c>
      <c r="J168">
        <f>_xlfn.RANK.EQ(Def[[#This Row],[value]],Def[value])</f>
        <v>173</v>
      </c>
      <c r="K168" s="10">
        <f>Def[[#This Row],[value]]-_xlfn.XLOOKUP($D$282,Def[Value Rk],Def[value],,-1)</f>
        <v>-415.55251962462637</v>
      </c>
    </row>
    <row r="169" spans="1:11" x14ac:dyDescent="0.25">
      <c r="A169" t="s">
        <v>757</v>
      </c>
      <c r="B169">
        <v>33</v>
      </c>
      <c r="C169" t="s">
        <v>3</v>
      </c>
      <c r="D169" s="57"/>
      <c r="E169" s="57"/>
      <c r="F169" t="s">
        <v>15</v>
      </c>
      <c r="I169" s="10">
        <f>INDEX(Std[],MATCH(Def[[#This Row],[Player]],Std[Player],0),20)</f>
        <v>-297.64910537603276</v>
      </c>
      <c r="J169">
        <f>_xlfn.RANK.EQ(Def[[#This Row],[value]],Def[value])</f>
        <v>170</v>
      </c>
      <c r="K169" s="10">
        <f>Def[[#This Row],[value]]-_xlfn.XLOOKUP($D$282,Def[Value Rk],Def[value],,-1)</f>
        <v>-405.01387309549727</v>
      </c>
    </row>
    <row r="170" spans="1:11" x14ac:dyDescent="0.25">
      <c r="A170" t="s">
        <v>549</v>
      </c>
      <c r="B170">
        <v>0</v>
      </c>
      <c r="C170" t="s">
        <v>3</v>
      </c>
      <c r="D170" s="57"/>
      <c r="E170" s="56"/>
      <c r="F170" t="s">
        <v>155</v>
      </c>
      <c r="I170" s="10">
        <f>INDEX(Std[],MATCH(Def[[#This Row],[Player]],Std[Player],0),20)</f>
        <v>-322.48700141229347</v>
      </c>
      <c r="J170">
        <f>_xlfn.RANK.EQ(Def[[#This Row],[value]],Def[value])</f>
        <v>174</v>
      </c>
      <c r="K170" s="10">
        <f>Def[[#This Row],[value]]-_xlfn.XLOOKUP($D$282,Def[Value Rk],Def[value],,-1)</f>
        <v>-429.85176913175792</v>
      </c>
    </row>
    <row r="171" spans="1:11" x14ac:dyDescent="0.25">
      <c r="A171" t="s">
        <v>709</v>
      </c>
      <c r="B171" s="67">
        <v>0</v>
      </c>
      <c r="C171" s="67" t="s">
        <v>3</v>
      </c>
      <c r="D171" s="57"/>
      <c r="E171" s="57"/>
      <c r="I171" s="10">
        <f>INDEX(Std[],MATCH(Def[[#This Row],[Player]],Std[Player],0),20)</f>
        <v>-324.7461881787109</v>
      </c>
      <c r="J171">
        <f>_xlfn.RANK.EQ(Def[[#This Row],[value]],Def[value])</f>
        <v>175</v>
      </c>
      <c r="K171" s="10">
        <f>Def[[#This Row],[value]]-_xlfn.XLOOKUP($D$282,Def[Value Rk],Def[value],,-1)</f>
        <v>-432.11095589817535</v>
      </c>
    </row>
    <row r="172" spans="1:11" x14ac:dyDescent="0.25">
      <c r="A172" t="s">
        <v>1196</v>
      </c>
      <c r="B172">
        <v>24</v>
      </c>
      <c r="C172" t="s">
        <v>3</v>
      </c>
      <c r="D172" s="57"/>
      <c r="E172" s="57"/>
      <c r="F172" t="s">
        <v>15</v>
      </c>
      <c r="I172" s="10">
        <f>INDEX(Std[],MATCH(Def[[#This Row],[Player]],Std[Player],0),20)</f>
        <v>-326.75289571228967</v>
      </c>
      <c r="J172">
        <f>_xlfn.RANK.EQ(Def[[#This Row],[value]],Def[value])</f>
        <v>177</v>
      </c>
      <c r="K172" s="10">
        <f>Def[[#This Row],[value]]-_xlfn.XLOOKUP($D$282,Def[Value Rk],Def[value],,-1)</f>
        <v>-434.11766343175418</v>
      </c>
    </row>
    <row r="173" spans="1:11" x14ac:dyDescent="0.25">
      <c r="A173" t="s">
        <v>1185</v>
      </c>
      <c r="B173">
        <v>26</v>
      </c>
      <c r="C173" t="s">
        <v>3</v>
      </c>
      <c r="D173" s="57"/>
      <c r="E173" s="57"/>
      <c r="F173" t="s">
        <v>6</v>
      </c>
      <c r="I173" s="10">
        <f>INDEX(Std[],MATCH(Def[[#This Row],[Player]],Std[Player],0),20)</f>
        <v>-326.50473527932979</v>
      </c>
      <c r="J173">
        <f>_xlfn.RANK.EQ(Def[[#This Row],[value]],Def[value])</f>
        <v>176</v>
      </c>
      <c r="K173" s="10">
        <f>Def[[#This Row],[value]]-_xlfn.XLOOKUP($D$282,Def[Value Rk],Def[value],,-1)</f>
        <v>-433.86950299879425</v>
      </c>
    </row>
    <row r="174" spans="1:11" x14ac:dyDescent="0.25">
      <c r="A174" t="s">
        <v>1064</v>
      </c>
      <c r="B174">
        <v>29</v>
      </c>
      <c r="C174" t="s">
        <v>3</v>
      </c>
      <c r="D174" s="57"/>
      <c r="E174" s="57"/>
      <c r="F174" t="s">
        <v>32</v>
      </c>
      <c r="I174" s="10">
        <f>INDEX(Std[],MATCH(Def[[#This Row],[Player]],Std[Player],0),20)</f>
        <v>-336.93366874762791</v>
      </c>
      <c r="J174">
        <f>_xlfn.RANK.EQ(Def[[#This Row],[value]],Def[value])</f>
        <v>178</v>
      </c>
      <c r="K174" s="10">
        <f>Def[[#This Row],[value]]-_xlfn.XLOOKUP($D$282,Def[Value Rk],Def[value],,-1)</f>
        <v>-444.29843646709242</v>
      </c>
    </row>
    <row r="175" spans="1:11" x14ac:dyDescent="0.25">
      <c r="A175" t="s">
        <v>618</v>
      </c>
      <c r="B175">
        <v>30</v>
      </c>
      <c r="C175" t="s">
        <v>3</v>
      </c>
      <c r="D175" s="57"/>
      <c r="E175" s="57"/>
      <c r="F175" t="s">
        <v>12</v>
      </c>
      <c r="I175" s="10">
        <f>INDEX(Std[],MATCH(Def[[#This Row],[Player]],Std[Player],0),20)</f>
        <v>-341.30038434091477</v>
      </c>
      <c r="J175">
        <f>_xlfn.RANK.EQ(Def[[#This Row],[value]],Def[value])</f>
        <v>179</v>
      </c>
      <c r="K175" s="10">
        <f>Def[[#This Row],[value]]-_xlfn.XLOOKUP($D$282,Def[Value Rk],Def[value],,-1)</f>
        <v>-448.66515206037923</v>
      </c>
    </row>
    <row r="176" spans="1:11" x14ac:dyDescent="0.25">
      <c r="A176" t="s">
        <v>471</v>
      </c>
      <c r="B176">
        <v>24</v>
      </c>
      <c r="C176" t="s">
        <v>3</v>
      </c>
      <c r="D176" s="57"/>
      <c r="E176" s="56"/>
      <c r="F176" t="s">
        <v>25</v>
      </c>
      <c r="I176" s="10">
        <f>INDEX(Std[],MATCH(Def[[#This Row],[Player]],Std[Player],0),20)</f>
        <v>-345.97266088076515</v>
      </c>
      <c r="J176">
        <f>_xlfn.RANK.EQ(Def[[#This Row],[value]],Def[value])</f>
        <v>181</v>
      </c>
      <c r="K176" s="10">
        <f>Def[[#This Row],[value]]-_xlfn.XLOOKUP($D$282,Def[Value Rk],Def[value],,-1)</f>
        <v>-453.3374286002296</v>
      </c>
    </row>
    <row r="177" spans="1:11" x14ac:dyDescent="0.25">
      <c r="A177" t="s">
        <v>405</v>
      </c>
      <c r="B177">
        <v>33</v>
      </c>
      <c r="C177" t="s">
        <v>3</v>
      </c>
      <c r="D177" s="57"/>
      <c r="E177" s="57"/>
      <c r="F177" t="s">
        <v>153</v>
      </c>
      <c r="I177" s="10">
        <f>INDEX(Std[],MATCH(Def[[#This Row],[Player]],Std[Player],0),20)</f>
        <v>-345.27922281832548</v>
      </c>
      <c r="J177">
        <f>_xlfn.RANK.EQ(Def[[#This Row],[value]],Def[value])</f>
        <v>180</v>
      </c>
      <c r="K177" s="10">
        <f>Def[[#This Row],[value]]-_xlfn.XLOOKUP($D$282,Def[Value Rk],Def[value],,-1)</f>
        <v>-452.64399053778993</v>
      </c>
    </row>
    <row r="178" spans="1:11" x14ac:dyDescent="0.25">
      <c r="A178" t="s">
        <v>553</v>
      </c>
      <c r="B178">
        <v>29</v>
      </c>
      <c r="C178" t="s">
        <v>3</v>
      </c>
      <c r="D178" s="57"/>
      <c r="E178" s="56"/>
      <c r="F178" t="s">
        <v>4</v>
      </c>
      <c r="I178" s="10">
        <f>INDEX(Std[],MATCH(Def[[#This Row],[Player]],Std[Player],0),20)</f>
        <v>-350.62229213594651</v>
      </c>
      <c r="J178">
        <f>_xlfn.RANK.EQ(Def[[#This Row],[value]],Def[value])</f>
        <v>184</v>
      </c>
      <c r="K178" s="10">
        <f>Def[[#This Row],[value]]-_xlfn.XLOOKUP($D$282,Def[Value Rk],Def[value],,-1)</f>
        <v>-457.98705985541096</v>
      </c>
    </row>
    <row r="179" spans="1:11" x14ac:dyDescent="0.25">
      <c r="A179" t="s">
        <v>702</v>
      </c>
      <c r="B179">
        <v>34</v>
      </c>
      <c r="C179" t="s">
        <v>3</v>
      </c>
      <c r="D179" s="57"/>
      <c r="E179" s="57"/>
      <c r="F179" t="s">
        <v>22</v>
      </c>
      <c r="I179" s="10">
        <f>INDEX(Std[],MATCH(Def[[#This Row],[Player]],Std[Player],0),20)</f>
        <v>-350.17646563598703</v>
      </c>
      <c r="J179">
        <f>_xlfn.RANK.EQ(Def[[#This Row],[value]],Def[value])</f>
        <v>183</v>
      </c>
      <c r="K179" s="10">
        <f>Def[[#This Row],[value]]-_xlfn.XLOOKUP($D$282,Def[Value Rk],Def[value],,-1)</f>
        <v>-457.54123335545148</v>
      </c>
    </row>
    <row r="180" spans="1:11" x14ac:dyDescent="0.25">
      <c r="A180" t="s">
        <v>619</v>
      </c>
      <c r="B180">
        <v>22</v>
      </c>
      <c r="C180" t="s">
        <v>3</v>
      </c>
      <c r="D180" s="57"/>
      <c r="E180" s="57"/>
      <c r="F180" t="s">
        <v>13</v>
      </c>
      <c r="I180" s="10">
        <f>INDEX(Std[],MATCH(Def[[#This Row],[Player]],Std[Player],0),20)</f>
        <v>-352.2805304376833</v>
      </c>
      <c r="J180">
        <f>_xlfn.RANK.EQ(Def[[#This Row],[value]],Def[value])</f>
        <v>185</v>
      </c>
      <c r="K180" s="10">
        <f>Def[[#This Row],[value]]-_xlfn.XLOOKUP($D$282,Def[Value Rk],Def[value],,-1)</f>
        <v>-459.64529815714775</v>
      </c>
    </row>
    <row r="181" spans="1:11" x14ac:dyDescent="0.25">
      <c r="A181" t="s">
        <v>530</v>
      </c>
      <c r="B181">
        <v>26</v>
      </c>
      <c r="C181" t="s">
        <v>3</v>
      </c>
      <c r="D181" s="57"/>
      <c r="E181" s="57"/>
      <c r="F181" t="s">
        <v>23</v>
      </c>
      <c r="I181" s="10">
        <f>INDEX(Std[],MATCH(Def[[#This Row],[Player]],Std[Player],0),20)</f>
        <v>-352.59367539126305</v>
      </c>
      <c r="J181">
        <f>_xlfn.RANK.EQ(Def[[#This Row],[value]],Def[value])</f>
        <v>186</v>
      </c>
      <c r="K181" s="10">
        <f>Def[[#This Row],[value]]-_xlfn.XLOOKUP($D$282,Def[Value Rk],Def[value],,-1)</f>
        <v>-459.95844311072756</v>
      </c>
    </row>
    <row r="182" spans="1:11" x14ac:dyDescent="0.25">
      <c r="A182" t="s">
        <v>606</v>
      </c>
      <c r="B182">
        <v>22</v>
      </c>
      <c r="C182" t="s">
        <v>3</v>
      </c>
      <c r="D182" s="57"/>
      <c r="E182" s="56"/>
      <c r="F182" t="s">
        <v>10</v>
      </c>
      <c r="I182" s="10">
        <f>INDEX(Std[],MATCH(Def[[#This Row],[Player]],Std[Player],0),20)</f>
        <v>-356.3196385244745</v>
      </c>
      <c r="J182">
        <f>_xlfn.RANK.EQ(Def[[#This Row],[value]],Def[value])</f>
        <v>187</v>
      </c>
      <c r="K182" s="10">
        <f>Def[[#This Row],[value]]-_xlfn.XLOOKUP($D$282,Def[Value Rk],Def[value],,-1)</f>
        <v>-463.68440624393895</v>
      </c>
    </row>
    <row r="183" spans="1:11" x14ac:dyDescent="0.25">
      <c r="A183" t="s">
        <v>1184</v>
      </c>
      <c r="B183">
        <v>33</v>
      </c>
      <c r="C183" t="s">
        <v>3</v>
      </c>
      <c r="D183" s="57"/>
      <c r="E183" s="57"/>
      <c r="F183" t="s">
        <v>2</v>
      </c>
      <c r="I183" s="10">
        <f>INDEX(Std[],MATCH(Def[[#This Row],[Player]],Std[Player],0),20)</f>
        <v>-356.5823782190601</v>
      </c>
      <c r="J183">
        <f>_xlfn.RANK.EQ(Def[[#This Row],[value]],Def[value])</f>
        <v>188</v>
      </c>
      <c r="K183" s="10">
        <f>Def[[#This Row],[value]]-_xlfn.XLOOKUP($D$282,Def[Value Rk],Def[value],,-1)</f>
        <v>-463.94714593852461</v>
      </c>
    </row>
    <row r="184" spans="1:11" x14ac:dyDescent="0.25">
      <c r="A184" t="s">
        <v>516</v>
      </c>
      <c r="B184">
        <v>29</v>
      </c>
      <c r="C184" t="s">
        <v>3</v>
      </c>
      <c r="D184" s="57"/>
      <c r="E184" s="57"/>
      <c r="F184" t="s">
        <v>11</v>
      </c>
      <c r="I184" s="10">
        <f>INDEX(Std[],MATCH(Def[[#This Row],[Player]],Std[Player],0),20)</f>
        <v>-349.9253481551296</v>
      </c>
      <c r="J184">
        <f>_xlfn.RANK.EQ(Def[[#This Row],[value]],Def[value])</f>
        <v>182</v>
      </c>
      <c r="K184" s="10">
        <f>Def[[#This Row],[value]]-_xlfn.XLOOKUP($D$282,Def[Value Rk],Def[value],,-1)</f>
        <v>-457.29011587459411</v>
      </c>
    </row>
    <row r="185" spans="1:11" x14ac:dyDescent="0.25">
      <c r="A185" t="s">
        <v>1071</v>
      </c>
      <c r="B185">
        <v>33</v>
      </c>
      <c r="C185" t="s">
        <v>3</v>
      </c>
      <c r="D185" s="57"/>
      <c r="E185" s="57"/>
      <c r="F185" t="s">
        <v>30</v>
      </c>
      <c r="I185" s="10">
        <f>INDEX(Std[],MATCH(Def[[#This Row],[Player]],Std[Player],0),20)</f>
        <v>398.34332484337546</v>
      </c>
      <c r="J185">
        <f>_xlfn.RANK.EQ(Def[[#This Row],[value]],Def[value])</f>
        <v>31</v>
      </c>
      <c r="K185" s="10">
        <f>Def[[#This Row],[value]]-_xlfn.XLOOKUP($D$282,Def[Value Rk],Def[value],,-1)</f>
        <v>290.97855712391095</v>
      </c>
    </row>
    <row r="186" spans="1:11" x14ac:dyDescent="0.25">
      <c r="A186" t="s">
        <v>900</v>
      </c>
      <c r="B186">
        <v>22</v>
      </c>
      <c r="C186" t="s">
        <v>3</v>
      </c>
      <c r="D186" s="57"/>
      <c r="E186" s="56"/>
      <c r="F186" t="s">
        <v>155</v>
      </c>
      <c r="I186" s="10">
        <f>INDEX(Std[],MATCH(Def[[#This Row],[Player]],Std[Player],0),20)</f>
        <v>-376.12321556040899</v>
      </c>
      <c r="J186">
        <f>_xlfn.RANK.EQ(Def[[#This Row],[value]],Def[value])</f>
        <v>189</v>
      </c>
      <c r="K186" s="10">
        <f>Def[[#This Row],[value]]-_xlfn.XLOOKUP($D$282,Def[Value Rk],Def[value],,-1)</f>
        <v>-483.48798327987345</v>
      </c>
    </row>
    <row r="187" spans="1:11" x14ac:dyDescent="0.25">
      <c r="A187" t="s">
        <v>661</v>
      </c>
      <c r="B187">
        <v>22</v>
      </c>
      <c r="C187" t="s">
        <v>3</v>
      </c>
      <c r="D187" s="57"/>
      <c r="E187" s="57"/>
      <c r="F187" t="s">
        <v>17</v>
      </c>
      <c r="I187" s="10">
        <f>INDEX(Std[],MATCH(Def[[#This Row],[Player]],Std[Player],0),20)</f>
        <v>-398.46593686799326</v>
      </c>
      <c r="J187">
        <f>_xlfn.RANK.EQ(Def[[#This Row],[value]],Def[value])</f>
        <v>192</v>
      </c>
      <c r="K187" s="10">
        <f>Def[[#This Row],[value]]-_xlfn.XLOOKUP($D$282,Def[Value Rk],Def[value],,-1)</f>
        <v>-505.83070458745772</v>
      </c>
    </row>
    <row r="188" spans="1:11" x14ac:dyDescent="0.25">
      <c r="A188" t="s">
        <v>514</v>
      </c>
      <c r="B188">
        <v>0</v>
      </c>
      <c r="C188" t="s">
        <v>3</v>
      </c>
      <c r="D188" s="57"/>
      <c r="E188" s="56"/>
      <c r="F188" t="s">
        <v>154</v>
      </c>
      <c r="I188" s="10">
        <f>INDEX(Std[],MATCH(Def[[#This Row],[Player]],Std[Player],0),20)</f>
        <v>-397.85389271827722</v>
      </c>
      <c r="J188">
        <f>_xlfn.RANK.EQ(Def[[#This Row],[value]],Def[value])</f>
        <v>191</v>
      </c>
      <c r="K188" s="10">
        <f>Def[[#This Row],[value]]-_xlfn.XLOOKUP($D$282,Def[Value Rk],Def[value],,-1)</f>
        <v>-505.21866043774173</v>
      </c>
    </row>
    <row r="189" spans="1:11" x14ac:dyDescent="0.25">
      <c r="A189" t="s">
        <v>927</v>
      </c>
      <c r="B189" s="67">
        <v>0</v>
      </c>
      <c r="C189" s="67" t="s">
        <v>3</v>
      </c>
      <c r="D189" s="57"/>
      <c r="E189" s="57"/>
      <c r="I189" s="10">
        <f>INDEX(Std[],MATCH(Def[[#This Row],[Player]],Std[Player],0),20)</f>
        <v>-400.92609046869308</v>
      </c>
      <c r="J189">
        <f>_xlfn.RANK.EQ(Def[[#This Row],[value]],Def[value])</f>
        <v>194</v>
      </c>
      <c r="K189" s="10">
        <f>Def[[#This Row],[value]]-_xlfn.XLOOKUP($D$282,Def[Value Rk],Def[value],,-1)</f>
        <v>-508.29085818815759</v>
      </c>
    </row>
    <row r="190" spans="1:11" x14ac:dyDescent="0.25">
      <c r="A190" t="s">
        <v>643</v>
      </c>
      <c r="B190">
        <v>33</v>
      </c>
      <c r="C190" t="s">
        <v>3</v>
      </c>
      <c r="D190" s="57"/>
      <c r="E190" s="56"/>
      <c r="F190" t="s">
        <v>154</v>
      </c>
      <c r="I190" s="10">
        <f>INDEX(Std[],MATCH(Def[[#This Row],[Player]],Std[Player],0),20)</f>
        <v>-389.66000530396605</v>
      </c>
      <c r="J190">
        <f>_xlfn.RANK.EQ(Def[[#This Row],[value]],Def[value])</f>
        <v>190</v>
      </c>
      <c r="K190" s="10">
        <f>Def[[#This Row],[value]]-_xlfn.XLOOKUP($D$282,Def[Value Rk],Def[value],,-1)</f>
        <v>-497.0247730234305</v>
      </c>
    </row>
    <row r="191" spans="1:11" x14ac:dyDescent="0.25">
      <c r="A191" t="s">
        <v>513</v>
      </c>
      <c r="B191">
        <v>32</v>
      </c>
      <c r="C191" t="s">
        <v>3</v>
      </c>
      <c r="D191" s="57"/>
      <c r="E191" s="57"/>
      <c r="F191" t="s">
        <v>29</v>
      </c>
      <c r="I191" s="10">
        <f>INDEX(Std[],MATCH(Def[[#This Row],[Player]],Std[Player],0),20)</f>
        <v>-400.5551604349767</v>
      </c>
      <c r="J191">
        <f>_xlfn.RANK.EQ(Def[[#This Row],[value]],Def[value])</f>
        <v>193</v>
      </c>
      <c r="K191" s="10">
        <f>Def[[#This Row],[value]]-_xlfn.XLOOKUP($D$282,Def[Value Rk],Def[value],,-1)</f>
        <v>-507.91992815444121</v>
      </c>
    </row>
    <row r="192" spans="1:11" x14ac:dyDescent="0.25">
      <c r="A192" t="s">
        <v>943</v>
      </c>
      <c r="B192">
        <v>25</v>
      </c>
      <c r="C192" t="s">
        <v>3</v>
      </c>
      <c r="D192" s="57"/>
      <c r="E192" s="56"/>
      <c r="F192" t="s">
        <v>9</v>
      </c>
      <c r="I192" s="10">
        <f>INDEX(Std[],MATCH(Def[[#This Row],[Player]],Std[Player],0),20)</f>
        <v>-412.62961499307312</v>
      </c>
      <c r="J192">
        <f>_xlfn.RANK.EQ(Def[[#This Row],[value]],Def[value])</f>
        <v>196</v>
      </c>
      <c r="K192" s="10">
        <f>Def[[#This Row],[value]]-_xlfn.XLOOKUP($D$282,Def[Value Rk],Def[value],,-1)</f>
        <v>-519.99438271253757</v>
      </c>
    </row>
    <row r="193" spans="1:11" x14ac:dyDescent="0.25">
      <c r="A193" t="s">
        <v>534</v>
      </c>
      <c r="B193">
        <v>26</v>
      </c>
      <c r="C193" t="s">
        <v>3</v>
      </c>
      <c r="D193" s="57"/>
      <c r="E193" s="56"/>
      <c r="F193" t="s">
        <v>8</v>
      </c>
      <c r="I193" s="10">
        <f>INDEX(Std[],MATCH(Def[[#This Row],[Player]],Std[Player],0),20)</f>
        <v>-414.91680652922201</v>
      </c>
      <c r="J193">
        <f>_xlfn.RANK.EQ(Def[[#This Row],[value]],Def[value])</f>
        <v>197</v>
      </c>
      <c r="K193" s="10">
        <f>Def[[#This Row],[value]]-_xlfn.XLOOKUP($D$282,Def[Value Rk],Def[value],,-1)</f>
        <v>-522.28157424868652</v>
      </c>
    </row>
    <row r="194" spans="1:11" x14ac:dyDescent="0.25">
      <c r="A194" t="s">
        <v>1060</v>
      </c>
      <c r="B194">
        <v>21</v>
      </c>
      <c r="C194" t="s">
        <v>3</v>
      </c>
      <c r="D194" s="57"/>
      <c r="E194" s="57"/>
      <c r="F194" t="s">
        <v>21</v>
      </c>
      <c r="I194" s="10">
        <f>INDEX(Std[],MATCH(Def[[#This Row],[Player]],Std[Player],0),20)</f>
        <v>-417.81474116276229</v>
      </c>
      <c r="J194">
        <f>_xlfn.RANK.EQ(Def[[#This Row],[value]],Def[value])</f>
        <v>199</v>
      </c>
      <c r="K194" s="10">
        <f>Def[[#This Row],[value]]-_xlfn.XLOOKUP($D$282,Def[Value Rk],Def[value],,-1)</f>
        <v>-525.17950888222674</v>
      </c>
    </row>
    <row r="195" spans="1:11" x14ac:dyDescent="0.25">
      <c r="A195" t="s">
        <v>512</v>
      </c>
      <c r="B195">
        <v>23</v>
      </c>
      <c r="C195" t="s">
        <v>3</v>
      </c>
      <c r="D195" s="57"/>
      <c r="E195" s="57"/>
      <c r="F195" t="s">
        <v>6</v>
      </c>
      <c r="I195" s="10">
        <f>INDEX(Std[],MATCH(Def[[#This Row],[Player]],Std[Player],0),20)</f>
        <v>-447.8140340331417</v>
      </c>
      <c r="J195">
        <f>_xlfn.RANK.EQ(Def[[#This Row],[value]],Def[value])</f>
        <v>207</v>
      </c>
      <c r="K195" s="10">
        <f>Def[[#This Row],[value]]-_xlfn.XLOOKUP($D$282,Def[Value Rk],Def[value],,-1)</f>
        <v>-555.1788017526062</v>
      </c>
    </row>
    <row r="196" spans="1:11" x14ac:dyDescent="0.25">
      <c r="A196" t="s">
        <v>801</v>
      </c>
      <c r="B196">
        <v>34</v>
      </c>
      <c r="C196" t="s">
        <v>3</v>
      </c>
      <c r="D196" s="57"/>
      <c r="E196" s="57"/>
      <c r="F196" t="s">
        <v>6</v>
      </c>
      <c r="I196" s="10">
        <f>INDEX(Std[],MATCH(Def[[#This Row],[Player]],Std[Player],0),20)</f>
        <v>-427.65480211386244</v>
      </c>
      <c r="J196">
        <f>_xlfn.RANK.EQ(Def[[#This Row],[value]],Def[value])</f>
        <v>200</v>
      </c>
      <c r="K196" s="10">
        <f>Def[[#This Row],[value]]-_xlfn.XLOOKUP($D$282,Def[Value Rk],Def[value],,-1)</f>
        <v>-535.01956983332695</v>
      </c>
    </row>
    <row r="197" spans="1:11" x14ac:dyDescent="0.25">
      <c r="A197" t="s">
        <v>1024</v>
      </c>
      <c r="B197">
        <v>23</v>
      </c>
      <c r="C197" t="s">
        <v>3</v>
      </c>
      <c r="D197" s="57"/>
      <c r="E197" s="57"/>
      <c r="F197" t="s">
        <v>23</v>
      </c>
      <c r="I197" s="10">
        <f>INDEX(Std[],MATCH(Def[[#This Row],[Player]],Std[Player],0),20)</f>
        <v>-429.99316798839624</v>
      </c>
      <c r="J197">
        <f>_xlfn.RANK.EQ(Def[[#This Row],[value]],Def[value])</f>
        <v>201</v>
      </c>
      <c r="K197" s="10">
        <f>Def[[#This Row],[value]]-_xlfn.XLOOKUP($D$282,Def[Value Rk],Def[value],,-1)</f>
        <v>-537.35793570786075</v>
      </c>
    </row>
    <row r="198" spans="1:11" x14ac:dyDescent="0.25">
      <c r="A198" t="s">
        <v>973</v>
      </c>
      <c r="B198">
        <v>30</v>
      </c>
      <c r="C198" t="s">
        <v>3</v>
      </c>
      <c r="D198" s="57"/>
      <c r="E198" s="57"/>
      <c r="F198" t="s">
        <v>31</v>
      </c>
      <c r="I198" s="10">
        <f>INDEX(Std[],MATCH(Def[[#This Row],[Player]],Std[Player],0),20)</f>
        <v>-416.68057034546814</v>
      </c>
      <c r="J198">
        <f>_xlfn.RANK.EQ(Def[[#This Row],[value]],Def[value])</f>
        <v>198</v>
      </c>
      <c r="K198" s="10">
        <f>Def[[#This Row],[value]]-_xlfn.XLOOKUP($D$282,Def[Value Rk],Def[value],,-1)</f>
        <v>-524.04533806493259</v>
      </c>
    </row>
    <row r="199" spans="1:11" x14ac:dyDescent="0.25">
      <c r="A199" t="s">
        <v>448</v>
      </c>
      <c r="B199">
        <v>32</v>
      </c>
      <c r="C199" t="s">
        <v>3</v>
      </c>
      <c r="D199" s="57"/>
      <c r="E199" s="57"/>
      <c r="F199" t="s">
        <v>4</v>
      </c>
      <c r="I199" s="10">
        <f>INDEX(Std[],MATCH(Def[[#This Row],[Player]],Std[Player],0),20)</f>
        <v>-434.61019081086579</v>
      </c>
      <c r="J199">
        <f>_xlfn.RANK.EQ(Def[[#This Row],[value]],Def[value])</f>
        <v>202</v>
      </c>
      <c r="K199" s="10">
        <f>Def[[#This Row],[value]]-_xlfn.XLOOKUP($D$282,Def[Value Rk],Def[value],,-1)</f>
        <v>-541.97495853033024</v>
      </c>
    </row>
    <row r="200" spans="1:11" x14ac:dyDescent="0.25">
      <c r="A200" t="s">
        <v>1053</v>
      </c>
      <c r="B200">
        <v>31</v>
      </c>
      <c r="C200" t="s">
        <v>3</v>
      </c>
      <c r="D200" s="57"/>
      <c r="E200" s="57"/>
      <c r="F200" t="s">
        <v>13</v>
      </c>
      <c r="I200" s="10">
        <f>INDEX(Std[],MATCH(Def[[#This Row],[Player]],Std[Player],0),20)</f>
        <v>-435.13965617942</v>
      </c>
      <c r="J200">
        <f>_xlfn.RANK.EQ(Def[[#This Row],[value]],Def[value])</f>
        <v>203</v>
      </c>
      <c r="K200" s="10">
        <f>Def[[#This Row],[value]]-_xlfn.XLOOKUP($D$282,Def[Value Rk],Def[value],,-1)</f>
        <v>-542.50442389888451</v>
      </c>
    </row>
    <row r="201" spans="1:11" x14ac:dyDescent="0.25">
      <c r="A201" t="s">
        <v>945</v>
      </c>
      <c r="B201">
        <v>28</v>
      </c>
      <c r="C201" t="s">
        <v>3</v>
      </c>
      <c r="D201" s="57"/>
      <c r="E201" s="57"/>
      <c r="F201" t="s">
        <v>5</v>
      </c>
      <c r="I201" s="10">
        <f>INDEX(Std[],MATCH(Def[[#This Row],[Player]],Std[Player],0),20)</f>
        <v>-437.86855825871856</v>
      </c>
      <c r="J201">
        <f>_xlfn.RANK.EQ(Def[[#This Row],[value]],Def[value])</f>
        <v>204</v>
      </c>
      <c r="K201" s="10">
        <f>Def[[#This Row],[value]]-_xlfn.XLOOKUP($D$282,Def[Value Rk],Def[value],,-1)</f>
        <v>-545.23332597818307</v>
      </c>
    </row>
    <row r="202" spans="1:11" x14ac:dyDescent="0.25">
      <c r="A202" t="s">
        <v>917</v>
      </c>
      <c r="B202">
        <v>27</v>
      </c>
      <c r="C202" t="s">
        <v>3</v>
      </c>
      <c r="D202" s="57"/>
      <c r="E202" s="57"/>
      <c r="F202" t="s">
        <v>20</v>
      </c>
      <c r="I202" s="10">
        <f>INDEX(Std[],MATCH(Def[[#This Row],[Player]],Std[Player],0),20)</f>
        <v>-439.95479067660528</v>
      </c>
      <c r="J202">
        <f>_xlfn.RANK.EQ(Def[[#This Row],[value]],Def[value])</f>
        <v>206</v>
      </c>
      <c r="K202" s="10">
        <f>Def[[#This Row],[value]]-_xlfn.XLOOKUP($D$282,Def[Value Rk],Def[value],,-1)</f>
        <v>-547.31955839606974</v>
      </c>
    </row>
    <row r="203" spans="1:11" x14ac:dyDescent="0.25">
      <c r="A203" t="s">
        <v>970</v>
      </c>
      <c r="B203">
        <v>32</v>
      </c>
      <c r="C203" t="s">
        <v>3</v>
      </c>
      <c r="D203" s="57"/>
      <c r="E203" s="57"/>
      <c r="F203" t="s">
        <v>14</v>
      </c>
      <c r="I203" s="10">
        <f>INDEX(Std[],MATCH(Def[[#This Row],[Player]],Std[Player],0),20)</f>
        <v>-439.46661880904037</v>
      </c>
      <c r="J203">
        <f>_xlfn.RANK.EQ(Def[[#This Row],[value]],Def[value])</f>
        <v>205</v>
      </c>
      <c r="K203" s="10">
        <f>Def[[#This Row],[value]]-_xlfn.XLOOKUP($D$282,Def[Value Rk],Def[value],,-1)</f>
        <v>-546.83138652850482</v>
      </c>
    </row>
    <row r="204" spans="1:11" x14ac:dyDescent="0.25">
      <c r="A204" t="s">
        <v>1075</v>
      </c>
      <c r="B204">
        <v>29</v>
      </c>
      <c r="C204" t="s">
        <v>3</v>
      </c>
      <c r="D204" s="57"/>
      <c r="E204" s="56"/>
      <c r="F204" t="s">
        <v>2</v>
      </c>
      <c r="I204" s="10">
        <f>INDEX(Std[],MATCH(Def[[#This Row],[Player]],Std[Player],0),20)</f>
        <v>-452.76383311169639</v>
      </c>
      <c r="J204">
        <f>_xlfn.RANK.EQ(Def[[#This Row],[value]],Def[value])</f>
        <v>208</v>
      </c>
      <c r="K204" s="10">
        <f>Def[[#This Row],[value]]-_xlfn.XLOOKUP($D$282,Def[Value Rk],Def[value],,-1)</f>
        <v>-560.12860083116084</v>
      </c>
    </row>
    <row r="205" spans="1:11" x14ac:dyDescent="0.25">
      <c r="A205" t="s">
        <v>713</v>
      </c>
      <c r="B205">
        <v>36</v>
      </c>
      <c r="C205" t="s">
        <v>3</v>
      </c>
      <c r="D205" s="57"/>
      <c r="E205" s="56"/>
      <c r="F205" t="s">
        <v>8</v>
      </c>
      <c r="I205" s="10">
        <f>INDEX(Std[],MATCH(Def[[#This Row],[Player]],Std[Player],0),20)</f>
        <v>-475.77382977647187</v>
      </c>
      <c r="J205">
        <f>_xlfn.RANK.EQ(Def[[#This Row],[value]],Def[value])</f>
        <v>214</v>
      </c>
      <c r="K205" s="10">
        <f>Def[[#This Row],[value]]-_xlfn.XLOOKUP($D$282,Def[Value Rk],Def[value],,-1)</f>
        <v>-583.13859749593632</v>
      </c>
    </row>
    <row r="206" spans="1:11" x14ac:dyDescent="0.25">
      <c r="A206" t="s">
        <v>874</v>
      </c>
      <c r="B206">
        <v>25</v>
      </c>
      <c r="C206" t="s">
        <v>3</v>
      </c>
      <c r="D206" s="57"/>
      <c r="E206" s="56"/>
      <c r="F206" t="s">
        <v>153</v>
      </c>
      <c r="I206" s="10">
        <f>INDEX(Std[],MATCH(Def[[#This Row],[Player]],Std[Player],0),20)</f>
        <v>-454.67279274398197</v>
      </c>
      <c r="J206">
        <f>_xlfn.RANK.EQ(Def[[#This Row],[value]],Def[value])</f>
        <v>210</v>
      </c>
      <c r="K206" s="10">
        <f>Def[[#This Row],[value]]-_xlfn.XLOOKUP($D$282,Def[Value Rk],Def[value],,-1)</f>
        <v>-562.03756046344643</v>
      </c>
    </row>
    <row r="207" spans="1:11" x14ac:dyDescent="0.25">
      <c r="A207" t="s">
        <v>573</v>
      </c>
      <c r="B207">
        <v>25</v>
      </c>
      <c r="C207" t="s">
        <v>3</v>
      </c>
      <c r="D207" s="57"/>
      <c r="E207" s="56"/>
      <c r="F207" t="s">
        <v>31</v>
      </c>
      <c r="I207" s="10">
        <f>INDEX(Std[],MATCH(Def[[#This Row],[Player]],Std[Player],0),20)</f>
        <v>-454.6685038972887</v>
      </c>
      <c r="J207">
        <f>_xlfn.RANK.EQ(Def[[#This Row],[value]],Def[value])</f>
        <v>209</v>
      </c>
      <c r="K207" s="10">
        <f>Def[[#This Row],[value]]-_xlfn.XLOOKUP($D$282,Def[Value Rk],Def[value],,-1)</f>
        <v>-562.03327161675315</v>
      </c>
    </row>
    <row r="208" spans="1:11" x14ac:dyDescent="0.25">
      <c r="A208" t="s">
        <v>944</v>
      </c>
      <c r="B208">
        <v>33</v>
      </c>
      <c r="C208" t="s">
        <v>3</v>
      </c>
      <c r="D208" s="57"/>
      <c r="E208" s="56"/>
      <c r="F208" t="s">
        <v>14</v>
      </c>
      <c r="I208" s="10">
        <f>INDEX(Std[],MATCH(Def[[#This Row],[Player]],Std[Player],0),20)</f>
        <v>-457.92142162376945</v>
      </c>
      <c r="J208">
        <f>_xlfn.RANK.EQ(Def[[#This Row],[value]],Def[value])</f>
        <v>211</v>
      </c>
      <c r="K208" s="10">
        <f>Def[[#This Row],[value]]-_xlfn.XLOOKUP($D$282,Def[Value Rk],Def[value],,-1)</f>
        <v>-565.2861893432339</v>
      </c>
    </row>
    <row r="209" spans="1:11" x14ac:dyDescent="0.25">
      <c r="A209" t="s">
        <v>544</v>
      </c>
      <c r="B209" s="67"/>
      <c r="C209" s="74" t="s">
        <v>3</v>
      </c>
      <c r="D209" s="57"/>
      <c r="E209" s="57"/>
      <c r="I209" s="10">
        <f>INDEX(Std[],MATCH(Def[[#This Row],[Player]],Std[Player],0),20)</f>
        <v>-459.15983902557667</v>
      </c>
      <c r="J209">
        <f>_xlfn.RANK.EQ(Def[[#This Row],[value]],Def[value])</f>
        <v>212</v>
      </c>
      <c r="K209" s="10">
        <f>Def[[#This Row],[value]]-_xlfn.XLOOKUP($D$282,Def[Value Rk],Def[value],,-1)</f>
        <v>-566.52460674504118</v>
      </c>
    </row>
    <row r="210" spans="1:11" x14ac:dyDescent="0.25">
      <c r="A210" t="s">
        <v>691</v>
      </c>
      <c r="B210">
        <v>34</v>
      </c>
      <c r="C210" t="s">
        <v>3</v>
      </c>
      <c r="D210" s="57"/>
      <c r="E210" s="56"/>
      <c r="F210" t="s">
        <v>14</v>
      </c>
      <c r="I210" s="10">
        <f>INDEX(Std[],MATCH(Def[[#This Row],[Player]],Std[Player],0),20)</f>
        <v>-476.64010069016484</v>
      </c>
      <c r="J210">
        <f>_xlfn.RANK.EQ(Def[[#This Row],[value]],Def[value])</f>
        <v>215</v>
      </c>
      <c r="K210" s="10">
        <f>Def[[#This Row],[value]]-_xlfn.XLOOKUP($D$282,Def[Value Rk],Def[value],,-1)</f>
        <v>-584.00486840962935</v>
      </c>
    </row>
    <row r="211" spans="1:11" x14ac:dyDescent="0.25">
      <c r="A211" t="s">
        <v>626</v>
      </c>
      <c r="B211">
        <v>38</v>
      </c>
      <c r="C211" t="s">
        <v>3</v>
      </c>
      <c r="D211" s="57"/>
      <c r="E211" s="56"/>
      <c r="F211" t="s">
        <v>18</v>
      </c>
      <c r="I211" s="10">
        <f>INDEX(Std[],MATCH(Def[[#This Row],[Player]],Std[Player],0),20)</f>
        <v>-498.83299106672814</v>
      </c>
      <c r="J211">
        <f>_xlfn.RANK.EQ(Def[[#This Row],[value]],Def[value])</f>
        <v>216</v>
      </c>
      <c r="K211" s="10">
        <f>Def[[#This Row],[value]]-_xlfn.XLOOKUP($D$282,Def[Value Rk],Def[value],,-1)</f>
        <v>-606.19775878619259</v>
      </c>
    </row>
    <row r="212" spans="1:11" x14ac:dyDescent="0.25">
      <c r="A212" t="s">
        <v>929</v>
      </c>
      <c r="B212">
        <v>31</v>
      </c>
      <c r="C212" t="s">
        <v>3</v>
      </c>
      <c r="D212" s="57"/>
      <c r="E212" s="57"/>
      <c r="F212" t="s">
        <v>154</v>
      </c>
      <c r="I212" s="10">
        <f>INDEX(Std[],MATCH(Def[[#This Row],[Player]],Std[Player],0),20)</f>
        <v>-502.19528503840962</v>
      </c>
      <c r="J212">
        <f>_xlfn.RANK.EQ(Def[[#This Row],[value]],Def[value])</f>
        <v>217</v>
      </c>
      <c r="K212" s="10">
        <f>Def[[#This Row],[value]]-_xlfn.XLOOKUP($D$282,Def[Value Rk],Def[value],,-1)</f>
        <v>-609.56005275787413</v>
      </c>
    </row>
    <row r="213" spans="1:11" x14ac:dyDescent="0.25">
      <c r="A213" t="s">
        <v>1022</v>
      </c>
      <c r="B213">
        <v>32</v>
      </c>
      <c r="C213" t="s">
        <v>3</v>
      </c>
      <c r="D213" s="57"/>
      <c r="E213" s="57"/>
      <c r="F213" t="s">
        <v>21</v>
      </c>
      <c r="I213" s="10">
        <f>INDEX(Std[],MATCH(Def[[#This Row],[Player]],Std[Player],0),20)</f>
        <v>-503.87719832028591</v>
      </c>
      <c r="J213">
        <f>_xlfn.RANK.EQ(Def[[#This Row],[value]],Def[value])</f>
        <v>218</v>
      </c>
      <c r="K213" s="10">
        <f>Def[[#This Row],[value]]-_xlfn.XLOOKUP($D$282,Def[Value Rk],Def[value],,-1)</f>
        <v>-611.24196603975042</v>
      </c>
    </row>
    <row r="214" spans="1:11" x14ac:dyDescent="0.25">
      <c r="A214" t="s">
        <v>746</v>
      </c>
      <c r="B214">
        <v>29</v>
      </c>
      <c r="C214" t="s">
        <v>3</v>
      </c>
      <c r="D214" s="57"/>
      <c r="E214" s="56"/>
      <c r="F214" t="s">
        <v>13</v>
      </c>
      <c r="I214" s="10">
        <f>INDEX(Std[],MATCH(Def[[#This Row],[Player]],Std[Player],0),20)</f>
        <v>-514.00819075170091</v>
      </c>
      <c r="J214">
        <f>_xlfn.RANK.EQ(Def[[#This Row],[value]],Def[value])</f>
        <v>219</v>
      </c>
      <c r="K214" s="10">
        <f>Def[[#This Row],[value]]-_xlfn.XLOOKUP($D$282,Def[Value Rk],Def[value],,-1)</f>
        <v>-621.37295847116536</v>
      </c>
    </row>
    <row r="215" spans="1:11" x14ac:dyDescent="0.25">
      <c r="A215" t="s">
        <v>599</v>
      </c>
      <c r="B215">
        <v>22</v>
      </c>
      <c r="C215" t="s">
        <v>3</v>
      </c>
      <c r="D215" s="57"/>
      <c r="E215" s="57"/>
      <c r="F215" t="s">
        <v>6</v>
      </c>
      <c r="I215" s="10">
        <f>INDEX(Std[],MATCH(Def[[#This Row],[Player]],Std[Player],0),20)</f>
        <v>-528.40177807994428</v>
      </c>
      <c r="J215">
        <f>_xlfn.RANK.EQ(Def[[#This Row],[value]],Def[value])</f>
        <v>220</v>
      </c>
      <c r="K215" s="10">
        <f>Def[[#This Row],[value]]-_xlfn.XLOOKUP($D$282,Def[Value Rk],Def[value],,-1)</f>
        <v>-635.76654579940873</v>
      </c>
    </row>
    <row r="216" spans="1:11" x14ac:dyDescent="0.25">
      <c r="A216" t="s">
        <v>642</v>
      </c>
      <c r="B216">
        <v>28</v>
      </c>
      <c r="C216" t="s">
        <v>3</v>
      </c>
      <c r="D216" s="57"/>
      <c r="E216" s="57"/>
      <c r="F216" t="s">
        <v>155</v>
      </c>
      <c r="I216" s="10">
        <f>INDEX(Std[],MATCH(Def[[#This Row],[Player]],Std[Player],0),20)</f>
        <v>-531.87636608722198</v>
      </c>
      <c r="J216">
        <f>_xlfn.RANK.EQ(Def[[#This Row],[value]],Def[value])</f>
        <v>221</v>
      </c>
      <c r="K216" s="10">
        <f>Def[[#This Row],[value]]-_xlfn.XLOOKUP($D$282,Def[Value Rk],Def[value],,-1)</f>
        <v>-639.24113380668643</v>
      </c>
    </row>
    <row r="217" spans="1:11" x14ac:dyDescent="0.25">
      <c r="A217" t="s">
        <v>692</v>
      </c>
      <c r="B217">
        <v>31</v>
      </c>
      <c r="C217" t="s">
        <v>3</v>
      </c>
      <c r="D217" s="57"/>
      <c r="E217" s="57"/>
      <c r="F217" t="s">
        <v>87</v>
      </c>
      <c r="I217" s="10">
        <f>INDEX(Std[],MATCH(Def[[#This Row],[Player]],Std[Player],0),20)</f>
        <v>-532.48830005522893</v>
      </c>
      <c r="J217">
        <f>_xlfn.RANK.EQ(Def[[#This Row],[value]],Def[value])</f>
        <v>222</v>
      </c>
      <c r="K217" s="10">
        <f>Def[[#This Row],[value]]-_xlfn.XLOOKUP($D$282,Def[Value Rk],Def[value],,-1)</f>
        <v>-639.85306777469339</v>
      </c>
    </row>
    <row r="218" spans="1:11" x14ac:dyDescent="0.25">
      <c r="A218" t="s">
        <v>1020</v>
      </c>
      <c r="B218">
        <v>36</v>
      </c>
      <c r="C218" t="s">
        <v>3</v>
      </c>
      <c r="D218" s="57"/>
      <c r="E218" s="56"/>
      <c r="F218" t="s">
        <v>16</v>
      </c>
      <c r="I218" s="10">
        <f>INDEX(Std[],MATCH(Def[[#This Row],[Player]],Std[Player],0),20)</f>
        <v>-533.57443122058476</v>
      </c>
      <c r="J218">
        <f>_xlfn.RANK.EQ(Def[[#This Row],[value]],Def[value])</f>
        <v>223</v>
      </c>
      <c r="K218" s="10">
        <f>Def[[#This Row],[value]]-_xlfn.XLOOKUP($D$282,Def[Value Rk],Def[value],,-1)</f>
        <v>-640.93919894004921</v>
      </c>
    </row>
    <row r="219" spans="1:11" x14ac:dyDescent="0.25">
      <c r="A219" t="s">
        <v>1178</v>
      </c>
      <c r="B219">
        <v>27</v>
      </c>
      <c r="C219" t="s">
        <v>3</v>
      </c>
      <c r="D219" s="57"/>
      <c r="E219" s="57"/>
      <c r="F219" t="s">
        <v>16</v>
      </c>
      <c r="I219" s="10">
        <f>INDEX(Std[],MATCH(Def[[#This Row],[Player]],Std[Player],0),20)</f>
        <v>-546.61968781866813</v>
      </c>
      <c r="J219">
        <f>_xlfn.RANK.EQ(Def[[#This Row],[value]],Def[value])</f>
        <v>224</v>
      </c>
      <c r="K219" s="10">
        <f>Def[[#This Row],[value]]-_xlfn.XLOOKUP($D$282,Def[Value Rk],Def[value],,-1)</f>
        <v>-653.98445553813258</v>
      </c>
    </row>
    <row r="220" spans="1:11" x14ac:dyDescent="0.25">
      <c r="A220" t="s">
        <v>956</v>
      </c>
      <c r="B220">
        <v>30</v>
      </c>
      <c r="C220" t="s">
        <v>3</v>
      </c>
      <c r="D220" s="57"/>
      <c r="E220" s="57"/>
      <c r="F220" t="s">
        <v>154</v>
      </c>
      <c r="I220" s="10">
        <f>INDEX(Std[],MATCH(Def[[#This Row],[Player]],Std[Player],0),20)</f>
        <v>-551.12428211409849</v>
      </c>
      <c r="J220">
        <f>_xlfn.RANK.EQ(Def[[#This Row],[value]],Def[value])</f>
        <v>225</v>
      </c>
      <c r="K220" s="10">
        <f>Def[[#This Row],[value]]-_xlfn.XLOOKUP($D$282,Def[Value Rk],Def[value],,-1)</f>
        <v>-658.48904983356294</v>
      </c>
    </row>
    <row r="221" spans="1:11" x14ac:dyDescent="0.25">
      <c r="A221" t="s">
        <v>721</v>
      </c>
      <c r="B221">
        <v>27</v>
      </c>
      <c r="C221" t="s">
        <v>3</v>
      </c>
      <c r="D221" s="57"/>
      <c r="E221" s="56"/>
      <c r="F221" t="s">
        <v>10</v>
      </c>
      <c r="I221" s="10">
        <f>INDEX(Std[],MATCH(Def[[#This Row],[Player]],Std[Player],0),20)</f>
        <v>-556.50452620966371</v>
      </c>
      <c r="J221">
        <f>_xlfn.RANK.EQ(Def[[#This Row],[value]],Def[value])</f>
        <v>227</v>
      </c>
      <c r="K221" s="10">
        <f>Def[[#This Row],[value]]-_xlfn.XLOOKUP($D$282,Def[Value Rk],Def[value],,-1)</f>
        <v>-663.86929392912816</v>
      </c>
    </row>
    <row r="222" spans="1:11" x14ac:dyDescent="0.25">
      <c r="A222" t="s">
        <v>1176</v>
      </c>
      <c r="B222">
        <v>36</v>
      </c>
      <c r="C222" t="s">
        <v>3</v>
      </c>
      <c r="D222" s="57"/>
      <c r="E222" s="56"/>
      <c r="F222" t="s">
        <v>15</v>
      </c>
      <c r="I222" s="10">
        <f>INDEX(Std[],MATCH(Def[[#This Row],[Player]],Std[Player],0),20)</f>
        <v>-556.07443856067073</v>
      </c>
      <c r="J222">
        <f>_xlfn.RANK.EQ(Def[[#This Row],[value]],Def[value])</f>
        <v>226</v>
      </c>
      <c r="K222" s="10">
        <f>Def[[#This Row],[value]]-_xlfn.XLOOKUP($D$282,Def[Value Rk],Def[value],,-1)</f>
        <v>-663.43920628013518</v>
      </c>
    </row>
    <row r="223" spans="1:11" x14ac:dyDescent="0.25">
      <c r="A223" t="s">
        <v>910</v>
      </c>
      <c r="B223">
        <v>36</v>
      </c>
      <c r="C223" t="s">
        <v>3</v>
      </c>
      <c r="D223" s="57"/>
      <c r="E223" s="56"/>
      <c r="F223" t="s">
        <v>154</v>
      </c>
      <c r="I223" s="10">
        <f>INDEX(Std[],MATCH(Def[[#This Row],[Player]],Std[Player],0),20)</f>
        <v>-580.97573618724755</v>
      </c>
      <c r="J223">
        <f>_xlfn.RANK.EQ(Def[[#This Row],[value]],Def[value])</f>
        <v>228</v>
      </c>
      <c r="K223" s="10">
        <f>Def[[#This Row],[value]]-_xlfn.XLOOKUP($D$282,Def[Value Rk],Def[value],,-1)</f>
        <v>-688.340503906712</v>
      </c>
    </row>
    <row r="224" spans="1:11" x14ac:dyDescent="0.25">
      <c r="A224" t="s">
        <v>552</v>
      </c>
      <c r="B224">
        <v>25</v>
      </c>
      <c r="C224" t="s">
        <v>3</v>
      </c>
      <c r="D224" s="57"/>
      <c r="E224" s="56"/>
      <c r="F224" t="s">
        <v>9</v>
      </c>
      <c r="I224" s="10">
        <f>INDEX(Std[],MATCH(Def[[#This Row],[Player]],Std[Player],0),20)</f>
        <v>-592.55370422236001</v>
      </c>
      <c r="J224">
        <f>_xlfn.RANK.EQ(Def[[#This Row],[value]],Def[value])</f>
        <v>229</v>
      </c>
      <c r="K224" s="10">
        <f>Def[[#This Row],[value]]-_xlfn.XLOOKUP($D$282,Def[Value Rk],Def[value],,-1)</f>
        <v>-699.91847194182446</v>
      </c>
    </row>
    <row r="225" spans="1:11" x14ac:dyDescent="0.25">
      <c r="A225" t="s">
        <v>1058</v>
      </c>
      <c r="B225">
        <v>32</v>
      </c>
      <c r="C225" t="s">
        <v>3</v>
      </c>
      <c r="D225" s="57"/>
      <c r="E225" s="56"/>
      <c r="F225" t="s">
        <v>153</v>
      </c>
      <c r="I225" s="10">
        <f>INDEX(Std[],MATCH(Def[[#This Row],[Player]],Std[Player],0),20)</f>
        <v>-595.71677929248312</v>
      </c>
      <c r="J225">
        <f>_xlfn.RANK.EQ(Def[[#This Row],[value]],Def[value])</f>
        <v>230</v>
      </c>
      <c r="K225" s="10">
        <f>Def[[#This Row],[value]]-_xlfn.XLOOKUP($D$282,Def[Value Rk],Def[value],,-1)</f>
        <v>-703.08154701194758</v>
      </c>
    </row>
    <row r="226" spans="1:11" x14ac:dyDescent="0.25">
      <c r="A226" t="s">
        <v>1065</v>
      </c>
      <c r="B226">
        <v>25</v>
      </c>
      <c r="C226" t="s">
        <v>3</v>
      </c>
      <c r="D226" s="57"/>
      <c r="E226" s="56"/>
      <c r="F226" t="s">
        <v>4</v>
      </c>
      <c r="I226" s="10">
        <f>INDEX(Std[],MATCH(Def[[#This Row],[Player]],Std[Player],0),20)</f>
        <v>-598.4425888486453</v>
      </c>
      <c r="J226">
        <f>_xlfn.RANK.EQ(Def[[#This Row],[value]],Def[value])</f>
        <v>231</v>
      </c>
      <c r="K226" s="10">
        <f>Def[[#This Row],[value]]-_xlfn.XLOOKUP($D$282,Def[Value Rk],Def[value],,-1)</f>
        <v>-705.80735656810975</v>
      </c>
    </row>
    <row r="227" spans="1:11" x14ac:dyDescent="0.25">
      <c r="A227" t="s">
        <v>981</v>
      </c>
      <c r="B227">
        <v>22</v>
      </c>
      <c r="C227" t="s">
        <v>3</v>
      </c>
      <c r="D227" s="57"/>
      <c r="E227" s="57"/>
      <c r="F227" t="s">
        <v>16</v>
      </c>
      <c r="I227" s="10">
        <f>INDEX(Std[],MATCH(Def[[#This Row],[Player]],Std[Player],0),20)</f>
        <v>-605.15139737827917</v>
      </c>
      <c r="J227">
        <f>_xlfn.RANK.EQ(Def[[#This Row],[value]],Def[value])</f>
        <v>232</v>
      </c>
      <c r="K227" s="10">
        <f>Def[[#This Row],[value]]-_xlfn.XLOOKUP($D$282,Def[Value Rk],Def[value],,-1)</f>
        <v>-712.51616509774362</v>
      </c>
    </row>
    <row r="228" spans="1:11" x14ac:dyDescent="0.25">
      <c r="A228" t="s">
        <v>758</v>
      </c>
      <c r="B228">
        <v>23</v>
      </c>
      <c r="C228" t="s">
        <v>3</v>
      </c>
      <c r="D228" s="57"/>
      <c r="E228" s="57"/>
      <c r="F228" t="s">
        <v>17</v>
      </c>
      <c r="I228" s="10">
        <f>INDEX(Std[],MATCH(Def[[#This Row],[Player]],Std[Player],0),20)</f>
        <v>-614.19604119488281</v>
      </c>
      <c r="J228">
        <f>_xlfn.RANK.EQ(Def[[#This Row],[value]],Def[value])</f>
        <v>233</v>
      </c>
      <c r="K228" s="10">
        <f>Def[[#This Row],[value]]-_xlfn.XLOOKUP($D$282,Def[Value Rk],Def[value],,-1)</f>
        <v>-721.56080891434726</v>
      </c>
    </row>
    <row r="229" spans="1:11" x14ac:dyDescent="0.25">
      <c r="A229" t="s">
        <v>965</v>
      </c>
      <c r="B229">
        <v>25</v>
      </c>
      <c r="C229" t="s">
        <v>3</v>
      </c>
      <c r="D229" s="57"/>
      <c r="E229" s="57"/>
      <c r="F229" t="s">
        <v>5</v>
      </c>
      <c r="I229" s="10">
        <f>INDEX(Std[],MATCH(Def[[#This Row],[Player]],Std[Player],0),20)</f>
        <v>-620.48317010085384</v>
      </c>
      <c r="J229">
        <f>_xlfn.RANK.EQ(Def[[#This Row],[value]],Def[value])</f>
        <v>234</v>
      </c>
      <c r="K229" s="10">
        <f>Def[[#This Row],[value]]-_xlfn.XLOOKUP($D$282,Def[Value Rk],Def[value],,-1)</f>
        <v>-727.84793782031829</v>
      </c>
    </row>
    <row r="230" spans="1:11" x14ac:dyDescent="0.25">
      <c r="A230" t="s">
        <v>719</v>
      </c>
      <c r="B230">
        <v>25</v>
      </c>
      <c r="C230" t="s">
        <v>3</v>
      </c>
      <c r="D230" s="57"/>
      <c r="E230" s="57"/>
      <c r="F230" t="s">
        <v>156</v>
      </c>
      <c r="I230" s="10">
        <f>INDEX(Std[],MATCH(Def[[#This Row],[Player]],Std[Player],0),20)</f>
        <v>-624.72816515664522</v>
      </c>
      <c r="J230">
        <f>_xlfn.RANK.EQ(Def[[#This Row],[value]],Def[value])</f>
        <v>235</v>
      </c>
      <c r="K230" s="10">
        <f>Def[[#This Row],[value]]-_xlfn.XLOOKUP($D$282,Def[Value Rk],Def[value],,-1)</f>
        <v>-732.09293287610967</v>
      </c>
    </row>
    <row r="231" spans="1:11" x14ac:dyDescent="0.25">
      <c r="A231" t="s">
        <v>1191</v>
      </c>
      <c r="B231">
        <v>31</v>
      </c>
      <c r="C231" t="s">
        <v>3</v>
      </c>
      <c r="D231" s="57"/>
      <c r="E231" s="57"/>
      <c r="F231" t="s">
        <v>18</v>
      </c>
      <c r="I231" s="10">
        <f>INDEX(Std[],MATCH(Def[[#This Row],[Player]],Std[Player],0),20)</f>
        <v>-625.02935888423963</v>
      </c>
      <c r="J231">
        <f>_xlfn.RANK.EQ(Def[[#This Row],[value]],Def[value])</f>
        <v>236</v>
      </c>
      <c r="K231" s="10">
        <f>Def[[#This Row],[value]]-_xlfn.XLOOKUP($D$282,Def[Value Rk],Def[value],,-1)</f>
        <v>-732.39412660370408</v>
      </c>
    </row>
    <row r="232" spans="1:11" x14ac:dyDescent="0.25">
      <c r="A232" t="s">
        <v>659</v>
      </c>
      <c r="B232">
        <v>30</v>
      </c>
      <c r="C232" t="s">
        <v>3</v>
      </c>
      <c r="D232" s="57"/>
      <c r="E232" s="56"/>
      <c r="F232" t="s">
        <v>154</v>
      </c>
      <c r="I232" s="10">
        <f>INDEX(Std[],MATCH(Def[[#This Row],[Player]],Std[Player],0),20)</f>
        <v>-626.63977697118457</v>
      </c>
      <c r="J232">
        <f>_xlfn.RANK.EQ(Def[[#This Row],[value]],Def[value])</f>
        <v>237</v>
      </c>
      <c r="K232" s="10">
        <f>Def[[#This Row],[value]]-_xlfn.XLOOKUP($D$282,Def[Value Rk],Def[value],,-1)</f>
        <v>-734.00454469064903</v>
      </c>
    </row>
    <row r="233" spans="1:11" x14ac:dyDescent="0.25">
      <c r="A233" t="s">
        <v>983</v>
      </c>
      <c r="B233">
        <v>29</v>
      </c>
      <c r="C233" t="s">
        <v>3</v>
      </c>
      <c r="D233" s="57"/>
      <c r="E233" s="57"/>
      <c r="F233" t="s">
        <v>17</v>
      </c>
      <c r="I233" s="10">
        <f>INDEX(Std[],MATCH(Def[[#This Row],[Player]],Std[Player],0),20)</f>
        <v>-635.04896395981064</v>
      </c>
      <c r="J233">
        <f>_xlfn.RANK.EQ(Def[[#This Row],[value]],Def[value])</f>
        <v>238</v>
      </c>
      <c r="K233" s="10">
        <f>Def[[#This Row],[value]]-_xlfn.XLOOKUP($D$282,Def[Value Rk],Def[value],,-1)</f>
        <v>-742.41373167927509</v>
      </c>
    </row>
    <row r="234" spans="1:11" x14ac:dyDescent="0.25">
      <c r="A234" t="s">
        <v>1059</v>
      </c>
      <c r="B234">
        <v>24</v>
      </c>
      <c r="C234" t="s">
        <v>3</v>
      </c>
      <c r="D234" s="57"/>
      <c r="E234" s="56"/>
      <c r="F234" t="s">
        <v>32</v>
      </c>
      <c r="I234" s="10">
        <f>INDEX(Std[],MATCH(Def[[#This Row],[Player]],Std[Player],0),20)</f>
        <v>-649.33785309895006</v>
      </c>
      <c r="J234">
        <f>_xlfn.RANK.EQ(Def[[#This Row],[value]],Def[value])</f>
        <v>239</v>
      </c>
      <c r="K234" s="10">
        <f>Def[[#This Row],[value]]-_xlfn.XLOOKUP($D$282,Def[Value Rk],Def[value],,-1)</f>
        <v>-756.70262081841452</v>
      </c>
    </row>
    <row r="235" spans="1:11" x14ac:dyDescent="0.25">
      <c r="A235" t="s">
        <v>477</v>
      </c>
      <c r="B235">
        <v>23</v>
      </c>
      <c r="C235" t="s">
        <v>3</v>
      </c>
      <c r="D235" s="57"/>
      <c r="E235" s="56"/>
      <c r="F235" t="s">
        <v>12</v>
      </c>
      <c r="I235" s="10">
        <f>INDEX(Std[],MATCH(Def[[#This Row],[Player]],Std[Player],0),20)</f>
        <v>-650.9685570812868</v>
      </c>
      <c r="J235">
        <f>_xlfn.RANK.EQ(Def[[#This Row],[value]],Def[value])</f>
        <v>240</v>
      </c>
      <c r="K235" s="10">
        <f>Def[[#This Row],[value]]-_xlfn.XLOOKUP($D$282,Def[Value Rk],Def[value],,-1)</f>
        <v>-758.33332480075126</v>
      </c>
    </row>
    <row r="236" spans="1:11" x14ac:dyDescent="0.25">
      <c r="A236" t="s">
        <v>754</v>
      </c>
      <c r="B236">
        <v>25</v>
      </c>
      <c r="C236" t="s">
        <v>3</v>
      </c>
      <c r="D236" s="57"/>
      <c r="E236" s="58"/>
      <c r="F236" t="s">
        <v>21</v>
      </c>
      <c r="I236" s="10">
        <f>INDEX(Std[],MATCH(Def[[#This Row],[Player]],Std[Player],0),20)</f>
        <v>-655.40481815193277</v>
      </c>
      <c r="J236">
        <f>_xlfn.RANK.EQ(Def[[#This Row],[value]],Def[value])</f>
        <v>241</v>
      </c>
      <c r="K236" s="10">
        <f>Def[[#This Row],[value]]-_xlfn.XLOOKUP($D$282,Def[Value Rk],Def[value],,-1)</f>
        <v>-762.76958587139723</v>
      </c>
    </row>
    <row r="237" spans="1:11" x14ac:dyDescent="0.25">
      <c r="A237" t="s">
        <v>645</v>
      </c>
      <c r="B237">
        <v>29</v>
      </c>
      <c r="C237" t="s">
        <v>3</v>
      </c>
      <c r="D237" s="57"/>
      <c r="E237" s="58"/>
      <c r="F237" t="s">
        <v>25</v>
      </c>
      <c r="I237" s="10">
        <f>INDEX(Std[],MATCH(Def[[#This Row],[Player]],Std[Player],0),20)</f>
        <v>-659.48741377282261</v>
      </c>
      <c r="J237">
        <f>_xlfn.RANK.EQ(Def[[#This Row],[value]],Def[value])</f>
        <v>242</v>
      </c>
      <c r="K237" s="10">
        <f>Def[[#This Row],[value]]-_xlfn.XLOOKUP($D$282,Def[Value Rk],Def[value],,-1)</f>
        <v>-766.85218149228706</v>
      </c>
    </row>
    <row r="238" spans="1:11" x14ac:dyDescent="0.25">
      <c r="A238" t="s">
        <v>1177</v>
      </c>
      <c r="B238">
        <v>25</v>
      </c>
      <c r="C238" t="s">
        <v>3</v>
      </c>
      <c r="D238" s="57"/>
      <c r="E238" s="58"/>
      <c r="F238" t="s">
        <v>30</v>
      </c>
      <c r="I238" s="10">
        <f>INDEX(Std[],MATCH(Def[[#This Row],[Player]],Std[Player],0),20)</f>
        <v>-93.262707485124324</v>
      </c>
      <c r="J238">
        <f>_xlfn.RANK.EQ(Def[[#This Row],[value]],Def[value])</f>
        <v>111</v>
      </c>
      <c r="K238" s="10">
        <f>Def[[#This Row],[value]]-_xlfn.XLOOKUP($D$282,Def[Value Rk],Def[value],,-1)</f>
        <v>-200.62747520458879</v>
      </c>
    </row>
    <row r="239" spans="1:11" x14ac:dyDescent="0.25">
      <c r="A239" t="s">
        <v>706</v>
      </c>
      <c r="B239">
        <v>25</v>
      </c>
      <c r="C239" t="s">
        <v>3</v>
      </c>
      <c r="D239" s="57"/>
      <c r="E239" s="57"/>
      <c r="F239" t="s">
        <v>14</v>
      </c>
      <c r="I239" s="10">
        <f>INDEX(Std[],MATCH(Def[[#This Row],[Player]],Std[Player],0),20)</f>
        <v>-666.42972135866216</v>
      </c>
      <c r="J239">
        <f>_xlfn.RANK.EQ(Def[[#This Row],[value]],Def[value])</f>
        <v>243</v>
      </c>
      <c r="K239" s="10">
        <f>Def[[#This Row],[value]]-_xlfn.XLOOKUP($D$282,Def[Value Rk],Def[value],,-1)</f>
        <v>-773.79448907812662</v>
      </c>
    </row>
    <row r="240" spans="1:11" x14ac:dyDescent="0.25">
      <c r="A240" t="s">
        <v>690</v>
      </c>
      <c r="B240">
        <v>33</v>
      </c>
      <c r="C240" t="s">
        <v>3</v>
      </c>
      <c r="D240" s="57"/>
      <c r="E240" s="57"/>
      <c r="F240" t="s">
        <v>25</v>
      </c>
      <c r="I240" s="10">
        <f>INDEX(Std[],MATCH(Def[[#This Row],[Player]],Std[Player],0),20)</f>
        <v>-674.67540417445844</v>
      </c>
      <c r="J240">
        <f>_xlfn.RANK.EQ(Def[[#This Row],[value]],Def[value])</f>
        <v>244</v>
      </c>
      <c r="K240" s="10">
        <f>Def[[#This Row],[value]]-_xlfn.XLOOKUP($D$282,Def[Value Rk],Def[value],,-1)</f>
        <v>-782.04017189392289</v>
      </c>
    </row>
    <row r="241" spans="1:11" x14ac:dyDescent="0.25">
      <c r="A241" t="s">
        <v>651</v>
      </c>
      <c r="B241">
        <v>26</v>
      </c>
      <c r="C241" t="s">
        <v>3</v>
      </c>
      <c r="D241" s="57"/>
      <c r="E241" s="56"/>
      <c r="F241" t="s">
        <v>31</v>
      </c>
      <c r="I241" s="10">
        <f>INDEX(Std[],MATCH(Def[[#This Row],[Player]],Std[Player],0),20)</f>
        <v>-675.9882777092289</v>
      </c>
      <c r="J241">
        <f>_xlfn.RANK.EQ(Def[[#This Row],[value]],Def[value])</f>
        <v>245</v>
      </c>
      <c r="K241" s="10">
        <f>Def[[#This Row],[value]]-_xlfn.XLOOKUP($D$282,Def[Value Rk],Def[value],,-1)</f>
        <v>-783.35304542869335</v>
      </c>
    </row>
    <row r="242" spans="1:11" x14ac:dyDescent="0.25">
      <c r="A242" t="s">
        <v>1062</v>
      </c>
      <c r="B242">
        <v>28</v>
      </c>
      <c r="C242" t="s">
        <v>3</v>
      </c>
      <c r="D242" s="57"/>
      <c r="E242" s="56"/>
      <c r="F242" t="s">
        <v>11</v>
      </c>
      <c r="I242" s="10">
        <f>INDEX(Std[],MATCH(Def[[#This Row],[Player]],Std[Player],0),20)</f>
        <v>-681.09240878141361</v>
      </c>
      <c r="J242">
        <f>_xlfn.RANK.EQ(Def[[#This Row],[value]],Def[value])</f>
        <v>246</v>
      </c>
      <c r="K242" s="10">
        <f>Def[[#This Row],[value]]-_xlfn.XLOOKUP($D$282,Def[Value Rk],Def[value],,-1)</f>
        <v>-788.45717650087806</v>
      </c>
    </row>
    <row r="243" spans="1:11" x14ac:dyDescent="0.25">
      <c r="A243" t="s">
        <v>941</v>
      </c>
      <c r="B243">
        <v>33</v>
      </c>
      <c r="C243" t="s">
        <v>3</v>
      </c>
      <c r="D243" s="57"/>
      <c r="E243" s="56"/>
      <c r="F243" t="s">
        <v>31</v>
      </c>
      <c r="I243" s="10">
        <f>INDEX(Std[],MATCH(Def[[#This Row],[Player]],Std[Player],0),20)</f>
        <v>-682.31012128097336</v>
      </c>
      <c r="J243">
        <f>_xlfn.RANK.EQ(Def[[#This Row],[value]],Def[value])</f>
        <v>247</v>
      </c>
      <c r="K243" s="10">
        <f>Def[[#This Row],[value]]-_xlfn.XLOOKUP($D$282,Def[Value Rk],Def[value],,-1)</f>
        <v>-789.67488900043782</v>
      </c>
    </row>
    <row r="244" spans="1:11" x14ac:dyDescent="0.25">
      <c r="A244" t="s">
        <v>968</v>
      </c>
      <c r="B244">
        <v>33</v>
      </c>
      <c r="C244" t="s">
        <v>3</v>
      </c>
      <c r="D244" s="57"/>
      <c r="E244" s="57"/>
      <c r="F244" t="s">
        <v>18</v>
      </c>
      <c r="I244" s="10">
        <f>INDEX(Std[],MATCH(Def[[#This Row],[Player]],Std[Player],0),20)</f>
        <v>-698.31031155585174</v>
      </c>
      <c r="J244">
        <f>_xlfn.RANK.EQ(Def[[#This Row],[value]],Def[value])</f>
        <v>248</v>
      </c>
      <c r="K244" s="10">
        <f>Def[[#This Row],[value]]-_xlfn.XLOOKUP($D$282,Def[Value Rk],Def[value],,-1)</f>
        <v>-805.67507927531619</v>
      </c>
    </row>
    <row r="245" spans="1:11" x14ac:dyDescent="0.25">
      <c r="A245" t="s">
        <v>776</v>
      </c>
      <c r="B245">
        <v>29</v>
      </c>
      <c r="C245" t="s">
        <v>3</v>
      </c>
      <c r="D245" s="57"/>
      <c r="E245" s="56"/>
      <c r="F245" t="s">
        <v>10</v>
      </c>
      <c r="I245" s="10">
        <f>INDEX(Std[],MATCH(Def[[#This Row],[Player]],Std[Player],0),20)</f>
        <v>-699.18920431231095</v>
      </c>
      <c r="J245">
        <f>_xlfn.RANK.EQ(Def[[#This Row],[value]],Def[value])</f>
        <v>249</v>
      </c>
      <c r="K245" s="10">
        <f>Def[[#This Row],[value]]-_xlfn.XLOOKUP($D$282,Def[Value Rk],Def[value],,-1)</f>
        <v>-806.5539720317754</v>
      </c>
    </row>
    <row r="246" spans="1:11" x14ac:dyDescent="0.25">
      <c r="A246" t="s">
        <v>1194</v>
      </c>
      <c r="B246">
        <v>24</v>
      </c>
      <c r="C246" t="s">
        <v>3</v>
      </c>
      <c r="D246" s="57"/>
      <c r="E246" s="56"/>
      <c r="F246" t="s">
        <v>29</v>
      </c>
      <c r="I246" s="10">
        <f>INDEX(Std[],MATCH(Def[[#This Row],[Player]],Std[Player],0),20)</f>
        <v>-928.05015654051726</v>
      </c>
      <c r="J246">
        <f>_xlfn.RANK.EQ(Def[[#This Row],[value]],Def[value])</f>
        <v>265</v>
      </c>
      <c r="K246" s="10">
        <f>Def[[#This Row],[value]]-_xlfn.XLOOKUP($D$282,Def[Value Rk],Def[value],,-1)</f>
        <v>-1035.4149242599817</v>
      </c>
    </row>
    <row r="247" spans="1:11" x14ac:dyDescent="0.25">
      <c r="A247" t="s">
        <v>782</v>
      </c>
      <c r="B247">
        <v>27</v>
      </c>
      <c r="C247" t="s">
        <v>3</v>
      </c>
      <c r="D247" s="57"/>
      <c r="E247" s="57"/>
      <c r="F247" t="s">
        <v>13</v>
      </c>
      <c r="I247" s="10">
        <f>INDEX(Std[],MATCH(Def[[#This Row],[Player]],Std[Player],0),20)</f>
        <v>-729.34855161637984</v>
      </c>
      <c r="J247">
        <f>_xlfn.RANK.EQ(Def[[#This Row],[value]],Def[value])</f>
        <v>250</v>
      </c>
      <c r="K247" s="10">
        <f>Def[[#This Row],[value]]-_xlfn.XLOOKUP($D$282,Def[Value Rk],Def[value],,-1)</f>
        <v>-836.71331933584429</v>
      </c>
    </row>
    <row r="248" spans="1:11" x14ac:dyDescent="0.25">
      <c r="A248" t="s">
        <v>675</v>
      </c>
      <c r="B248">
        <v>26</v>
      </c>
      <c r="C248" t="s">
        <v>3</v>
      </c>
      <c r="D248" s="57"/>
      <c r="E248" s="57"/>
      <c r="F248" t="s">
        <v>8</v>
      </c>
      <c r="I248" s="10">
        <f>INDEX(Std[],MATCH(Def[[#This Row],[Player]],Std[Player],0),20)</f>
        <v>-732.85322419337729</v>
      </c>
      <c r="J248">
        <f>_xlfn.RANK.EQ(Def[[#This Row],[value]],Def[value])</f>
        <v>251</v>
      </c>
      <c r="K248" s="10">
        <f>Def[[#This Row],[value]]-_xlfn.XLOOKUP($D$282,Def[Value Rk],Def[value],,-1)</f>
        <v>-840.21799191284174</v>
      </c>
    </row>
    <row r="249" spans="1:11" x14ac:dyDescent="0.25">
      <c r="A249" t="s">
        <v>671</v>
      </c>
      <c r="B249">
        <v>25</v>
      </c>
      <c r="C249" t="s">
        <v>3</v>
      </c>
      <c r="D249" s="57"/>
      <c r="E249" s="57"/>
      <c r="F249" t="s">
        <v>16</v>
      </c>
      <c r="I249" s="10">
        <f>INDEX(Std[],MATCH(Def[[#This Row],[Player]],Std[Player],0),20)</f>
        <v>-763.55909893101716</v>
      </c>
      <c r="J249">
        <f>_xlfn.RANK.EQ(Def[[#This Row],[value]],Def[value])</f>
        <v>252</v>
      </c>
      <c r="K249" s="10">
        <f>Def[[#This Row],[value]]-_xlfn.XLOOKUP($D$282,Def[Value Rk],Def[value],,-1)</f>
        <v>-870.92386665048161</v>
      </c>
    </row>
    <row r="250" spans="1:11" x14ac:dyDescent="0.25">
      <c r="A250" t="s">
        <v>923</v>
      </c>
      <c r="B250">
        <v>30</v>
      </c>
      <c r="C250" t="s">
        <v>3</v>
      </c>
      <c r="D250" s="57"/>
      <c r="E250" s="57"/>
      <c r="F250" t="s">
        <v>8</v>
      </c>
      <c r="I250" s="10">
        <f>INDEX(Std[],MATCH(Def[[#This Row],[Player]],Std[Player],0),20)</f>
        <v>-764.90681731545408</v>
      </c>
      <c r="J250">
        <f>_xlfn.RANK.EQ(Def[[#This Row],[value]],Def[value])</f>
        <v>253</v>
      </c>
      <c r="K250" s="10">
        <f>Def[[#This Row],[value]]-_xlfn.XLOOKUP($D$282,Def[Value Rk],Def[value],,-1)</f>
        <v>-872.27158503491853</v>
      </c>
    </row>
    <row r="251" spans="1:11" x14ac:dyDescent="0.25">
      <c r="A251" t="s">
        <v>1203</v>
      </c>
      <c r="B251">
        <v>36</v>
      </c>
      <c r="C251" t="s">
        <v>3</v>
      </c>
      <c r="D251" s="57"/>
      <c r="E251" s="57"/>
      <c r="F251" t="s">
        <v>30</v>
      </c>
      <c r="I251" s="10">
        <f>INDEX(Std[],MATCH(Def[[#This Row],[Player]],Std[Player],0),20)</f>
        <v>-780.93679344829093</v>
      </c>
      <c r="J251">
        <f>_xlfn.RANK.EQ(Def[[#This Row],[value]],Def[value])</f>
        <v>254</v>
      </c>
      <c r="K251" s="10">
        <f>Def[[#This Row],[value]]-_xlfn.XLOOKUP($D$282,Def[Value Rk],Def[value],,-1)</f>
        <v>-888.30156116775538</v>
      </c>
    </row>
    <row r="252" spans="1:11" x14ac:dyDescent="0.25">
      <c r="A252" t="s">
        <v>1201</v>
      </c>
      <c r="B252">
        <v>23</v>
      </c>
      <c r="C252" t="s">
        <v>3</v>
      </c>
      <c r="D252" s="57"/>
      <c r="E252" s="57"/>
      <c r="F252" t="s">
        <v>156</v>
      </c>
      <c r="I252" s="10">
        <f>INDEX(Std[],MATCH(Def[[#This Row],[Player]],Std[Player],0),20)</f>
        <v>-784.9507139602847</v>
      </c>
      <c r="J252">
        <f>_xlfn.RANK.EQ(Def[[#This Row],[value]],Def[value])</f>
        <v>255</v>
      </c>
      <c r="K252" s="10">
        <f>Def[[#This Row],[value]]-_xlfn.XLOOKUP($D$282,Def[Value Rk],Def[value],,-1)</f>
        <v>-892.31548167974915</v>
      </c>
    </row>
    <row r="253" spans="1:11" x14ac:dyDescent="0.25">
      <c r="A253" t="s">
        <v>962</v>
      </c>
      <c r="B253">
        <v>27</v>
      </c>
      <c r="C253" t="s">
        <v>3</v>
      </c>
      <c r="D253" s="57"/>
      <c r="E253" s="57"/>
      <c r="F253" t="s">
        <v>22</v>
      </c>
      <c r="I253" s="10">
        <f>INDEX(Std[],MATCH(Def[[#This Row],[Player]],Std[Player],0),20)</f>
        <v>-787.66012757694705</v>
      </c>
      <c r="J253">
        <f>_xlfn.RANK.EQ(Def[[#This Row],[value]],Def[value])</f>
        <v>256</v>
      </c>
      <c r="K253" s="10">
        <f>Def[[#This Row],[value]]-_xlfn.XLOOKUP($D$282,Def[Value Rk],Def[value],,-1)</f>
        <v>-895.0248952964115</v>
      </c>
    </row>
    <row r="254" spans="1:11" x14ac:dyDescent="0.25">
      <c r="A254" t="s">
        <v>1207</v>
      </c>
      <c r="B254">
        <v>23</v>
      </c>
      <c r="C254" t="s">
        <v>3</v>
      </c>
      <c r="D254" s="57"/>
      <c r="E254" s="57"/>
      <c r="F254" t="s">
        <v>14</v>
      </c>
      <c r="I254" s="10">
        <f>INDEX(Std[],MATCH(Def[[#This Row],[Player]],Std[Player],0),20)</f>
        <v>-797.41044066496806</v>
      </c>
      <c r="J254">
        <f>_xlfn.RANK.EQ(Def[[#This Row],[value]],Def[value])</f>
        <v>257</v>
      </c>
      <c r="K254" s="10">
        <f>Def[[#This Row],[value]]-_xlfn.XLOOKUP($D$282,Def[Value Rk],Def[value],,-1)</f>
        <v>-904.77520838443252</v>
      </c>
    </row>
    <row r="255" spans="1:11" x14ac:dyDescent="0.25">
      <c r="A255" t="s">
        <v>699</v>
      </c>
      <c r="B255">
        <v>27</v>
      </c>
      <c r="C255" t="s">
        <v>3</v>
      </c>
      <c r="D255" s="57"/>
      <c r="E255" s="57"/>
      <c r="F255" t="s">
        <v>29</v>
      </c>
      <c r="I255" s="10">
        <f>INDEX(Std[],MATCH(Def[[#This Row],[Player]],Std[Player],0),20)</f>
        <v>-799.49802922893878</v>
      </c>
      <c r="J255">
        <f>_xlfn.RANK.EQ(Def[[#This Row],[value]],Def[value])</f>
        <v>258</v>
      </c>
      <c r="K255" s="10">
        <f>Def[[#This Row],[value]]-_xlfn.XLOOKUP($D$282,Def[Value Rk],Def[value],,-1)</f>
        <v>-906.86279694840323</v>
      </c>
    </row>
    <row r="256" spans="1:11" x14ac:dyDescent="0.25">
      <c r="A256" t="s">
        <v>1066</v>
      </c>
      <c r="B256">
        <v>26</v>
      </c>
      <c r="C256" t="s">
        <v>3</v>
      </c>
      <c r="D256" s="57"/>
      <c r="E256" s="57"/>
      <c r="F256" t="s">
        <v>4</v>
      </c>
      <c r="I256" s="10">
        <f>INDEX(Std[],MATCH(Def[[#This Row],[Player]],Std[Player],0),20)</f>
        <v>-802.89633266496344</v>
      </c>
      <c r="J256">
        <f>_xlfn.RANK.EQ(Def[[#This Row],[value]],Def[value])</f>
        <v>259</v>
      </c>
      <c r="K256" s="10">
        <f>Def[[#This Row],[value]]-_xlfn.XLOOKUP($D$282,Def[Value Rk],Def[value],,-1)</f>
        <v>-910.26110038442789</v>
      </c>
    </row>
    <row r="257" spans="1:11" x14ac:dyDescent="0.25">
      <c r="A257" t="s">
        <v>1204</v>
      </c>
      <c r="B257">
        <v>23</v>
      </c>
      <c r="C257" t="s">
        <v>3</v>
      </c>
      <c r="D257" s="57"/>
      <c r="E257" s="57"/>
      <c r="F257" t="s">
        <v>15</v>
      </c>
      <c r="I257" s="10">
        <f>INDEX(Std[],MATCH(Def[[#This Row],[Player]],Std[Player],0),20)</f>
        <v>-805.3756256067054</v>
      </c>
      <c r="J257">
        <f>_xlfn.RANK.EQ(Def[[#This Row],[value]],Def[value])</f>
        <v>260</v>
      </c>
      <c r="K257" s="10">
        <f>Def[[#This Row],[value]]-_xlfn.XLOOKUP($D$282,Def[Value Rk],Def[value],,-1)</f>
        <v>-912.74039332616985</v>
      </c>
    </row>
    <row r="258" spans="1:11" x14ac:dyDescent="0.25">
      <c r="A258" t="s">
        <v>1202</v>
      </c>
      <c r="B258">
        <v>22</v>
      </c>
      <c r="C258" t="s">
        <v>3</v>
      </c>
      <c r="D258" s="57"/>
      <c r="E258" s="57"/>
      <c r="F258" t="s">
        <v>21</v>
      </c>
      <c r="I258" s="10">
        <f>INDEX(Std[],MATCH(Def[[#This Row],[Player]],Std[Player],0),20)</f>
        <v>-842.38610326409025</v>
      </c>
      <c r="J258">
        <f>_xlfn.RANK.EQ(Def[[#This Row],[value]],Def[value])</f>
        <v>261</v>
      </c>
      <c r="K258" s="10">
        <f>Def[[#This Row],[value]]-_xlfn.XLOOKUP($D$282,Def[Value Rk],Def[value],,-1)</f>
        <v>-949.75087098355471</v>
      </c>
    </row>
    <row r="259" spans="1:11" x14ac:dyDescent="0.25">
      <c r="A259" t="s">
        <v>668</v>
      </c>
      <c r="B259">
        <v>31</v>
      </c>
      <c r="C259" t="s">
        <v>3</v>
      </c>
      <c r="D259" s="57"/>
      <c r="E259" s="57"/>
      <c r="F259" t="s">
        <v>2</v>
      </c>
      <c r="I259" s="10">
        <f>INDEX(Std[],MATCH(Def[[#This Row],[Player]],Std[Player],0),20)</f>
        <v>-848.86468510929512</v>
      </c>
      <c r="J259">
        <f>_xlfn.RANK.EQ(Def[[#This Row],[value]],Def[value])</f>
        <v>262</v>
      </c>
      <c r="K259" s="10">
        <f>Def[[#This Row],[value]]-_xlfn.XLOOKUP($D$282,Def[Value Rk],Def[value],,-1)</f>
        <v>-956.22945282875958</v>
      </c>
    </row>
    <row r="260" spans="1:11" x14ac:dyDescent="0.25">
      <c r="A260" t="s">
        <v>881</v>
      </c>
      <c r="B260">
        <v>30</v>
      </c>
      <c r="C260" t="s">
        <v>3</v>
      </c>
      <c r="D260" s="57"/>
      <c r="E260" s="57"/>
      <c r="F260" t="s">
        <v>17</v>
      </c>
      <c r="I260" s="10">
        <f>INDEX(Std[],MATCH(Def[[#This Row],[Player]],Std[Player],0),20)</f>
        <v>-870.2867242556099</v>
      </c>
      <c r="J260">
        <f>_xlfn.RANK.EQ(Def[[#This Row],[value]],Def[value])</f>
        <v>263</v>
      </c>
      <c r="K260" s="10">
        <f>Def[[#This Row],[value]]-_xlfn.XLOOKUP($D$282,Def[Value Rk],Def[value],,-1)</f>
        <v>-977.65149197507435</v>
      </c>
    </row>
    <row r="261" spans="1:11" x14ac:dyDescent="0.25">
      <c r="A261" t="s">
        <v>683</v>
      </c>
      <c r="B261">
        <v>29</v>
      </c>
      <c r="C261" t="s">
        <v>3</v>
      </c>
      <c r="D261" s="57"/>
      <c r="E261" s="57"/>
      <c r="F261" t="s">
        <v>14</v>
      </c>
      <c r="I261" s="10">
        <f>INDEX(Std[],MATCH(Def[[#This Row],[Player]],Std[Player],0),20)</f>
        <v>-873.29079292390611</v>
      </c>
      <c r="J261">
        <f>_xlfn.RANK.EQ(Def[[#This Row],[value]],Def[value])</f>
        <v>264</v>
      </c>
      <c r="K261" s="10">
        <f>Def[[#This Row],[value]]-_xlfn.XLOOKUP($D$282,Def[Value Rk],Def[value],,-1)</f>
        <v>-980.65556064337056</v>
      </c>
    </row>
    <row r="262" spans="1:11" x14ac:dyDescent="0.25">
      <c r="A262" t="s">
        <v>984</v>
      </c>
      <c r="B262">
        <v>25</v>
      </c>
      <c r="C262" t="s">
        <v>3</v>
      </c>
      <c r="D262" s="57"/>
      <c r="E262" s="57"/>
      <c r="F262" t="s">
        <v>4</v>
      </c>
      <c r="I262" s="10">
        <f>INDEX(Std[],MATCH(Def[[#This Row],[Player]],Std[Player],0),20)</f>
        <v>-928.46728625529272</v>
      </c>
      <c r="J262">
        <f>_xlfn.RANK.EQ(Def[[#This Row],[value]],Def[value])</f>
        <v>266</v>
      </c>
      <c r="K262" s="10">
        <f>Def[[#This Row],[value]]-_xlfn.XLOOKUP($D$282,Def[Value Rk],Def[value],,-1)</f>
        <v>-1035.8320539747572</v>
      </c>
    </row>
    <row r="263" spans="1:11" x14ac:dyDescent="0.25">
      <c r="A263" t="s">
        <v>1061</v>
      </c>
      <c r="B263">
        <v>27</v>
      </c>
      <c r="C263" t="s">
        <v>3</v>
      </c>
      <c r="D263" s="57"/>
      <c r="E263" s="57"/>
      <c r="F263" t="s">
        <v>30</v>
      </c>
      <c r="I263" s="10">
        <f>INDEX(Std[],MATCH(Def[[#This Row],[Player]],Std[Player],0),20)</f>
        <v>-945.48740342031363</v>
      </c>
      <c r="J263">
        <f>_xlfn.RANK.EQ(Def[[#This Row],[value]],Def[value])</f>
        <v>267</v>
      </c>
      <c r="K263" s="10">
        <f>Def[[#This Row],[value]]-_xlfn.XLOOKUP($D$282,Def[Value Rk],Def[value],,-1)</f>
        <v>-1052.8521711397782</v>
      </c>
    </row>
    <row r="264" spans="1:11" x14ac:dyDescent="0.25">
      <c r="A264" s="72" t="s">
        <v>468</v>
      </c>
      <c r="B264">
        <v>23</v>
      </c>
      <c r="C264" t="s">
        <v>3</v>
      </c>
      <c r="D264" s="57"/>
      <c r="E264" s="57"/>
      <c r="F264" t="s">
        <v>15</v>
      </c>
      <c r="I264" s="10">
        <f>INDEX(Std[],MATCH(Def[[#This Row],[Player]],Std[Player],0),20)</f>
        <v>-43.161664640169803</v>
      </c>
      <c r="J264">
        <f>_xlfn.RANK.EQ(Def[[#This Row],[value]],Def[value])</f>
        <v>100</v>
      </c>
      <c r="K264" s="10">
        <f>Def[[#This Row],[value]]-_xlfn.XLOOKUP($D$282,Def[Value Rk],Def[value],,-1)</f>
        <v>-150.52643235963427</v>
      </c>
    </row>
    <row r="265" spans="1:11" x14ac:dyDescent="0.25">
      <c r="A265" s="72" t="s">
        <v>1223</v>
      </c>
      <c r="B265">
        <v>25</v>
      </c>
      <c r="C265" t="s">
        <v>3</v>
      </c>
      <c r="D265" s="57"/>
      <c r="E265" s="57"/>
      <c r="F265" t="s">
        <v>155</v>
      </c>
      <c r="I265" s="10">
        <f>INDEX(Std[],MATCH(Def[[#This Row],[Player]],Std[Player],0),20)</f>
        <v>-468.55758749151022</v>
      </c>
      <c r="J265">
        <f>_xlfn.RANK.EQ(Def[[#This Row],[value]],Def[value])</f>
        <v>213</v>
      </c>
      <c r="K265" s="10">
        <f>Def[[#This Row],[value]]-_xlfn.XLOOKUP($D$282,Def[Value Rk],Def[value],,-1)</f>
        <v>-575.92235521097473</v>
      </c>
    </row>
    <row r="266" spans="1:11" x14ac:dyDescent="0.25">
      <c r="A266" s="72" t="s">
        <v>1224</v>
      </c>
      <c r="B266">
        <v>25</v>
      </c>
      <c r="C266" t="s">
        <v>3</v>
      </c>
      <c r="D266" s="57"/>
      <c r="E266" s="57"/>
      <c r="F266" t="s">
        <v>32</v>
      </c>
      <c r="I266" s="10">
        <f>INDEX(Std[],MATCH(Def[[#This Row],[Player]],Std[Player],0),20)</f>
        <v>148.91316003315157</v>
      </c>
      <c r="J266">
        <f>_xlfn.RANK.EQ(Def[[#This Row],[value]],Def[value])</f>
        <v>59</v>
      </c>
      <c r="K266" s="10">
        <f>Def[[#This Row],[value]]-_xlfn.XLOOKUP($D$282,Def[Value Rk],Def[value],,-1)</f>
        <v>41.548392313687089</v>
      </c>
    </row>
    <row r="267" spans="1:11" x14ac:dyDescent="0.25">
      <c r="A267" s="72" t="s">
        <v>1225</v>
      </c>
      <c r="B267">
        <v>28</v>
      </c>
      <c r="C267" t="s">
        <v>3</v>
      </c>
      <c r="D267" s="57"/>
      <c r="E267" s="57"/>
      <c r="F267" t="s">
        <v>25</v>
      </c>
      <c r="I267" s="10">
        <f>INDEX(Std[],MATCH(Def[[#This Row],[Player]],Std[Player],0),20)</f>
        <v>-403.99946131730047</v>
      </c>
      <c r="J267">
        <f>_xlfn.RANK.EQ(Def[[#This Row],[value]],Def[value])</f>
        <v>195</v>
      </c>
      <c r="K267" s="10">
        <f>Def[[#This Row],[value]]-_xlfn.XLOOKUP($D$282,Def[Value Rk],Def[value],,-1)</f>
        <v>-511.36422903676498</v>
      </c>
    </row>
    <row r="268" spans="1:11" x14ac:dyDescent="0.25">
      <c r="A268" s="29" t="s">
        <v>1263</v>
      </c>
      <c r="B268" s="112"/>
      <c r="C268" s="64"/>
      <c r="D268" s="58"/>
      <c r="E268" s="58"/>
      <c r="I268" s="10">
        <f>INDEX(Std[],MATCH(Def[[#This Row],[Player]],Std[Player],0),20)</f>
        <v>-198.56000240740033</v>
      </c>
      <c r="J268">
        <f>_xlfn.RANK.EQ(Def[[#This Row],[value]],Def[value])</f>
        <v>143</v>
      </c>
      <c r="K268" s="10">
        <f>Def[[#This Row],[value]]-_xlfn.XLOOKUP($D$282,Def[Value Rk],Def[value],,-1)</f>
        <v>-305.92477012686481</v>
      </c>
    </row>
    <row r="269" spans="1:11" x14ac:dyDescent="0.25">
      <c r="D269" s="59"/>
      <c r="E269" s="59"/>
      <c r="I269" s="10"/>
      <c r="K269" s="10"/>
    </row>
    <row r="270" spans="1:11" x14ac:dyDescent="0.25">
      <c r="D270" s="59"/>
      <c r="E270" s="59"/>
      <c r="F270" t="e" cm="1">
        <f t="array" ref="F270">INDEX(Def[Pos],MODE(MATCH(Def[Pos],Def[Pos],0)))</f>
        <v>#N/A</v>
      </c>
      <c r="I270" s="10"/>
      <c r="K270" s="10"/>
    </row>
    <row r="271" spans="1:11" x14ac:dyDescent="0.25">
      <c r="D271" s="59"/>
      <c r="E271" s="59"/>
      <c r="I271" s="10"/>
      <c r="K271" s="10"/>
    </row>
    <row r="272" spans="1:11" x14ac:dyDescent="0.25">
      <c r="D272" s="59"/>
      <c r="E272" s="59"/>
      <c r="I272" s="10"/>
      <c r="K272" s="10"/>
    </row>
    <row r="273" spans="1:11" x14ac:dyDescent="0.25">
      <c r="D273" s="59"/>
      <c r="E273" s="59"/>
      <c r="I273" s="10"/>
      <c r="K273" s="10"/>
    </row>
    <row r="274" spans="1:11" x14ac:dyDescent="0.25">
      <c r="D274" s="59"/>
      <c r="E274" s="59"/>
      <c r="I274" s="10"/>
      <c r="K274" s="10"/>
    </row>
    <row r="275" spans="1:11" x14ac:dyDescent="0.25">
      <c r="D275" s="59"/>
      <c r="E275" s="59"/>
      <c r="I275" s="10"/>
      <c r="K275" s="10"/>
    </row>
    <row r="276" spans="1:11" x14ac:dyDescent="0.25">
      <c r="D276" s="59"/>
      <c r="E276" s="59"/>
      <c r="I276" s="10"/>
      <c r="K276" s="10"/>
    </row>
    <row r="277" spans="1:11" x14ac:dyDescent="0.25">
      <c r="D277" s="59"/>
      <c r="E277" s="59"/>
      <c r="I277" s="10"/>
      <c r="K277" s="10"/>
    </row>
    <row r="278" spans="1:11" x14ac:dyDescent="0.25">
      <c r="A278" t="s">
        <v>147</v>
      </c>
      <c r="C278" t="s">
        <v>145</v>
      </c>
    </row>
    <row r="279" spans="1:11" x14ac:dyDescent="0.25">
      <c r="A279">
        <f>COUNTIFS(Def[Pos P Rank], "&gt;"&amp;D282,Def[Pos P Rank], "&lt;="&amp;(D282+31))</f>
        <v>0</v>
      </c>
      <c r="C279" t="s">
        <v>74</v>
      </c>
      <c r="D279">
        <f>'League Inputs'!O16*'League Inputs'!$N$13</f>
        <v>42</v>
      </c>
      <c r="F279" s="9"/>
      <c r="G279" s="9"/>
      <c r="H279" s="9"/>
    </row>
    <row r="280" spans="1:11" x14ac:dyDescent="0.25">
      <c r="A280">
        <f>COUNTIFS(Def[Value Rk], "&gt;"&amp;D282,Def[Value Rk], "&lt;="&amp;(D282+31))</f>
        <v>31</v>
      </c>
      <c r="C280" t="s">
        <v>102</v>
      </c>
      <c r="D280">
        <f>'League Inputs'!O17*'League Inputs'!$N$13</f>
        <v>42</v>
      </c>
    </row>
    <row r="281" spans="1:11" x14ac:dyDescent="0.25">
      <c r="A281">
        <f>COUNTIFS(Def[Pos P Rank], "&lt;"&amp;$D$282)</f>
        <v>0</v>
      </c>
      <c r="C281" t="s">
        <v>103</v>
      </c>
      <c r="D281">
        <f>'League Inputs'!O18*'League Inputs'!$N$13</f>
        <v>42</v>
      </c>
    </row>
    <row r="282" spans="1:11" x14ac:dyDescent="0.25">
      <c r="A282">
        <f>COUNTIFS(Def[Value Rk], "&lt;"&amp;$D$282)</f>
        <v>69</v>
      </c>
      <c r="C282" t="s">
        <v>3</v>
      </c>
      <c r="D282">
        <f>('League Inputs'!O19*'League Inputs'!$N$13)</f>
        <v>70</v>
      </c>
      <c r="F282">
        <f>D282+A279</f>
        <v>70</v>
      </c>
    </row>
    <row r="284" spans="1:11" x14ac:dyDescent="0.25">
      <c r="C284" t="s">
        <v>85</v>
      </c>
      <c r="D284" s="61" t="e">
        <f>AVERAGEIFS(#REF!,Def[Value Rk], "&gt;"&amp;$D$282,Def[Value Rk], "&lt;="&amp;($D$282+31))</f>
        <v>#REF!</v>
      </c>
      <c r="E284" s="61" t="e">
        <f>AVERAGEIFS(#REF!,Def[Value Rk], "&gt;"&amp;$D$282,Def[Value Rk], "&lt;="&amp;($D$282+31))</f>
        <v>#REF!</v>
      </c>
      <c r="F284" s="61" t="e">
        <f>AVERAGEIFS(#REF!,Def[Value Rk], "&gt;"&amp;$D$282,Def[Value Rk], "&lt;="&amp;($D$282+31))</f>
        <v>#REF!</v>
      </c>
      <c r="G284" s="61" t="e">
        <f>AVERAGEIFS(#REF!,Def[Value Rk], "&gt;"&amp;$D$282,Def[Value Rk], "&lt;="&amp;($D$282+31))</f>
        <v>#REF!</v>
      </c>
      <c r="H284" s="61" t="e">
        <f>AVERAGEIFS(#REF!,Def[Value Rk], "&gt;"&amp;$D$282,Def[Value Rk], "&lt;="&amp;($D$282+31))</f>
        <v>#REF!</v>
      </c>
    </row>
    <row r="285" spans="1:11" x14ac:dyDescent="0.25">
      <c r="C285" t="s">
        <v>86</v>
      </c>
      <c r="D285" s="62" t="e">
        <f>SQRT((SUMIFS(#REF!,Def[Value Rk], "&gt;"&amp;$D$282,Def[Value Rk], "&lt;="&amp;($D$282+31))-(SUMIFS(#REF!,Def[Value Rk], "&gt;"&amp;$D$282,Def[Value Rk], "&lt;="&amp;($D$282+31))^2)/$A$280)/($A$280-1))</f>
        <v>#REF!</v>
      </c>
      <c r="E285" s="62" t="e">
        <f>SQRT((SUMIFS(#REF!,Def[Value Rk], "&gt;"&amp;$D$282,Def[Value Rk], "&lt;="&amp;($D$282+31))-(SUMIFS(#REF!,Def[Value Rk], "&gt;"&amp;$D$282,Def[Value Rk], "&lt;="&amp;($D$282+31))^2)/$A$280)/($A$280-1))</f>
        <v>#REF!</v>
      </c>
      <c r="F285" s="62" t="e">
        <f>SQRT((SUMIFS(#REF!,Def[Value Rk], "&gt;"&amp;$D$282,Def[Value Rk], "&lt;="&amp;($D$282+31))-(SUMIFS(#REF!,Def[Value Rk], "&gt;"&amp;$D$282,Def[Value Rk], "&lt;="&amp;($D$282+31))^2)/$A$280)/($A$280-1))</f>
        <v>#REF!</v>
      </c>
      <c r="G285" s="62" t="e">
        <f>SQRT((SUMIFS(#REF!,Def[Value Rk], "&gt;"&amp;$D$282,Def[Value Rk], "&lt;="&amp;($D$282+31))-(SUMIFS(#REF!,Def[Value Rk], "&gt;"&amp;$D$282,Def[Value Rk], "&lt;="&amp;($D$282+31))^2)/$A$280)/($A$280-1))</f>
        <v>#REF!</v>
      </c>
      <c r="H285" s="62" t="e">
        <f>SQRT((SUMIFS(#REF!,Def[Value Rk], "&gt;"&amp;$D$282,Def[Value Rk], "&lt;="&amp;($D$282+31))-(SUMIFS(#REF!,Def[Value Rk], "&gt;"&amp;$D$282,Def[Value Rk], "&lt;="&amp;($D$282+31))^2)/$A$280)/($A$280-1))</f>
        <v>#REF!</v>
      </c>
    </row>
    <row r="287" spans="1:11" x14ac:dyDescent="0.25">
      <c r="C287" s="27"/>
      <c r="D287" s="60" t="s">
        <v>51</v>
      </c>
      <c r="E287" s="60" t="s">
        <v>45</v>
      </c>
      <c r="F287" s="60" t="s">
        <v>50</v>
      </c>
      <c r="G287" s="60" t="s">
        <v>64</v>
      </c>
      <c r="H287" s="60" t="s">
        <v>65</v>
      </c>
    </row>
    <row r="288" spans="1:11" x14ac:dyDescent="0.25">
      <c r="C288" s="29" t="s">
        <v>85</v>
      </c>
      <c r="D288" s="61" t="e">
        <f>AVERAGEIFS(#REF!,Def[Pos P Rank], "&gt;"&amp;$D$282,Def[Pos P Rank], "&lt;="&amp;($D$282+31))</f>
        <v>#REF!</v>
      </c>
      <c r="E288" s="61" t="e">
        <f>AVERAGEIFS(#REF!,Def[Pos P Rank], "&gt;"&amp;$D$282,Def[Pos P Rank], "&lt;="&amp;($D$282+31))</f>
        <v>#REF!</v>
      </c>
      <c r="F288" s="61" t="e">
        <f>AVERAGEIFS(#REF!,Def[Pos P Rank], "&gt;"&amp;$D$282,Def[Pos P Rank], "&lt;="&amp;($D$282+31))</f>
        <v>#REF!</v>
      </c>
      <c r="G288" s="61" t="e">
        <f>AVERAGEIFS(#REF!,Def[Pos P Rank], "&gt;"&amp;$D$282,Def[Pos P Rank], "&lt;="&amp;($D$282+31))</f>
        <v>#REF!</v>
      </c>
      <c r="H288" s="61" t="e">
        <f>AVERAGEIFS(#REF!,Def[Pos P Rank], "&gt;"&amp;$D$282,Def[Pos P Rank], "&lt;="&amp;($D$282+31))</f>
        <v>#REF!</v>
      </c>
    </row>
    <row r="289" spans="3:8" x14ac:dyDescent="0.25">
      <c r="C289" s="19" t="s">
        <v>86</v>
      </c>
      <c r="D289" s="62" t="e">
        <f>SQRT((SUMIFS(#REF!,Def[Pos P Rank], "&lt;"&amp;$D$282)-(SUMIFS(#REF!,Def[Pos P Rank], "&lt;"&amp;$D$282)^2)/$A$281)/($A$281-1))</f>
        <v>#REF!</v>
      </c>
      <c r="E289" s="62" t="e">
        <f>SQRT((SUMIFS(#REF!,Def[Pos P Rank], "&lt;"&amp;$D$282)-(SUMIFS(#REF!,Def[Pos P Rank], "&lt;"&amp;$D$282)^2)/$A$281)/($A$281-1))</f>
        <v>#REF!</v>
      </c>
      <c r="F289" s="62" t="e">
        <f>SQRT((SUMIFS(#REF!,Def[Pos P Rank], "&lt;"&amp;$D$282)-(SUMIFS(#REF!,Def[Pos P Rank], "&lt;"&amp;$D$282)^2)/$A$281)/($A$281-1))</f>
        <v>#REF!</v>
      </c>
      <c r="G289" s="62" t="e">
        <f>SQRT((SUMIFS(#REF!,Def[Pos P Rank], "&lt;"&amp;$D$282)-(SUMIFS(#REF!,Def[Pos P Rank], "&lt;"&amp;$D$282)^2)/$A$281)/($A$281-1))</f>
        <v>#REF!</v>
      </c>
      <c r="H289" s="62" t="e">
        <f>SQRT((SUMIFS(#REF!,Def[Pos P Rank], "&lt;"&amp;$D$282)-(SUMIFS(#REF!,Def[Pos P Rank], "&lt;"&amp;$D$282)^2)/$A$281)/($A$281-1))</f>
        <v>#REF!</v>
      </c>
    </row>
  </sheetData>
  <protectedRanges>
    <protectedRange sqref="B1:F1" name="Range2_1_2_1"/>
    <protectedRange sqref="G1:H1" name="Range2_1_2_2"/>
    <protectedRange sqref="D287:H287" name="Range2_1_2_1_1_1"/>
  </protectedRange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6A2FA-4904-45BF-B958-4EC421C0A928}">
  <sheetPr codeName="Sheet16"/>
  <dimension ref="A1:R81"/>
  <sheetViews>
    <sheetView topLeftCell="A56" workbookViewId="0">
      <selection activeCell="A80" sqref="A80:XFD92"/>
    </sheetView>
  </sheetViews>
  <sheetFormatPr defaultRowHeight="15" x14ac:dyDescent="0.25"/>
  <cols>
    <col min="1" max="1" width="22" bestFit="1" customWidth="1"/>
    <col min="5" max="5" width="9.5703125" customWidth="1"/>
    <col min="6" max="6" width="9.28515625" customWidth="1"/>
    <col min="8" max="8" width="10.140625" customWidth="1"/>
    <col min="9" max="9" width="9.7109375" customWidth="1"/>
    <col min="10" max="11" width="9.5703125" customWidth="1"/>
    <col min="12" max="12" width="11.28515625" customWidth="1"/>
    <col min="13" max="14" width="9.7109375" customWidth="1"/>
    <col min="15" max="15" width="10.42578125" customWidth="1"/>
  </cols>
  <sheetData>
    <row r="1" spans="1:15" x14ac:dyDescent="0.25">
      <c r="A1" t="s">
        <v>226</v>
      </c>
      <c r="B1" t="s">
        <v>225</v>
      </c>
      <c r="C1" t="s">
        <v>224</v>
      </c>
      <c r="D1" t="s">
        <v>223</v>
      </c>
      <c r="E1" t="s">
        <v>222</v>
      </c>
      <c r="F1" t="s">
        <v>221</v>
      </c>
      <c r="G1" t="s">
        <v>220</v>
      </c>
      <c r="H1" t="s">
        <v>219</v>
      </c>
      <c r="I1" t="s">
        <v>218</v>
      </c>
      <c r="J1" t="s">
        <v>217</v>
      </c>
      <c r="K1" t="s">
        <v>216</v>
      </c>
      <c r="L1" t="s">
        <v>215</v>
      </c>
      <c r="M1" t="s">
        <v>214</v>
      </c>
      <c r="N1" t="s">
        <v>213</v>
      </c>
      <c r="O1" t="s">
        <v>212</v>
      </c>
    </row>
    <row r="2" spans="1:15" x14ac:dyDescent="0.25">
      <c r="A2" t="s">
        <v>208</v>
      </c>
      <c r="B2" t="s">
        <v>7</v>
      </c>
      <c r="C2">
        <v>29</v>
      </c>
      <c r="D2" t="s">
        <v>157</v>
      </c>
      <c r="E2">
        <v>64</v>
      </c>
      <c r="F2">
        <v>0.54310000000000003</v>
      </c>
      <c r="G2">
        <v>0.37290000000000001</v>
      </c>
      <c r="H2">
        <v>7.9600000000000004E-2</v>
      </c>
      <c r="I2">
        <v>2.6888000000000001</v>
      </c>
      <c r="J2">
        <v>30.848299999999998</v>
      </c>
      <c r="K2">
        <v>28.159500000000001</v>
      </c>
      <c r="L2">
        <v>0.91283798458910204</v>
      </c>
      <c r="M2">
        <v>4.7399999999999998E-2</v>
      </c>
      <c r="N2">
        <v>0.59509999999999996</v>
      </c>
      <c r="O2">
        <v>0.14990000000000001</v>
      </c>
    </row>
    <row r="3" spans="1:15" x14ac:dyDescent="0.25">
      <c r="A3" t="s">
        <v>211</v>
      </c>
      <c r="B3" t="s">
        <v>9</v>
      </c>
      <c r="C3">
        <v>31</v>
      </c>
      <c r="D3" t="s">
        <v>157</v>
      </c>
      <c r="E3">
        <v>63</v>
      </c>
      <c r="F3">
        <v>0.54479999999999995</v>
      </c>
      <c r="G3">
        <v>0.36880000000000002</v>
      </c>
      <c r="H3">
        <v>8.6199999999999999E-2</v>
      </c>
      <c r="I3">
        <v>2.6008</v>
      </c>
      <c r="J3">
        <v>30.988800000000001</v>
      </c>
      <c r="K3">
        <v>28.388000000000002</v>
      </c>
      <c r="L3">
        <v>0.91607290375877704</v>
      </c>
      <c r="M3">
        <v>6.8400000000000002E-2</v>
      </c>
      <c r="N3">
        <v>0.63770000000000004</v>
      </c>
      <c r="O3">
        <v>0.1265</v>
      </c>
    </row>
    <row r="4" spans="1:15" x14ac:dyDescent="0.25">
      <c r="A4" t="s">
        <v>210</v>
      </c>
      <c r="B4" t="s">
        <v>165</v>
      </c>
      <c r="C4">
        <v>30</v>
      </c>
      <c r="D4" t="s">
        <v>157</v>
      </c>
      <c r="E4">
        <v>58</v>
      </c>
      <c r="F4">
        <v>0.57920000000000005</v>
      </c>
      <c r="G4">
        <v>0.35039999999999999</v>
      </c>
      <c r="H4">
        <v>6.54E-2</v>
      </c>
      <c r="I4">
        <v>2.6892999999999998</v>
      </c>
      <c r="J4">
        <v>29.749400000000001</v>
      </c>
      <c r="K4">
        <v>27.060099999999998</v>
      </c>
      <c r="L4">
        <v>0.90960153818228295</v>
      </c>
      <c r="M4">
        <v>4.53E-2</v>
      </c>
      <c r="N4">
        <v>0.56799999999999995</v>
      </c>
      <c r="O4">
        <v>0.15720000000000001</v>
      </c>
    </row>
    <row r="5" spans="1:15" x14ac:dyDescent="0.25">
      <c r="A5" t="s">
        <v>196</v>
      </c>
      <c r="B5" t="s">
        <v>10</v>
      </c>
      <c r="C5">
        <v>29</v>
      </c>
      <c r="D5" t="s">
        <v>157</v>
      </c>
      <c r="E5">
        <v>56</v>
      </c>
      <c r="F5">
        <v>0.64329999999999998</v>
      </c>
      <c r="G5">
        <v>0.2802</v>
      </c>
      <c r="H5">
        <v>8.1299999999999997E-2</v>
      </c>
      <c r="I5">
        <v>2.4438</v>
      </c>
      <c r="J5">
        <v>29.984500000000001</v>
      </c>
      <c r="K5">
        <v>27.540700000000001</v>
      </c>
      <c r="L5">
        <v>0.91849789057679798</v>
      </c>
      <c r="M5">
        <v>7.5999999999999998E-2</v>
      </c>
      <c r="N5">
        <v>0.62119999999999997</v>
      </c>
      <c r="O5">
        <v>0.13350000000000001</v>
      </c>
    </row>
    <row r="6" spans="1:15" x14ac:dyDescent="0.25">
      <c r="A6" t="s">
        <v>186</v>
      </c>
      <c r="B6" t="s">
        <v>20</v>
      </c>
      <c r="C6">
        <v>29</v>
      </c>
      <c r="D6" t="s">
        <v>157</v>
      </c>
      <c r="E6">
        <v>56</v>
      </c>
      <c r="F6">
        <v>0.48849999999999999</v>
      </c>
      <c r="G6">
        <v>0.35549999999999998</v>
      </c>
      <c r="H6">
        <v>0.16250000000000001</v>
      </c>
      <c r="I6">
        <v>2.661</v>
      </c>
      <c r="J6">
        <v>31.7925</v>
      </c>
      <c r="K6">
        <v>29.131499999999999</v>
      </c>
      <c r="L6">
        <v>0.91630101439018596</v>
      </c>
      <c r="M6">
        <v>8.0199999999999994E-2</v>
      </c>
      <c r="N6">
        <v>0.65529999999999999</v>
      </c>
      <c r="O6">
        <v>0.1358</v>
      </c>
    </row>
    <row r="7" spans="1:15" x14ac:dyDescent="0.25">
      <c r="A7" t="s">
        <v>1242</v>
      </c>
      <c r="B7" t="s">
        <v>22</v>
      </c>
      <c r="C7">
        <v>35</v>
      </c>
      <c r="D7" t="s">
        <v>157</v>
      </c>
      <c r="E7">
        <v>56</v>
      </c>
      <c r="F7">
        <v>0.56499999999999995</v>
      </c>
      <c r="G7">
        <v>0.31190000000000007</v>
      </c>
      <c r="H7">
        <v>0.1231</v>
      </c>
      <c r="I7">
        <v>2.6097000000000001</v>
      </c>
      <c r="J7">
        <v>28.1114</v>
      </c>
      <c r="K7">
        <v>25.5017</v>
      </c>
      <c r="L7">
        <v>0.90716577616198402</v>
      </c>
      <c r="M7">
        <v>6.7799999999999999E-2</v>
      </c>
      <c r="N7">
        <v>0.53649999999999998</v>
      </c>
      <c r="O7">
        <v>0.14460000000000001</v>
      </c>
    </row>
    <row r="8" spans="1:15" x14ac:dyDescent="0.25">
      <c r="A8" t="s">
        <v>205</v>
      </c>
      <c r="B8" t="s">
        <v>31</v>
      </c>
      <c r="C8">
        <v>36</v>
      </c>
      <c r="D8" t="s">
        <v>157</v>
      </c>
      <c r="E8">
        <v>55</v>
      </c>
      <c r="F8">
        <v>0.60899999999999999</v>
      </c>
      <c r="G8">
        <v>0.28639999999999999</v>
      </c>
      <c r="H8">
        <v>6.8400000000000002E-2</v>
      </c>
      <c r="I8">
        <v>2.6006</v>
      </c>
      <c r="J8">
        <v>28.864599999999999</v>
      </c>
      <c r="K8">
        <v>26.263999999999999</v>
      </c>
      <c r="L8">
        <v>0.90990348038774105</v>
      </c>
      <c r="M8">
        <v>6.6699999999999995E-2</v>
      </c>
      <c r="N8">
        <v>0.61719999999999997</v>
      </c>
      <c r="O8">
        <v>0.14330000000000001</v>
      </c>
    </row>
    <row r="9" spans="1:15" x14ac:dyDescent="0.25">
      <c r="A9" t="s">
        <v>184</v>
      </c>
      <c r="B9" t="s">
        <v>17</v>
      </c>
      <c r="C9">
        <v>26</v>
      </c>
      <c r="D9" t="s">
        <v>157</v>
      </c>
      <c r="E9">
        <v>54</v>
      </c>
      <c r="F9">
        <v>0.62539999999999996</v>
      </c>
      <c r="G9">
        <v>0.26879999999999998</v>
      </c>
      <c r="H9">
        <v>9.6299999999999997E-2</v>
      </c>
      <c r="I9">
        <v>2.5520999999999998</v>
      </c>
      <c r="J9">
        <v>28.780899999999999</v>
      </c>
      <c r="K9">
        <v>26.2288</v>
      </c>
      <c r="L9">
        <v>0.91132660896636297</v>
      </c>
      <c r="M9">
        <v>5.5199999999999999E-2</v>
      </c>
      <c r="N9">
        <v>0.58189999999999997</v>
      </c>
      <c r="O9">
        <v>0.15190000000000001</v>
      </c>
    </row>
    <row r="10" spans="1:15" x14ac:dyDescent="0.25">
      <c r="A10" t="s">
        <v>182</v>
      </c>
      <c r="B10" t="s">
        <v>11</v>
      </c>
      <c r="C10">
        <v>28</v>
      </c>
      <c r="D10" t="s">
        <v>157</v>
      </c>
      <c r="E10">
        <v>53</v>
      </c>
      <c r="F10">
        <v>0.59850000000000003</v>
      </c>
      <c r="G10">
        <v>0.30159999999999998</v>
      </c>
      <c r="H10">
        <v>8.7300000000000003E-2</v>
      </c>
      <c r="I10">
        <v>2.8277000000000001</v>
      </c>
      <c r="J10">
        <v>29.599900000000002</v>
      </c>
      <c r="K10">
        <v>26.772200000000002</v>
      </c>
      <c r="L10">
        <v>0.90446927185564796</v>
      </c>
      <c r="M10">
        <v>5.4600000000000003E-2</v>
      </c>
      <c r="N10">
        <v>0.51880000000000004</v>
      </c>
      <c r="O10">
        <v>0.15989999999999999</v>
      </c>
    </row>
    <row r="11" spans="1:15" x14ac:dyDescent="0.25">
      <c r="A11" t="s">
        <v>203</v>
      </c>
      <c r="B11" t="s">
        <v>14</v>
      </c>
      <c r="C11">
        <v>31</v>
      </c>
      <c r="D11" t="s">
        <v>157</v>
      </c>
      <c r="E11">
        <v>52</v>
      </c>
      <c r="F11">
        <v>0.48730000000000001</v>
      </c>
      <c r="G11">
        <v>0.40100000000000002</v>
      </c>
      <c r="H11">
        <v>9.9000000000000005E-2</v>
      </c>
      <c r="I11">
        <v>2.9937</v>
      </c>
      <c r="J11">
        <v>31.311299999999999</v>
      </c>
      <c r="K11">
        <v>28.317599999999999</v>
      </c>
      <c r="L11">
        <v>0.90438915024288402</v>
      </c>
      <c r="M11">
        <v>4.8099999999999997E-2</v>
      </c>
      <c r="N11">
        <v>0.5171</v>
      </c>
      <c r="O11">
        <v>0.1706</v>
      </c>
    </row>
    <row r="12" spans="1:15" x14ac:dyDescent="0.25">
      <c r="A12" t="s">
        <v>206</v>
      </c>
      <c r="B12" t="s">
        <v>25</v>
      </c>
      <c r="C12">
        <v>29</v>
      </c>
      <c r="D12" t="s">
        <v>157</v>
      </c>
      <c r="E12">
        <v>52</v>
      </c>
      <c r="F12">
        <v>0.49880000000000002</v>
      </c>
      <c r="G12">
        <v>0.3886</v>
      </c>
      <c r="H12">
        <v>0.1158</v>
      </c>
      <c r="I12">
        <v>2.6819999999999999</v>
      </c>
      <c r="J12">
        <v>29.742100000000001</v>
      </c>
      <c r="K12">
        <v>27.060099999999998</v>
      </c>
      <c r="L12">
        <v>0.90982479381079395</v>
      </c>
      <c r="M12">
        <v>8.1299999999999997E-2</v>
      </c>
      <c r="N12">
        <v>0.59609999999999996</v>
      </c>
      <c r="O12">
        <v>0.16500000000000001</v>
      </c>
    </row>
    <row r="13" spans="1:15" x14ac:dyDescent="0.25">
      <c r="A13" t="s">
        <v>209</v>
      </c>
      <c r="B13" t="s">
        <v>5</v>
      </c>
      <c r="C13">
        <v>31</v>
      </c>
      <c r="D13" t="s">
        <v>157</v>
      </c>
      <c r="E13">
        <v>51</v>
      </c>
      <c r="F13">
        <v>0.32240000000000002</v>
      </c>
      <c r="G13">
        <v>0.53610000000000002</v>
      </c>
      <c r="H13">
        <v>0.12609999999999999</v>
      </c>
      <c r="I13">
        <v>3.3618000000000001</v>
      </c>
      <c r="J13">
        <v>32.898200000000003</v>
      </c>
      <c r="K13">
        <v>29.5364</v>
      </c>
      <c r="L13">
        <v>0.89781203834860301</v>
      </c>
      <c r="M13">
        <v>1.67E-2</v>
      </c>
      <c r="N13">
        <v>0.4929</v>
      </c>
      <c r="O13">
        <v>0.22450000000000001</v>
      </c>
    </row>
    <row r="14" spans="1:15" x14ac:dyDescent="0.25">
      <c r="A14" t="s">
        <v>204</v>
      </c>
      <c r="B14" t="s">
        <v>8</v>
      </c>
      <c r="C14">
        <v>29</v>
      </c>
      <c r="D14" t="s">
        <v>157</v>
      </c>
      <c r="E14">
        <v>50</v>
      </c>
      <c r="F14">
        <v>0.5756</v>
      </c>
      <c r="G14">
        <v>0.34289999999999998</v>
      </c>
      <c r="H14">
        <v>8.6699999999999999E-2</v>
      </c>
      <c r="I14">
        <v>2.6939000000000002</v>
      </c>
      <c r="J14">
        <v>30.767700000000001</v>
      </c>
      <c r="K14">
        <v>28.073799999999999</v>
      </c>
      <c r="L14">
        <v>0.91244389408373106</v>
      </c>
      <c r="M14">
        <v>5.45E-2</v>
      </c>
      <c r="N14">
        <v>0.57599999999999996</v>
      </c>
      <c r="O14">
        <v>0.1497</v>
      </c>
    </row>
    <row r="15" spans="1:15" x14ac:dyDescent="0.25">
      <c r="A15" t="s">
        <v>199</v>
      </c>
      <c r="B15" t="s">
        <v>197</v>
      </c>
      <c r="C15">
        <v>37</v>
      </c>
      <c r="D15" t="s">
        <v>157</v>
      </c>
      <c r="E15">
        <v>47</v>
      </c>
      <c r="F15">
        <v>0.56100000000000005</v>
      </c>
      <c r="G15">
        <v>0.35570000000000002</v>
      </c>
      <c r="H15">
        <v>9.64E-2</v>
      </c>
      <c r="I15">
        <v>2.7012999999999998</v>
      </c>
      <c r="J15">
        <v>29.6707</v>
      </c>
      <c r="K15">
        <v>26.9694</v>
      </c>
      <c r="L15">
        <v>0.90895732153269004</v>
      </c>
      <c r="M15">
        <v>5.3900000000000003E-2</v>
      </c>
      <c r="N15">
        <v>0.60360000000000003</v>
      </c>
      <c r="O15">
        <v>0.16789999999999999</v>
      </c>
    </row>
    <row r="16" spans="1:15" x14ac:dyDescent="0.25">
      <c r="A16" t="s">
        <v>201</v>
      </c>
      <c r="B16" t="s">
        <v>29</v>
      </c>
      <c r="C16">
        <v>34</v>
      </c>
      <c r="D16" t="s">
        <v>157</v>
      </c>
      <c r="E16">
        <v>47</v>
      </c>
      <c r="F16">
        <v>0.50260000000000005</v>
      </c>
      <c r="G16">
        <v>0.36990000000000001</v>
      </c>
      <c r="H16">
        <v>9.8599999999999993E-2</v>
      </c>
      <c r="I16">
        <v>2.8216000000000001</v>
      </c>
      <c r="J16">
        <v>30.624500000000001</v>
      </c>
      <c r="K16">
        <v>27.802900000000001</v>
      </c>
      <c r="L16">
        <v>0.90786461819784803</v>
      </c>
      <c r="M16">
        <v>7.0599999999999996E-2</v>
      </c>
      <c r="N16">
        <v>0.51800000000000002</v>
      </c>
      <c r="O16">
        <v>0.18029999999999999</v>
      </c>
    </row>
    <row r="17" spans="1:15" x14ac:dyDescent="0.25">
      <c r="A17" t="s">
        <v>1243</v>
      </c>
      <c r="B17" t="s">
        <v>18</v>
      </c>
      <c r="C17">
        <v>40</v>
      </c>
      <c r="D17" t="s">
        <v>157</v>
      </c>
      <c r="E17">
        <v>47</v>
      </c>
      <c r="F17">
        <v>0.50090000000000001</v>
      </c>
      <c r="G17">
        <v>0.39539999999999997</v>
      </c>
      <c r="H17">
        <v>0.1062</v>
      </c>
      <c r="I17">
        <v>2.9068000000000001</v>
      </c>
      <c r="J17">
        <v>30.288799999999998</v>
      </c>
      <c r="K17">
        <v>27.382000000000001</v>
      </c>
      <c r="L17">
        <v>0.90403053273817402</v>
      </c>
      <c r="M17">
        <v>5.7799999999999997E-2</v>
      </c>
      <c r="N17">
        <v>0.52449999999999997</v>
      </c>
      <c r="O17">
        <v>0.22800000000000001</v>
      </c>
    </row>
    <row r="18" spans="1:15" x14ac:dyDescent="0.25">
      <c r="A18" t="s">
        <v>173</v>
      </c>
      <c r="B18" t="s">
        <v>13</v>
      </c>
      <c r="C18">
        <v>28</v>
      </c>
      <c r="D18" t="s">
        <v>157</v>
      </c>
      <c r="E18">
        <v>45</v>
      </c>
      <c r="F18">
        <v>0.3634</v>
      </c>
      <c r="G18">
        <v>0.5484</v>
      </c>
      <c r="H18">
        <v>8.4599999999999995E-2</v>
      </c>
      <c r="I18">
        <v>3.3714</v>
      </c>
      <c r="J18">
        <v>33.285200000000003</v>
      </c>
      <c r="K18">
        <v>29.913799999999998</v>
      </c>
      <c r="L18">
        <v>0.89871173975220198</v>
      </c>
      <c r="M18">
        <v>3.9E-2</v>
      </c>
      <c r="N18">
        <v>0.45519999999999999</v>
      </c>
      <c r="O18">
        <v>0.23519999999999999</v>
      </c>
    </row>
    <row r="19" spans="1:15" x14ac:dyDescent="0.25">
      <c r="A19" t="s">
        <v>200</v>
      </c>
      <c r="B19" t="s">
        <v>23</v>
      </c>
      <c r="C19">
        <v>30</v>
      </c>
      <c r="D19" t="s">
        <v>157</v>
      </c>
      <c r="E19">
        <v>44</v>
      </c>
      <c r="F19">
        <v>0.39660000000000001</v>
      </c>
      <c r="G19">
        <v>0.4516</v>
      </c>
      <c r="H19">
        <v>0.1406</v>
      </c>
      <c r="I19">
        <v>3.3001999999999998</v>
      </c>
      <c r="J19">
        <v>32.6342</v>
      </c>
      <c r="K19">
        <v>29.334</v>
      </c>
      <c r="L19">
        <v>0.898872961494383</v>
      </c>
      <c r="M19">
        <v>2.8899999999999999E-2</v>
      </c>
      <c r="N19">
        <v>0.45939999999999998</v>
      </c>
      <c r="O19">
        <v>0.14299999999999999</v>
      </c>
    </row>
    <row r="20" spans="1:15" x14ac:dyDescent="0.25">
      <c r="A20" t="s">
        <v>190</v>
      </c>
      <c r="B20" t="s">
        <v>12</v>
      </c>
      <c r="C20">
        <v>31</v>
      </c>
      <c r="D20" t="s">
        <v>157</v>
      </c>
      <c r="E20">
        <v>44</v>
      </c>
      <c r="F20">
        <v>0.6552</v>
      </c>
      <c r="G20">
        <v>0.23849999999999999</v>
      </c>
      <c r="H20">
        <v>9.4100000000000003E-2</v>
      </c>
      <c r="I20">
        <v>2.4203000000000001</v>
      </c>
      <c r="J20">
        <v>30.3156</v>
      </c>
      <c r="K20">
        <v>27.895299999999999</v>
      </c>
      <c r="L20">
        <v>0.92016321629788</v>
      </c>
      <c r="M20">
        <v>4.2599999999999999E-2</v>
      </c>
      <c r="N20">
        <v>0.67410000000000003</v>
      </c>
      <c r="O20">
        <v>7.5200000000000003E-2</v>
      </c>
    </row>
    <row r="21" spans="1:15" x14ac:dyDescent="0.25">
      <c r="A21" t="s">
        <v>207</v>
      </c>
      <c r="B21" t="s">
        <v>87</v>
      </c>
      <c r="C21">
        <v>33</v>
      </c>
      <c r="D21" t="s">
        <v>157</v>
      </c>
      <c r="E21">
        <v>43</v>
      </c>
      <c r="F21">
        <v>0.41110000000000002</v>
      </c>
      <c r="G21">
        <v>0.47649999999999998</v>
      </c>
      <c r="H21">
        <v>8.8700000000000001E-2</v>
      </c>
      <c r="I21">
        <v>2.8761999999999999</v>
      </c>
      <c r="J21">
        <v>27.619</v>
      </c>
      <c r="K21">
        <v>24.742799999999999</v>
      </c>
      <c r="L21">
        <v>0.89586154458887002</v>
      </c>
      <c r="M21">
        <v>3.7999999999999999E-2</v>
      </c>
      <c r="N21">
        <v>0.45429999999999998</v>
      </c>
      <c r="O21">
        <v>0.20610000000000001</v>
      </c>
    </row>
    <row r="22" spans="1:15" x14ac:dyDescent="0.25">
      <c r="A22" t="s">
        <v>180</v>
      </c>
      <c r="B22" t="s">
        <v>16</v>
      </c>
      <c r="C22">
        <v>26</v>
      </c>
      <c r="D22" t="s">
        <v>157</v>
      </c>
      <c r="E22">
        <v>43</v>
      </c>
      <c r="F22">
        <v>0.59560000000000002</v>
      </c>
      <c r="G22">
        <v>0.31559999999999999</v>
      </c>
      <c r="H22">
        <v>8.8599999999999998E-2</v>
      </c>
      <c r="I22">
        <v>2.6837</v>
      </c>
      <c r="J22">
        <v>29.322299999999998</v>
      </c>
      <c r="K22">
        <v>26.6386</v>
      </c>
      <c r="L22">
        <v>0.90847580169359199</v>
      </c>
      <c r="M22">
        <v>3.7400000000000003E-2</v>
      </c>
      <c r="N22">
        <v>0.59199999999999997</v>
      </c>
      <c r="O22">
        <v>0.1865</v>
      </c>
    </row>
    <row r="23" spans="1:15" x14ac:dyDescent="0.25">
      <c r="A23" t="s">
        <v>185</v>
      </c>
      <c r="B23" t="s">
        <v>30</v>
      </c>
      <c r="C23">
        <v>27</v>
      </c>
      <c r="D23" t="s">
        <v>157</v>
      </c>
      <c r="E23">
        <v>42</v>
      </c>
      <c r="F23">
        <v>0.59240000000000004</v>
      </c>
      <c r="G23">
        <v>0.25779999999999997</v>
      </c>
      <c r="H23">
        <v>0.15010000000000001</v>
      </c>
      <c r="I23">
        <v>2.8527999999999998</v>
      </c>
      <c r="J23">
        <v>28.8233</v>
      </c>
      <c r="K23">
        <v>25.970500000000001</v>
      </c>
      <c r="L23">
        <v>0.90102451835841102</v>
      </c>
      <c r="M23">
        <v>7.8100000000000003E-2</v>
      </c>
      <c r="N23">
        <v>0.4965</v>
      </c>
      <c r="O23">
        <v>0.20030000000000001</v>
      </c>
    </row>
    <row r="24" spans="1:15" x14ac:dyDescent="0.25">
      <c r="A24" t="s">
        <v>175</v>
      </c>
      <c r="B24" t="s">
        <v>12</v>
      </c>
      <c r="C24">
        <v>26</v>
      </c>
      <c r="D24" t="s">
        <v>157</v>
      </c>
      <c r="E24">
        <v>42</v>
      </c>
      <c r="F24">
        <v>0.60129999999999995</v>
      </c>
      <c r="G24">
        <v>0.27800000000000002</v>
      </c>
      <c r="H24">
        <v>0.1331</v>
      </c>
      <c r="I24">
        <v>2.5133000000000001</v>
      </c>
      <c r="J24">
        <v>29.450600000000001</v>
      </c>
      <c r="K24">
        <v>26.9373</v>
      </c>
      <c r="L24">
        <v>0.91466048229917196</v>
      </c>
      <c r="M24">
        <v>7.9299999999999995E-2</v>
      </c>
      <c r="N24">
        <v>0.61339999999999995</v>
      </c>
      <c r="O24">
        <v>0.12889999999999999</v>
      </c>
    </row>
    <row r="25" spans="1:15" x14ac:dyDescent="0.25">
      <c r="A25" t="s">
        <v>160</v>
      </c>
      <c r="B25" t="s">
        <v>4</v>
      </c>
      <c r="C25">
        <v>25</v>
      </c>
      <c r="D25" t="s">
        <v>157</v>
      </c>
      <c r="E25">
        <v>42</v>
      </c>
      <c r="F25">
        <v>0.50460000000000005</v>
      </c>
      <c r="G25">
        <v>0.41199999999999998</v>
      </c>
      <c r="H25">
        <v>0.10390000000000001</v>
      </c>
      <c r="I25">
        <v>2.8620000000000001</v>
      </c>
      <c r="J25">
        <v>30.189399999999999</v>
      </c>
      <c r="K25">
        <v>27.327400000000001</v>
      </c>
      <c r="L25">
        <v>0.90519851338549295</v>
      </c>
      <c r="M25">
        <v>6.1499999999999999E-2</v>
      </c>
      <c r="N25">
        <v>0.57920000000000005</v>
      </c>
      <c r="O25">
        <v>0.14940000000000001</v>
      </c>
    </row>
    <row r="26" spans="1:15" x14ac:dyDescent="0.25">
      <c r="A26" t="s">
        <v>1244</v>
      </c>
      <c r="B26" t="s">
        <v>21</v>
      </c>
      <c r="C26">
        <v>32</v>
      </c>
      <c r="D26" t="s">
        <v>157</v>
      </c>
      <c r="E26">
        <v>41</v>
      </c>
      <c r="F26">
        <v>0.38729999999999998</v>
      </c>
      <c r="G26">
        <v>0.52180000000000004</v>
      </c>
      <c r="H26">
        <v>7.2099999999999997E-2</v>
      </c>
      <c r="I26">
        <v>3.1294</v>
      </c>
      <c r="J26">
        <v>31.8642</v>
      </c>
      <c r="K26">
        <v>28.7348</v>
      </c>
      <c r="L26">
        <v>0.90178946905932</v>
      </c>
      <c r="M26">
        <v>1.7399999999999999E-2</v>
      </c>
      <c r="N26">
        <v>0.50929999999999997</v>
      </c>
      <c r="O26">
        <v>0.16159999999999999</v>
      </c>
    </row>
    <row r="27" spans="1:15" x14ac:dyDescent="0.25">
      <c r="A27" t="s">
        <v>169</v>
      </c>
      <c r="B27" t="s">
        <v>6</v>
      </c>
      <c r="C27">
        <v>28</v>
      </c>
      <c r="D27" t="s">
        <v>157</v>
      </c>
      <c r="E27">
        <v>40</v>
      </c>
      <c r="F27">
        <v>0.39150000000000001</v>
      </c>
      <c r="G27">
        <v>0.45150000000000001</v>
      </c>
      <c r="H27">
        <v>0.1643</v>
      </c>
      <c r="I27">
        <v>3.3075348763040004</v>
      </c>
      <c r="J27">
        <v>33.803600000000003</v>
      </c>
      <c r="K27">
        <v>30.496065123696003</v>
      </c>
      <c r="L27">
        <v>0.90215436000000004</v>
      </c>
      <c r="M27">
        <v>1.54E-2</v>
      </c>
      <c r="N27">
        <v>0.56469999999999998</v>
      </c>
      <c r="O27">
        <v>0.18479999999999999</v>
      </c>
    </row>
    <row r="28" spans="1:15" x14ac:dyDescent="0.25">
      <c r="A28" t="s">
        <v>1245</v>
      </c>
      <c r="B28" t="s">
        <v>1085</v>
      </c>
      <c r="C28">
        <v>29</v>
      </c>
      <c r="D28" t="s">
        <v>157</v>
      </c>
      <c r="E28">
        <v>40</v>
      </c>
      <c r="F28">
        <v>0.58450000000000002</v>
      </c>
      <c r="G28">
        <v>0.29670000000000002</v>
      </c>
      <c r="H28">
        <v>0.11169999999999999</v>
      </c>
      <c r="I28">
        <v>2.8037000000000001</v>
      </c>
      <c r="J28">
        <v>28.9849</v>
      </c>
      <c r="K28">
        <v>26.1812</v>
      </c>
      <c r="L28">
        <v>0.90327032351327796</v>
      </c>
      <c r="M28">
        <v>5.4699999999999999E-2</v>
      </c>
      <c r="N28">
        <v>0.52290000000000003</v>
      </c>
      <c r="O28">
        <v>0.19339999999999999</v>
      </c>
    </row>
    <row r="29" spans="1:15" x14ac:dyDescent="0.25">
      <c r="A29" t="s">
        <v>189</v>
      </c>
      <c r="B29" t="s">
        <v>1079</v>
      </c>
      <c r="C29">
        <v>34</v>
      </c>
      <c r="D29" t="s">
        <v>157</v>
      </c>
      <c r="E29">
        <v>39</v>
      </c>
      <c r="F29">
        <v>0.36080000000000001</v>
      </c>
      <c r="G29">
        <v>0.5363</v>
      </c>
      <c r="H29">
        <v>0.1046</v>
      </c>
      <c r="I29">
        <v>3.2845</v>
      </c>
      <c r="J29">
        <v>32.248600000000003</v>
      </c>
      <c r="K29">
        <v>28.964099999999998</v>
      </c>
      <c r="L29">
        <v>0.89815061739114299</v>
      </c>
      <c r="M29">
        <v>2.93E-2</v>
      </c>
      <c r="N29">
        <v>0.49249999999999999</v>
      </c>
      <c r="O29">
        <v>0.2281</v>
      </c>
    </row>
    <row r="30" spans="1:15" x14ac:dyDescent="0.25">
      <c r="A30" t="s">
        <v>183</v>
      </c>
      <c r="B30" t="s">
        <v>15</v>
      </c>
      <c r="C30">
        <v>30</v>
      </c>
      <c r="D30" t="s">
        <v>157</v>
      </c>
      <c r="E30">
        <v>39</v>
      </c>
      <c r="F30">
        <v>0.4531</v>
      </c>
      <c r="G30">
        <v>0.48430000000000001</v>
      </c>
      <c r="H30">
        <v>8.2400000000000001E-2</v>
      </c>
      <c r="I30">
        <v>3.3323999999999998</v>
      </c>
      <c r="J30">
        <v>32.122</v>
      </c>
      <c r="K30">
        <v>28.7896</v>
      </c>
      <c r="L30">
        <v>0.89625801631280699</v>
      </c>
      <c r="M30">
        <v>1.5100000000000001E-2</v>
      </c>
      <c r="N30">
        <v>0.49320000000000003</v>
      </c>
      <c r="O30">
        <v>0.1973</v>
      </c>
    </row>
    <row r="31" spans="1:15" x14ac:dyDescent="0.25">
      <c r="A31" t="s">
        <v>198</v>
      </c>
      <c r="B31" t="s">
        <v>10</v>
      </c>
      <c r="C31">
        <v>39</v>
      </c>
      <c r="D31" t="s">
        <v>157</v>
      </c>
      <c r="E31">
        <v>38</v>
      </c>
      <c r="F31">
        <v>0.53759999999999997</v>
      </c>
      <c r="G31">
        <v>0.318</v>
      </c>
      <c r="H31">
        <v>0.1434</v>
      </c>
      <c r="I31">
        <v>2.8567999999999998</v>
      </c>
      <c r="J31">
        <v>29.3126</v>
      </c>
      <c r="K31">
        <v>26.4558</v>
      </c>
      <c r="L31">
        <v>0.90254020455367301</v>
      </c>
      <c r="M31">
        <v>5.6599999999999998E-2</v>
      </c>
      <c r="N31">
        <v>0.47770000000000001</v>
      </c>
      <c r="O31">
        <v>0.17610000000000001</v>
      </c>
    </row>
    <row r="32" spans="1:15" x14ac:dyDescent="0.25">
      <c r="A32" t="s">
        <v>176</v>
      </c>
      <c r="B32" t="s">
        <v>2</v>
      </c>
      <c r="C32">
        <v>29</v>
      </c>
      <c r="D32" t="s">
        <v>157</v>
      </c>
      <c r="E32">
        <v>38</v>
      </c>
      <c r="F32">
        <v>0.53169999999999995</v>
      </c>
      <c r="G32">
        <v>0.31240000000000001</v>
      </c>
      <c r="H32">
        <v>0.1288</v>
      </c>
      <c r="I32">
        <v>2.9314</v>
      </c>
      <c r="J32">
        <v>30.453399999999998</v>
      </c>
      <c r="K32">
        <v>27.521999999999998</v>
      </c>
      <c r="L32">
        <v>0.90374145415618601</v>
      </c>
      <c r="M32">
        <v>5.0200000000000002E-2</v>
      </c>
      <c r="N32">
        <v>0.4929</v>
      </c>
      <c r="O32">
        <v>0.2145</v>
      </c>
    </row>
    <row r="33" spans="1:15" x14ac:dyDescent="0.25">
      <c r="A33" t="s">
        <v>188</v>
      </c>
      <c r="B33" t="s">
        <v>25</v>
      </c>
      <c r="C33">
        <v>29</v>
      </c>
      <c r="D33" t="s">
        <v>157</v>
      </c>
      <c r="E33">
        <v>37</v>
      </c>
      <c r="F33">
        <v>0.4607</v>
      </c>
      <c r="G33">
        <v>0.36959999999999998</v>
      </c>
      <c r="H33">
        <v>0.17349999999999999</v>
      </c>
      <c r="I33">
        <v>3.2473000000000001</v>
      </c>
      <c r="J33">
        <v>32.933100000000003</v>
      </c>
      <c r="K33">
        <v>29.6858</v>
      </c>
      <c r="L33">
        <v>0.90139707467563002</v>
      </c>
      <c r="M33">
        <v>4.99E-2</v>
      </c>
      <c r="N33">
        <v>0.50690000000000002</v>
      </c>
      <c r="O33">
        <v>0.22339999999999999</v>
      </c>
    </row>
    <row r="34" spans="1:15" x14ac:dyDescent="0.25">
      <c r="A34" t="s">
        <v>192</v>
      </c>
      <c r="B34" t="s">
        <v>2</v>
      </c>
      <c r="C34">
        <v>36</v>
      </c>
      <c r="D34" t="s">
        <v>157</v>
      </c>
      <c r="E34">
        <v>37</v>
      </c>
      <c r="F34">
        <v>0.42330000000000001</v>
      </c>
      <c r="G34">
        <v>0.41810000000000003</v>
      </c>
      <c r="H34">
        <v>0.16850000000000001</v>
      </c>
      <c r="I34">
        <v>3.1789000000000001</v>
      </c>
      <c r="J34">
        <v>32.647100000000002</v>
      </c>
      <c r="K34">
        <v>29.4682</v>
      </c>
      <c r="L34">
        <v>0.90262841109930103</v>
      </c>
      <c r="M34">
        <v>5.7500000000000002E-2</v>
      </c>
      <c r="N34">
        <v>0.5323</v>
      </c>
      <c r="O34">
        <v>0.18229999999999999</v>
      </c>
    </row>
    <row r="35" spans="1:15" x14ac:dyDescent="0.25">
      <c r="A35" t="s">
        <v>1246</v>
      </c>
      <c r="B35" t="s">
        <v>1079</v>
      </c>
      <c r="C35">
        <v>28</v>
      </c>
      <c r="D35" t="s">
        <v>157</v>
      </c>
      <c r="E35">
        <v>37</v>
      </c>
      <c r="F35">
        <v>0.32169999999999999</v>
      </c>
      <c r="G35">
        <v>0.54800000000000004</v>
      </c>
      <c r="H35">
        <v>0.12590000000000001</v>
      </c>
      <c r="I35">
        <v>3.2707999999999999</v>
      </c>
      <c r="J35">
        <v>32.372</v>
      </c>
      <c r="K35">
        <v>29.101199999999999</v>
      </c>
      <c r="L35">
        <v>0.89896206598294803</v>
      </c>
      <c r="M35">
        <v>2.5899999999999999E-2</v>
      </c>
      <c r="N35">
        <v>0.51249999999999996</v>
      </c>
      <c r="O35">
        <v>0.22620000000000001</v>
      </c>
    </row>
    <row r="36" spans="1:15" x14ac:dyDescent="0.25">
      <c r="A36" t="s">
        <v>177</v>
      </c>
      <c r="B36" t="s">
        <v>15</v>
      </c>
      <c r="C36">
        <v>32</v>
      </c>
      <c r="D36" t="s">
        <v>157</v>
      </c>
      <c r="E36">
        <v>36</v>
      </c>
      <c r="F36">
        <v>0.50109999999999999</v>
      </c>
      <c r="G36">
        <v>0.40799999999999997</v>
      </c>
      <c r="H36">
        <v>6.4799999999999996E-2</v>
      </c>
      <c r="I36">
        <v>2.9289000000000001</v>
      </c>
      <c r="J36">
        <v>30.8582</v>
      </c>
      <c r="K36">
        <v>27.929300000000001</v>
      </c>
      <c r="L36">
        <v>0.90508519615531702</v>
      </c>
      <c r="M36">
        <v>5.2900000000000003E-2</v>
      </c>
      <c r="N36">
        <v>0.55869999999999997</v>
      </c>
      <c r="O36">
        <v>0.21959999999999999</v>
      </c>
    </row>
    <row r="37" spans="1:15" x14ac:dyDescent="0.25">
      <c r="A37" t="s">
        <v>166</v>
      </c>
      <c r="B37" t="s">
        <v>18</v>
      </c>
      <c r="C37">
        <v>26</v>
      </c>
      <c r="D37" t="s">
        <v>157</v>
      </c>
      <c r="E37">
        <v>36</v>
      </c>
      <c r="F37">
        <v>0.4869</v>
      </c>
      <c r="G37">
        <v>0.40789999999999998</v>
      </c>
      <c r="H37">
        <v>0.1166</v>
      </c>
      <c r="I37">
        <v>2.8784000000000001</v>
      </c>
      <c r="J37">
        <v>31.188300000000002</v>
      </c>
      <c r="K37">
        <v>28.309899999999999</v>
      </c>
      <c r="L37">
        <v>0.90770898061131899</v>
      </c>
      <c r="M37">
        <v>6.1199999999999997E-2</v>
      </c>
      <c r="N37">
        <v>0.5222</v>
      </c>
      <c r="O37">
        <v>0.18959999999999999</v>
      </c>
    </row>
    <row r="38" spans="1:15" x14ac:dyDescent="0.25">
      <c r="A38" t="s">
        <v>161</v>
      </c>
      <c r="B38" t="s">
        <v>1089</v>
      </c>
      <c r="C38">
        <v>27</v>
      </c>
      <c r="D38" t="s">
        <v>157</v>
      </c>
      <c r="E38">
        <v>36</v>
      </c>
      <c r="F38">
        <v>0.57569999999999999</v>
      </c>
      <c r="G38">
        <v>0.34399999999999997</v>
      </c>
      <c r="H38">
        <v>0.11559999999999999</v>
      </c>
      <c r="I38">
        <v>2.8066</v>
      </c>
      <c r="J38">
        <v>31.326599999999999</v>
      </c>
      <c r="K38">
        <v>28.52</v>
      </c>
      <c r="L38">
        <v>0.91040840691297498</v>
      </c>
      <c r="M38">
        <v>4.1500000000000002E-2</v>
      </c>
      <c r="N38">
        <v>0.57499999999999996</v>
      </c>
      <c r="O38">
        <v>0.1158</v>
      </c>
    </row>
    <row r="39" spans="1:15" x14ac:dyDescent="0.25">
      <c r="A39" t="s">
        <v>202</v>
      </c>
      <c r="B39" t="s">
        <v>34</v>
      </c>
      <c r="C39">
        <v>35</v>
      </c>
      <c r="D39" t="s">
        <v>157</v>
      </c>
      <c r="E39">
        <v>35</v>
      </c>
      <c r="F39">
        <v>0.66369999999999996</v>
      </c>
      <c r="G39">
        <v>0.2823</v>
      </c>
      <c r="H39">
        <v>5.0700000000000002E-2</v>
      </c>
      <c r="I39">
        <v>2.3041999999999998</v>
      </c>
      <c r="J39">
        <v>27.541799999999999</v>
      </c>
      <c r="K39">
        <v>25.2376</v>
      </c>
      <c r="L39">
        <v>0.91633807521657995</v>
      </c>
      <c r="M39">
        <v>8.1299999999999997E-2</v>
      </c>
      <c r="N39">
        <v>0.59050000000000002</v>
      </c>
      <c r="O39">
        <v>0.1363</v>
      </c>
    </row>
    <row r="40" spans="1:15" x14ac:dyDescent="0.25">
      <c r="A40" t="s">
        <v>191</v>
      </c>
      <c r="B40" t="s">
        <v>1091</v>
      </c>
      <c r="C40">
        <v>28</v>
      </c>
      <c r="D40" t="s">
        <v>157</v>
      </c>
      <c r="E40">
        <v>34</v>
      </c>
      <c r="F40">
        <v>0.3579</v>
      </c>
      <c r="G40">
        <v>0.48220000000000002</v>
      </c>
      <c r="H40">
        <v>0.11360000000000001</v>
      </c>
      <c r="I40">
        <v>3.2280000000000002</v>
      </c>
      <c r="J40">
        <v>31.656300000000002</v>
      </c>
      <c r="K40">
        <v>28.4283</v>
      </c>
      <c r="L40">
        <v>0.89802977606353196</v>
      </c>
      <c r="M40">
        <v>4.9099999999999998E-2</v>
      </c>
      <c r="N40">
        <v>0.5302</v>
      </c>
      <c r="O40">
        <v>0.1996</v>
      </c>
    </row>
    <row r="41" spans="1:15" x14ac:dyDescent="0.25">
      <c r="A41" t="s">
        <v>195</v>
      </c>
      <c r="B41" t="s">
        <v>30</v>
      </c>
      <c r="C41">
        <v>35</v>
      </c>
      <c r="D41" t="s">
        <v>157</v>
      </c>
      <c r="E41">
        <v>33</v>
      </c>
      <c r="F41">
        <v>0.52629999999999999</v>
      </c>
      <c r="G41">
        <v>0.41260000000000002</v>
      </c>
      <c r="H41">
        <v>7.9699999999999993E-2</v>
      </c>
      <c r="I41">
        <v>3.1295999999999999</v>
      </c>
      <c r="J41">
        <v>30.5488</v>
      </c>
      <c r="K41">
        <v>27.4192</v>
      </c>
      <c r="L41">
        <v>0.89755407741056903</v>
      </c>
      <c r="M41">
        <v>5.5599999999999997E-2</v>
      </c>
      <c r="N41">
        <v>0.49359999999999998</v>
      </c>
      <c r="O41">
        <v>0.18690000000000001</v>
      </c>
    </row>
    <row r="42" spans="1:15" x14ac:dyDescent="0.25">
      <c r="A42" t="s">
        <v>174</v>
      </c>
      <c r="B42" t="s">
        <v>1089</v>
      </c>
      <c r="C42">
        <v>28</v>
      </c>
      <c r="D42" t="s">
        <v>157</v>
      </c>
      <c r="E42">
        <v>32</v>
      </c>
      <c r="F42">
        <v>0.53800000000000003</v>
      </c>
      <c r="G42">
        <v>0.36840000000000001</v>
      </c>
      <c r="H42">
        <v>6.1600000000000002E-2</v>
      </c>
      <c r="I42">
        <v>2.6337000000000002</v>
      </c>
      <c r="J42">
        <v>28.9483</v>
      </c>
      <c r="K42">
        <v>26.314599999999999</v>
      </c>
      <c r="L42">
        <v>0.90902056424729605</v>
      </c>
      <c r="M42">
        <v>5.1499999999999997E-2</v>
      </c>
      <c r="N42">
        <v>0.56240000000000001</v>
      </c>
      <c r="O42">
        <v>0.18329999999999999</v>
      </c>
    </row>
    <row r="43" spans="1:15" x14ac:dyDescent="0.25">
      <c r="A43" t="s">
        <v>170</v>
      </c>
      <c r="B43" t="s">
        <v>8</v>
      </c>
      <c r="C43">
        <v>33</v>
      </c>
      <c r="D43" t="s">
        <v>157</v>
      </c>
      <c r="E43">
        <v>32</v>
      </c>
      <c r="F43">
        <v>0.46239999999999998</v>
      </c>
      <c r="G43">
        <v>0.36580000000000001</v>
      </c>
      <c r="H43">
        <v>0.16969999999999999</v>
      </c>
      <c r="I43">
        <v>2.9921000000000002</v>
      </c>
      <c r="J43">
        <v>31.159600000000001</v>
      </c>
      <c r="K43">
        <v>28.1675</v>
      </c>
      <c r="L43">
        <v>0.90397501893477405</v>
      </c>
      <c r="M43">
        <v>4.9000000000000002E-2</v>
      </c>
      <c r="N43">
        <v>0.52239999999999998</v>
      </c>
      <c r="O43">
        <v>0.222</v>
      </c>
    </row>
    <row r="44" spans="1:15" x14ac:dyDescent="0.25">
      <c r="A44" t="s">
        <v>172</v>
      </c>
      <c r="B44" t="s">
        <v>17</v>
      </c>
      <c r="C44">
        <v>32</v>
      </c>
      <c r="D44" t="s">
        <v>157</v>
      </c>
      <c r="E44">
        <v>31</v>
      </c>
      <c r="F44">
        <v>0.49890000000000001</v>
      </c>
      <c r="G44">
        <v>0.37090000000000001</v>
      </c>
      <c r="H44">
        <v>0.16470000000000001</v>
      </c>
      <c r="I44">
        <v>3.0912999999999999</v>
      </c>
      <c r="J44">
        <v>33.061399999999999</v>
      </c>
      <c r="K44">
        <v>29.970099999999999</v>
      </c>
      <c r="L44">
        <v>0.90649821241689699</v>
      </c>
      <c r="M44">
        <v>2.8500000000000001E-2</v>
      </c>
      <c r="N44">
        <v>0.51129999999999998</v>
      </c>
      <c r="O44">
        <v>0.10340000000000001</v>
      </c>
    </row>
    <row r="45" spans="1:15" x14ac:dyDescent="0.25">
      <c r="A45" t="s">
        <v>193</v>
      </c>
      <c r="B45" t="s">
        <v>20</v>
      </c>
      <c r="C45">
        <v>36</v>
      </c>
      <c r="D45" t="s">
        <v>157</v>
      </c>
      <c r="E45">
        <v>30</v>
      </c>
      <c r="F45">
        <v>0.4662</v>
      </c>
      <c r="G45">
        <v>0.41270000000000001</v>
      </c>
      <c r="H45">
        <v>0.1081</v>
      </c>
      <c r="I45">
        <v>2.7746</v>
      </c>
      <c r="J45">
        <v>31.7057</v>
      </c>
      <c r="K45">
        <v>28.931100000000001</v>
      </c>
      <c r="L45">
        <v>0.91248892155038397</v>
      </c>
      <c r="M45">
        <v>8.3900000000000002E-2</v>
      </c>
      <c r="N45">
        <v>0.60429999999999995</v>
      </c>
      <c r="O45">
        <v>0.1099</v>
      </c>
    </row>
    <row r="46" spans="1:15" x14ac:dyDescent="0.25">
      <c r="A46" t="s">
        <v>159</v>
      </c>
      <c r="B46" t="s">
        <v>29</v>
      </c>
      <c r="C46">
        <v>31</v>
      </c>
      <c r="D46" t="s">
        <v>157</v>
      </c>
      <c r="E46">
        <v>29</v>
      </c>
      <c r="F46">
        <v>0.51290000000000002</v>
      </c>
      <c r="G46">
        <v>0.3634</v>
      </c>
      <c r="H46">
        <v>0.13170000000000001</v>
      </c>
      <c r="I46">
        <v>2.8382999999999998</v>
      </c>
      <c r="J46">
        <v>30.557600000000001</v>
      </c>
      <c r="K46">
        <v>27.7193</v>
      </c>
      <c r="L46">
        <v>0.90711639657564702</v>
      </c>
      <c r="M46">
        <v>8.3699999999999997E-2</v>
      </c>
      <c r="N46">
        <v>0.57850000000000001</v>
      </c>
      <c r="O46">
        <v>0.1426</v>
      </c>
    </row>
    <row r="47" spans="1:15" x14ac:dyDescent="0.25">
      <c r="A47" t="s">
        <v>1081</v>
      </c>
      <c r="B47" t="s">
        <v>13</v>
      </c>
      <c r="C47">
        <v>27</v>
      </c>
      <c r="D47" t="s">
        <v>157</v>
      </c>
      <c r="E47">
        <v>29</v>
      </c>
      <c r="F47">
        <v>0.43159999999999998</v>
      </c>
      <c r="G47">
        <v>0.44059999999999999</v>
      </c>
      <c r="H47">
        <v>0.1235</v>
      </c>
      <c r="I47">
        <v>2.9723999999999999</v>
      </c>
      <c r="J47">
        <v>31.793399999999998</v>
      </c>
      <c r="K47">
        <v>28.821000000000002</v>
      </c>
      <c r="L47">
        <v>0.90650889807318502</v>
      </c>
      <c r="M47">
        <v>9.1800000000000007E-2</v>
      </c>
      <c r="N47">
        <v>0.56220000000000003</v>
      </c>
      <c r="O47">
        <v>0.2036</v>
      </c>
    </row>
    <row r="48" spans="1:15" x14ac:dyDescent="0.25">
      <c r="A48" t="s">
        <v>179</v>
      </c>
      <c r="B48" t="s">
        <v>34</v>
      </c>
      <c r="C48">
        <v>35</v>
      </c>
      <c r="D48" t="s">
        <v>157</v>
      </c>
      <c r="E48">
        <v>28</v>
      </c>
      <c r="F48">
        <v>0.60370000000000001</v>
      </c>
      <c r="G48">
        <v>0.26090000000000002</v>
      </c>
      <c r="H48">
        <v>0.1195</v>
      </c>
      <c r="I48">
        <v>2.6716000000000002</v>
      </c>
      <c r="J48">
        <v>26.692900000000002</v>
      </c>
      <c r="K48">
        <v>24.0213</v>
      </c>
      <c r="L48">
        <v>0.89991346013359397</v>
      </c>
      <c r="M48">
        <v>8.2299999999999998E-2</v>
      </c>
      <c r="N48">
        <v>0.50229999999999997</v>
      </c>
      <c r="O48">
        <v>0.20469999999999999</v>
      </c>
    </row>
    <row r="49" spans="1:18" x14ac:dyDescent="0.25">
      <c r="A49" t="s">
        <v>181</v>
      </c>
      <c r="B49" t="s">
        <v>7</v>
      </c>
      <c r="C49">
        <v>29</v>
      </c>
      <c r="D49" t="s">
        <v>157</v>
      </c>
      <c r="E49">
        <v>26</v>
      </c>
      <c r="F49">
        <v>0.46779999999999999</v>
      </c>
      <c r="G49">
        <v>0.42909999999999998</v>
      </c>
      <c r="H49">
        <v>0.1026</v>
      </c>
      <c r="I49">
        <v>3.2039</v>
      </c>
      <c r="J49">
        <v>33.204700000000003</v>
      </c>
      <c r="K49">
        <v>30.000800000000002</v>
      </c>
      <c r="L49">
        <v>0.90351064758904598</v>
      </c>
      <c r="M49">
        <v>2.81E-2</v>
      </c>
      <c r="N49">
        <v>0.51049999999999995</v>
      </c>
      <c r="O49">
        <v>0.1835</v>
      </c>
    </row>
    <row r="50" spans="1:18" x14ac:dyDescent="0.25">
      <c r="A50" t="s">
        <v>168</v>
      </c>
      <c r="B50" t="s">
        <v>31</v>
      </c>
      <c r="C50">
        <v>31</v>
      </c>
      <c r="D50" t="s">
        <v>157</v>
      </c>
      <c r="E50">
        <v>25</v>
      </c>
      <c r="F50">
        <v>0.55810000000000004</v>
      </c>
      <c r="G50">
        <v>0.35489999999999999</v>
      </c>
      <c r="H50">
        <v>9.1600000000000001E-2</v>
      </c>
      <c r="I50">
        <v>2.7801999999999998</v>
      </c>
      <c r="J50">
        <v>32.301600000000001</v>
      </c>
      <c r="K50">
        <v>29.5214</v>
      </c>
      <c r="L50">
        <v>0.91392996012581396</v>
      </c>
      <c r="M50">
        <v>7.7499999999999999E-2</v>
      </c>
      <c r="N50">
        <v>0.59560000000000002</v>
      </c>
      <c r="O50">
        <v>0.1172</v>
      </c>
    </row>
    <row r="51" spans="1:18" x14ac:dyDescent="0.25">
      <c r="A51" t="s">
        <v>163</v>
      </c>
      <c r="B51" t="s">
        <v>22</v>
      </c>
      <c r="C51">
        <v>27</v>
      </c>
      <c r="D51" t="s">
        <v>157</v>
      </c>
      <c r="E51">
        <v>25</v>
      </c>
      <c r="F51">
        <v>0.54369999999999996</v>
      </c>
      <c r="G51">
        <v>0.3664</v>
      </c>
      <c r="H51">
        <v>0.13250000000000001</v>
      </c>
      <c r="I51">
        <v>3.1602000000000001</v>
      </c>
      <c r="J51">
        <v>30.4129</v>
      </c>
      <c r="K51">
        <v>27.252700000000001</v>
      </c>
      <c r="L51">
        <v>0.89609014595780101</v>
      </c>
      <c r="M51">
        <v>3.61E-2</v>
      </c>
      <c r="N51">
        <v>0.48920000000000002</v>
      </c>
      <c r="O51">
        <v>0.223</v>
      </c>
    </row>
    <row r="52" spans="1:18" x14ac:dyDescent="0.25">
      <c r="A52" t="s">
        <v>194</v>
      </c>
      <c r="B52" t="s">
        <v>16</v>
      </c>
      <c r="C52">
        <v>33</v>
      </c>
      <c r="D52" t="s">
        <v>157</v>
      </c>
      <c r="E52">
        <v>25</v>
      </c>
      <c r="F52">
        <v>0.61229999999999996</v>
      </c>
      <c r="G52">
        <v>0.25619999999999998</v>
      </c>
      <c r="H52">
        <v>0.12089999999999999</v>
      </c>
      <c r="I52">
        <v>2.9134000000000002</v>
      </c>
      <c r="J52">
        <v>30.495100000000001</v>
      </c>
      <c r="K52">
        <v>27.581700000000001</v>
      </c>
      <c r="L52">
        <v>0.90446334001200202</v>
      </c>
      <c r="M52">
        <v>7.0300000000000001E-2</v>
      </c>
      <c r="N52">
        <v>0.50819999999999999</v>
      </c>
      <c r="O52">
        <v>0.20960000000000001</v>
      </c>
    </row>
    <row r="53" spans="1:18" x14ac:dyDescent="0.25">
      <c r="A53" t="s">
        <v>1088</v>
      </c>
      <c r="B53" t="s">
        <v>34</v>
      </c>
      <c r="C53">
        <v>25</v>
      </c>
      <c r="D53" t="s">
        <v>157</v>
      </c>
      <c r="E53">
        <v>25</v>
      </c>
      <c r="F53">
        <v>0.54710000000000003</v>
      </c>
      <c r="G53">
        <v>0.33510000000000001</v>
      </c>
      <c r="H53">
        <v>0.1268</v>
      </c>
      <c r="I53">
        <v>2.4777999999999998</v>
      </c>
      <c r="J53">
        <v>27.153600000000001</v>
      </c>
      <c r="K53">
        <v>24.675799999999999</v>
      </c>
      <c r="L53">
        <v>0.90874874786400295</v>
      </c>
      <c r="M53">
        <v>0.1045</v>
      </c>
      <c r="N53">
        <v>0.56620000000000004</v>
      </c>
      <c r="O53">
        <v>0.17630000000000001</v>
      </c>
    </row>
    <row r="54" spans="1:18" x14ac:dyDescent="0.25">
      <c r="A54" t="s">
        <v>1090</v>
      </c>
      <c r="B54" t="s">
        <v>32</v>
      </c>
      <c r="C54">
        <v>25</v>
      </c>
      <c r="D54" t="s">
        <v>157</v>
      </c>
      <c r="E54">
        <v>25</v>
      </c>
      <c r="F54">
        <v>0.48930000000000001</v>
      </c>
      <c r="G54">
        <v>0.37969999999999998</v>
      </c>
      <c r="H54">
        <v>0.1216</v>
      </c>
      <c r="I54">
        <v>2.6661999999999999</v>
      </c>
      <c r="J54">
        <v>26.655200000000001</v>
      </c>
      <c r="K54">
        <v>23.989000000000001</v>
      </c>
      <c r="L54">
        <v>0.89997000000000005</v>
      </c>
      <c r="M54">
        <v>7.6399999999999996E-2</v>
      </c>
      <c r="N54">
        <v>0.54520000000000002</v>
      </c>
      <c r="O54">
        <v>0.24</v>
      </c>
      <c r="R54" s="70"/>
    </row>
    <row r="55" spans="1:18" x14ac:dyDescent="0.25">
      <c r="A55" t="s">
        <v>1078</v>
      </c>
      <c r="B55" t="s">
        <v>2</v>
      </c>
      <c r="C55">
        <v>32</v>
      </c>
      <c r="D55" t="s">
        <v>157</v>
      </c>
      <c r="E55">
        <v>24</v>
      </c>
      <c r="F55">
        <v>0.51290000000000002</v>
      </c>
      <c r="G55">
        <v>0.39319999999999999</v>
      </c>
      <c r="H55">
        <v>0.1178</v>
      </c>
      <c r="I55">
        <v>2.9575999999999998</v>
      </c>
      <c r="J55">
        <v>31.251999999999999</v>
      </c>
      <c r="K55">
        <v>28.2944</v>
      </c>
      <c r="L55">
        <v>0.90536285677716599</v>
      </c>
      <c r="M55">
        <v>5.11E-2</v>
      </c>
      <c r="N55">
        <v>0.5474</v>
      </c>
      <c r="O55">
        <v>0.17910000000000001</v>
      </c>
      <c r="R55" s="19"/>
    </row>
    <row r="56" spans="1:18" x14ac:dyDescent="0.25">
      <c r="A56" t="s">
        <v>178</v>
      </c>
      <c r="B56" t="s">
        <v>197</v>
      </c>
      <c r="C56">
        <v>32</v>
      </c>
      <c r="D56" t="s">
        <v>157</v>
      </c>
      <c r="E56">
        <v>23</v>
      </c>
      <c r="F56">
        <v>0.53539999999999999</v>
      </c>
      <c r="G56">
        <v>0.33510000000000001</v>
      </c>
      <c r="H56">
        <v>0.14119999999999999</v>
      </c>
      <c r="I56">
        <v>2.7968000000000002</v>
      </c>
      <c r="J56">
        <v>30.0105</v>
      </c>
      <c r="K56">
        <v>27.213699999999999</v>
      </c>
      <c r="L56">
        <v>0.90680595125039598</v>
      </c>
      <c r="M56">
        <v>6.5299999999999997E-2</v>
      </c>
      <c r="N56">
        <v>0.52639999999999998</v>
      </c>
      <c r="O56">
        <v>0.1</v>
      </c>
      <c r="R56" s="70"/>
    </row>
    <row r="57" spans="1:18" x14ac:dyDescent="0.25">
      <c r="A57" t="s">
        <v>171</v>
      </c>
      <c r="B57" t="s">
        <v>9</v>
      </c>
      <c r="C57">
        <v>31</v>
      </c>
      <c r="D57" t="s">
        <v>157</v>
      </c>
      <c r="E57">
        <v>23</v>
      </c>
      <c r="F57">
        <v>0.58360000000000001</v>
      </c>
      <c r="G57">
        <v>0.29620000000000002</v>
      </c>
      <c r="H57">
        <v>0.13170000000000001</v>
      </c>
      <c r="I57">
        <v>2.5333000000000001</v>
      </c>
      <c r="J57">
        <v>29.191099999999999</v>
      </c>
      <c r="K57">
        <v>26.657800000000002</v>
      </c>
      <c r="L57">
        <v>0.91321669961049801</v>
      </c>
      <c r="M57">
        <v>7.5999999999999998E-2</v>
      </c>
      <c r="N57">
        <v>0.60980000000000001</v>
      </c>
      <c r="O57">
        <v>0.1396</v>
      </c>
      <c r="R57" s="19"/>
    </row>
    <row r="58" spans="1:18" x14ac:dyDescent="0.25">
      <c r="A58" t="s">
        <v>1100</v>
      </c>
      <c r="B58" t="s">
        <v>5</v>
      </c>
      <c r="C58">
        <v>24</v>
      </c>
      <c r="D58" t="s">
        <v>157</v>
      </c>
      <c r="E58">
        <v>23</v>
      </c>
      <c r="F58">
        <v>0.37959999999999999</v>
      </c>
      <c r="G58">
        <v>0.5474</v>
      </c>
      <c r="H58">
        <v>0.10299999999999999</v>
      </c>
      <c r="I58">
        <v>3.3647</v>
      </c>
      <c r="J58">
        <v>34.374600000000001</v>
      </c>
      <c r="K58">
        <v>31.009899999999998</v>
      </c>
      <c r="L58">
        <v>0.90211667917590299</v>
      </c>
      <c r="M58">
        <v>2.8199999999999999E-2</v>
      </c>
      <c r="N58">
        <v>0.51670000000000005</v>
      </c>
      <c r="O58">
        <v>0.13170000000000001</v>
      </c>
      <c r="R58" s="70"/>
    </row>
    <row r="59" spans="1:18" x14ac:dyDescent="0.25">
      <c r="A59" t="s">
        <v>158</v>
      </c>
      <c r="B59" t="s">
        <v>1079</v>
      </c>
      <c r="C59">
        <v>29</v>
      </c>
      <c r="D59" t="s">
        <v>157</v>
      </c>
      <c r="E59">
        <v>21</v>
      </c>
      <c r="F59">
        <v>0.45350000000000001</v>
      </c>
      <c r="G59">
        <v>0.4612</v>
      </c>
      <c r="H59">
        <v>0.1211</v>
      </c>
      <c r="I59">
        <v>3.3864000000000001</v>
      </c>
      <c r="J59">
        <v>31.897300000000001</v>
      </c>
      <c r="K59">
        <v>28.510899999999999</v>
      </c>
      <c r="L59">
        <v>0.89383427437431995</v>
      </c>
      <c r="M59">
        <v>1.6E-2</v>
      </c>
      <c r="N59">
        <v>0.46789999999999998</v>
      </c>
      <c r="O59">
        <v>0.25209999999999999</v>
      </c>
    </row>
    <row r="60" spans="1:18" x14ac:dyDescent="0.25">
      <c r="A60" t="s">
        <v>162</v>
      </c>
      <c r="B60" t="s">
        <v>4</v>
      </c>
      <c r="C60">
        <v>29</v>
      </c>
      <c r="D60" t="s">
        <v>157</v>
      </c>
      <c r="E60">
        <v>20</v>
      </c>
      <c r="F60">
        <v>0.46550000000000002</v>
      </c>
      <c r="G60">
        <v>0.4516</v>
      </c>
      <c r="H60">
        <v>6.2700000000000006E-2</v>
      </c>
      <c r="I60">
        <v>3.0876000000000001</v>
      </c>
      <c r="J60">
        <v>30.618300000000001</v>
      </c>
      <c r="K60">
        <v>27.5307</v>
      </c>
      <c r="L60">
        <v>0.89915834647906601</v>
      </c>
      <c r="M60">
        <v>4.4699999999999997E-2</v>
      </c>
      <c r="N60">
        <v>0.48359999999999997</v>
      </c>
      <c r="O60">
        <v>0.23400000000000001</v>
      </c>
    </row>
    <row r="61" spans="1:18" x14ac:dyDescent="0.25">
      <c r="A61" t="s">
        <v>1247</v>
      </c>
      <c r="B61" t="s">
        <v>87</v>
      </c>
      <c r="C61">
        <v>28</v>
      </c>
      <c r="D61" t="s">
        <v>157</v>
      </c>
      <c r="E61">
        <v>20</v>
      </c>
      <c r="F61">
        <v>0.4375</v>
      </c>
      <c r="G61">
        <v>0.39129999999999998</v>
      </c>
      <c r="H61">
        <v>0.2031</v>
      </c>
      <c r="I61">
        <v>2.6166999999999998</v>
      </c>
      <c r="J61">
        <v>29.913499999999999</v>
      </c>
      <c r="K61">
        <v>27.296800000000001</v>
      </c>
      <c r="L61">
        <v>0.91252444548447997</v>
      </c>
      <c r="M61">
        <v>6.25E-2</v>
      </c>
      <c r="N61">
        <v>0.62419999999999998</v>
      </c>
      <c r="O61">
        <v>0.1275</v>
      </c>
    </row>
    <row r="62" spans="1:18" x14ac:dyDescent="0.25">
      <c r="A62" t="s">
        <v>1248</v>
      </c>
      <c r="B62" t="s">
        <v>21</v>
      </c>
      <c r="C62">
        <v>25</v>
      </c>
      <c r="D62" t="s">
        <v>157</v>
      </c>
      <c r="E62">
        <v>19</v>
      </c>
      <c r="F62">
        <v>0.27100000000000002</v>
      </c>
      <c r="G62">
        <v>0.64659999999999995</v>
      </c>
      <c r="H62">
        <v>9.4399999999999998E-2</v>
      </c>
      <c r="I62">
        <v>3.5779999999999998</v>
      </c>
      <c r="J62">
        <v>32.209600000000002</v>
      </c>
      <c r="K62">
        <v>28.631599999999999</v>
      </c>
      <c r="L62">
        <v>0.88891510605533797</v>
      </c>
      <c r="M62">
        <v>1.5800000000000002E-2</v>
      </c>
      <c r="N62">
        <v>0.42520000000000002</v>
      </c>
      <c r="O62">
        <v>0.19070000000000001</v>
      </c>
    </row>
    <row r="63" spans="1:18" x14ac:dyDescent="0.25">
      <c r="A63" t="s">
        <v>164</v>
      </c>
      <c r="B63" t="s">
        <v>1085</v>
      </c>
      <c r="C63">
        <v>24</v>
      </c>
      <c r="D63" t="s">
        <v>157</v>
      </c>
      <c r="E63">
        <v>19</v>
      </c>
      <c r="F63">
        <v>0.46339999999999998</v>
      </c>
      <c r="G63">
        <v>0.47560000000000002</v>
      </c>
      <c r="H63">
        <v>4.6699999999999998E-2</v>
      </c>
      <c r="I63">
        <v>2.9159999999999999</v>
      </c>
      <c r="J63">
        <v>28.567</v>
      </c>
      <c r="K63">
        <v>25.651</v>
      </c>
      <c r="L63">
        <v>0.89792417824762805</v>
      </c>
      <c r="M63">
        <v>1.72E-2</v>
      </c>
      <c r="N63">
        <v>0.45119999999999999</v>
      </c>
      <c r="O63">
        <v>0.26040000000000002</v>
      </c>
    </row>
    <row r="64" spans="1:18" x14ac:dyDescent="0.25">
      <c r="A64" t="s">
        <v>1082</v>
      </c>
      <c r="B64" t="s">
        <v>23</v>
      </c>
      <c r="C64">
        <v>25</v>
      </c>
      <c r="D64" t="s">
        <v>157</v>
      </c>
      <c r="E64">
        <v>17</v>
      </c>
      <c r="F64">
        <v>0.37859999999999999</v>
      </c>
      <c r="G64">
        <v>0.49270000000000003</v>
      </c>
      <c r="H64">
        <v>0.1085</v>
      </c>
      <c r="I64">
        <v>3.1669999999999998</v>
      </c>
      <c r="J64">
        <v>32.862099999999998</v>
      </c>
      <c r="K64">
        <v>29.6951</v>
      </c>
      <c r="L64">
        <v>0.90362758314289104</v>
      </c>
      <c r="M64">
        <v>1.7100000000000001E-2</v>
      </c>
      <c r="N64">
        <v>0.51859999999999995</v>
      </c>
      <c r="O64">
        <v>0.22570000000000001</v>
      </c>
    </row>
    <row r="65" spans="1:15" x14ac:dyDescent="0.25">
      <c r="A65" t="s">
        <v>187</v>
      </c>
      <c r="B65" t="s">
        <v>197</v>
      </c>
      <c r="C65">
        <v>30</v>
      </c>
      <c r="D65" t="s">
        <v>157</v>
      </c>
      <c r="E65">
        <v>16</v>
      </c>
      <c r="F65">
        <v>0.54730000000000001</v>
      </c>
      <c r="G65">
        <v>0.3841</v>
      </c>
      <c r="H65">
        <v>9.6299999999999997E-2</v>
      </c>
      <c r="I65">
        <v>3.0577999999999999</v>
      </c>
      <c r="J65">
        <v>29.449000000000002</v>
      </c>
      <c r="K65">
        <v>26.391200000000001</v>
      </c>
      <c r="L65">
        <v>0.89616625352304002</v>
      </c>
      <c r="M65">
        <v>6.3200000000000006E-2</v>
      </c>
      <c r="N65">
        <v>0.53049999999999997</v>
      </c>
      <c r="O65">
        <v>0.2056</v>
      </c>
    </row>
    <row r="66" spans="1:15" x14ac:dyDescent="0.25">
      <c r="A66" t="s">
        <v>1084</v>
      </c>
      <c r="B66" t="s">
        <v>14</v>
      </c>
      <c r="C66">
        <v>24</v>
      </c>
      <c r="D66" t="s">
        <v>157</v>
      </c>
      <c r="E66">
        <v>16</v>
      </c>
      <c r="F66">
        <v>0.53259999999999996</v>
      </c>
      <c r="G66">
        <v>0.40129999999999999</v>
      </c>
      <c r="H66">
        <v>7.2700000000000001E-2</v>
      </c>
      <c r="I66">
        <v>2.7637</v>
      </c>
      <c r="J66">
        <v>30.532699999999998</v>
      </c>
      <c r="K66">
        <v>27.768999999999998</v>
      </c>
      <c r="L66">
        <v>0.90948393034353303</v>
      </c>
      <c r="M66">
        <v>3.9E-2</v>
      </c>
      <c r="N66">
        <v>0.56859999999999999</v>
      </c>
      <c r="O66">
        <v>0.16139999999999999</v>
      </c>
    </row>
    <row r="67" spans="1:15" x14ac:dyDescent="0.25">
      <c r="A67" t="s">
        <v>1102</v>
      </c>
      <c r="B67" t="s">
        <v>165</v>
      </c>
      <c r="C67">
        <v>29</v>
      </c>
      <c r="D67" t="s">
        <v>157</v>
      </c>
      <c r="E67">
        <v>16</v>
      </c>
      <c r="F67">
        <v>0.48730000000000001</v>
      </c>
      <c r="G67">
        <v>0.35089999999999999</v>
      </c>
      <c r="H67">
        <v>0.16120000000000001</v>
      </c>
      <c r="I67">
        <v>3.4230999999999998</v>
      </c>
      <c r="J67">
        <v>31.254000000000001</v>
      </c>
      <c r="K67">
        <v>27.8309</v>
      </c>
      <c r="L67">
        <v>0.89047481922313898</v>
      </c>
      <c r="M67">
        <v>6.2799999999999995E-2</v>
      </c>
      <c r="N67">
        <v>0.47739999999999999</v>
      </c>
      <c r="O67">
        <v>0.18779999999999999</v>
      </c>
    </row>
    <row r="68" spans="1:15" x14ac:dyDescent="0.25">
      <c r="A68" t="s">
        <v>1087</v>
      </c>
      <c r="B68" t="s">
        <v>197</v>
      </c>
      <c r="C68">
        <v>33</v>
      </c>
      <c r="D68" t="s">
        <v>157</v>
      </c>
      <c r="E68">
        <v>16</v>
      </c>
      <c r="F68">
        <v>0.59140000000000004</v>
      </c>
      <c r="G68">
        <v>0.23880000000000001</v>
      </c>
      <c r="H68">
        <v>0.1208</v>
      </c>
      <c r="I68">
        <v>2.7654000000000001</v>
      </c>
      <c r="J68">
        <v>27.383099999999999</v>
      </c>
      <c r="K68">
        <v>24.617699999999999</v>
      </c>
      <c r="L68">
        <v>0.89901070368219804</v>
      </c>
      <c r="M68">
        <v>5.2600000000000001E-2</v>
      </c>
      <c r="N68">
        <v>0.52300000000000002</v>
      </c>
      <c r="O68">
        <v>0.23669999999999999</v>
      </c>
    </row>
    <row r="69" spans="1:15" x14ac:dyDescent="0.25">
      <c r="A69" t="s">
        <v>167</v>
      </c>
      <c r="B69" t="s">
        <v>31</v>
      </c>
      <c r="C69">
        <v>23</v>
      </c>
      <c r="D69" t="s">
        <v>157</v>
      </c>
      <c r="E69">
        <v>16</v>
      </c>
      <c r="F69">
        <v>0.57769999999999999</v>
      </c>
      <c r="G69">
        <v>0.37109999999999999</v>
      </c>
      <c r="H69">
        <v>0.1232</v>
      </c>
      <c r="I69">
        <v>3.0297000000000001</v>
      </c>
      <c r="J69">
        <v>32.1083</v>
      </c>
      <c r="K69">
        <v>29.078600000000002</v>
      </c>
      <c r="L69">
        <v>0.905641220494389</v>
      </c>
      <c r="M69">
        <v>6.08E-2</v>
      </c>
      <c r="N69">
        <v>0.50019999999999998</v>
      </c>
      <c r="O69">
        <v>0.18729999999999999</v>
      </c>
    </row>
    <row r="70" spans="1:15" x14ac:dyDescent="0.25">
      <c r="A70" t="s">
        <v>1249</v>
      </c>
      <c r="B70" t="s">
        <v>6</v>
      </c>
      <c r="C70">
        <v>25</v>
      </c>
      <c r="D70" t="s">
        <v>157</v>
      </c>
      <c r="E70">
        <v>15</v>
      </c>
      <c r="F70">
        <v>0.38879999999999998</v>
      </c>
      <c r="G70">
        <v>0.4637</v>
      </c>
      <c r="H70">
        <v>0.14680000000000001</v>
      </c>
      <c r="I70">
        <v>3.1240474719999973</v>
      </c>
      <c r="J70">
        <v>33.009799999999998</v>
      </c>
      <c r="K70">
        <v>29.885752528000001</v>
      </c>
      <c r="L70">
        <v>0.90536000000000005</v>
      </c>
      <c r="M70">
        <v>6.6000000000000003E-2</v>
      </c>
      <c r="N70">
        <v>0.50190000000000001</v>
      </c>
      <c r="O70">
        <v>0.23050000000000001</v>
      </c>
    </row>
    <row r="71" spans="1:15" x14ac:dyDescent="0.25">
      <c r="A71" t="s">
        <v>1086</v>
      </c>
      <c r="B71" t="s">
        <v>30</v>
      </c>
      <c r="C71">
        <v>26</v>
      </c>
      <c r="D71" t="s">
        <v>157</v>
      </c>
      <c r="E71">
        <v>15</v>
      </c>
      <c r="F71">
        <v>0.55010000000000003</v>
      </c>
      <c r="G71">
        <v>0.40899999999999997</v>
      </c>
      <c r="H71">
        <v>6.3100000000000003E-2</v>
      </c>
      <c r="I71">
        <v>2.9415</v>
      </c>
      <c r="J71">
        <v>32.121600000000001</v>
      </c>
      <c r="K71">
        <v>29.180099999999999</v>
      </c>
      <c r="L71">
        <v>0.90842610579796801</v>
      </c>
      <c r="M71">
        <v>1.9400000000000001E-2</v>
      </c>
      <c r="N71">
        <v>0.54369999999999996</v>
      </c>
      <c r="O71">
        <v>0.1585</v>
      </c>
    </row>
    <row r="72" spans="1:15" x14ac:dyDescent="0.25">
      <c r="A72" t="s">
        <v>1077</v>
      </c>
      <c r="B72" t="s">
        <v>1085</v>
      </c>
      <c r="C72">
        <v>24</v>
      </c>
      <c r="D72" t="s">
        <v>157</v>
      </c>
      <c r="E72">
        <v>14</v>
      </c>
      <c r="F72">
        <v>0.47289999999999999</v>
      </c>
      <c r="G72">
        <v>0.45850000000000002</v>
      </c>
      <c r="H72">
        <v>0.1007</v>
      </c>
      <c r="I72">
        <v>2.8717000000000001</v>
      </c>
      <c r="J72">
        <v>30.1234</v>
      </c>
      <c r="K72">
        <v>27.2517</v>
      </c>
      <c r="L72">
        <v>0.90466879568707403</v>
      </c>
      <c r="M72">
        <v>3.7199999999999997E-2</v>
      </c>
      <c r="N72">
        <v>0.49030000000000001</v>
      </c>
      <c r="O72">
        <v>0.2039</v>
      </c>
    </row>
    <row r="73" spans="1:15" x14ac:dyDescent="0.25">
      <c r="A73" t="s">
        <v>1083</v>
      </c>
      <c r="B73" t="s">
        <v>4</v>
      </c>
      <c r="C73">
        <v>23</v>
      </c>
      <c r="D73" t="s">
        <v>157</v>
      </c>
      <c r="E73">
        <v>14</v>
      </c>
      <c r="F73">
        <v>0.5131</v>
      </c>
      <c r="G73">
        <v>0.37319999999999998</v>
      </c>
      <c r="H73">
        <v>8.9700000000000002E-2</v>
      </c>
      <c r="I73">
        <v>3.0568</v>
      </c>
      <c r="J73">
        <v>31.182500000000001</v>
      </c>
      <c r="K73">
        <v>28.125699999999998</v>
      </c>
      <c r="L73">
        <v>0.90197065661829601</v>
      </c>
      <c r="M73">
        <v>2.0299999999999999E-2</v>
      </c>
      <c r="N73">
        <v>0.53</v>
      </c>
      <c r="O73">
        <v>0.1817</v>
      </c>
    </row>
    <row r="74" spans="1:15" x14ac:dyDescent="0.25">
      <c r="A74" t="s">
        <v>1250</v>
      </c>
      <c r="B74" t="s">
        <v>16</v>
      </c>
      <c r="C74">
        <v>32</v>
      </c>
      <c r="D74" t="s">
        <v>157</v>
      </c>
      <c r="E74">
        <v>10</v>
      </c>
      <c r="F74">
        <v>0.55679999999999996</v>
      </c>
      <c r="G74">
        <v>0.36870000000000003</v>
      </c>
      <c r="H74">
        <v>7.4499999999999997E-2</v>
      </c>
      <c r="I74">
        <v>2.754</v>
      </c>
      <c r="J74">
        <v>29.497499999999999</v>
      </c>
      <c r="K74">
        <v>26.743500000000001</v>
      </c>
      <c r="L74">
        <v>0.90663615560640698</v>
      </c>
      <c r="M74">
        <v>5.2299999999999999E-2</v>
      </c>
      <c r="N74">
        <v>0.52129999999999999</v>
      </c>
      <c r="O74">
        <v>0.19070000000000001</v>
      </c>
    </row>
    <row r="75" spans="1:15" x14ac:dyDescent="0.25">
      <c r="A75" t="s">
        <v>1080</v>
      </c>
      <c r="B75" t="s">
        <v>8</v>
      </c>
      <c r="C75">
        <v>30</v>
      </c>
      <c r="D75" t="s">
        <v>157</v>
      </c>
      <c r="E75">
        <v>10</v>
      </c>
      <c r="F75">
        <v>0.47960000000000003</v>
      </c>
      <c r="G75">
        <v>0.4002</v>
      </c>
      <c r="H75">
        <v>0.11849999999999999</v>
      </c>
      <c r="I75">
        <v>3.1932</v>
      </c>
      <c r="J75">
        <v>31.079499999999999</v>
      </c>
      <c r="K75">
        <v>27.886299999999999</v>
      </c>
      <c r="L75">
        <v>0.89725703437957505</v>
      </c>
      <c r="M75">
        <v>2.58E-2</v>
      </c>
      <c r="N75">
        <v>0.49930000000000002</v>
      </c>
      <c r="O75">
        <v>0.18759999999999999</v>
      </c>
    </row>
    <row r="76" spans="1:15" x14ac:dyDescent="0.25">
      <c r="A76" t="s">
        <v>1092</v>
      </c>
      <c r="B76" t="s">
        <v>22</v>
      </c>
      <c r="C76">
        <v>23</v>
      </c>
      <c r="D76" t="s">
        <v>157</v>
      </c>
      <c r="E76">
        <v>8</v>
      </c>
      <c r="F76">
        <v>0.4869</v>
      </c>
      <c r="G76">
        <v>0.4269</v>
      </c>
      <c r="H76">
        <v>8.6199999999999999E-2</v>
      </c>
      <c r="I76">
        <v>3.0941000000000001</v>
      </c>
      <c r="J76">
        <v>30.555099999999999</v>
      </c>
      <c r="K76">
        <v>27.460999999999999</v>
      </c>
      <c r="L76">
        <v>0.89873703571580499</v>
      </c>
      <c r="M76">
        <v>2.9000000000000001E-2</v>
      </c>
      <c r="N76">
        <v>0.50890000000000002</v>
      </c>
      <c r="O76">
        <v>0.15759999999999999</v>
      </c>
    </row>
    <row r="77" spans="1:15" x14ac:dyDescent="0.25">
      <c r="A77" t="s">
        <v>1251</v>
      </c>
      <c r="B77" t="s">
        <v>11</v>
      </c>
      <c r="C77">
        <v>24</v>
      </c>
      <c r="D77" t="s">
        <v>157</v>
      </c>
      <c r="E77">
        <v>7</v>
      </c>
      <c r="F77">
        <v>0.57269999999999999</v>
      </c>
      <c r="G77">
        <v>0.3669</v>
      </c>
      <c r="H77">
        <v>9.5200000000000007E-2</v>
      </c>
      <c r="I77">
        <v>2.7202999999999999</v>
      </c>
      <c r="J77">
        <v>31.9038</v>
      </c>
      <c r="K77">
        <v>29.183499999999999</v>
      </c>
      <c r="L77">
        <v>0.91473429497426595</v>
      </c>
      <c r="M77">
        <v>0.1018</v>
      </c>
      <c r="N77">
        <v>0.59699999999999998</v>
      </c>
      <c r="O77">
        <v>0.1043</v>
      </c>
    </row>
    <row r="78" spans="1:15" x14ac:dyDescent="0.25">
      <c r="A78" t="s">
        <v>1252</v>
      </c>
      <c r="B78" t="s">
        <v>32</v>
      </c>
      <c r="C78">
        <v>28</v>
      </c>
      <c r="D78" t="s">
        <v>157</v>
      </c>
      <c r="E78">
        <v>6</v>
      </c>
      <c r="F78">
        <v>0.3609</v>
      </c>
      <c r="G78">
        <v>0.50160000000000005</v>
      </c>
      <c r="H78">
        <v>0.13600000000000001</v>
      </c>
      <c r="I78">
        <v>3.3159999999999998</v>
      </c>
      <c r="J78">
        <v>31.319500000000001</v>
      </c>
      <c r="K78">
        <v>28.003499999999999</v>
      </c>
      <c r="L78">
        <v>0.89412346940404497</v>
      </c>
      <c r="M78">
        <v>2.69E-2</v>
      </c>
      <c r="N78">
        <v>0.43309999999999998</v>
      </c>
      <c r="O78">
        <v>0.2006</v>
      </c>
    </row>
    <row r="79" spans="1:15" x14ac:dyDescent="0.25">
      <c r="A79" t="s">
        <v>1253</v>
      </c>
      <c r="F79">
        <v>0.49760795454545464</v>
      </c>
      <c r="G79">
        <v>0.39516477272727274</v>
      </c>
      <c r="H79">
        <v>0.10990340909090907</v>
      </c>
      <c r="I79">
        <v>2.9615914485454549</v>
      </c>
      <c r="J79">
        <v>30.842345454545455</v>
      </c>
      <c r="K79">
        <v>27.880754006000007</v>
      </c>
      <c r="L79">
        <v>0.90402818027123</v>
      </c>
      <c r="M79">
        <v>4.9671590909090922E-2</v>
      </c>
      <c r="N79">
        <v>0.53013181818181832</v>
      </c>
      <c r="O79">
        <v>0.18102727272727276</v>
      </c>
    </row>
    <row r="81" spans="6:15" x14ac:dyDescent="0.25">
      <c r="F81">
        <f t="shared" ref="F81:O81" si="0">AVERAGE(F2:F79)</f>
        <v>0.50202702505827512</v>
      </c>
      <c r="G81">
        <f t="shared" si="0"/>
        <v>0.38927262529137524</v>
      </c>
      <c r="H81">
        <f t="shared" si="0"/>
        <v>0.10998209498834499</v>
      </c>
      <c r="I81">
        <f t="shared" si="0"/>
        <v>2.9228970999596084</v>
      </c>
      <c r="J81">
        <f t="shared" si="0"/>
        <v>30.678523659673658</v>
      </c>
      <c r="K81">
        <f t="shared" si="0"/>
        <v>27.755626559714049</v>
      </c>
      <c r="L81">
        <f t="shared" si="0"/>
        <v>0.90478106659752944</v>
      </c>
      <c r="M81">
        <f t="shared" si="0"/>
        <v>5.1630405011655008E-2</v>
      </c>
      <c r="N81">
        <f t="shared" si="0"/>
        <v>0.53645810023310025</v>
      </c>
      <c r="O81">
        <f t="shared" si="0"/>
        <v>0.17799778554778556</v>
      </c>
    </row>
  </sheetData>
  <phoneticPr fontId="18"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3D09-BA79-4CFA-907F-6AEA91BE3CD3}">
  <sheetPr codeName="Sheet17"/>
  <dimension ref="A1:Q85"/>
  <sheetViews>
    <sheetView topLeftCell="A11" workbookViewId="0">
      <selection activeCell="A79" sqref="A79:XFD84"/>
    </sheetView>
  </sheetViews>
  <sheetFormatPr defaultRowHeight="15" x14ac:dyDescent="0.25"/>
  <cols>
    <col min="1" max="1" width="20.7109375" bestFit="1" customWidth="1"/>
    <col min="6" max="9" width="9.28515625" bestFit="1" customWidth="1"/>
    <col min="10" max="11" width="9.5703125" bestFit="1" customWidth="1"/>
    <col min="12" max="14" width="9.28515625" bestFit="1" customWidth="1"/>
  </cols>
  <sheetData>
    <row r="1" spans="1:17" x14ac:dyDescent="0.25">
      <c r="A1" t="s">
        <v>226</v>
      </c>
      <c r="B1" t="s">
        <v>225</v>
      </c>
      <c r="C1" t="s">
        <v>224</v>
      </c>
      <c r="D1" t="s">
        <v>223</v>
      </c>
      <c r="E1" t="s">
        <v>1</v>
      </c>
      <c r="F1" t="s">
        <v>237</v>
      </c>
      <c r="G1" t="s">
        <v>236</v>
      </c>
      <c r="H1" t="s">
        <v>235</v>
      </c>
      <c r="I1" t="s">
        <v>234</v>
      </c>
      <c r="J1" t="s">
        <v>233</v>
      </c>
      <c r="K1" t="s">
        <v>232</v>
      </c>
      <c r="L1" t="s">
        <v>231</v>
      </c>
      <c r="M1" t="s">
        <v>230</v>
      </c>
      <c r="N1" t="s">
        <v>229</v>
      </c>
      <c r="O1" t="s">
        <v>123</v>
      </c>
      <c r="P1" t="s">
        <v>151</v>
      </c>
      <c r="Q1" t="s">
        <v>149</v>
      </c>
    </row>
    <row r="2" spans="1:17" x14ac:dyDescent="0.25">
      <c r="A2" t="s">
        <v>174</v>
      </c>
      <c r="B2" t="s">
        <v>4</v>
      </c>
      <c r="C2">
        <v>22</v>
      </c>
      <c r="D2" t="s">
        <v>157</v>
      </c>
      <c r="E2">
        <v>14</v>
      </c>
      <c r="F2" s="9">
        <f>(INDEX(Goalie[],MATCH(G_Std[[#This Row],[player]],Goalie[player],0),6)-F$80)/F$81</f>
        <v>0.44338361315616204</v>
      </c>
      <c r="G2" s="9">
        <f>(INDEX(Goalie[],MATCH(G_Std[[#This Row],[player]],Goalie[player],0),7)-G$80)/G$81</f>
        <v>0.22812630731330671</v>
      </c>
      <c r="H2" s="9">
        <f>(INDEX(Goalie[],MATCH(G_Std[[#This Row],[player]],Goalie[player],0),8)-H$80)/H$81</f>
        <v>-0.79949736408249661</v>
      </c>
      <c r="I2" s="9">
        <f>(INDEX(Goalie[],MATCH(G_Std[[#This Row],[player]],Goalie[player],0),9)-I$80)/I$81</f>
        <v>9.1455661592536597E-2</v>
      </c>
      <c r="J2" s="9">
        <f>(INDEX(Goalie[],MATCH(G_Std[[#This Row],[player]],Goalie[player],0),10)-J$80)/J$81</f>
        <v>0.16508472456912809</v>
      </c>
      <c r="K2" s="9">
        <f>(INDEX(Goalie[],MATCH(G_Std[[#This Row],[player]],Goalie[player],0),11)-K$80)/K$81</f>
        <v>0.17282933079777882</v>
      </c>
      <c r="L2" s="9">
        <f>(INDEX(Goalie[],MATCH(G_Std[[#This Row],[player]],Goalie[player],0),12)-L$80)/L$81</f>
        <v>0.63558053140490056</v>
      </c>
      <c r="M2" s="9">
        <f>-1*(INDEX(Goalie[],MATCH(G_Std[[#This Row],[player]],Goalie[player],0),13)-M$80)/M$81</f>
        <v>1.052896856075618</v>
      </c>
      <c r="N2" s="9">
        <f>(INDEX(Goalie[],MATCH(G_Std[[#This Row],[player]],Goalie[player],0),14)-N$80)/N$81</f>
        <v>0.12673800598961441</v>
      </c>
      <c r="O2" s="10">
        <f>(G_Std[[#This Row],[W]]+G_Std[[#This Row],[SV]]+G_Std[[#This Row],[SV%]]+G_Std[[#This Row],[GAA]])*100</f>
        <v>230.46903314344593</v>
      </c>
      <c r="P2" s="10">
        <f>_xlfn.RANK.EQ(G_Std[[#This Row],[VAA]],G_Std[VAA])</f>
        <v>20</v>
      </c>
      <c r="Q2" s="10">
        <f>G_Std[[#This Row],[VAA]]-_xlfn.XLOOKUP($B$85,G_Std[Value Rk],G_Std[VAA],,-1)</f>
        <v>102.86260650437579</v>
      </c>
    </row>
    <row r="3" spans="1:17" x14ac:dyDescent="0.25">
      <c r="A3" t="s">
        <v>1077</v>
      </c>
      <c r="B3" t="s">
        <v>21</v>
      </c>
      <c r="C3">
        <v>24</v>
      </c>
      <c r="D3" t="s">
        <v>157</v>
      </c>
      <c r="E3">
        <v>14</v>
      </c>
      <c r="F3" s="9">
        <f>(INDEX(Goalie[],MATCH(G_Std[[#This Row],[player]],Goalie[player],0),6)-F$80)/F$81</f>
        <v>-1.5579582820900995</v>
      </c>
      <c r="G3" s="9">
        <f>(INDEX(Goalie[],MATCH(G_Std[[#This Row],[player]],Goalie[player],0),7)-G$80)/G$81</f>
        <v>-1.7160386747403238</v>
      </c>
      <c r="H3" s="9">
        <f>(INDEX(Goalie[],MATCH(G_Std[[#This Row],[player]],Goalie[player],0),8)-H$80)/H$81</f>
        <v>-1.6383677305417279</v>
      </c>
      <c r="I3" s="9">
        <f>(INDEX(Goalie[],MATCH(G_Std[[#This Row],[player]],Goalie[player],0),9)-I$80)/I$81</f>
        <v>-2.0263650982117847</v>
      </c>
      <c r="J3" s="9">
        <f>(INDEX(Goalie[],MATCH(G_Std[[#This Row],[player]],Goalie[player],0),10)-J$80)/J$81</f>
        <v>-1.9020549506505346</v>
      </c>
      <c r="K3" s="9">
        <f>(INDEX(Goalie[],MATCH(G_Std[[#This Row],[player]],Goalie[player],0),11)-K$80)/K$81</f>
        <v>-1.8859032371741775</v>
      </c>
      <c r="L3" s="9">
        <f>(INDEX(Goalie[],MATCH(G_Std[[#This Row],[player]],Goalie[player],0),12)-L$80)/L$81</f>
        <v>0.18103222566327892</v>
      </c>
      <c r="M3" s="9">
        <f>-1*(INDEX(Goalie[],MATCH(G_Std[[#This Row],[player]],Goalie[player],0),13)-M$80)/M$81</f>
        <v>0.18926907532651022</v>
      </c>
      <c r="N3" s="9">
        <f>(INDEX(Goalie[],MATCH(G_Std[[#This Row],[player]],Goalie[player],0),14)-N$80)/N$81</f>
        <v>-1.3230793613856753</v>
      </c>
      <c r="O3" s="10">
        <f>(G_Std[[#This Row],[W]]+G_Std[[#This Row],[SV]]+G_Std[[#This Row],[SV%]]+G_Std[[#This Row],[GAA]])*100</f>
        <v>-307.35602182744879</v>
      </c>
      <c r="P3" s="10">
        <f>_xlfn.RANK.EQ(G_Std[[#This Row],[VAA]],G_Std[VAA])</f>
        <v>64</v>
      </c>
      <c r="Q3" s="10">
        <f>G_Std[[#This Row],[VAA]]-_xlfn.XLOOKUP($B$85,G_Std[Value Rk],G_Std[VAA],,-1)</f>
        <v>-434.96244846651894</v>
      </c>
    </row>
    <row r="4" spans="1:17" x14ac:dyDescent="0.25">
      <c r="A4" t="s">
        <v>182</v>
      </c>
      <c r="B4" t="s">
        <v>14</v>
      </c>
      <c r="C4">
        <v>23</v>
      </c>
      <c r="D4" t="s">
        <v>157</v>
      </c>
      <c r="E4">
        <v>14</v>
      </c>
      <c r="F4" s="9">
        <f>(INDEX(Goalie[],MATCH(G_Std[[#This Row],[player]],Goalie[player],0),6)-F$80)/F$81</f>
        <v>1.6206435515363158</v>
      </c>
      <c r="G4" s="9">
        <f>(INDEX(Goalie[],MATCH(G_Std[[#This Row],[player]],Goalie[player],0),7)-G$80)/G$81</f>
        <v>0.4673020761625401</v>
      </c>
      <c r="H4" s="9">
        <f>(INDEX(Goalie[],MATCH(G_Std[[#This Row],[player]],Goalie[player],0),8)-H$80)/H$81</f>
        <v>0.44579619502160206</v>
      </c>
      <c r="I4" s="9">
        <f>(INDEX(Goalie[],MATCH(G_Std[[#This Row],[player]],Goalie[player],0),9)-I$80)/I$81</f>
        <v>1.321840127521003</v>
      </c>
      <c r="J4" s="9">
        <f>(INDEX(Goalie[],MATCH(G_Std[[#This Row],[player]],Goalie[player],0),10)-J$80)/J$81</f>
        <v>1.1564616021127594</v>
      </c>
      <c r="K4" s="9">
        <f>(INDEX(Goalie[],MATCH(G_Std[[#This Row],[player]],Goalie[player],0),11)-K$80)/K$81</f>
        <v>1.1388499973076969</v>
      </c>
      <c r="L4" s="9">
        <f>(INDEX(Goalie[],MATCH(G_Std[[#This Row],[player]],Goalie[player],0),12)-L$80)/L$81</f>
        <v>2.9516123749405047E-2</v>
      </c>
      <c r="M4" s="9">
        <f>-1*(INDEX(Goalie[],MATCH(G_Std[[#This Row],[player]],Goalie[player],0),13)-M$80)/M$81</f>
        <v>0.33320703878469482</v>
      </c>
      <c r="N4" s="9">
        <f>(INDEX(Goalie[],MATCH(G_Std[[#This Row],[player]],Goalie[player],0),14)-N$80)/N$81</f>
        <v>0.84288594492179258</v>
      </c>
      <c r="O4" s="10">
        <f>(G_Std[[#This Row],[W]]+G_Std[[#This Row],[SV]]+G_Std[[#This Row],[SV%]]+G_Std[[#This Row],[GAA]])*100</f>
        <v>312.22167113781126</v>
      </c>
      <c r="P4" s="10">
        <f>_xlfn.RANK.EQ(G_Std[[#This Row],[VAA]],G_Std[VAA])</f>
        <v>16</v>
      </c>
      <c r="Q4" s="10">
        <f>G_Std[[#This Row],[VAA]]-_xlfn.XLOOKUP($B$85,G_Std[Value Rk],G_Std[VAA],,-1)</f>
        <v>184.61524449874111</v>
      </c>
    </row>
    <row r="5" spans="1:17" x14ac:dyDescent="0.25">
      <c r="A5" t="s">
        <v>1078</v>
      </c>
      <c r="B5" t="s">
        <v>30</v>
      </c>
      <c r="C5">
        <v>25</v>
      </c>
      <c r="D5" t="s">
        <v>157</v>
      </c>
      <c r="E5">
        <v>14</v>
      </c>
      <c r="F5" s="9">
        <f>(INDEX(Goalie[],MATCH(G_Std[[#This Row],[player]],Goalie[player],0),6)-F$80)/F$81</f>
        <v>-0.38069834370994571</v>
      </c>
      <c r="G5" s="9">
        <f>(INDEX(Goalie[],MATCH(G_Std[[#This Row],[player]],Goalie[player],0),7)-G$80)/G$81</f>
        <v>-0.3349556597084325</v>
      </c>
      <c r="H5" s="9">
        <f>(INDEX(Goalie[],MATCH(G_Std[[#This Row],[player]],Goalie[player],0),8)-H$80)/H$81</f>
        <v>-0.18344294259218921</v>
      </c>
      <c r="I5" s="9">
        <f>(INDEX(Goalie[],MATCH(G_Std[[#This Row],[player]],Goalie[player],0),9)-I$80)/I$81</f>
        <v>-0.36786473130260833</v>
      </c>
      <c r="J5" s="9">
        <f>(INDEX(Goalie[],MATCH(G_Std[[#This Row],[player]],Goalie[player],0),10)-J$80)/J$81</f>
        <v>-0.36665423654378171</v>
      </c>
      <c r="K5" s="9">
        <f>(INDEX(Goalie[],MATCH(G_Std[[#This Row],[player]],Goalie[player],0),11)-K$80)/K$81</f>
        <v>-0.36560841774873282</v>
      </c>
      <c r="L5" s="9">
        <f>(INDEX(Goalie[],MATCH(G_Std[[#This Row],[player]],Goalie[player],0),12)-L$80)/L$81</f>
        <v>0.18103222566327892</v>
      </c>
      <c r="M5" s="9">
        <f>-1*(INDEX(Goalie[],MATCH(G_Std[[#This Row],[player]],Goalie[player],0),13)-M$80)/M$81</f>
        <v>-0.13459134245440441</v>
      </c>
      <c r="N5" s="9">
        <f>(INDEX(Goalie[],MATCH(G_Std[[#This Row],[player]],Goalie[player],0),14)-N$80)/N$81</f>
        <v>-0.32590047304283692</v>
      </c>
      <c r="O5" s="10">
        <f>(G_Std[[#This Row],[W]]+G_Std[[#This Row],[SV]]+G_Std[[#This Row],[SV%]]+G_Std[[#This Row],[GAA]])*100</f>
        <v>-69.98658782498039</v>
      </c>
      <c r="P5" s="10">
        <f>_xlfn.RANK.EQ(G_Std[[#This Row],[VAA]],G_Std[VAA])</f>
        <v>41</v>
      </c>
      <c r="Q5" s="10">
        <f>G_Std[[#This Row],[VAA]]-_xlfn.XLOOKUP($B$85,G_Std[Value Rk],G_Std[VAA],,-1)</f>
        <v>-197.59301446405053</v>
      </c>
    </row>
    <row r="6" spans="1:17" x14ac:dyDescent="0.25">
      <c r="A6" t="s">
        <v>188</v>
      </c>
      <c r="B6" t="s">
        <v>32</v>
      </c>
      <c r="C6">
        <v>24</v>
      </c>
      <c r="D6" t="s">
        <v>157</v>
      </c>
      <c r="E6">
        <v>15</v>
      </c>
      <c r="F6" s="9">
        <f>(INDEX(Goalie[],MATCH(G_Std[[#This Row],[player]],Goalie[player],0),6)-F$80)/F$81</f>
        <v>-0.38069834370994571</v>
      </c>
      <c r="G6" s="9">
        <f>(INDEX(Goalie[],MATCH(G_Std[[#This Row],[player]],Goalie[player],0),7)-G$80)/G$81</f>
        <v>-0.25819264869404029</v>
      </c>
      <c r="H6" s="9">
        <f>(INDEX(Goalie[],MATCH(G_Std[[#This Row],[player]],Goalie[player],0),8)-H$80)/H$81</f>
        <v>1.0783171178713695</v>
      </c>
      <c r="I6" s="9">
        <f>(INDEX(Goalie[],MATCH(G_Std[[#This Row],[player]],Goalie[player],0),9)-I$80)/I$81</f>
        <v>0.14155806473812024</v>
      </c>
      <c r="J6" s="9">
        <f>(INDEX(Goalie[],MATCH(G_Std[[#This Row],[player]],Goalie[player],0),10)-J$80)/J$81</f>
        <v>-6.5693429706865482E-3</v>
      </c>
      <c r="K6" s="9">
        <f>(INDEX(Goalie[],MATCH(G_Std[[#This Row],[player]],Goalie[player],0),11)-K$80)/K$81</f>
        <v>-1.9846922358570933E-2</v>
      </c>
      <c r="L6" s="9">
        <f>(INDEX(Goalie[],MATCH(G_Std[[#This Row],[player]],Goalie[player],0),12)-L$80)/L$81</f>
        <v>-0.42503218199221654</v>
      </c>
      <c r="M6" s="9">
        <f>-1*(INDEX(Goalie[],MATCH(G_Std[[#This Row],[player]],Goalie[player],0),13)-M$80)/M$81</f>
        <v>-1.1781415775262423</v>
      </c>
      <c r="N6" s="9">
        <f>(INDEX(Goalie[],MATCH(G_Std[[#This Row],[player]],Goalie[player],0),14)-N$80)/N$81</f>
        <v>-0.22824393591572165</v>
      </c>
      <c r="O6" s="10">
        <f>(G_Std[[#This Row],[W]]+G_Std[[#This Row],[SV]]+G_Std[[#This Row],[SV%]]+G_Std[[#This Row],[GAA]])*100</f>
        <v>-200.37190255869754</v>
      </c>
      <c r="P6" s="10">
        <f>_xlfn.RANK.EQ(G_Std[[#This Row],[VAA]],G_Std[VAA])</f>
        <v>55</v>
      </c>
      <c r="Q6" s="10">
        <f>G_Std[[#This Row],[VAA]]-_xlfn.XLOOKUP($B$85,G_Std[Value Rk],G_Std[VAA],,-1)</f>
        <v>-327.97832919776766</v>
      </c>
    </row>
    <row r="7" spans="1:17" x14ac:dyDescent="0.25">
      <c r="A7" t="s">
        <v>210</v>
      </c>
      <c r="B7" t="s">
        <v>21</v>
      </c>
      <c r="C7">
        <v>24</v>
      </c>
      <c r="D7" t="s">
        <v>157</v>
      </c>
      <c r="E7">
        <v>16</v>
      </c>
      <c r="F7" s="9">
        <f>(INDEX(Goalie[],MATCH(G_Std[[#This Row],[player]],Goalie[player],0),6)-F$80)/F$81</f>
        <v>1.8560955392123466</v>
      </c>
      <c r="G7" s="9">
        <f>(INDEX(Goalie[],MATCH(G_Std[[#This Row],[player]],Goalie[player],0),7)-G$80)/G$81</f>
        <v>1.2982118740289053</v>
      </c>
      <c r="H7" s="9">
        <f>(INDEX(Goalie[],MATCH(G_Std[[#This Row],[player]],Goalie[player],0),8)-H$80)/H$81</f>
        <v>-3.4208077124630747E-2</v>
      </c>
      <c r="I7" s="9">
        <f>(INDEX(Goalie[],MATCH(G_Std[[#This Row],[player]],Goalie[player],0),9)-I$80)/I$81</f>
        <v>1.4907357182009127</v>
      </c>
      <c r="J7" s="9">
        <f>(INDEX(Goalie[],MATCH(G_Std[[#This Row],[player]],Goalie[player],0),10)-J$80)/J$81</f>
        <v>1.5344942419537559</v>
      </c>
      <c r="K7" s="9">
        <f>(INDEX(Goalie[],MATCH(G_Std[[#This Row],[player]],Goalie[player],0),11)-K$80)/K$81</f>
        <v>1.5347601065330729</v>
      </c>
      <c r="L7" s="9">
        <f>(INDEX(Goalie[],MATCH(G_Std[[#This Row],[player]],Goalie[player],0),12)-L$80)/L$81</f>
        <v>0.63558053140490056</v>
      </c>
      <c r="M7" s="9">
        <f>-1*(INDEX(Goalie[],MATCH(G_Std[[#This Row],[player]],Goalie[player],0),13)-M$80)/M$81</f>
        <v>0.83698991088834107</v>
      </c>
      <c r="N7" s="9">
        <f>(INDEX(Goalie[],MATCH(G_Std[[#This Row],[player]],Goalie[player],0),14)-N$80)/N$81</f>
        <v>0.61407590542607149</v>
      </c>
      <c r="O7" s="10">
        <f>(G_Std[[#This Row],[W]]+G_Std[[#This Row],[SV]]+G_Std[[#This Row],[SV%]]+G_Std[[#This Row],[GAA]])*100</f>
        <v>486.34260880386603</v>
      </c>
      <c r="P7" s="10">
        <f>_xlfn.RANK.EQ(G_Std[[#This Row],[VAA]],G_Std[VAA])</f>
        <v>9</v>
      </c>
      <c r="Q7" s="10">
        <f>G_Std[[#This Row],[VAA]]-_xlfn.XLOOKUP($B$85,G_Std[Value Rk],G_Std[VAA],,-1)</f>
        <v>358.73618216479588</v>
      </c>
    </row>
    <row r="8" spans="1:17" x14ac:dyDescent="0.25">
      <c r="A8" t="s">
        <v>168</v>
      </c>
      <c r="B8" t="s">
        <v>1085</v>
      </c>
      <c r="C8">
        <v>23</v>
      </c>
      <c r="D8" t="s">
        <v>157</v>
      </c>
      <c r="E8">
        <v>17</v>
      </c>
      <c r="F8" s="9">
        <f>(INDEX(Goalie[],MATCH(G_Std[[#This Row],[player]],Goalie[player],0),6)-F$80)/F$81</f>
        <v>0.20793162548013125</v>
      </c>
      <c r="G8" s="9">
        <f>(INDEX(Goalie[],MATCH(G_Std[[#This Row],[player]],Goalie[player],0),7)-G$80)/G$81</f>
        <v>-0.21515709835737876</v>
      </c>
      <c r="H8" s="9">
        <f>(INDEX(Goalie[],MATCH(G_Std[[#This Row],[player]],Goalie[player],0),8)-H$80)/H$81</f>
        <v>-0.3722895316097789</v>
      </c>
      <c r="I8" s="9">
        <f>(INDEX(Goalie[],MATCH(G_Std[[#This Row],[player]],Goalie[player],0),9)-I$80)/I$81</f>
        <v>-0.13077028782201622</v>
      </c>
      <c r="J8" s="9">
        <f>(INDEX(Goalie[],MATCH(G_Std[[#This Row],[player]],Goalie[player],0),10)-J$80)/J$81</f>
        <v>9.9028756481408214E-2</v>
      </c>
      <c r="K8" s="9">
        <f>(INDEX(Goalie[],MATCH(G_Std[[#This Row],[player]],Goalie[player],0),11)-K$80)/K$81</f>
        <v>0.12004131623439533</v>
      </c>
      <c r="L8" s="9">
        <f>(INDEX(Goalie[],MATCH(G_Std[[#This Row],[player]],Goalie[player],0),12)-L$80)/L$81</f>
        <v>1.3931610409742698</v>
      </c>
      <c r="M8" s="9">
        <f>-1*(INDEX(Goalie[],MATCH(G_Std[[#This Row],[player]],Goalie[player],0),13)-M$80)/M$81</f>
        <v>0.51312949310742639</v>
      </c>
      <c r="N8" s="9">
        <f>(INDEX(Goalie[],MATCH(G_Std[[#This Row],[player]],Goalie[player],0),14)-N$80)/N$81</f>
        <v>0.68716800137609324</v>
      </c>
      <c r="O8" s="10">
        <f>(G_Std[[#This Row],[W]]+G_Std[[#This Row],[SV]]+G_Std[[#This Row],[SV%]]+G_Std[[#This Row],[GAA]])*100</f>
        <v>223.42634757962227</v>
      </c>
      <c r="P8" s="10">
        <f>_xlfn.RANK.EQ(G_Std[[#This Row],[VAA]],G_Std[VAA])</f>
        <v>21</v>
      </c>
      <c r="Q8" s="10">
        <f>G_Std[[#This Row],[VAA]]-_xlfn.XLOOKUP($B$85,G_Std[Value Rk],G_Std[VAA],,-1)</f>
        <v>95.819920940552137</v>
      </c>
    </row>
    <row r="9" spans="1:17" x14ac:dyDescent="0.25">
      <c r="A9" t="s">
        <v>177</v>
      </c>
      <c r="B9" t="s">
        <v>31</v>
      </c>
      <c r="C9">
        <v>31</v>
      </c>
      <c r="D9" t="s">
        <v>157</v>
      </c>
      <c r="E9">
        <v>17</v>
      </c>
      <c r="F9" s="9">
        <f>(INDEX(Goalie[],MATCH(G_Std[[#This Row],[player]],Goalie[player],0),6)-F$80)/F$81</f>
        <v>-0.38069834370994571</v>
      </c>
      <c r="G9" s="9">
        <f>(INDEX(Goalie[],MATCH(G_Std[[#This Row],[player]],Goalie[player],0),7)-G$80)/G$81</f>
        <v>-0.24991879121943539</v>
      </c>
      <c r="H9" s="9">
        <f>(INDEX(Goalie[],MATCH(G_Std[[#This Row],[player]],Goalie[player],0),8)-H$80)/H$81</f>
        <v>-1.0988882978908703</v>
      </c>
      <c r="I9" s="9">
        <f>(INDEX(Goalie[],MATCH(G_Std[[#This Row],[player]],Goalie[player],0),9)-I$80)/I$81</f>
        <v>-0.39165984912948648</v>
      </c>
      <c r="J9" s="9">
        <f>(INDEX(Goalie[],MATCH(G_Std[[#This Row],[player]],Goalie[player],0),10)-J$80)/J$81</f>
        <v>-0.39516041739519614</v>
      </c>
      <c r="K9" s="9">
        <f>(INDEX(Goalie[],MATCH(G_Std[[#This Row],[player]],Goalie[player],0),11)-K$80)/K$81</f>
        <v>-0.39464182575859375</v>
      </c>
      <c r="L9" s="9">
        <f>(INDEX(Goalie[],MATCH(G_Std[[#This Row],[player]],Goalie[player],0),12)-L$80)/L$81</f>
        <v>2.9516123749405047E-2</v>
      </c>
      <c r="M9" s="9">
        <f>-1*(INDEX(Goalie[],MATCH(G_Std[[#This Row],[player]],Goalie[player],0),13)-M$80)/M$81</f>
        <v>-2.6637869860766741E-2</v>
      </c>
      <c r="N9" s="9">
        <f>(INDEX(Goalie[],MATCH(G_Std[[#This Row],[player]],Goalie[player],0),14)-N$80)/N$81</f>
        <v>-0.27952005963154192</v>
      </c>
      <c r="O9" s="10">
        <f>(G_Std[[#This Row],[W]]+G_Std[[#This Row],[SV]]+G_Std[[#This Row],[SV%]]+G_Std[[#This Row],[GAA]])*100</f>
        <v>-77.246191557990116</v>
      </c>
      <c r="P9" s="10">
        <f>_xlfn.RANK.EQ(G_Std[[#This Row],[VAA]],G_Std[VAA])</f>
        <v>42</v>
      </c>
      <c r="Q9" s="10">
        <f>G_Std[[#This Row],[VAA]]-_xlfn.XLOOKUP($B$85,G_Std[Value Rk],G_Std[VAA],,-1)</f>
        <v>-204.85261819706025</v>
      </c>
    </row>
    <row r="10" spans="1:17" x14ac:dyDescent="0.25">
      <c r="A10" t="s">
        <v>179</v>
      </c>
      <c r="B10" t="s">
        <v>1085</v>
      </c>
      <c r="C10">
        <v>23</v>
      </c>
      <c r="D10" t="s">
        <v>157</v>
      </c>
      <c r="E10">
        <v>17</v>
      </c>
      <c r="F10" s="9">
        <f>(INDEX(Goalie[],MATCH(G_Std[[#This Row],[player]],Goalie[player],0),6)-F$80)/F$81</f>
        <v>-0.14524635603391492</v>
      </c>
      <c r="G10" s="9">
        <f>(INDEX(Goalie[],MATCH(G_Std[[#This Row],[player]],Goalie[player],0),7)-G$80)/G$81</f>
        <v>-1.1950537881102095</v>
      </c>
      <c r="H10" s="9">
        <f>(INDEX(Goalie[],MATCH(G_Std[[#This Row],[player]],Goalie[player],0),8)-H$80)/H$81</f>
        <v>-0.29168428019983206</v>
      </c>
      <c r="I10" s="9">
        <f>(INDEX(Goalie[],MATCH(G_Std[[#This Row],[player]],Goalie[player],0),9)-I$80)/I$81</f>
        <v>-0.75265472494627095</v>
      </c>
      <c r="J10" s="9">
        <f>(INDEX(Goalie[],MATCH(G_Std[[#This Row],[player]],Goalie[player],0),10)-J$80)/J$81</f>
        <v>-0.82549130640055812</v>
      </c>
      <c r="K10" s="9">
        <f>(INDEX(Goalie[],MATCH(G_Std[[#This Row],[player]],Goalie[player],0),11)-K$80)/K$81</f>
        <v>-0.83014294590650761</v>
      </c>
      <c r="L10" s="9">
        <f>(INDEX(Goalie[],MATCH(G_Std[[#This Row],[player]],Goalie[player],0),12)-L$80)/L$81</f>
        <v>-0.72806438581996435</v>
      </c>
      <c r="M10" s="9">
        <f>-1*(INDEX(Goalie[],MATCH(G_Std[[#This Row],[player]],Goalie[player],0),13)-M$80)/M$81</f>
        <v>0.90895889261743334</v>
      </c>
      <c r="N10" s="9">
        <f>(INDEX(Goalie[],MATCH(G_Std[[#This Row],[player]],Goalie[player],0),14)-N$80)/N$81</f>
        <v>0.33665232150295588</v>
      </c>
      <c r="O10" s="10">
        <f>(G_Std[[#This Row],[W]]+G_Std[[#This Row],[SV]]+G_Std[[#This Row],[SV%]]+G_Std[[#This Row],[GAA]])*100</f>
        <v>-79.449479514295362</v>
      </c>
      <c r="P10" s="10">
        <f>_xlfn.RANK.EQ(G_Std[[#This Row],[VAA]],G_Std[VAA])</f>
        <v>43</v>
      </c>
      <c r="Q10" s="10">
        <f>G_Std[[#This Row],[VAA]]-_xlfn.XLOOKUP($B$85,G_Std[Value Rk],G_Std[VAA],,-1)</f>
        <v>-207.0559061533655</v>
      </c>
    </row>
    <row r="11" spans="1:17" x14ac:dyDescent="0.25">
      <c r="A11" t="s">
        <v>1248</v>
      </c>
      <c r="B11" t="s">
        <v>23</v>
      </c>
      <c r="C11">
        <v>24</v>
      </c>
      <c r="D11" t="s">
        <v>157</v>
      </c>
      <c r="E11">
        <v>18</v>
      </c>
      <c r="F11" s="9">
        <f>(INDEX(Goalie[],MATCH(G_Std[[#This Row],[player]],Goalie[player],0),6)-F$80)/F$81</f>
        <v>-1.9111362636041458</v>
      </c>
      <c r="G11" s="9">
        <f>(INDEX(Goalie[],MATCH(G_Std[[#This Row],[player]],Goalie[player],0),7)-G$80)/G$81</f>
        <v>-1.7273003140807583</v>
      </c>
      <c r="H11" s="9">
        <f>(INDEX(Goalie[],MATCH(G_Std[[#This Row],[player]],Goalie[player],0),8)-H$80)/H$81</f>
        <v>-1.8376930022426106</v>
      </c>
      <c r="I11" s="9">
        <f>(INDEX(Goalie[],MATCH(G_Std[[#This Row],[player]],Goalie[player],0),9)-I$80)/I$81</f>
        <v>-2.1278190790973484</v>
      </c>
      <c r="J11" s="9">
        <f>(INDEX(Goalie[],MATCH(G_Std[[#This Row],[player]],Goalie[player],0),10)-J$80)/J$81</f>
        <v>-2.0848738183780569</v>
      </c>
      <c r="K11" s="9">
        <f>(INDEX(Goalie[],MATCH(G_Std[[#This Row],[player]],Goalie[player],0),11)-K$80)/K$81</f>
        <v>-2.0785794903305272</v>
      </c>
      <c r="L11" s="9">
        <f>(INDEX(Goalie[],MATCH(G_Std[[#This Row],[player]],Goalie[player],0),12)-L$80)/L$81</f>
        <v>-2.6977737107003246</v>
      </c>
      <c r="M11" s="9">
        <f>-1*(INDEX(Goalie[],MATCH(G_Std[[#This Row],[player]],Goalie[player],0),13)-M$80)/M$81</f>
        <v>-2.3656297760562648</v>
      </c>
      <c r="N11" s="9">
        <f>(INDEX(Goalie[],MATCH(G_Std[[#This Row],[player]],Goalie[player],0),14)-N$80)/N$81</f>
        <v>-1.5475949181581283</v>
      </c>
      <c r="O11" s="10">
        <f>(G_Std[[#This Row],[W]]+G_Std[[#This Row],[SV]]+G_Std[[#This Row],[SV%]]+G_Std[[#This Row],[GAA]])*100</f>
        <v>-905.31192406912635</v>
      </c>
      <c r="P11" s="10">
        <f>_xlfn.RANK.EQ(G_Std[[#This Row],[VAA]],G_Std[VAA])</f>
        <v>77</v>
      </c>
      <c r="Q11" s="10">
        <f>G_Std[[#This Row],[VAA]]-_xlfn.XLOOKUP($B$85,G_Std[Value Rk],G_Std[VAA],,-1)</f>
        <v>-1032.9183507081964</v>
      </c>
    </row>
    <row r="12" spans="1:17" x14ac:dyDescent="0.25">
      <c r="A12" t="s">
        <v>187</v>
      </c>
      <c r="B12" t="s">
        <v>32</v>
      </c>
      <c r="C12">
        <v>27</v>
      </c>
      <c r="D12" t="s">
        <v>157</v>
      </c>
      <c r="E12">
        <v>18</v>
      </c>
      <c r="F12" s="9">
        <f>(INDEX(Goalie[],MATCH(G_Std[[#This Row],[player]],Goalie[player],0),6)-F$80)/F$81</f>
        <v>-1.675684275928115</v>
      </c>
      <c r="G12" s="9">
        <f>(INDEX(Goalie[],MATCH(G_Std[[#This Row],[player]],Goalie[player],0),7)-G$80)/G$81</f>
        <v>-2.0056619912472193</v>
      </c>
      <c r="H12" s="9">
        <f>(INDEX(Goalie[],MATCH(G_Std[[#This Row],[player]],Goalie[player],0),8)-H$80)/H$81</f>
        <v>-1.7745906054245382</v>
      </c>
      <c r="I12" s="9">
        <f>(INDEX(Goalie[],MATCH(G_Std[[#This Row],[player]],Goalie[player],0),9)-I$80)/I$81</f>
        <v>-2.1439478024002132</v>
      </c>
      <c r="J12" s="9">
        <f>(INDEX(Goalie[],MATCH(G_Std[[#This Row],[player]],Goalie[player],0),10)-J$80)/J$81</f>
        <v>-2.0604435339795129</v>
      </c>
      <c r="K12" s="9">
        <f>(INDEX(Goalie[],MATCH(G_Std[[#This Row],[player]],Goalie[player],0),11)-K$80)/K$81</f>
        <v>-2.0495460823206662</v>
      </c>
      <c r="L12" s="9">
        <f>(INDEX(Goalie[],MATCH(G_Std[[#This Row],[player]],Goalie[player],0),12)-L$80)/L$81</f>
        <v>-1.3341287934754598</v>
      </c>
      <c r="M12" s="9">
        <f>-1*(INDEX(Goalie[],MATCH(G_Std[[#This Row],[player]],Goalie[player],0),13)-M$80)/M$81</f>
        <v>-0.494436251099866</v>
      </c>
      <c r="N12" s="9">
        <f>(INDEX(Goalie[],MATCH(G_Std[[#This Row],[player]],Goalie[player],0),14)-N$80)/N$81</f>
        <v>-1.2083307830199532</v>
      </c>
      <c r="O12" s="10">
        <f>(G_Std[[#This Row],[W]]+G_Std[[#This Row],[SV]]+G_Std[[#This Row],[SV%]]+G_Std[[#This Row],[GAA]])*100</f>
        <v>-555.37954028241063</v>
      </c>
      <c r="P12" s="10">
        <f>_xlfn.RANK.EQ(G_Std[[#This Row],[VAA]],G_Std[VAA])</f>
        <v>73</v>
      </c>
      <c r="Q12" s="10">
        <f>G_Std[[#This Row],[VAA]]-_xlfn.XLOOKUP($B$85,G_Std[Value Rk],G_Std[VAA],,-1)</f>
        <v>-682.98596692148078</v>
      </c>
    </row>
    <row r="13" spans="1:17" x14ac:dyDescent="0.25">
      <c r="A13" t="s">
        <v>1250</v>
      </c>
      <c r="B13" t="s">
        <v>15</v>
      </c>
      <c r="C13">
        <v>23</v>
      </c>
      <c r="D13" t="s">
        <v>157</v>
      </c>
      <c r="E13">
        <v>18</v>
      </c>
      <c r="F13" s="9">
        <f>(INDEX(Goalie[],MATCH(G_Std[[#This Row],[player]],Goalie[player],0),6)-F$80)/F$81</f>
        <v>-0.49842433754796106</v>
      </c>
      <c r="G13" s="9">
        <f>(INDEX(Goalie[],MATCH(G_Std[[#This Row],[player]],Goalie[player],0),7)-G$80)/G$81</f>
        <v>-0.82880152772392668</v>
      </c>
      <c r="H13" s="9">
        <f>(INDEX(Goalie[],MATCH(G_Std[[#This Row],[player]],Goalie[player],0),8)-H$80)/H$81</f>
        <v>-1.145812069247375</v>
      </c>
      <c r="I13" s="9">
        <f>(INDEX(Goalie[],MATCH(G_Std[[#This Row],[player]],Goalie[player],0),9)-I$80)/I$81</f>
        <v>-0.91722518677611498</v>
      </c>
      <c r="J13" s="9">
        <f>(INDEX(Goalie[],MATCH(G_Std[[#This Row],[player]],Goalie[player],0),10)-J$80)/J$81</f>
        <v>-0.84953287015112855</v>
      </c>
      <c r="K13" s="9">
        <f>(INDEX(Goalie[],MATCH(G_Std[[#This Row],[player]],Goalie[player],0),11)-K$80)/K$81</f>
        <v>-0.84070054881918432</v>
      </c>
      <c r="L13" s="9">
        <f>(INDEX(Goalie[],MATCH(G_Std[[#This Row],[player]],Goalie[player],0),12)-L$80)/L$81</f>
        <v>0.3325483275771528</v>
      </c>
      <c r="M13" s="9">
        <f>-1*(INDEX(Goalie[],MATCH(G_Std[[#This Row],[player]],Goalie[player],0),13)-M$80)/M$81</f>
        <v>0.62108296570106414</v>
      </c>
      <c r="N13" s="9">
        <f>(INDEX(Goalie[],MATCH(G_Std[[#This Row],[player]],Goalie[player],0),14)-N$80)/N$81</f>
        <v>-0.5195816438622255</v>
      </c>
      <c r="O13" s="10">
        <f>(G_Std[[#This Row],[W]]+G_Std[[#This Row],[SV]]+G_Std[[#This Row],[SV%]]+G_Std[[#This Row],[GAA]])*100</f>
        <v>-38.549359308892846</v>
      </c>
      <c r="P13" s="10">
        <f>_xlfn.RANK.EQ(G_Std[[#This Row],[VAA]],G_Std[VAA])</f>
        <v>39</v>
      </c>
      <c r="Q13" s="10">
        <f>G_Std[[#This Row],[VAA]]-_xlfn.XLOOKUP($B$85,G_Std[Value Rk],G_Std[VAA],,-1)</f>
        <v>-166.15578594796298</v>
      </c>
    </row>
    <row r="14" spans="1:17" x14ac:dyDescent="0.25">
      <c r="A14" t="s">
        <v>199</v>
      </c>
      <c r="B14" t="s">
        <v>34</v>
      </c>
      <c r="C14">
        <v>24</v>
      </c>
      <c r="D14" t="s">
        <v>157</v>
      </c>
      <c r="E14">
        <v>20</v>
      </c>
      <c r="F14" s="9">
        <f>(INDEX(Goalie[],MATCH(G_Std[[#This Row],[player]],Goalie[player],0),6)-F$80)/F$81</f>
        <v>0.20793162548013125</v>
      </c>
      <c r="G14" s="9">
        <f>(INDEX(Goalie[],MATCH(G_Std[[#This Row],[player]],Goalie[player],0),7)-G$80)/G$81</f>
        <v>-0.20979441295717163</v>
      </c>
      <c r="H14" s="9">
        <f>(INDEX(Goalie[],MATCH(G_Std[[#This Row],[player]],Goalie[player],0),8)-H$80)/H$81</f>
        <v>-0.27556322991784271</v>
      </c>
      <c r="I14" s="9">
        <f>(INDEX(Goalie[],MATCH(G_Std[[#This Row],[player]],Goalie[player],0),9)-I$80)/I$81</f>
        <v>-0.20708877548627258</v>
      </c>
      <c r="J14" s="9">
        <f>(INDEX(Goalie[],MATCH(G_Std[[#This Row],[player]],Goalie[player],0),10)-J$80)/J$81</f>
        <v>-0.12315609979669603</v>
      </c>
      <c r="K14" s="9">
        <f>(INDEX(Goalie[],MATCH(G_Std[[#This Row],[player]],Goalie[player],0),11)-K$80)/K$81</f>
        <v>-0.11486534857266123</v>
      </c>
      <c r="L14" s="9">
        <f>(INDEX(Goalie[],MATCH(G_Std[[#This Row],[player]],Goalie[player],0),12)-L$80)/L$81</f>
        <v>0.63558053140490056</v>
      </c>
      <c r="M14" s="9">
        <f>-1*(INDEX(Goalie[],MATCH(G_Std[[#This Row],[player]],Goalie[player],0),13)-M$80)/M$81</f>
        <v>0.80100542002379416</v>
      </c>
      <c r="N14" s="9">
        <f>(INDEX(Goalie[],MATCH(G_Std[[#This Row],[player]],Goalie[player],0),14)-N$80)/N$81</f>
        <v>-2.2280544507786521E-2</v>
      </c>
      <c r="O14" s="10">
        <f>(G_Std[[#This Row],[W]]+G_Std[[#This Row],[SV]]+G_Std[[#This Row],[SV%]]+G_Std[[#This Row],[GAA]])*100</f>
        <v>152.96522283361645</v>
      </c>
      <c r="P14" s="10">
        <f>_xlfn.RANK.EQ(G_Std[[#This Row],[VAA]],G_Std[VAA])</f>
        <v>25</v>
      </c>
      <c r="Q14" s="10">
        <f>G_Std[[#This Row],[VAA]]-_xlfn.XLOOKUP($B$85,G_Std[Value Rk],G_Std[VAA],,-1)</f>
        <v>25.358796194546315</v>
      </c>
    </row>
    <row r="15" spans="1:17" x14ac:dyDescent="0.25">
      <c r="A15" t="s">
        <v>170</v>
      </c>
      <c r="B15" t="s">
        <v>21</v>
      </c>
      <c r="C15">
        <v>36</v>
      </c>
      <c r="D15" t="s">
        <v>157</v>
      </c>
      <c r="E15">
        <v>21</v>
      </c>
      <c r="F15" s="9">
        <f>(INDEX(Goalie[],MATCH(G_Std[[#This Row],[player]],Goalie[player],0),6)-F$80)/F$81</f>
        <v>-0.61615033138597641</v>
      </c>
      <c r="G15" s="9">
        <f>(INDEX(Goalie[],MATCH(G_Std[[#This Row],[player]],Goalie[player],0),7)-G$80)/G$81</f>
        <v>-0.63250808962849148</v>
      </c>
      <c r="H15" s="9">
        <f>(INDEX(Goalie[],MATCH(G_Std[[#This Row],[player]],Goalie[player],0),8)-H$80)/H$81</f>
        <v>0.5175924439560331</v>
      </c>
      <c r="I15" s="9">
        <f>(INDEX(Goalie[],MATCH(G_Std[[#This Row],[player]],Goalie[player],0),9)-I$80)/I$81</f>
        <v>-0.50464382206774938</v>
      </c>
      <c r="J15" s="9">
        <f>(INDEX(Goalie[],MATCH(G_Std[[#This Row],[player]],Goalie[player],0),10)-J$80)/J$81</f>
        <v>-0.52371378614896114</v>
      </c>
      <c r="K15" s="9">
        <f>(INDEX(Goalie[],MATCH(G_Std[[#This Row],[player]],Goalie[player],0),11)-K$80)/K$81</f>
        <v>-0.52397246143888332</v>
      </c>
      <c r="L15" s="9">
        <f>(INDEX(Goalie[],MATCH(G_Std[[#This Row],[player]],Goalie[player],0),12)-L$80)/L$81</f>
        <v>-0.12199997816446882</v>
      </c>
      <c r="M15" s="9">
        <f>-1*(INDEX(Goalie[],MATCH(G_Std[[#This Row],[player]],Goalie[player],0),13)-M$80)/M$81</f>
        <v>-0.2425448150480437</v>
      </c>
      <c r="N15" s="9">
        <f>(INDEX(Goalie[],MATCH(G_Std[[#This Row],[player]],Goalie[player],0),14)-N$80)/N$81</f>
        <v>-0.46418281673206763</v>
      </c>
      <c r="O15" s="10">
        <f>(G_Std[[#This Row],[W]]+G_Std[[#This Row],[SV]]+G_Std[[#This Row],[SV%]]+G_Std[[#This Row],[GAA]])*100</f>
        <v>-150.46675860373725</v>
      </c>
      <c r="P15" s="10">
        <f>_xlfn.RANK.EQ(G_Std[[#This Row],[VAA]],G_Std[VAA])</f>
        <v>51</v>
      </c>
      <c r="Q15" s="10">
        <f>G_Std[[#This Row],[VAA]]-_xlfn.XLOOKUP($B$85,G_Std[Value Rk],G_Std[VAA],,-1)</f>
        <v>-278.07318524280737</v>
      </c>
    </row>
    <row r="16" spans="1:17" x14ac:dyDescent="0.25">
      <c r="A16" t="s">
        <v>1249</v>
      </c>
      <c r="B16" t="s">
        <v>29</v>
      </c>
      <c r="C16">
        <v>30</v>
      </c>
      <c r="D16" t="s">
        <v>157</v>
      </c>
      <c r="E16">
        <v>21</v>
      </c>
      <c r="F16" s="9">
        <f>(INDEX(Goalie[],MATCH(G_Std[[#This Row],[player]],Goalie[player],0),6)-F$80)/F$81</f>
        <v>-0.61615033138597641</v>
      </c>
      <c r="G16" s="9">
        <f>(INDEX(Goalie[],MATCH(G_Std[[#This Row],[player]],Goalie[player],0),7)-G$80)/G$81</f>
        <v>0.33654831463677803</v>
      </c>
      <c r="H16" s="9">
        <f>(INDEX(Goalie[],MATCH(G_Std[[#This Row],[player]],Goalie[player],0),8)-H$80)/H$81</f>
        <v>0.57102221060491232</v>
      </c>
      <c r="I16" s="9">
        <f>(INDEX(Goalie[],MATCH(G_Std[[#This Row],[player]],Goalie[player],0),9)-I$80)/I$81</f>
        <v>2.9150773140811527E-2</v>
      </c>
      <c r="J16" s="9">
        <f>(INDEX(Goalie[],MATCH(G_Std[[#This Row],[player]],Goalie[player],0),10)-J$80)/J$81</f>
        <v>-4.6201316257642037E-4</v>
      </c>
      <c r="K16" s="9">
        <f>(INDEX(Goalie[],MATCH(G_Std[[#This Row],[player]],Goalie[player],0),11)-K$80)/K$81</f>
        <v>-4.0105179895558842E-3</v>
      </c>
      <c r="L16" s="9">
        <f>(INDEX(Goalie[],MATCH(G_Std[[#This Row],[player]],Goalie[player],0),12)-L$80)/L$81</f>
        <v>2.9516123749405047E-2</v>
      </c>
      <c r="M16" s="9">
        <f>-1*(INDEX(Goalie[],MATCH(G_Std[[#This Row],[player]],Goalie[player],0),13)-M$80)/M$81</f>
        <v>-0.71034319628714293</v>
      </c>
      <c r="N16" s="9">
        <f>(INDEX(Goalie[],MATCH(G_Std[[#This Row],[player]],Goalie[player],0),14)-N$80)/N$81</f>
        <v>0.22808779825874001</v>
      </c>
      <c r="O16" s="10">
        <f>(G_Std[[#This Row],[W]]+G_Std[[#This Row],[SV]]+G_Std[[#This Row],[SV%]]+G_Std[[#This Row],[GAA]])*100</f>
        <v>-130.09879219132702</v>
      </c>
      <c r="P16" s="10">
        <f>_xlfn.RANK.EQ(G_Std[[#This Row],[VAA]],G_Std[VAA])</f>
        <v>48</v>
      </c>
      <c r="Q16" s="10">
        <f>G_Std[[#This Row],[VAA]]-_xlfn.XLOOKUP($B$85,G_Std[Value Rk],G_Std[VAA],,-1)</f>
        <v>-257.70521883039714</v>
      </c>
    </row>
    <row r="17" spans="1:17" x14ac:dyDescent="0.25">
      <c r="A17" t="s">
        <v>159</v>
      </c>
      <c r="B17" t="s">
        <v>8</v>
      </c>
      <c r="C17">
        <v>29</v>
      </c>
      <c r="D17" t="s">
        <v>157</v>
      </c>
      <c r="E17">
        <v>21</v>
      </c>
      <c r="F17" s="9">
        <f>(INDEX(Goalie[],MATCH(G_Std[[#This Row],[player]],Goalie[player],0),6)-F$80)/F$81</f>
        <v>0.32565761931814663</v>
      </c>
      <c r="G17" s="9">
        <f>(INDEX(Goalie[],MATCH(G_Std[[#This Row],[player]],Goalie[player],0),7)-G$80)/G$81</f>
        <v>0.18982141159754196</v>
      </c>
      <c r="H17" s="9">
        <f>(INDEX(Goalie[],MATCH(G_Std[[#This Row],[player]],Goalie[player],0),8)-H$80)/H$81</f>
        <v>0.81491067129957995</v>
      </c>
      <c r="I17" s="9">
        <f>(INDEX(Goalie[],MATCH(G_Std[[#This Row],[player]],Goalie[player],0),9)-I$80)/I$81</f>
        <v>0.31763364567519931</v>
      </c>
      <c r="J17" s="9">
        <f>(INDEX(Goalie[],MATCH(G_Std[[#This Row],[player]],Goalie[player],0),10)-J$80)/J$81</f>
        <v>0.32040890552115581</v>
      </c>
      <c r="K17" s="9">
        <f>(INDEX(Goalie[],MATCH(G_Std[[#This Row],[player]],Goalie[player],0),11)-K$80)/K$81</f>
        <v>0.32063577157525264</v>
      </c>
      <c r="L17" s="9">
        <f>(INDEX(Goalie[],MATCH(G_Std[[#This Row],[player]],Goalie[player],0),12)-L$80)/L$81</f>
        <v>0.3325483275771528</v>
      </c>
      <c r="M17" s="9">
        <f>-1*(INDEX(Goalie[],MATCH(G_Std[[#This Row],[player]],Goalie[player],0),13)-M$80)/M$81</f>
        <v>0.29722254792014946</v>
      </c>
      <c r="N17" s="9">
        <f>(INDEX(Goalie[],MATCH(G_Std[[#This Row],[player]],Goalie[player],0),14)-N$80)/N$81</f>
        <v>1.2329967555034609</v>
      </c>
      <c r="O17" s="10">
        <f>(G_Std[[#This Row],[W]]+G_Std[[#This Row],[SV]]+G_Std[[#This Row],[SV%]]+G_Std[[#This Row],[GAA]])*100</f>
        <v>127.60642663907014</v>
      </c>
      <c r="P17" s="10">
        <f>_xlfn.RANK.EQ(G_Std[[#This Row],[VAA]],G_Std[VAA])</f>
        <v>28</v>
      </c>
      <c r="Q17" s="10">
        <f>G_Std[[#This Row],[VAA]]-_xlfn.XLOOKUP($B$85,G_Std[Value Rk],G_Std[VAA],,-1)</f>
        <v>0</v>
      </c>
    </row>
    <row r="18" spans="1:17" x14ac:dyDescent="0.25">
      <c r="A18" t="s">
        <v>1080</v>
      </c>
      <c r="B18" t="s">
        <v>13</v>
      </c>
      <c r="C18">
        <v>26</v>
      </c>
      <c r="D18" t="s">
        <v>157</v>
      </c>
      <c r="E18">
        <v>21</v>
      </c>
      <c r="F18" s="9">
        <f>(INDEX(Goalie[],MATCH(G_Std[[#This Row],[player]],Goalie[player],0),6)-F$80)/F$81</f>
        <v>-1.5579582820900995</v>
      </c>
      <c r="G18" s="9">
        <f>(INDEX(Goalie[],MATCH(G_Std[[#This Row],[player]],Goalie[player],0),7)-G$80)/G$81</f>
        <v>-1.8276974457517772</v>
      </c>
      <c r="H18" s="9">
        <f>(INDEX(Goalie[],MATCH(G_Std[[#This Row],[player]],Goalie[player],0),8)-H$80)/H$81</f>
        <v>-1.5358839108919387</v>
      </c>
      <c r="I18" s="9">
        <f>(INDEX(Goalie[],MATCH(G_Std[[#This Row],[player]],Goalie[player],0),9)-I$80)/I$81</f>
        <v>-1.9375134096944626</v>
      </c>
      <c r="J18" s="9">
        <f>(INDEX(Goalie[],MATCH(G_Std[[#This Row],[player]],Goalie[player],0),10)-J$80)/J$81</f>
        <v>-1.8789850678741356</v>
      </c>
      <c r="K18" s="9">
        <f>(INDEX(Goalie[],MATCH(G_Std[[#This Row],[player]],Goalie[player],0),11)-K$80)/K$81</f>
        <v>-1.8700668328051624</v>
      </c>
      <c r="L18" s="9">
        <f>(INDEX(Goalie[],MATCH(G_Std[[#This Row],[player]],Goalie[player],0),12)-L$80)/L$81</f>
        <v>-1.031096589647712</v>
      </c>
      <c r="M18" s="9">
        <f>-1*(INDEX(Goalie[],MATCH(G_Std[[#This Row],[player]],Goalie[player],0),13)-M$80)/M$81</f>
        <v>-0.96223463233896522</v>
      </c>
      <c r="N18" s="9">
        <f>(INDEX(Goalie[],MATCH(G_Std[[#This Row],[player]],Goalie[player],0),14)-N$80)/N$81</f>
        <v>-1.4209935674761867</v>
      </c>
      <c r="O18" s="10">
        <f>(G_Std[[#This Row],[W]]+G_Std[[#This Row],[SV]]+G_Std[[#This Row],[SV%]]+G_Std[[#This Row],[GAA]])*100</f>
        <v>-542.13563368819382</v>
      </c>
      <c r="P18" s="10">
        <f>_xlfn.RANK.EQ(G_Std[[#This Row],[VAA]],G_Std[VAA])</f>
        <v>72</v>
      </c>
      <c r="Q18" s="10">
        <f>G_Std[[#This Row],[VAA]]-_xlfn.XLOOKUP($B$85,G_Std[Value Rk],G_Std[VAA],,-1)</f>
        <v>-669.74206032726397</v>
      </c>
    </row>
    <row r="19" spans="1:17" x14ac:dyDescent="0.25">
      <c r="A19" t="s">
        <v>211</v>
      </c>
      <c r="B19" t="s">
        <v>17</v>
      </c>
      <c r="C19">
        <v>37</v>
      </c>
      <c r="D19" t="s">
        <v>157</v>
      </c>
      <c r="E19">
        <v>22</v>
      </c>
      <c r="F19" s="9">
        <f>(INDEX(Goalie[],MATCH(G_Std[[#This Row],[player]],Goalie[player],0),6)-F$80)/F$81</f>
        <v>1.8560955392123466</v>
      </c>
      <c r="G19" s="9">
        <f>(INDEX(Goalie[],MATCH(G_Std[[#This Row],[player]],Goalie[player],0),7)-G$80)/G$81</f>
        <v>1.8557779360675744</v>
      </c>
      <c r="H19" s="9">
        <f>(INDEX(Goalie[],MATCH(G_Std[[#This Row],[player]],Goalie[player],0),8)-H$80)/H$81</f>
        <v>0.90852791329427496</v>
      </c>
      <c r="I19" s="9">
        <f>(INDEX(Goalie[],MATCH(G_Std[[#This Row],[player]],Goalie[player],0),9)-I$80)/I$81</f>
        <v>1.7082634445834448</v>
      </c>
      <c r="J19" s="9">
        <f>(INDEX(Goalie[],MATCH(G_Std[[#This Row],[player]],Goalie[player],0),10)-J$80)/J$81</f>
        <v>2.0818138794670169</v>
      </c>
      <c r="K19" s="9">
        <f>(INDEX(Goalie[],MATCH(G_Std[[#This Row],[player]],Goalie[player],0),11)-K$80)/K$81</f>
        <v>2.1127888660021221</v>
      </c>
      <c r="L19" s="9">
        <f>(INDEX(Goalie[],MATCH(G_Std[[#This Row],[player]],Goalie[player],0),12)-L$80)/L$81</f>
        <v>1.6961932448020176</v>
      </c>
      <c r="M19" s="9">
        <f>-1*(INDEX(Goalie[],MATCH(G_Std[[#This Row],[player]],Goalie[player],0),13)-M$80)/M$81</f>
        <v>1.1608503286692557</v>
      </c>
      <c r="N19" s="9">
        <f>(INDEX(Goalie[],MATCH(G_Std[[#This Row],[player]],Goalie[player],0),14)-N$80)/N$81</f>
        <v>2.0585681142245091</v>
      </c>
      <c r="O19" s="10">
        <f>(G_Std[[#This Row],[W]]+G_Std[[#This Row],[SV]]+G_Std[[#This Row],[SV%]]+G_Std[[#This Row],[GAA]])*100</f>
        <v>682.59279786857428</v>
      </c>
      <c r="P19" s="10">
        <f>_xlfn.RANK.EQ(G_Std[[#This Row],[VAA]],G_Std[VAA])</f>
        <v>3</v>
      </c>
      <c r="Q19" s="10">
        <f>G_Std[[#This Row],[VAA]]-_xlfn.XLOOKUP($B$85,G_Std[Value Rk],G_Std[VAA],,-1)</f>
        <v>554.98637122950413</v>
      </c>
    </row>
    <row r="20" spans="1:17" x14ac:dyDescent="0.25">
      <c r="A20" t="s">
        <v>1081</v>
      </c>
      <c r="B20" t="s">
        <v>4</v>
      </c>
      <c r="C20">
        <v>34</v>
      </c>
      <c r="D20" t="s">
        <v>157</v>
      </c>
      <c r="E20">
        <v>22</v>
      </c>
      <c r="F20" s="9">
        <f>(INDEX(Goalie[],MATCH(G_Std[[#This Row],[player]],Goalie[player],0),6)-F$80)/F$81</f>
        <v>9.0205631642115855E-2</v>
      </c>
      <c r="G20" s="9">
        <f>(INDEX(Goalie[],MATCH(G_Std[[#This Row],[player]],Goalie[player],0),7)-G$80)/G$81</f>
        <v>1.2031774277580931</v>
      </c>
      <c r="H20" s="9">
        <f>(INDEX(Goalie[],MATCH(G_Std[[#This Row],[player]],Goalie[player],0),8)-H$80)/H$81</f>
        <v>0.98159081617943378</v>
      </c>
      <c r="I20" s="9">
        <f>(INDEX(Goalie[],MATCH(G_Std[[#This Row],[player]],Goalie[player],0),9)-I$80)/I$81</f>
        <v>0.87661164006131231</v>
      </c>
      <c r="J20" s="9">
        <f>(INDEX(Goalie[],MATCH(G_Std[[#This Row],[player]],Goalie[player],0),10)-J$80)/J$81</f>
        <v>0.82325803225671745</v>
      </c>
      <c r="K20" s="9">
        <f>(INDEX(Goalie[],MATCH(G_Std[[#This Row],[player]],Goalie[player],0),11)-K$80)/K$81</f>
        <v>0.81684310847105746</v>
      </c>
      <c r="L20" s="9">
        <f>(INDEX(Goalie[],MATCH(G_Std[[#This Row],[player]],Goalie[player],0),12)-L$80)/L$81</f>
        <v>0.3325483275771528</v>
      </c>
      <c r="M20" s="9">
        <f>-1*(INDEX(Goalie[],MATCH(G_Std[[#This Row],[player]],Goalie[player],0),13)-M$80)/M$81</f>
        <v>-0.17057583331895138</v>
      </c>
      <c r="N20" s="9">
        <f>(INDEX(Goalie[],MATCH(G_Std[[#This Row],[player]],Goalie[player],0),14)-N$80)/N$81</f>
        <v>1.9055127499672357</v>
      </c>
      <c r="O20" s="10">
        <f>(G_Std[[#This Row],[W]]+G_Std[[#This Row],[SV]]+G_Std[[#This Row],[SV%]]+G_Std[[#This Row],[GAA]])*100</f>
        <v>106.90212343713748</v>
      </c>
      <c r="P20" s="10">
        <f>_xlfn.RANK.EQ(G_Std[[#This Row],[VAA]],G_Std[VAA])</f>
        <v>29</v>
      </c>
      <c r="Q20" s="10">
        <f>G_Std[[#This Row],[VAA]]-_xlfn.XLOOKUP($B$85,G_Std[Value Rk],G_Std[VAA],,-1)</f>
        <v>-20.70430320193266</v>
      </c>
    </row>
    <row r="21" spans="1:17" x14ac:dyDescent="0.25">
      <c r="A21" t="s">
        <v>163</v>
      </c>
      <c r="B21" t="s">
        <v>11</v>
      </c>
      <c r="C21">
        <v>33</v>
      </c>
      <c r="D21" t="s">
        <v>157</v>
      </c>
      <c r="E21">
        <v>23</v>
      </c>
      <c r="F21" s="9">
        <f>(INDEX(Goalie[],MATCH(G_Std[[#This Row],[player]],Goalie[player],0),6)-F$80)/F$81</f>
        <v>9.0205631642115855E-2</v>
      </c>
      <c r="G21" s="9">
        <f>(INDEX(Goalie[],MATCH(G_Std[[#This Row],[player]],Goalie[player],0),7)-G$80)/G$81</f>
        <v>-0.13806849572940261</v>
      </c>
      <c r="H21" s="9">
        <f>(INDEX(Goalie[],MATCH(G_Std[[#This Row],[player]],Goalie[player],0),8)-H$80)/H$81</f>
        <v>0.45189916405692665</v>
      </c>
      <c r="I21" s="9">
        <f>(INDEX(Goalie[],MATCH(G_Std[[#This Row],[player]],Goalie[player],0),9)-I$80)/I$81</f>
        <v>0.23679657291838246</v>
      </c>
      <c r="J21" s="9">
        <f>(INDEX(Goalie[],MATCH(G_Std[[#This Row],[player]],Goalie[player],0),10)-J$80)/J$81</f>
        <v>-6.047580015413663E-2</v>
      </c>
      <c r="K21" s="9">
        <f>(INDEX(Goalie[],MATCH(G_Std[[#This Row],[player]],Goalie[player],0),11)-K$80)/K$81</f>
        <v>-8.847134129096948E-2</v>
      </c>
      <c r="L21" s="9">
        <f>(INDEX(Goalie[],MATCH(G_Std[[#This Row],[player]],Goalie[player],0),12)-L$80)/L$81</f>
        <v>-1.3341287934754598</v>
      </c>
      <c r="M21" s="9">
        <f>-1*(INDEX(Goalie[],MATCH(G_Std[[#This Row],[player]],Goalie[player],0),13)-M$80)/M$81</f>
        <v>-0.85428115974532759</v>
      </c>
      <c r="N21" s="9">
        <f>(INDEX(Goalie[],MATCH(G_Std[[#This Row],[player]],Goalie[player],0),14)-N$80)/N$81</f>
        <v>-0.55737309182698414</v>
      </c>
      <c r="O21" s="10">
        <f>(G_Std[[#This Row],[W]]+G_Std[[#This Row],[SV]]+G_Std[[#This Row],[SV%]]+G_Std[[#This Row],[GAA]])*100</f>
        <v>-218.6675662869641</v>
      </c>
      <c r="P21" s="10">
        <f>_xlfn.RANK.EQ(G_Std[[#This Row],[VAA]],G_Std[VAA])</f>
        <v>57</v>
      </c>
      <c r="Q21" s="10">
        <f>G_Std[[#This Row],[VAA]]-_xlfn.XLOOKUP($B$85,G_Std[Value Rk],G_Std[VAA],,-1)</f>
        <v>-346.27399292603423</v>
      </c>
    </row>
    <row r="22" spans="1:17" x14ac:dyDescent="0.25">
      <c r="A22" t="s">
        <v>1082</v>
      </c>
      <c r="B22" t="s">
        <v>87</v>
      </c>
      <c r="C22">
        <v>29</v>
      </c>
      <c r="D22" t="s">
        <v>157</v>
      </c>
      <c r="E22">
        <v>24</v>
      </c>
      <c r="F22" s="9">
        <f>(INDEX(Goalie[],MATCH(G_Std[[#This Row],[player]],Goalie[player],0),6)-F$80)/F$81</f>
        <v>-0.61615033138597641</v>
      </c>
      <c r="G22" s="9">
        <f>(INDEX(Goalie[],MATCH(G_Std[[#This Row],[player]],Goalie[player],0),7)-G$80)/G$81</f>
        <v>0.70856546182828395</v>
      </c>
      <c r="H22" s="9">
        <f>(INDEX(Goalie[],MATCH(G_Std[[#This Row],[player]],Goalie[player],0),8)-H$80)/H$81</f>
        <v>-3.1732344402753958E-2</v>
      </c>
      <c r="I22" s="9">
        <f>(INDEX(Goalie[],MATCH(G_Std[[#This Row],[player]],Goalie[player],0),9)-I$80)/I$81</f>
        <v>0.24337408516321063</v>
      </c>
      <c r="J22" s="9">
        <f>(INDEX(Goalie[],MATCH(G_Std[[#This Row],[player]],Goalie[player],0),10)-J$80)/J$81</f>
        <v>0.14636412154426745</v>
      </c>
      <c r="K22" s="9">
        <f>(INDEX(Goalie[],MATCH(G_Std[[#This Row],[player]],Goalie[player],0),11)-K$80)/K$81</f>
        <v>0.13587772060341038</v>
      </c>
      <c r="L22" s="9">
        <f>(INDEX(Goalie[],MATCH(G_Std[[#This Row],[player]],Goalie[player],0),12)-L$80)/L$81</f>
        <v>-0.27351608007834272</v>
      </c>
      <c r="M22" s="9">
        <f>-1*(INDEX(Goalie[],MATCH(G_Std[[#This Row],[player]],Goalie[player],0),13)-M$80)/M$81</f>
        <v>-0.89026565060987295</v>
      </c>
      <c r="N22" s="9">
        <f>(INDEX(Goalie[],MATCH(G_Std[[#This Row],[player]],Goalie[player],0),14)-N$80)/N$81</f>
        <v>-1.1285392940216332</v>
      </c>
      <c r="O22" s="10">
        <f>(G_Std[[#This Row],[W]]+G_Std[[#This Row],[SV]]+G_Std[[#This Row],[SV%]]+G_Std[[#This Row],[GAA]])*100</f>
        <v>-164.40543414707815</v>
      </c>
      <c r="P22" s="10">
        <f>_xlfn.RANK.EQ(G_Std[[#This Row],[VAA]],G_Std[VAA])</f>
        <v>53</v>
      </c>
      <c r="Q22" s="10">
        <f>G_Std[[#This Row],[VAA]]-_xlfn.XLOOKUP($B$85,G_Std[Value Rk],G_Std[VAA],,-1)</f>
        <v>-292.0118607861483</v>
      </c>
    </row>
    <row r="23" spans="1:17" x14ac:dyDescent="0.25">
      <c r="A23" t="s">
        <v>201</v>
      </c>
      <c r="B23" t="s">
        <v>4</v>
      </c>
      <c r="C23">
        <v>28</v>
      </c>
      <c r="D23" t="s">
        <v>157</v>
      </c>
      <c r="E23">
        <v>24</v>
      </c>
      <c r="F23" s="9">
        <f>(INDEX(Goalie[],MATCH(G_Std[[#This Row],[player]],Goalie[player],0),6)-F$80)/F$81</f>
        <v>0.20793162548013125</v>
      </c>
      <c r="G23" s="9">
        <f>(INDEX(Goalie[],MATCH(G_Std[[#This Row],[player]],Goalie[player],0),7)-G$80)/G$81</f>
        <v>0.23961777602803583</v>
      </c>
      <c r="H23" s="9">
        <f>(INDEX(Goalie[],MATCH(G_Std[[#This Row],[player]],Goalie[player],0),8)-H$80)/H$81</f>
        <v>5.2615293679797497E-2</v>
      </c>
      <c r="I23" s="9">
        <f>(INDEX(Goalie[],MATCH(G_Std[[#This Row],[player]],Goalie[player],0),9)-I$80)/I$81</f>
        <v>0.29917239281996749</v>
      </c>
      <c r="J23" s="9">
        <f>(INDEX(Goalie[],MATCH(G_Std[[#This Row],[player]],Goalie[player],0),10)-J$80)/J$81</f>
        <v>0.32686586675006923</v>
      </c>
      <c r="K23" s="9">
        <f>(INDEX(Goalie[],MATCH(G_Std[[#This Row],[player]],Goalie[player],0),11)-K$80)/K$81</f>
        <v>0.32855397375976014</v>
      </c>
      <c r="L23" s="9">
        <f>(INDEX(Goalie[],MATCH(G_Std[[#This Row],[player]],Goalie[player],0),12)-L$80)/L$81</f>
        <v>0.48406442949102668</v>
      </c>
      <c r="M23" s="9">
        <f>-1*(INDEX(Goalie[],MATCH(G_Std[[#This Row],[player]],Goalie[player],0),13)-M$80)/M$81</f>
        <v>0.36919152964924179</v>
      </c>
      <c r="N23" s="9">
        <f>(INDEX(Goalie[],MATCH(G_Std[[#This Row],[player]],Goalie[player],0),14)-N$80)/N$81</f>
        <v>0.78293496610497049</v>
      </c>
      <c r="O23" s="10">
        <f>(G_Std[[#This Row],[W]]+G_Std[[#This Row],[SV]]+G_Std[[#This Row],[SV%]]+G_Std[[#This Row],[GAA]])*100</f>
        <v>138.974155838016</v>
      </c>
      <c r="P23" s="10">
        <f>_xlfn.RANK.EQ(G_Std[[#This Row],[VAA]],G_Std[VAA])</f>
        <v>26</v>
      </c>
      <c r="Q23" s="10">
        <f>G_Std[[#This Row],[VAA]]-_xlfn.XLOOKUP($B$85,G_Std[Value Rk],G_Std[VAA],,-1)</f>
        <v>11.367729198945867</v>
      </c>
    </row>
    <row r="24" spans="1:17" x14ac:dyDescent="0.25">
      <c r="A24" t="s">
        <v>178</v>
      </c>
      <c r="B24" t="s">
        <v>8</v>
      </c>
      <c r="C24">
        <v>28</v>
      </c>
      <c r="D24" t="s">
        <v>157</v>
      </c>
      <c r="E24">
        <v>24</v>
      </c>
      <c r="F24" s="9">
        <f>(INDEX(Goalie[],MATCH(G_Std[[#This Row],[player]],Goalie[player],0),6)-F$80)/F$81</f>
        <v>9.0205631642115855E-2</v>
      </c>
      <c r="G24" s="9">
        <f>(INDEX(Goalie[],MATCH(G_Std[[#This Row],[player]],Goalie[player],0),7)-G$80)/G$81</f>
        <v>-0.34788356201250287</v>
      </c>
      <c r="H24" s="9">
        <f>(INDEX(Goalie[],MATCH(G_Std[[#This Row],[player]],Goalie[player],0),8)-H$80)/H$81</f>
        <v>0.62721558587356085</v>
      </c>
      <c r="I24" s="9">
        <f>(INDEX(Goalie[],MATCH(G_Std[[#This Row],[player]],Goalie[player],0),9)-I$80)/I$81</f>
        <v>-0.11471341969493519</v>
      </c>
      <c r="J24" s="9">
        <f>(INDEX(Goalie[],MATCH(G_Std[[#This Row],[player]],Goalie[player],0),10)-J$80)/J$81</f>
        <v>-9.4459298639943595E-2</v>
      </c>
      <c r="K24" s="9">
        <f>(INDEX(Goalie[],MATCH(G_Std[[#This Row],[player]],Goalie[player],0),11)-K$80)/K$81</f>
        <v>-9.3750142747307821E-2</v>
      </c>
      <c r="L24" s="9">
        <f>(INDEX(Goalie[],MATCH(G_Std[[#This Row],[player]],Goalie[player],0),12)-L$80)/L$81</f>
        <v>0.18103222566327892</v>
      </c>
      <c r="M24" s="9">
        <f>-1*(INDEX(Goalie[],MATCH(G_Std[[#This Row],[player]],Goalie[player],0),13)-M$80)/M$81</f>
        <v>0.44116051137833412</v>
      </c>
      <c r="N24" s="9">
        <f>(INDEX(Goalie[],MATCH(G_Std[[#This Row],[player]],Goalie[player],0),14)-N$80)/N$81</f>
        <v>0.32041917680900278</v>
      </c>
      <c r="O24" s="10">
        <f>(G_Std[[#This Row],[W]]+G_Std[[#This Row],[SV]]+G_Std[[#This Row],[SV%]]+G_Std[[#This Row],[GAA]])*100</f>
        <v>61.86482259364211</v>
      </c>
      <c r="P24" s="10">
        <f>_xlfn.RANK.EQ(G_Std[[#This Row],[VAA]],G_Std[VAA])</f>
        <v>35</v>
      </c>
      <c r="Q24" s="10">
        <f>G_Std[[#This Row],[VAA]]-_xlfn.XLOOKUP($B$85,G_Std[Value Rk],G_Std[VAA],,-1)</f>
        <v>-65.741604045428033</v>
      </c>
    </row>
    <row r="25" spans="1:17" x14ac:dyDescent="0.25">
      <c r="A25" t="s">
        <v>1083</v>
      </c>
      <c r="B25" t="s">
        <v>197</v>
      </c>
      <c r="C25">
        <v>32</v>
      </c>
      <c r="D25" t="s">
        <v>157</v>
      </c>
      <c r="E25">
        <v>25</v>
      </c>
      <c r="F25" s="9">
        <f>(INDEX(Goalie[],MATCH(G_Std[[#This Row],[player]],Goalie[player],0),6)-F$80)/F$81</f>
        <v>-2.7520362195899525E-2</v>
      </c>
      <c r="G25" s="9">
        <f>(INDEX(Goalie[],MATCH(G_Std[[#This Row],[player]],Goalie[player],0),7)-G$80)/G$81</f>
        <v>-9.2485669827642863E-2</v>
      </c>
      <c r="H25" s="9">
        <f>(INDEX(Goalie[],MATCH(G_Std[[#This Row],[player]],Goalie[player],0),8)-H$80)/H$81</f>
        <v>-0.41057702602950358</v>
      </c>
      <c r="I25" s="9">
        <f>(INDEX(Goalie[],MATCH(G_Std[[#This Row],[player]],Goalie[player],0),9)-I$80)/I$81</f>
        <v>0.13677969554849512</v>
      </c>
      <c r="J25" s="9">
        <f>(INDEX(Goalie[],MATCH(G_Std[[#This Row],[player]],Goalie[player],0),10)-J$80)/J$81</f>
        <v>4.5184852203088146E-3</v>
      </c>
      <c r="K25" s="9">
        <f>(INDEX(Goalie[],MATCH(G_Std[[#This Row],[player]],Goalie[player],0),11)-K$80)/K$81</f>
        <v>-9.2893194458942337E-3</v>
      </c>
      <c r="L25" s="9">
        <f>(INDEX(Goalie[],MATCH(G_Std[[#This Row],[player]],Goalie[player],0),12)-L$80)/L$81</f>
        <v>-0.42503218199221654</v>
      </c>
      <c r="M25" s="9">
        <f>-1*(INDEX(Goalie[],MATCH(G_Std[[#This Row],[player]],Goalie[player],0),13)-M$80)/M$81</f>
        <v>-0.494436251099866</v>
      </c>
      <c r="N25" s="9">
        <f>(INDEX(Goalie[],MATCH(G_Std[[#This Row],[player]],Goalie[player],0),14)-N$80)/N$81</f>
        <v>-1.0323428810204291</v>
      </c>
      <c r="O25" s="10">
        <f>(G_Std[[#This Row],[W]]+G_Std[[#This Row],[SV]]+G_Std[[#This Row],[SV%]]+G_Std[[#This Row],[GAA]])*100</f>
        <v>-95.627811473387638</v>
      </c>
      <c r="P25" s="10">
        <f>_xlfn.RANK.EQ(G_Std[[#This Row],[VAA]],G_Std[VAA])</f>
        <v>45</v>
      </c>
      <c r="Q25" s="10">
        <f>G_Std[[#This Row],[VAA]]-_xlfn.XLOOKUP($B$85,G_Std[Value Rk],G_Std[VAA],,-1)</f>
        <v>-223.23423811245777</v>
      </c>
    </row>
    <row r="26" spans="1:17" x14ac:dyDescent="0.25">
      <c r="A26" t="s">
        <v>1092</v>
      </c>
      <c r="B26" t="s">
        <v>5</v>
      </c>
      <c r="C26">
        <v>30</v>
      </c>
      <c r="D26" t="s">
        <v>157</v>
      </c>
      <c r="E26">
        <v>26</v>
      </c>
      <c r="F26" s="9">
        <f>(INDEX(Goalie[],MATCH(G_Std[[#This Row],[player]],Goalie[player],0),6)-F$80)/F$81</f>
        <v>0.20793162548013125</v>
      </c>
      <c r="G26" s="9">
        <f>(INDEX(Goalie[],MATCH(G_Std[[#This Row],[player]],Goalie[player],0),7)-G$80)/G$81</f>
        <v>0.83981718699835084</v>
      </c>
      <c r="H26" s="9">
        <f>(INDEX(Goalie[],MATCH(G_Std[[#This Row],[player]],Goalie[player],0),8)-H$80)/H$81</f>
        <v>-0.13369798743633649</v>
      </c>
      <c r="I26" s="9">
        <f>(INDEX(Goalie[],MATCH(G_Std[[#This Row],[player]],Goalie[player],0),9)-I$80)/I$81</f>
        <v>0.77143224467741678</v>
      </c>
      <c r="J26" s="9">
        <f>(INDEX(Goalie[],MATCH(G_Std[[#This Row],[player]],Goalie[player],0),10)-J$80)/J$81</f>
        <v>0.46762134796071625</v>
      </c>
      <c r="K26" s="9">
        <f>(INDEX(Goalie[],MATCH(G_Std[[#This Row],[player]],Goalie[player],0),11)-K$80)/K$81</f>
        <v>0.43676940361469629</v>
      </c>
      <c r="L26" s="9">
        <f>(INDEX(Goalie[],MATCH(G_Std[[#This Row],[player]],Goalie[player],0),12)-L$80)/L$81</f>
        <v>-1.031096589647712</v>
      </c>
      <c r="M26" s="9">
        <f>-1*(INDEX(Goalie[],MATCH(G_Std[[#This Row],[player]],Goalie[player],0),13)-M$80)/M$81</f>
        <v>-0.60238972369350363</v>
      </c>
      <c r="N26" s="9">
        <f>(INDEX(Goalie[],MATCH(G_Std[[#This Row],[player]],Goalie[player],0),14)-N$80)/N$81</f>
        <v>-0.59645288460872337</v>
      </c>
      <c r="O26" s="10">
        <f>(G_Std[[#This Row],[W]]+G_Std[[#This Row],[SV]]+G_Std[[#This Row],[SV%]]+G_Std[[#This Row],[GAA]])*100</f>
        <v>-98.878528424638816</v>
      </c>
      <c r="P26" s="10">
        <f>_xlfn.RANK.EQ(G_Std[[#This Row],[VAA]],G_Std[VAA])</f>
        <v>46</v>
      </c>
      <c r="Q26" s="10">
        <f>G_Std[[#This Row],[VAA]]-_xlfn.XLOOKUP($B$85,G_Std[Value Rk],G_Std[VAA],,-1)</f>
        <v>-226.48495506370895</v>
      </c>
    </row>
    <row r="27" spans="1:17" x14ac:dyDescent="0.25">
      <c r="A27" t="s">
        <v>200</v>
      </c>
      <c r="B27" t="s">
        <v>22</v>
      </c>
      <c r="C27">
        <v>26</v>
      </c>
      <c r="D27" t="s">
        <v>157</v>
      </c>
      <c r="E27">
        <v>26</v>
      </c>
      <c r="F27" s="9">
        <f>(INDEX(Goalie[],MATCH(G_Std[[#This Row],[player]],Goalie[player],0),6)-F$80)/F$81</f>
        <v>-0.14524635603391492</v>
      </c>
      <c r="G27" s="9">
        <f>(INDEX(Goalie[],MATCH(G_Std[[#This Row],[player]],Goalie[player],0),7)-G$80)/G$81</f>
        <v>1.2114895901284144</v>
      </c>
      <c r="H27" s="9">
        <f>(INDEX(Goalie[],MATCH(G_Std[[#This Row],[player]],Goalie[player],0),8)-H$80)/H$81</f>
        <v>1.3436811205488302</v>
      </c>
      <c r="I27" s="9">
        <f>(INDEX(Goalie[],MATCH(G_Std[[#This Row],[player]],Goalie[player],0),9)-I$80)/I$81</f>
        <v>1.1930728888557596</v>
      </c>
      <c r="J27" s="9">
        <f>(INDEX(Goalie[],MATCH(G_Std[[#This Row],[player]],Goalie[player],0),10)-J$80)/J$81</f>
        <v>0.83580953484287701</v>
      </c>
      <c r="K27" s="9">
        <f>(INDEX(Goalie[],MATCH(G_Std[[#This Row],[player]],Goalie[player],0),11)-K$80)/K$81</f>
        <v>0.80100670410204244</v>
      </c>
      <c r="L27" s="9">
        <f>(INDEX(Goalie[],MATCH(G_Std[[#This Row],[player]],Goalie[player],0),12)-L$80)/L$81</f>
        <v>-0.87958048773383812</v>
      </c>
      <c r="M27" s="9">
        <f>-1*(INDEX(Goalie[],MATCH(G_Std[[#This Row],[player]],Goalie[player],0),13)-M$80)/M$81</f>
        <v>-1.3580640318489723</v>
      </c>
      <c r="N27" s="9">
        <f>(INDEX(Goalie[],MATCH(G_Std[[#This Row],[player]],Goalie[player],0),14)-N$80)/N$81</f>
        <v>-0.55041602981529003</v>
      </c>
      <c r="O27" s="10">
        <f>(G_Std[[#This Row],[W]]+G_Std[[#This Row],[SV]]+G_Std[[#This Row],[SV%]]+G_Std[[#This Row],[GAA]])*100</f>
        <v>-158.18841715146829</v>
      </c>
      <c r="P27" s="10">
        <f>_xlfn.RANK.EQ(G_Std[[#This Row],[VAA]],G_Std[VAA])</f>
        <v>52</v>
      </c>
      <c r="Q27" s="10">
        <f>G_Std[[#This Row],[VAA]]-_xlfn.XLOOKUP($B$85,G_Std[Value Rk],G_Std[VAA],,-1)</f>
        <v>-285.79484379053844</v>
      </c>
    </row>
    <row r="28" spans="1:17" x14ac:dyDescent="0.25">
      <c r="A28" t="s">
        <v>162</v>
      </c>
      <c r="B28" t="s">
        <v>1089</v>
      </c>
      <c r="C28">
        <v>30</v>
      </c>
      <c r="D28" t="s">
        <v>157</v>
      </c>
      <c r="E28">
        <v>26</v>
      </c>
      <c r="F28" s="9">
        <f>(INDEX(Goalie[],MATCH(G_Std[[#This Row],[player]],Goalie[player],0),6)-F$80)/F$81</f>
        <v>-1.087054306738038</v>
      </c>
      <c r="G28" s="9">
        <f>(INDEX(Goalie[],MATCH(G_Std[[#This Row],[player]],Goalie[player],0),7)-G$80)/G$81</f>
        <v>-0.86432931850029859</v>
      </c>
      <c r="H28" s="9">
        <f>(INDEX(Goalie[],MATCH(G_Std[[#This Row],[player]],Goalie[player],0),8)-H$80)/H$81</f>
        <v>-1.4961570369827506</v>
      </c>
      <c r="I28" s="9">
        <f>(INDEX(Goalie[],MATCH(G_Std[[#This Row],[player]],Goalie[player],0),9)-I$80)/I$81</f>
        <v>-1.1133898166659906</v>
      </c>
      <c r="J28" s="9">
        <f>(INDEX(Goalie[],MATCH(G_Std[[#This Row],[player]],Goalie[player],0),10)-J$80)/J$81</f>
        <v>-1.1513198007722296</v>
      </c>
      <c r="K28" s="9">
        <f>(INDEX(Goalie[],MATCH(G_Std[[#This Row],[player]],Goalie[player],0),11)-K$80)/K$81</f>
        <v>-1.1521498347431469</v>
      </c>
      <c r="L28" s="9">
        <f>(INDEX(Goalie[],MATCH(G_Std[[#This Row],[player]],Goalie[player],0),12)-L$80)/L$81</f>
        <v>-0.72806438581996435</v>
      </c>
      <c r="M28" s="9">
        <f>-1*(INDEX(Goalie[],MATCH(G_Std[[#This Row],[player]],Goalie[player],0),13)-M$80)/M$81</f>
        <v>-0.60238972369350363</v>
      </c>
      <c r="N28" s="9">
        <f>(INDEX(Goalie[],MATCH(G_Std[[#This Row],[player]],Goalie[player],0),14)-N$80)/N$81</f>
        <v>-0.8747353650764923</v>
      </c>
      <c r="O28" s="10">
        <f>(G_Std[[#This Row],[W]]+G_Std[[#This Row],[SV]]+G_Std[[#This Row],[SV%]]+G_Std[[#This Row],[GAA]])*100</f>
        <v>-356.96582509946529</v>
      </c>
      <c r="P28" s="10">
        <f>_xlfn.RANK.EQ(G_Std[[#This Row],[VAA]],G_Std[VAA])</f>
        <v>66</v>
      </c>
      <c r="Q28" s="10">
        <f>G_Std[[#This Row],[VAA]]-_xlfn.XLOOKUP($B$85,G_Std[Value Rk],G_Std[VAA],,-1)</f>
        <v>-484.57225173853544</v>
      </c>
    </row>
    <row r="29" spans="1:17" x14ac:dyDescent="0.25">
      <c r="A29" t="s">
        <v>1252</v>
      </c>
      <c r="B29" t="s">
        <v>31</v>
      </c>
      <c r="C29">
        <v>22</v>
      </c>
      <c r="D29" t="s">
        <v>157</v>
      </c>
      <c r="E29">
        <v>26</v>
      </c>
      <c r="F29" s="9">
        <f>(INDEX(Goalie[],MATCH(G_Std[[#This Row],[player]],Goalie[player],0),6)-F$80)/F$81</f>
        <v>-1.9111362636041458</v>
      </c>
      <c r="G29" s="9">
        <f>(INDEX(Goalie[],MATCH(G_Std[[#This Row],[player]],Goalie[player],0),7)-G$80)/G$81</f>
        <v>-2.0177663382934008</v>
      </c>
      <c r="H29" s="9">
        <f>(INDEX(Goalie[],MATCH(G_Std[[#This Row],[player]],Goalie[player],0),8)-H$80)/H$81</f>
        <v>-1.7483363235367266</v>
      </c>
      <c r="I29" s="9">
        <f>(INDEX(Goalie[],MATCH(G_Std[[#This Row],[player]],Goalie[player],0),9)-I$80)/I$81</f>
        <v>-2.2701476003614878</v>
      </c>
      <c r="J29" s="9">
        <f>(INDEX(Goalie[],MATCH(G_Std[[#This Row],[player]],Goalie[player],0),10)-J$80)/J$81</f>
        <v>-2.1754792688780387</v>
      </c>
      <c r="K29" s="9">
        <f>(INDEX(Goalie[],MATCH(G_Std[[#This Row],[player]],Goalie[player],0),11)-K$80)/K$81</f>
        <v>-2.1630403136319409</v>
      </c>
      <c r="L29" s="9">
        <f>(INDEX(Goalie[],MATCH(G_Std[[#This Row],[player]],Goalie[player],0),12)-L$80)/L$81</f>
        <v>-1.6371609973032075</v>
      </c>
      <c r="M29" s="9">
        <f>-1*(INDEX(Goalie[],MATCH(G_Std[[#This Row],[player]],Goalie[player],0),13)-M$80)/M$81</f>
        <v>-1.4300330135780646</v>
      </c>
      <c r="N29" s="9">
        <f>(INDEX(Goalie[],MATCH(G_Std[[#This Row],[player]],Goalie[player],0),14)-N$80)/N$81</f>
        <v>-1.5039629736897251</v>
      </c>
      <c r="O29" s="10">
        <f>(G_Std[[#This Row],[W]]+G_Std[[#This Row],[SV]]+G_Std[[#This Row],[SV%]]+G_Std[[#This Row],[GAA]])*100</f>
        <v>-714.13705881173598</v>
      </c>
      <c r="P29" s="10">
        <f>_xlfn.RANK.EQ(G_Std[[#This Row],[VAA]],G_Std[VAA])</f>
        <v>76</v>
      </c>
      <c r="Q29" s="10">
        <f>G_Std[[#This Row],[VAA]]-_xlfn.XLOOKUP($B$85,G_Std[Value Rk],G_Std[VAA],,-1)</f>
        <v>-841.74348545080613</v>
      </c>
    </row>
    <row r="30" spans="1:17" x14ac:dyDescent="0.25">
      <c r="A30" t="s">
        <v>166</v>
      </c>
      <c r="B30" t="s">
        <v>9</v>
      </c>
      <c r="C30">
        <v>31</v>
      </c>
      <c r="D30" t="s">
        <v>157</v>
      </c>
      <c r="E30">
        <v>27</v>
      </c>
      <c r="F30" s="9">
        <f>(INDEX(Goalie[],MATCH(G_Std[[#This Row],[player]],Goalie[player],0),6)-F$80)/F$81</f>
        <v>-2.7520362195899525E-2</v>
      </c>
      <c r="G30" s="9">
        <f>(INDEX(Goalie[],MATCH(G_Std[[#This Row],[player]],Goalie[player],0),7)-G$80)/G$81</f>
        <v>0.21824364421863937</v>
      </c>
      <c r="H30" s="9">
        <f>(INDEX(Goalie[],MATCH(G_Std[[#This Row],[player]],Goalie[player],0),8)-H$80)/H$81</f>
        <v>0.19862594909095793</v>
      </c>
      <c r="I30" s="9">
        <f>(INDEX(Goalie[],MATCH(G_Std[[#This Row],[player]],Goalie[player],0),9)-I$80)/I$81</f>
        <v>4.376593415692482E-2</v>
      </c>
      <c r="J30" s="9">
        <f>(INDEX(Goalie[],MATCH(G_Std[[#This Row],[player]],Goalie[player],0),10)-J$80)/J$81</f>
        <v>8.0263031941233798E-2</v>
      </c>
      <c r="K30" s="9">
        <f>(INDEX(Goalie[],MATCH(G_Std[[#This Row],[player]],Goalie[player],0),11)-K$80)/K$81</f>
        <v>8.3089706040026884E-2</v>
      </c>
      <c r="L30" s="9">
        <f>(INDEX(Goalie[],MATCH(G_Std[[#This Row],[player]],Goalie[player],0),12)-L$80)/L$81</f>
        <v>0.48406442949102668</v>
      </c>
      <c r="M30" s="9">
        <f>-1*(INDEX(Goalie[],MATCH(G_Std[[#This Row],[player]],Goalie[player],0),13)-M$80)/M$81</f>
        <v>0.15328458446196486</v>
      </c>
      <c r="N30" s="9">
        <f>(INDEX(Goalie[],MATCH(G_Std[[#This Row],[player]],Goalie[player],0),14)-N$80)/N$81</f>
        <v>0.24973199118401082</v>
      </c>
      <c r="O30" s="10">
        <f>(G_Std[[#This Row],[W]]+G_Std[[#This Row],[SV]]+G_Std[[#This Row],[SV%]]+G_Std[[#This Row],[GAA]])*100</f>
        <v>69.291835779711903</v>
      </c>
      <c r="P30" s="10">
        <f>_xlfn.RANK.EQ(G_Std[[#This Row],[VAA]],G_Std[VAA])</f>
        <v>34</v>
      </c>
      <c r="Q30" s="10">
        <f>G_Std[[#This Row],[VAA]]-_xlfn.XLOOKUP($B$85,G_Std[Value Rk],G_Std[VAA],,-1)</f>
        <v>-58.314590859358233</v>
      </c>
    </row>
    <row r="31" spans="1:17" x14ac:dyDescent="0.25">
      <c r="A31" t="s">
        <v>202</v>
      </c>
      <c r="B31" t="s">
        <v>4</v>
      </c>
      <c r="C31">
        <v>24</v>
      </c>
      <c r="D31" t="s">
        <v>157</v>
      </c>
      <c r="E31">
        <v>27</v>
      </c>
      <c r="F31" s="9">
        <f>(INDEX(Goalie[],MATCH(G_Std[[#This Row],[player]],Goalie[player],0),6)-F$80)/F$81</f>
        <v>1.2674655700222697</v>
      </c>
      <c r="G31" s="9">
        <f>(INDEX(Goalie[],MATCH(G_Std[[#This Row],[player]],Goalie[player],0),7)-G$80)/G$81</f>
        <v>-0.26928191600375412</v>
      </c>
      <c r="H31" s="9">
        <f>(INDEX(Goalie[],MATCH(G_Std[[#This Row],[player]],Goalie[player],0),8)-H$80)/H$81</f>
        <v>-0.96295329890595294</v>
      </c>
      <c r="I31" s="9">
        <f>(INDEX(Goalie[],MATCH(G_Std[[#This Row],[player]],Goalie[player],0),9)-I$80)/I$81</f>
        <v>-8.1754003295010869E-2</v>
      </c>
      <c r="J31" s="9">
        <f>(INDEX(Goalie[],MATCH(G_Std[[#This Row],[player]],Goalie[player],0),10)-J$80)/J$81</f>
        <v>0.22870220049767734</v>
      </c>
      <c r="K31" s="9">
        <f>(INDEX(Goalie[],MATCH(G_Std[[#This Row],[player]],Goalie[player],0),11)-K$80)/K$81</f>
        <v>0.25729015409919243</v>
      </c>
      <c r="L31" s="9">
        <f>(INDEX(Goalie[],MATCH(G_Std[[#This Row],[player]],Goalie[player],0),12)-L$80)/L$81</f>
        <v>1.6961932448020176</v>
      </c>
      <c r="M31" s="9">
        <f>-1*(INDEX(Goalie[],MATCH(G_Std[[#This Row],[player]],Goalie[player],0),13)-M$80)/M$81</f>
        <v>2.2403850546056403</v>
      </c>
      <c r="N31" s="9">
        <f>(INDEX(Goalie[],MATCH(G_Std[[#This Row],[player]],Goalie[player],0),14)-N$80)/N$81</f>
        <v>1.3600275544577294</v>
      </c>
      <c r="O31" s="10">
        <f>(G_Std[[#This Row],[W]]+G_Std[[#This Row],[SV]]+G_Std[[#This Row],[SV%]]+G_Std[[#This Row],[GAA]])*100</f>
        <v>546.13340235291207</v>
      </c>
      <c r="P31" s="10">
        <f>_xlfn.RANK.EQ(G_Std[[#This Row],[VAA]],G_Std[VAA])</f>
        <v>5</v>
      </c>
      <c r="Q31" s="10">
        <f>G_Std[[#This Row],[VAA]]-_xlfn.XLOOKUP($B$85,G_Std[Value Rk],G_Std[VAA],,-1)</f>
        <v>418.52697571384192</v>
      </c>
    </row>
    <row r="32" spans="1:17" x14ac:dyDescent="0.25">
      <c r="A32" t="s">
        <v>196</v>
      </c>
      <c r="B32" t="s">
        <v>1089</v>
      </c>
      <c r="C32">
        <v>32</v>
      </c>
      <c r="D32" t="s">
        <v>157</v>
      </c>
      <c r="E32">
        <v>28</v>
      </c>
      <c r="F32" s="9">
        <f>(INDEX(Goalie[],MATCH(G_Std[[#This Row],[player]],Goalie[player],0),6)-F$80)/F$81</f>
        <v>2.0915475268883772</v>
      </c>
      <c r="G32" s="9">
        <f>(INDEX(Goalie[],MATCH(G_Std[[#This Row],[player]],Goalie[player],0),7)-G$80)/G$81</f>
        <v>0.41107048925179818</v>
      </c>
      <c r="H32" s="9">
        <f>(INDEX(Goalie[],MATCH(G_Std[[#This Row],[player]],Goalie[player],0),8)-H$80)/H$81</f>
        <v>0.40313298695390853</v>
      </c>
      <c r="I32" s="9">
        <f>(INDEX(Goalie[],MATCH(G_Std[[#This Row],[player]],Goalie[player],0),9)-I$80)/I$81</f>
        <v>0.96214140852893493</v>
      </c>
      <c r="J32" s="9">
        <f>(INDEX(Goalie[],MATCH(G_Std[[#This Row],[player]],Goalie[player],0),10)-J$80)/J$81</f>
        <v>1.422696156747665</v>
      </c>
      <c r="K32" s="9">
        <f>(INDEX(Goalie[],MATCH(G_Std[[#This Row],[player]],Goalie[player],0),11)-K$80)/K$81</f>
        <v>1.4634962868725052</v>
      </c>
      <c r="L32" s="9">
        <f>(INDEX(Goalie[],MATCH(G_Std[[#This Row],[player]],Goalie[player],0),12)-L$80)/L$81</f>
        <v>1.9992254486297654</v>
      </c>
      <c r="M32" s="9">
        <f>-1*(INDEX(Goalie[],MATCH(G_Std[[#This Row],[player]],Goalie[player],0),13)-M$80)/M$81</f>
        <v>1.7366021825019942</v>
      </c>
      <c r="N32" s="9">
        <f>(INDEX(Goalie[],MATCH(G_Std[[#This Row],[player]],Goalie[player],0),14)-N$80)/N$81</f>
        <v>2.0128748180489366</v>
      </c>
      <c r="O32" s="10">
        <f>(G_Std[[#This Row],[W]]+G_Std[[#This Row],[SV]]+G_Std[[#This Row],[SV%]]+G_Std[[#This Row],[GAA]])*100</f>
        <v>729.08714448926423</v>
      </c>
      <c r="P32" s="10">
        <f>_xlfn.RANK.EQ(G_Std[[#This Row],[VAA]],G_Std[VAA])</f>
        <v>1</v>
      </c>
      <c r="Q32" s="10">
        <f>G_Std[[#This Row],[VAA]]-_xlfn.XLOOKUP($B$85,G_Std[Value Rk],G_Std[VAA],,-1)</f>
        <v>601.48071785019408</v>
      </c>
    </row>
    <row r="33" spans="1:17" x14ac:dyDescent="0.25">
      <c r="A33" t="s">
        <v>185</v>
      </c>
      <c r="B33" t="s">
        <v>4</v>
      </c>
      <c r="C33">
        <v>42</v>
      </c>
      <c r="D33" t="s">
        <v>157</v>
      </c>
      <c r="E33">
        <v>29</v>
      </c>
      <c r="F33" s="9">
        <f>(INDEX(Goalie[],MATCH(G_Std[[#This Row],[player]],Goalie[player],0),6)-F$80)/F$81</f>
        <v>0.32565761931814663</v>
      </c>
      <c r="G33" s="9">
        <f>(INDEX(Goalie[],MATCH(G_Std[[#This Row],[player]],Goalie[player],0),7)-G$80)/G$81</f>
        <v>-0.86605303880750806</v>
      </c>
      <c r="H33" s="9">
        <f>(INDEX(Goalie[],MATCH(G_Std[[#This Row],[player]],Goalie[player],0),8)-H$80)/H$81</f>
        <v>0.8065622702606926</v>
      </c>
      <c r="I33" s="9">
        <f>(INDEX(Goalie[],MATCH(G_Std[[#This Row],[player]],Goalie[player],0),9)-I$80)/I$81</f>
        <v>-6.0545671796350335E-2</v>
      </c>
      <c r="J33" s="9">
        <f>(INDEX(Goalie[],MATCH(G_Std[[#This Row],[player]],Goalie[player],0),10)-J$80)/J$81</f>
        <v>-0.194720753417155</v>
      </c>
      <c r="K33" s="9">
        <f>(INDEX(Goalie[],MATCH(G_Std[[#This Row],[player]],Goalie[player],0),11)-K$80)/K$81</f>
        <v>-0.20724437405858234</v>
      </c>
      <c r="L33" s="9">
        <f>(INDEX(Goalie[],MATCH(G_Std[[#This Row],[player]],Goalie[player],0),12)-L$80)/L$81</f>
        <v>-0.57654828390609048</v>
      </c>
      <c r="M33" s="9">
        <f>-1*(INDEX(Goalie[],MATCH(G_Std[[#This Row],[player]],Goalie[player],0),13)-M$80)/M$81</f>
        <v>0.26123805705560255</v>
      </c>
      <c r="N33" s="9">
        <f>(INDEX(Goalie[],MATCH(G_Std[[#This Row],[player]],Goalie[player],0),14)-N$80)/N$81</f>
        <v>0.7052048288138193</v>
      </c>
      <c r="O33" s="10">
        <f>(G_Std[[#This Row],[W]]+G_Std[[#This Row],[SV]]+G_Std[[#This Row],[SV%]]+G_Std[[#This Row],[GAA]])*100</f>
        <v>-19.689698159092362</v>
      </c>
      <c r="P33" s="10">
        <f>_xlfn.RANK.EQ(G_Std[[#This Row],[VAA]],G_Std[VAA])</f>
        <v>38</v>
      </c>
      <c r="Q33" s="10">
        <f>G_Std[[#This Row],[VAA]]-_xlfn.XLOOKUP($B$85,G_Std[Value Rk],G_Std[VAA],,-1)</f>
        <v>-147.29612479816251</v>
      </c>
    </row>
    <row r="34" spans="1:17" x14ac:dyDescent="0.25">
      <c r="A34" t="s">
        <v>186</v>
      </c>
      <c r="B34" t="s">
        <v>1089</v>
      </c>
      <c r="C34">
        <v>26</v>
      </c>
      <c r="D34" t="s">
        <v>157</v>
      </c>
      <c r="E34">
        <v>30</v>
      </c>
      <c r="F34" s="9">
        <f>(INDEX(Goalie[],MATCH(G_Std[[#This Row],[player]],Goalie[player],0),6)-F$80)/F$81</f>
        <v>0.67883560083219274</v>
      </c>
      <c r="G34" s="9">
        <f>(INDEX(Goalie[],MATCH(G_Std[[#This Row],[player]],Goalie[player],0),7)-G$80)/G$81</f>
        <v>0.81016919771434881</v>
      </c>
      <c r="H34" s="9">
        <f>(INDEX(Goalie[],MATCH(G_Std[[#This Row],[player]],Goalie[player],0),8)-H$80)/H$81</f>
        <v>2.4598335518582783</v>
      </c>
      <c r="I34" s="9">
        <f>(INDEX(Goalie[],MATCH(G_Std[[#This Row],[player]],Goalie[player],0),9)-I$80)/I$81</f>
        <v>0.85704492296325196</v>
      </c>
      <c r="J34" s="9">
        <f>(INDEX(Goalie[],MATCH(G_Std[[#This Row],[player]],Goalie[player],0),10)-J$80)/J$81</f>
        <v>1.2067233507998438</v>
      </c>
      <c r="K34" s="9">
        <f>(INDEX(Goalie[],MATCH(G_Std[[#This Row],[player]],Goalie[player],0),11)-K$80)/K$81</f>
        <v>1.2391472249781255</v>
      </c>
      <c r="L34" s="9">
        <f>(INDEX(Goalie[],MATCH(G_Std[[#This Row],[player]],Goalie[player],0),12)-L$80)/L$81</f>
        <v>1.8477093467158916</v>
      </c>
      <c r="M34" s="9">
        <f>-1*(INDEX(Goalie[],MATCH(G_Std[[#This Row],[player]],Goalie[player],0),13)-M$80)/M$81</f>
        <v>0.9449433834819787</v>
      </c>
      <c r="N34" s="9">
        <f>(INDEX(Goalie[],MATCH(G_Std[[#This Row],[player]],Goalie[player],0),14)-N$80)/N$81</f>
        <v>1.8015862680641488</v>
      </c>
      <c r="O34" s="10">
        <f>(G_Std[[#This Row],[W]]+G_Std[[#This Row],[SV]]+G_Std[[#This Row],[SV%]]+G_Std[[#This Row],[GAA]])*100</f>
        <v>471.06355560081886</v>
      </c>
      <c r="P34" s="10">
        <f>_xlfn.RANK.EQ(G_Std[[#This Row],[VAA]],G_Std[VAA])</f>
        <v>10</v>
      </c>
      <c r="Q34" s="10">
        <f>G_Std[[#This Row],[VAA]]-_xlfn.XLOOKUP($B$85,G_Std[Value Rk],G_Std[VAA],,-1)</f>
        <v>343.45712896174871</v>
      </c>
    </row>
    <row r="35" spans="1:17" x14ac:dyDescent="0.25">
      <c r="A35" t="s">
        <v>1242</v>
      </c>
      <c r="B35" t="s">
        <v>10</v>
      </c>
      <c r="C35">
        <v>38</v>
      </c>
      <c r="D35" t="s">
        <v>157</v>
      </c>
      <c r="E35">
        <v>31</v>
      </c>
      <c r="F35" s="9">
        <f>(INDEX(Goalie[],MATCH(G_Std[[#This Row],[player]],Goalie[player],0),6)-F$80)/F$81</f>
        <v>1.6206435515363158</v>
      </c>
      <c r="G35" s="9">
        <f>(INDEX(Goalie[],MATCH(G_Std[[#This Row],[player]],Goalie[player],0),7)-G$80)/G$81</f>
        <v>0.75106474362492504</v>
      </c>
      <c r="H35" s="9">
        <f>(INDEX(Goalie[],MATCH(G_Std[[#This Row],[player]],Goalie[player],0),8)-H$80)/H$81</f>
        <v>1.7508527905282185</v>
      </c>
      <c r="I35" s="9">
        <f>(INDEX(Goalie[],MATCH(G_Std[[#This Row],[player]],Goalie[player],0),9)-I$80)/I$81</f>
        <v>1.2188965335682282</v>
      </c>
      <c r="J35" s="9">
        <f>(INDEX(Goalie[],MATCH(G_Std[[#This Row],[player]],Goalie[player],0),10)-J$80)/J$81</f>
        <v>1.1695967888996934</v>
      </c>
      <c r="K35" s="9">
        <f>(INDEX(Goalie[],MATCH(G_Std[[#This Row],[player]],Goalie[player],0),11)-K$80)/K$81</f>
        <v>1.1626046038612194</v>
      </c>
      <c r="L35" s="9">
        <f>(INDEX(Goalie[],MATCH(G_Std[[#This Row],[player]],Goalie[player],0),12)-L$80)/L$81</f>
        <v>0.3325483275771528</v>
      </c>
      <c r="M35" s="9">
        <f>-1*(INDEX(Goalie[],MATCH(G_Std[[#This Row],[player]],Goalie[player],0),13)-M$80)/M$81</f>
        <v>1.1248658378047103</v>
      </c>
      <c r="N35" s="9">
        <f>(INDEX(Goalie[],MATCH(G_Std[[#This Row],[player]],Goalie[player],0),14)-N$80)/N$81</f>
        <v>1.6184695247440002</v>
      </c>
      <c r="O35" s="10">
        <f>(G_Std[[#This Row],[W]]+G_Std[[#This Row],[SV]]+G_Std[[#This Row],[SV%]]+G_Std[[#This Row],[GAA]])*100</f>
        <v>424.06623207793979</v>
      </c>
      <c r="P35" s="10">
        <f>_xlfn.RANK.EQ(G_Std[[#This Row],[VAA]],G_Std[VAA])</f>
        <v>12</v>
      </c>
      <c r="Q35" s="10">
        <f>G_Std[[#This Row],[VAA]]-_xlfn.XLOOKUP($B$85,G_Std[Value Rk],G_Std[VAA],,-1)</f>
        <v>296.45980543886964</v>
      </c>
    </row>
    <row r="36" spans="1:17" x14ac:dyDescent="0.25">
      <c r="A36" t="s">
        <v>189</v>
      </c>
      <c r="B36" t="s">
        <v>17</v>
      </c>
      <c r="C36">
        <v>31</v>
      </c>
      <c r="D36" t="s">
        <v>157</v>
      </c>
      <c r="E36">
        <v>32</v>
      </c>
      <c r="F36" s="9">
        <f>(INDEX(Goalie[],MATCH(G_Std[[#This Row],[player]],Goalie[player],0),6)-F$80)/F$81</f>
        <v>-1.087054306738038</v>
      </c>
      <c r="G36" s="9">
        <f>(INDEX(Goalie[],MATCH(G_Std[[#This Row],[player]],Goalie[player],0),7)-G$80)/G$81</f>
        <v>-2.6313962478659355E-2</v>
      </c>
      <c r="H36" s="9">
        <f>(INDEX(Goalie[],MATCH(G_Std[[#This Row],[player]],Goalie[player],0),8)-H$80)/H$81</f>
        <v>-0.71255884291891136</v>
      </c>
      <c r="I36" s="9">
        <f>(INDEX(Goalie[],MATCH(G_Std[[#This Row],[player]],Goalie[player],0),9)-I$80)/I$81</f>
        <v>-0.55069469876336807</v>
      </c>
      <c r="J36" s="9">
        <f>(INDEX(Goalie[],MATCH(G_Std[[#This Row],[player]],Goalie[player],0),10)-J$80)/J$81</f>
        <v>-0.68357859103244212</v>
      </c>
      <c r="K36" s="9">
        <f>(INDEX(Goalie[],MATCH(G_Std[[#This Row],[player]],Goalie[player],0),11)-K$80)/K$81</f>
        <v>-0.69553350876987974</v>
      </c>
      <c r="L36" s="9">
        <f>(INDEX(Goalie[],MATCH(G_Std[[#This Row],[player]],Goalie[player],0),12)-L$80)/L$81</f>
        <v>-1.031096589647712</v>
      </c>
      <c r="M36" s="9">
        <f>-1*(INDEX(Goalie[],MATCH(G_Std[[#This Row],[player]],Goalie[player],0),13)-M$80)/M$81</f>
        <v>-1.2860950501198798</v>
      </c>
      <c r="N36" s="9">
        <f>(INDEX(Goalie[],MATCH(G_Std[[#This Row],[player]],Goalie[player],0),14)-N$80)/N$81</f>
        <v>-1.0134471570380497</v>
      </c>
      <c r="O36" s="10">
        <f>(G_Std[[#This Row],[W]]+G_Std[[#This Row],[SV]]+G_Std[[#This Row],[SV%]]+G_Std[[#This Row],[GAA]])*100</f>
        <v>-409.97794552755096</v>
      </c>
      <c r="P36" s="10">
        <f>_xlfn.RANK.EQ(G_Std[[#This Row],[VAA]],G_Std[VAA])</f>
        <v>70</v>
      </c>
      <c r="Q36" s="10">
        <f>G_Std[[#This Row],[VAA]]-_xlfn.XLOOKUP($B$85,G_Std[Value Rk],G_Std[VAA],,-1)</f>
        <v>-537.58437216662105</v>
      </c>
    </row>
    <row r="37" spans="1:17" x14ac:dyDescent="0.25">
      <c r="A37" t="s">
        <v>184</v>
      </c>
      <c r="B37" t="s">
        <v>1089</v>
      </c>
      <c r="C37">
        <v>27</v>
      </c>
      <c r="D37" t="s">
        <v>157</v>
      </c>
      <c r="E37">
        <v>33</v>
      </c>
      <c r="F37" s="9">
        <f>(INDEX(Goalie[],MATCH(G_Std[[#This Row],[player]],Goalie[player],0),6)-F$80)/F$81</f>
        <v>1.8560955392123466</v>
      </c>
      <c r="G37" s="9">
        <f>(INDEX(Goalie[],MATCH(G_Std[[#This Row],[player]],Goalie[player],0),7)-G$80)/G$81</f>
        <v>0.18583770244310222</v>
      </c>
      <c r="H37" s="9">
        <f>(INDEX(Goalie[],MATCH(G_Std[[#This Row],[player]],Goalie[player],0),8)-H$80)/H$81</f>
        <v>0.77587469954533372</v>
      </c>
      <c r="I37" s="9">
        <f>(INDEX(Goalie[],MATCH(G_Std[[#This Row],[player]],Goalie[player],0),9)-I$80)/I$81</f>
        <v>0.98868913232045574</v>
      </c>
      <c r="J37" s="9">
        <f>(INDEX(Goalie[],MATCH(G_Std[[#This Row],[player]],Goalie[player],0),10)-J$80)/J$81</f>
        <v>1.1211700622658931</v>
      </c>
      <c r="K37" s="9">
        <f>(INDEX(Goalie[],MATCH(G_Std[[#This Row],[player]],Goalie[player],0),11)-K$80)/K$81</f>
        <v>1.1309317951231892</v>
      </c>
      <c r="L37" s="9">
        <f>(INDEX(Goalie[],MATCH(G_Std[[#This Row],[player]],Goalie[player],0),12)-L$80)/L$81</f>
        <v>0.93861273523264832</v>
      </c>
      <c r="M37" s="9">
        <f>-1*(INDEX(Goalie[],MATCH(G_Std[[#This Row],[player]],Goalie[player],0),13)-M$80)/M$81</f>
        <v>1.3407727829919873</v>
      </c>
      <c r="N37" s="9">
        <f>(INDEX(Goalie[],MATCH(G_Std[[#This Row],[player]],Goalie[player],0),14)-N$80)/N$81</f>
        <v>0.91760994430665621</v>
      </c>
      <c r="O37" s="10">
        <f>(G_Std[[#This Row],[W]]+G_Std[[#This Row],[SV]]+G_Std[[#This Row],[SV%]]+G_Std[[#This Row],[GAA]])*100</f>
        <v>526.64128525601711</v>
      </c>
      <c r="P37" s="10">
        <f>_xlfn.RANK.EQ(G_Std[[#This Row],[VAA]],G_Std[VAA])</f>
        <v>7</v>
      </c>
      <c r="Q37" s="10">
        <f>G_Std[[#This Row],[VAA]]-_xlfn.XLOOKUP($B$85,G_Std[Value Rk],G_Std[VAA],,-1)</f>
        <v>399.03485861694696</v>
      </c>
    </row>
    <row r="38" spans="1:17" x14ac:dyDescent="0.25">
      <c r="A38" t="s">
        <v>192</v>
      </c>
      <c r="B38" t="s">
        <v>34</v>
      </c>
      <c r="C38">
        <v>34</v>
      </c>
      <c r="D38" t="s">
        <v>157</v>
      </c>
      <c r="E38">
        <v>33</v>
      </c>
      <c r="F38" s="9">
        <f>(INDEX(Goalie[],MATCH(G_Std[[#This Row],[player]],Goalie[player],0),6)-F$80)/F$81</f>
        <v>-1.4402322882520842</v>
      </c>
      <c r="G38" s="9">
        <f>(INDEX(Goalie[],MATCH(G_Std[[#This Row],[player]],Goalie[player],0),7)-G$80)/G$81</f>
        <v>-1.3930326416171388</v>
      </c>
      <c r="H38" s="9">
        <f>(INDEX(Goalie[],MATCH(G_Std[[#This Row],[player]],Goalie[player],0),8)-H$80)/H$81</f>
        <v>-0.76293712505012778</v>
      </c>
      <c r="I38" s="9">
        <f>(INDEX(Goalie[],MATCH(G_Std[[#This Row],[player]],Goalie[player],0),9)-I$80)/I$81</f>
        <v>-1.5021954091717269</v>
      </c>
      <c r="J38" s="9">
        <f>(INDEX(Goalie[],MATCH(G_Std[[#This Row],[player]],Goalie[player],0),10)-J$80)/J$81</f>
        <v>-1.4472867797923816</v>
      </c>
      <c r="K38" s="9">
        <f>(INDEX(Goalie[],MATCH(G_Std[[#This Row],[player]],Goalie[player],0),11)-K$80)/K$81</f>
        <v>-1.4398445141135869</v>
      </c>
      <c r="L38" s="9">
        <f>(INDEX(Goalie[],MATCH(G_Std[[#This Row],[player]],Goalie[player],0),12)-L$80)/L$81</f>
        <v>-0.27351608007834272</v>
      </c>
      <c r="M38" s="9">
        <f>-1*(INDEX(Goalie[],MATCH(G_Std[[#This Row],[player]],Goalie[player],0),13)-M$80)/M$81</f>
        <v>-0.92625014147441986</v>
      </c>
      <c r="N38" s="9">
        <f>(INDEX(Goalie[],MATCH(G_Std[[#This Row],[player]],Goalie[player],0),14)-N$80)/N$81</f>
        <v>-0.90179060623308072</v>
      </c>
      <c r="O38" s="10">
        <f>(G_Std[[#This Row],[W]]+G_Std[[#This Row],[SV]]+G_Std[[#This Row],[SV%]]+G_Std[[#This Row],[GAA]])*100</f>
        <v>-407.98430239184336</v>
      </c>
      <c r="P38" s="10">
        <f>_xlfn.RANK.EQ(G_Std[[#This Row],[VAA]],G_Std[VAA])</f>
        <v>69</v>
      </c>
      <c r="Q38" s="10">
        <f>G_Std[[#This Row],[VAA]]-_xlfn.XLOOKUP($B$85,G_Std[Value Rk],G_Std[VAA],,-1)</f>
        <v>-535.59072903091351</v>
      </c>
    </row>
    <row r="39" spans="1:17" x14ac:dyDescent="0.25">
      <c r="A39" t="s">
        <v>175</v>
      </c>
      <c r="B39" t="s">
        <v>165</v>
      </c>
      <c r="C39">
        <v>38</v>
      </c>
      <c r="D39" t="s">
        <v>157</v>
      </c>
      <c r="E39">
        <v>33</v>
      </c>
      <c r="F39" s="9">
        <f>(INDEX(Goalie[],MATCH(G_Std[[#This Row],[player]],Goalie[player],0),6)-F$80)/F$81</f>
        <v>1.3851915638602852</v>
      </c>
      <c r="G39" s="9">
        <f>(INDEX(Goalie[],MATCH(G_Std[[#This Row],[player]],Goalie[player],0),7)-G$80)/G$81</f>
        <v>6.8011843221411156E-2</v>
      </c>
      <c r="H39" s="9">
        <f>(INDEX(Goalie[],MATCH(G_Std[[#This Row],[player]],Goalie[player],0),8)-H$80)/H$81</f>
        <v>1.6134784120538372</v>
      </c>
      <c r="I39" s="9">
        <f>(INDEX(Goalie[],MATCH(G_Std[[#This Row],[player]],Goalie[player],0),9)-I$80)/I$81</f>
        <v>0.65294858713108328</v>
      </c>
      <c r="J39" s="9">
        <f>(INDEX(Goalie[],MATCH(G_Std[[#This Row],[player]],Goalie[player],0),10)-J$80)/J$81</f>
        <v>0.92418303872972529</v>
      </c>
      <c r="K39" s="9">
        <f>(INDEX(Goalie[],MATCH(G_Std[[#This Row],[player]],Goalie[player],0),11)-K$80)/K$81</f>
        <v>0.94881314487951618</v>
      </c>
      <c r="L39" s="9">
        <f>(INDEX(Goalie[],MATCH(G_Std[[#This Row],[player]],Goalie[player],0),12)-L$80)/L$81</f>
        <v>1.5446771428881438</v>
      </c>
      <c r="M39" s="9">
        <f>-1*(INDEX(Goalie[],MATCH(G_Std[[#This Row],[player]],Goalie[player],0),13)-M$80)/M$81</f>
        <v>1.4847107464501719</v>
      </c>
      <c r="N39" s="9">
        <f>(INDEX(Goalie[],MATCH(G_Std[[#This Row],[player]],Goalie[player],0),14)-N$80)/N$81</f>
        <v>1.7629359235547366</v>
      </c>
      <c r="O39" s="10">
        <f>(G_Std[[#This Row],[W]]+G_Std[[#This Row],[SV]]+G_Std[[#This Row],[SV%]]+G_Std[[#This Row],[GAA]])*100</f>
        <v>536.33925980781169</v>
      </c>
      <c r="P39" s="10">
        <f>_xlfn.RANK.EQ(G_Std[[#This Row],[VAA]],G_Std[VAA])</f>
        <v>6</v>
      </c>
      <c r="Q39" s="10">
        <f>G_Std[[#This Row],[VAA]]-_xlfn.XLOOKUP($B$85,G_Std[Value Rk],G_Std[VAA],,-1)</f>
        <v>408.73283316874154</v>
      </c>
    </row>
    <row r="40" spans="1:17" x14ac:dyDescent="0.25">
      <c r="A40" t="s">
        <v>1084</v>
      </c>
      <c r="B40" t="s">
        <v>18</v>
      </c>
      <c r="C40">
        <v>25</v>
      </c>
      <c r="D40" t="s">
        <v>157</v>
      </c>
      <c r="E40">
        <v>33</v>
      </c>
      <c r="F40" s="9">
        <f>(INDEX(Goalie[],MATCH(G_Std[[#This Row],[player]],Goalie[player],0),6)-F$80)/F$81</f>
        <v>0.20793162548013125</v>
      </c>
      <c r="G40" s="9">
        <f>(INDEX(Goalie[],MATCH(G_Std[[#This Row],[player]],Goalie[player],0),7)-G$80)/G$81</f>
        <v>0.32645497461567413</v>
      </c>
      <c r="H40" s="9">
        <f>(INDEX(Goalie[],MATCH(G_Std[[#This Row],[player]],Goalie[player],0),8)-H$80)/H$81</f>
        <v>-0.62757787786099595</v>
      </c>
      <c r="I40" s="9">
        <f>(INDEX(Goalie[],MATCH(G_Std[[#This Row],[player]],Goalie[player],0),9)-I$80)/I$81</f>
        <v>8.2407436764986922E-2</v>
      </c>
      <c r="J40" s="9">
        <f>(INDEX(Goalie[],MATCH(G_Std[[#This Row],[player]],Goalie[player],0),10)-J$80)/J$81</f>
        <v>0.17066000656297259</v>
      </c>
      <c r="K40" s="9">
        <f>(INDEX(Goalie[],MATCH(G_Std[[#This Row],[player]],Goalie[player],0),11)-K$80)/K$81</f>
        <v>0.17810813225411717</v>
      </c>
      <c r="L40" s="9">
        <f>(INDEX(Goalie[],MATCH(G_Std[[#This Row],[player]],Goalie[player],0),12)-L$80)/L$81</f>
        <v>0.63558053140490056</v>
      </c>
      <c r="M40" s="9">
        <f>-1*(INDEX(Goalie[],MATCH(G_Std[[#This Row],[player]],Goalie[player],0),13)-M$80)/M$81</f>
        <v>0.58509847483651878</v>
      </c>
      <c r="N40" s="9">
        <f>(INDEX(Goalie[],MATCH(G_Std[[#This Row],[player]],Goalie[player],0),14)-N$80)/N$81</f>
        <v>-0.36970419682017086</v>
      </c>
      <c r="O40" s="10">
        <f>(G_Std[[#This Row],[W]]+G_Std[[#This Row],[SV]]+G_Std[[#This Row],[SV%]]+G_Std[[#This Row],[GAA]])*100</f>
        <v>160.67187639756679</v>
      </c>
      <c r="P40" s="10">
        <f>_xlfn.RANK.EQ(G_Std[[#This Row],[VAA]],G_Std[VAA])</f>
        <v>24</v>
      </c>
      <c r="Q40" s="10">
        <f>G_Std[[#This Row],[VAA]]-_xlfn.XLOOKUP($B$85,G_Std[Value Rk],G_Std[VAA],,-1)</f>
        <v>33.065449758496655</v>
      </c>
    </row>
    <row r="41" spans="1:17" x14ac:dyDescent="0.25">
      <c r="A41" t="s">
        <v>1247</v>
      </c>
      <c r="B41" t="s">
        <v>16</v>
      </c>
      <c r="C41">
        <v>25</v>
      </c>
      <c r="D41" t="s">
        <v>157</v>
      </c>
      <c r="E41">
        <v>33</v>
      </c>
      <c r="F41" s="9">
        <f>(INDEX(Goalie[],MATCH(G_Std[[#This Row],[player]],Goalie[player],0),6)-F$80)/F$81</f>
        <v>0.32565761931814663</v>
      </c>
      <c r="G41" s="9">
        <f>(INDEX(Goalie[],MATCH(G_Std[[#This Row],[player]],Goalie[player],0),7)-G$80)/G$81</f>
        <v>1.0031109574346548</v>
      </c>
      <c r="H41" s="9">
        <f>(INDEX(Goalie[],MATCH(G_Std[[#This Row],[player]],Goalie[player],0),8)-H$80)/H$81</f>
        <v>3.3947393178545031</v>
      </c>
      <c r="I41" s="9">
        <f>(INDEX(Goalie[],MATCH(G_Std[[#This Row],[player]],Goalie[player],0),9)-I$80)/I$81</f>
        <v>0.65119642630620012</v>
      </c>
      <c r="J41" s="9">
        <f>(INDEX(Goalie[],MATCH(G_Std[[#This Row],[player]],Goalie[player],0),10)-J$80)/J$81</f>
        <v>0.83567248125625426</v>
      </c>
      <c r="K41" s="9">
        <f>(INDEX(Goalie[],MATCH(G_Std[[#This Row],[player]],Goalie[player],0),11)-K$80)/K$81</f>
        <v>0.85115531793725674</v>
      </c>
      <c r="L41" s="9">
        <f>(INDEX(Goalie[],MATCH(G_Std[[#This Row],[player]],Goalie[player],0),12)-L$80)/L$81</f>
        <v>1.0901288371465221</v>
      </c>
      <c r="M41" s="9">
        <f>-1*(INDEX(Goalie[],MATCH(G_Std[[#This Row],[player]],Goalie[player],0),13)-M$80)/M$81</f>
        <v>1.0888813469401635</v>
      </c>
      <c r="N41" s="9">
        <f>(INDEX(Goalie[],MATCH(G_Std[[#This Row],[player]],Goalie[player],0),14)-N$80)/N$81</f>
        <v>0.93410075796400549</v>
      </c>
      <c r="O41" s="10">
        <f>(G_Std[[#This Row],[W]]+G_Std[[#This Row],[SV]]+G_Std[[#This Row],[SV%]]+G_Std[[#This Row],[GAA]])*100</f>
        <v>335.58231213420891</v>
      </c>
      <c r="P41" s="10">
        <f>_xlfn.RANK.EQ(G_Std[[#This Row],[VAA]],G_Std[VAA])</f>
        <v>15</v>
      </c>
      <c r="Q41" s="10">
        <f>G_Std[[#This Row],[VAA]]-_xlfn.XLOOKUP($B$85,G_Std[Value Rk],G_Std[VAA],,-1)</f>
        <v>207.97588549513875</v>
      </c>
    </row>
    <row r="42" spans="1:17" x14ac:dyDescent="0.25">
      <c r="A42" t="s">
        <v>209</v>
      </c>
      <c r="B42" t="s">
        <v>197</v>
      </c>
      <c r="C42">
        <v>29</v>
      </c>
      <c r="D42" t="s">
        <v>157</v>
      </c>
      <c r="E42">
        <v>34</v>
      </c>
      <c r="F42" s="9">
        <f>(INDEX(Goalie[],MATCH(G_Std[[#This Row],[player]],Goalie[player],0),6)-F$80)/F$81</f>
        <v>-0.49842433754796106</v>
      </c>
      <c r="G42" s="9">
        <f>(INDEX(Goalie[],MATCH(G_Std[[#This Row],[player]],Goalie[player],0),7)-G$80)/G$81</f>
        <v>1.7182250555522638</v>
      </c>
      <c r="H42" s="9">
        <f>(INDEX(Goalie[],MATCH(G_Std[[#This Row],[player]],Goalie[player],0),8)-H$80)/H$81</f>
        <v>0.8311468719407259</v>
      </c>
      <c r="I42" s="9">
        <f>(INDEX(Goalie[],MATCH(G_Std[[#This Row],[player]],Goalie[player],0),9)-I$80)/I$81</f>
        <v>1.0821616613728</v>
      </c>
      <c r="J42" s="9">
        <f>(INDEX(Goalie[],MATCH(G_Std[[#This Row],[player]],Goalie[player],0),10)-J$80)/J$81</f>
        <v>0.70507682102859093</v>
      </c>
      <c r="K42" s="9">
        <f>(INDEX(Goalie[],MATCH(G_Std[[#This Row],[player]],Goalie[player],0),11)-K$80)/K$81</f>
        <v>0.66903666769358372</v>
      </c>
      <c r="L42" s="9">
        <f>(INDEX(Goalie[],MATCH(G_Std[[#This Row],[player]],Goalie[player],0),12)-L$80)/L$81</f>
        <v>-1.031096589647712</v>
      </c>
      <c r="M42" s="9">
        <f>-1*(INDEX(Goalie[],MATCH(G_Std[[#This Row],[player]],Goalie[player],0),13)-M$80)/M$81</f>
        <v>-1.5739709770362491</v>
      </c>
      <c r="N42" s="9">
        <f>(INDEX(Goalie[],MATCH(G_Std[[#This Row],[player]],Goalie[player],0),14)-N$80)/N$81</f>
        <v>-1.0401588395767769</v>
      </c>
      <c r="O42" s="10">
        <f>(G_Std[[#This Row],[W]]+G_Std[[#This Row],[SV]]+G_Std[[#This Row],[SV%]]+G_Std[[#This Row],[GAA]])*100</f>
        <v>-243.44552365383385</v>
      </c>
      <c r="P42" s="10">
        <f>_xlfn.RANK.EQ(G_Std[[#This Row],[VAA]],G_Std[VAA])</f>
        <v>59</v>
      </c>
      <c r="Q42" s="10">
        <f>G_Std[[#This Row],[VAA]]-_xlfn.XLOOKUP($B$85,G_Std[Value Rk],G_Std[VAA],,-1)</f>
        <v>-371.051950292904</v>
      </c>
    </row>
    <row r="43" spans="1:17" x14ac:dyDescent="0.25">
      <c r="A43" t="s">
        <v>1102</v>
      </c>
      <c r="B43" t="s">
        <v>14</v>
      </c>
      <c r="C43">
        <v>38</v>
      </c>
      <c r="D43" t="s">
        <v>157</v>
      </c>
      <c r="E43">
        <v>34</v>
      </c>
      <c r="F43" s="9">
        <f>(INDEX(Goalie[],MATCH(G_Std[[#This Row],[player]],Goalie[player],0),6)-F$80)/F$81</f>
        <v>-1.087054306738038</v>
      </c>
      <c r="G43" s="9">
        <f>(INDEX(Goalie[],MATCH(G_Std[[#This Row],[player]],Goalie[player],0),7)-G$80)/G$81</f>
        <v>-1.3844714974246655</v>
      </c>
      <c r="H43" s="9">
        <f>(INDEX(Goalie[],MATCH(G_Std[[#This Row],[player]],Goalie[player],0),8)-H$80)/H$81</f>
        <v>-0.54754837824683444</v>
      </c>
      <c r="I43" s="9">
        <f>(INDEX(Goalie[],MATCH(G_Std[[#This Row],[player]],Goalie[player],0),9)-I$80)/I$81</f>
        <v>-1.1171539224128211</v>
      </c>
      <c r="J43" s="9">
        <f>(INDEX(Goalie[],MATCH(G_Std[[#This Row],[player]],Goalie[player],0),10)-J$80)/J$81</f>
        <v>-1.2714685031012742</v>
      </c>
      <c r="K43" s="9">
        <f>(INDEX(Goalie[],MATCH(G_Std[[#This Row],[player]],Goalie[player],0),11)-K$80)/K$81</f>
        <v>-1.2841198711516058</v>
      </c>
      <c r="L43" s="9">
        <f>(INDEX(Goalie[],MATCH(G_Std[[#This Row],[player]],Goalie[player],0),12)-L$80)/L$81</f>
        <v>-2.091709303044829</v>
      </c>
      <c r="M43" s="9">
        <f>-1*(INDEX(Goalie[],MATCH(G_Std[[#This Row],[player]],Goalie[player],0),13)-M$80)/M$81</f>
        <v>-1.7898779222235262</v>
      </c>
      <c r="N43" s="9">
        <f>(INDEX(Goalie[],MATCH(G_Std[[#This Row],[player]],Goalie[player],0),14)-N$80)/N$81</f>
        <v>-0.67169222192037947</v>
      </c>
      <c r="O43" s="10">
        <f>(G_Std[[#This Row],[W]]+G_Std[[#This Row],[SV]]+G_Std[[#This Row],[SV%]]+G_Std[[#This Row],[GAA]])*100</f>
        <v>-625.27614031579992</v>
      </c>
      <c r="P43" s="10">
        <f>_xlfn.RANK.EQ(G_Std[[#This Row],[VAA]],G_Std[VAA])</f>
        <v>74</v>
      </c>
      <c r="Q43" s="10">
        <f>G_Std[[#This Row],[VAA]]-_xlfn.XLOOKUP($B$85,G_Std[Value Rk],G_Std[VAA],,-1)</f>
        <v>-752.88256695487007</v>
      </c>
    </row>
    <row r="44" spans="1:17" x14ac:dyDescent="0.25">
      <c r="A44" t="s">
        <v>198</v>
      </c>
      <c r="B44" t="s">
        <v>30</v>
      </c>
      <c r="C44">
        <v>29</v>
      </c>
      <c r="D44" t="s">
        <v>157</v>
      </c>
      <c r="E44">
        <v>35</v>
      </c>
      <c r="F44" s="9">
        <f>(INDEX(Goalie[],MATCH(G_Std[[#This Row],[player]],Goalie[player],0),6)-F$80)/F$81</f>
        <v>-0.38069834370994571</v>
      </c>
      <c r="G44" s="9">
        <f>(INDEX(Goalie[],MATCH(G_Std[[#This Row],[player]],Goalie[player],0),7)-G$80)/G$81</f>
        <v>-0.88884445175838789</v>
      </c>
      <c r="H44" s="9">
        <f>(INDEX(Goalie[],MATCH(G_Std[[#This Row],[player]],Goalie[player],0),8)-H$80)/H$81</f>
        <v>9.3608821539713352E-2</v>
      </c>
      <c r="I44" s="9">
        <f>(INDEX(Goalie[],MATCH(G_Std[[#This Row],[player]],Goalie[player],0),9)-I$80)/I$81</f>
        <v>-0.60934234050601477</v>
      </c>
      <c r="J44" s="9">
        <f>(INDEX(Goalie[],MATCH(G_Std[[#This Row],[player]],Goalie[player],0),10)-J$80)/J$81</f>
        <v>-0.6485001116028084</v>
      </c>
      <c r="K44" s="9">
        <f>(INDEX(Goalie[],MATCH(G_Std[[#This Row],[player]],Goalie[player],0),11)-K$80)/K$81</f>
        <v>-0.65066369639100374</v>
      </c>
      <c r="L44" s="9">
        <f>(INDEX(Goalie[],MATCH(G_Std[[#This Row],[player]],Goalie[player],0),12)-L$80)/L$81</f>
        <v>-0.27351608007834272</v>
      </c>
      <c r="M44" s="9">
        <f>-1*(INDEX(Goalie[],MATCH(G_Std[[#This Row],[player]],Goalie[player],0),13)-M$80)/M$81</f>
        <v>0.22525356619105716</v>
      </c>
      <c r="N44" s="9">
        <f>(INDEX(Goalie[],MATCH(G_Std[[#This Row],[player]],Goalie[player],0),14)-N$80)/N$81</f>
        <v>-0.28140963202978003</v>
      </c>
      <c r="O44" s="10">
        <f>(G_Std[[#This Row],[W]]+G_Std[[#This Row],[SV]]+G_Std[[#This Row],[SV%]]+G_Std[[#This Row],[GAA]])*100</f>
        <v>-107.96245539882349</v>
      </c>
      <c r="P44" s="10">
        <f>_xlfn.RANK.EQ(G_Std[[#This Row],[VAA]],G_Std[VAA])</f>
        <v>47</v>
      </c>
      <c r="Q44" s="10">
        <f>G_Std[[#This Row],[VAA]]-_xlfn.XLOOKUP($B$85,G_Std[Value Rk],G_Std[VAA],,-1)</f>
        <v>-235.56888203789362</v>
      </c>
    </row>
    <row r="45" spans="1:17" x14ac:dyDescent="0.25">
      <c r="A45" t="s">
        <v>183</v>
      </c>
      <c r="B45" t="s">
        <v>21</v>
      </c>
      <c r="C45">
        <v>31</v>
      </c>
      <c r="D45" t="s">
        <v>157</v>
      </c>
      <c r="E45">
        <v>35</v>
      </c>
      <c r="F45" s="9">
        <f>(INDEX(Goalie[],MATCH(G_Std[[#This Row],[player]],Goalie[player],0),6)-F$80)/F$81</f>
        <v>-0.49842433754796106</v>
      </c>
      <c r="G45" s="9">
        <f>(INDEX(Goalie[],MATCH(G_Std[[#This Row],[player]],Goalie[player],0),7)-G$80)/G$81</f>
        <v>0.18848074024749026</v>
      </c>
      <c r="H45" s="9">
        <f>(INDEX(Goalie[],MATCH(G_Std[[#This Row],[player]],Goalie[player],0),8)-H$80)/H$81</f>
        <v>-0.794891349716214</v>
      </c>
      <c r="I45" s="9">
        <f>(INDEX(Goalie[],MATCH(G_Std[[#This Row],[player]],Goalie[player],0),9)-I$80)/I$81</f>
        <v>-5.7118732643582845E-2</v>
      </c>
      <c r="J45" s="9">
        <f>(INDEX(Goalie[],MATCH(G_Std[[#This Row],[player]],Goalie[player],0),10)-J$80)/J$81</f>
        <v>-0.30367714832455717</v>
      </c>
      <c r="K45" s="9">
        <f>(INDEX(Goalie[],MATCH(G_Std[[#This Row],[player]],Goalie[player],0),11)-K$80)/K$81</f>
        <v>-0.32601740682619523</v>
      </c>
      <c r="L45" s="9">
        <f>(INDEX(Goalie[],MATCH(G_Std[[#This Row],[player]],Goalie[player],0),12)-L$80)/L$81</f>
        <v>-1.182612691561586</v>
      </c>
      <c r="M45" s="9">
        <f>-1*(INDEX(Goalie[],MATCH(G_Std[[#This Row],[player]],Goalie[player],0),13)-M$80)/M$81</f>
        <v>-1.4660175044426116</v>
      </c>
      <c r="N45" s="9">
        <f>(INDEX(Goalie[],MATCH(G_Std[[#This Row],[player]],Goalie[player],0),14)-N$80)/N$81</f>
        <v>-1.2535087412687331</v>
      </c>
      <c r="O45" s="10">
        <f>(G_Std[[#This Row],[W]]+G_Std[[#This Row],[SV]]+G_Std[[#This Row],[SV%]]+G_Std[[#This Row],[GAA]])*100</f>
        <v>-347.30719403783542</v>
      </c>
      <c r="P45" s="10">
        <f>_xlfn.RANK.EQ(G_Std[[#This Row],[VAA]],G_Std[VAA])</f>
        <v>65</v>
      </c>
      <c r="Q45" s="10">
        <f>G_Std[[#This Row],[VAA]]-_xlfn.XLOOKUP($B$85,G_Std[Value Rk],G_Std[VAA],,-1)</f>
        <v>-474.91362067690557</v>
      </c>
    </row>
    <row r="46" spans="1:17" x14ac:dyDescent="0.25">
      <c r="A46" t="s">
        <v>203</v>
      </c>
      <c r="B46" t="s">
        <v>6</v>
      </c>
      <c r="C46">
        <v>27</v>
      </c>
      <c r="D46" t="s">
        <v>157</v>
      </c>
      <c r="E46">
        <v>35</v>
      </c>
      <c r="F46" s="9">
        <f>(INDEX(Goalie[],MATCH(G_Std[[#This Row],[player]],Goalie[player],0),6)-F$80)/F$81</f>
        <v>0.79656159467020815</v>
      </c>
      <c r="G46" s="9">
        <f>(INDEX(Goalie[],MATCH(G_Std[[#This Row],[player]],Goalie[player],0),7)-G$80)/G$81</f>
        <v>1.3994900183013868</v>
      </c>
      <c r="H46" s="9">
        <f>(INDEX(Goalie[],MATCH(G_Std[[#This Row],[player]],Goalie[player],0),8)-H$80)/H$81</f>
        <v>0.74582045580533984</v>
      </c>
      <c r="I46" s="9">
        <f>(INDEX(Goalie[],MATCH(G_Std[[#This Row],[player]],Goalie[player],0),9)-I$80)/I$81</f>
        <v>1.4822512801372061</v>
      </c>
      <c r="J46" s="9">
        <f>(INDEX(Goalie[],MATCH(G_Std[[#This Row],[player]],Goalie[player],0),10)-J$80)/J$81</f>
        <v>1.2997716367064593</v>
      </c>
      <c r="K46" s="9">
        <f>(INDEX(Goalie[],MATCH(G_Std[[#This Row],[player]],Goalie[player],0),11)-K$80)/K$81</f>
        <v>1.2813776366288323</v>
      </c>
      <c r="L46" s="9">
        <f>(INDEX(Goalie[],MATCH(G_Std[[#This Row],[player]],Goalie[player],0),12)-L$80)/L$81</f>
        <v>2.9516123749405047E-2</v>
      </c>
      <c r="M46" s="9">
        <f>-1*(INDEX(Goalie[],MATCH(G_Std[[#This Row],[player]],Goalie[player],0),13)-M$80)/M$81</f>
        <v>-0.2425448150480437</v>
      </c>
      <c r="N46" s="9">
        <f>(INDEX(Goalie[],MATCH(G_Std[[#This Row],[player]],Goalie[player],0),14)-N$80)/N$81</f>
        <v>0.50568316149078596</v>
      </c>
      <c r="O46" s="10">
        <f>(G_Std[[#This Row],[W]]+G_Std[[#This Row],[SV]]+G_Std[[#This Row],[SV%]]+G_Std[[#This Row],[GAA]])*100</f>
        <v>186.49105400004018</v>
      </c>
      <c r="P46" s="10">
        <f>_xlfn.RANK.EQ(G_Std[[#This Row],[VAA]],G_Std[VAA])</f>
        <v>22</v>
      </c>
      <c r="Q46" s="10">
        <f>G_Std[[#This Row],[VAA]]-_xlfn.XLOOKUP($B$85,G_Std[Value Rk],G_Std[VAA],,-1)</f>
        <v>58.884627360970043</v>
      </c>
    </row>
    <row r="47" spans="1:17" x14ac:dyDescent="0.25">
      <c r="A47" t="s">
        <v>1086</v>
      </c>
      <c r="B47" t="s">
        <v>15</v>
      </c>
      <c r="C47">
        <v>31</v>
      </c>
      <c r="D47" t="s">
        <v>157</v>
      </c>
      <c r="E47">
        <v>36</v>
      </c>
      <c r="F47" s="9">
        <f>(INDEX(Goalie[],MATCH(G_Std[[#This Row],[player]],Goalie[player],0),6)-F$80)/F$81</f>
        <v>0.44338361315616204</v>
      </c>
      <c r="G47" s="9">
        <f>(INDEX(Goalie[],MATCH(G_Std[[#This Row],[player]],Goalie[player],0),7)-G$80)/G$81</f>
        <v>0.53916206052531468</v>
      </c>
      <c r="H47" s="9">
        <f>(INDEX(Goalie[],MATCH(G_Std[[#This Row],[player]],Goalie[player],0),8)-H$80)/H$81</f>
        <v>-0.76495225633537656</v>
      </c>
      <c r="I47" s="9">
        <f>(INDEX(Goalie[],MATCH(G_Std[[#This Row],[player]],Goalie[player],0),9)-I$80)/I$81</f>
        <v>0.43171755553507635</v>
      </c>
      <c r="J47" s="9">
        <f>(INDEX(Goalie[],MATCH(G_Std[[#This Row],[player]],Goalie[player],0),10)-J$80)/J$81</f>
        <v>0.47136088402669918</v>
      </c>
      <c r="K47" s="9">
        <f>(INDEX(Goalie[],MATCH(G_Std[[#This Row],[player]],Goalie[player],0),11)-K$80)/K$81</f>
        <v>0.47372101380906478</v>
      </c>
      <c r="L47" s="9">
        <f>(INDEX(Goalie[],MATCH(G_Std[[#This Row],[player]],Goalie[player],0),12)-L$80)/L$81</f>
        <v>0.48406442949102668</v>
      </c>
      <c r="M47" s="9">
        <f>-1*(INDEX(Goalie[],MATCH(G_Std[[#This Row],[player]],Goalie[player],0),13)-M$80)/M$81</f>
        <v>-6.2622360725312104E-2</v>
      </c>
      <c r="N47" s="9">
        <f>(INDEX(Goalie[],MATCH(G_Std[[#This Row],[player]],Goalie[player],0),14)-N$80)/N$81</f>
        <v>-0.97608515734561785</v>
      </c>
      <c r="O47" s="10">
        <f>(G_Std[[#This Row],[W]]+G_Std[[#This Row],[SV]]+G_Std[[#This Row],[SV%]]+G_Std[[#This Row],[GAA]])*100</f>
        <v>133.85466957309413</v>
      </c>
      <c r="P47" s="10">
        <f>_xlfn.RANK.EQ(G_Std[[#This Row],[VAA]],G_Std[VAA])</f>
        <v>27</v>
      </c>
      <c r="Q47" s="10">
        <f>G_Std[[#This Row],[VAA]]-_xlfn.XLOOKUP($B$85,G_Std[Value Rk],G_Std[VAA],,-1)</f>
        <v>6.2482429340239918</v>
      </c>
    </row>
    <row r="48" spans="1:17" x14ac:dyDescent="0.25">
      <c r="A48" t="s">
        <v>1251</v>
      </c>
      <c r="B48" t="s">
        <v>25</v>
      </c>
      <c r="C48">
        <v>32</v>
      </c>
      <c r="D48" t="s">
        <v>157</v>
      </c>
      <c r="E48">
        <v>36</v>
      </c>
      <c r="F48" s="9">
        <f>(INDEX(Goalie[],MATCH(G_Std[[#This Row],[player]],Goalie[player],0),6)-F$80)/F$81</f>
        <v>-0.14524635603391492</v>
      </c>
      <c r="G48" s="9">
        <f>(INDEX(Goalie[],MATCH(G_Std[[#This Row],[player]],Goalie[player],0),7)-G$80)/G$81</f>
        <v>-0.48606847330712366</v>
      </c>
      <c r="H48" s="9">
        <f>(INDEX(Goalie[],MATCH(G_Std[[#This Row],[player]],Goalie[player],0),8)-H$80)/H$81</f>
        <v>-0.57380266013464554</v>
      </c>
      <c r="I48" s="9">
        <f>(INDEX(Goalie[],MATCH(G_Std[[#This Row],[player]],Goalie[player],0),9)-I$80)/I$81</f>
        <v>-0.56460972991996894</v>
      </c>
      <c r="J48" s="9">
        <f>(INDEX(Goalie[],MATCH(G_Std[[#This Row],[player]],Goalie[player],0),10)-J$80)/J$81</f>
        <v>-0.31947209159976941</v>
      </c>
      <c r="K48" s="9">
        <f>(INDEX(Goalie[],MATCH(G_Std[[#This Row],[player]],Goalie[player],0),11)-K$80)/K$81</f>
        <v>-0.2943445980881651</v>
      </c>
      <c r="L48" s="9">
        <f>(INDEX(Goalie[],MATCH(G_Std[[#This Row],[player]],Goalie[player],0),12)-L$80)/L$81</f>
        <v>1.5446771428881438</v>
      </c>
      <c r="M48" s="9">
        <f>-1*(INDEX(Goalie[],MATCH(G_Std[[#This Row],[player]],Goalie[player],0),13)-M$80)/M$81</f>
        <v>0.72903643829470177</v>
      </c>
      <c r="N48" s="9">
        <f>(INDEX(Goalie[],MATCH(G_Std[[#This Row],[player]],Goalie[player],0),14)-N$80)/N$81</f>
        <v>0.98048117137530055</v>
      </c>
      <c r="O48" s="10">
        <f>(G_Std[[#This Row],[W]]+G_Std[[#This Row],[SV]]+G_Std[[#This Row],[SV%]]+G_Std[[#This Row],[GAA]])*100</f>
        <v>183.41226270607655</v>
      </c>
      <c r="P48" s="10">
        <f>_xlfn.RANK.EQ(G_Std[[#This Row],[VAA]],G_Std[VAA])</f>
        <v>23</v>
      </c>
      <c r="Q48" s="10">
        <f>G_Std[[#This Row],[VAA]]-_xlfn.XLOOKUP($B$85,G_Std[Value Rk],G_Std[VAA],,-1)</f>
        <v>55.80583606700641</v>
      </c>
    </row>
    <row r="49" spans="1:17" x14ac:dyDescent="0.25">
      <c r="A49" t="s">
        <v>208</v>
      </c>
      <c r="B49" t="s">
        <v>1085</v>
      </c>
      <c r="C49">
        <v>27</v>
      </c>
      <c r="D49" t="s">
        <v>157</v>
      </c>
      <c r="E49">
        <v>36</v>
      </c>
      <c r="F49" s="9">
        <f>(INDEX(Goalie[],MATCH(G_Std[[#This Row],[player]],Goalie[player],0),6)-F$80)/F$81</f>
        <v>1.9738215330503621</v>
      </c>
      <c r="G49" s="9">
        <f>(INDEX(Goalie[],MATCH(G_Std[[#This Row],[player]],Goalie[player],0),7)-G$80)/G$81</f>
        <v>1.9766681869465272</v>
      </c>
      <c r="H49" s="9">
        <f>(INDEX(Goalie[],MATCH(G_Std[[#This Row],[player]],Goalie[player],0),8)-H$80)/H$81</f>
        <v>0.71496015955124581</v>
      </c>
      <c r="I49" s="9">
        <f>(INDEX(Goalie[],MATCH(G_Std[[#This Row],[player]],Goalie[player],0),9)-I$80)/I$81</f>
        <v>1.9357900950423583</v>
      </c>
      <c r="J49" s="9">
        <f>(INDEX(Goalie[],MATCH(G_Std[[#This Row],[player]],Goalie[player],0),10)-J$80)/J$81</f>
        <v>2.1348902938019068</v>
      </c>
      <c r="K49" s="9">
        <f>(INDEX(Goalie[],MATCH(G_Std[[#This Row],[player]],Goalie[player],0),11)-K$80)/K$81</f>
        <v>2.1497404761964907</v>
      </c>
      <c r="L49" s="9">
        <f>(INDEX(Goalie[],MATCH(G_Std[[#This Row],[player]],Goalie[player],0),12)-L$80)/L$81</f>
        <v>1.2416449390603961</v>
      </c>
      <c r="M49" s="9">
        <f>-1*(INDEX(Goalie[],MATCH(G_Std[[#This Row],[player]],Goalie[player],0),13)-M$80)/M$81</f>
        <v>0.83698991088834107</v>
      </c>
      <c r="N49" s="9">
        <f>(INDEX(Goalie[],MATCH(G_Std[[#This Row],[player]],Goalie[player],0),14)-N$80)/N$81</f>
        <v>0.96295968186436665</v>
      </c>
      <c r="O49" s="10">
        <f>(G_Std[[#This Row],[W]]+G_Std[[#This Row],[SV]]+G_Std[[#This Row],[SV%]]+G_Std[[#This Row],[GAA]])*100</f>
        <v>620.21968591955897</v>
      </c>
      <c r="P49" s="10">
        <f>_xlfn.RANK.EQ(G_Std[[#This Row],[VAA]],G_Std[VAA])</f>
        <v>4</v>
      </c>
      <c r="Q49" s="10">
        <f>G_Std[[#This Row],[VAA]]-_xlfn.XLOOKUP($B$85,G_Std[Value Rk],G_Std[VAA],,-1)</f>
        <v>492.61325928048882</v>
      </c>
    </row>
    <row r="50" spans="1:17" x14ac:dyDescent="0.25">
      <c r="A50" t="s">
        <v>1246</v>
      </c>
      <c r="B50" t="s">
        <v>7</v>
      </c>
      <c r="C50">
        <v>28</v>
      </c>
      <c r="D50" t="s">
        <v>157</v>
      </c>
      <c r="E50">
        <v>37</v>
      </c>
      <c r="F50" s="9">
        <f>(INDEX(Goalie[],MATCH(G_Std[[#This Row],[player]],Goalie[player],0),6)-F$80)/F$81</f>
        <v>-0.73387632522399182</v>
      </c>
      <c r="G50" s="9">
        <f>(INDEX(Goalie[],MATCH(G_Std[[#This Row],[player]],Goalie[player],0),7)-G$80)/G$81</f>
        <v>1.2891719186399855</v>
      </c>
      <c r="H50" s="9">
        <f>(INDEX(Goalie[],MATCH(G_Std[[#This Row],[player]],Goalie[player],0),8)-H$80)/H$81</f>
        <v>0.46387480140926185</v>
      </c>
      <c r="I50" s="9">
        <f>(INDEX(Goalie[],MATCH(G_Std[[#This Row],[player]],Goalie[player],0),9)-I$80)/I$81</f>
        <v>0.52456549729022239</v>
      </c>
      <c r="J50" s="9">
        <f>(INDEX(Goalie[],MATCH(G_Std[[#This Row],[player]],Goalie[player],0),10)-J$80)/J$81</f>
        <v>0.26119596510353965</v>
      </c>
      <c r="K50" s="9">
        <f>(INDEX(Goalie[],MATCH(G_Std[[#This Row],[player]],Goalie[player],0),11)-K$80)/K$81</f>
        <v>0.23617494827383903</v>
      </c>
      <c r="L50" s="9">
        <f>(INDEX(Goalie[],MATCH(G_Std[[#This Row],[player]],Goalie[player],0),12)-L$80)/L$81</f>
        <v>-0.87958048773383812</v>
      </c>
      <c r="M50" s="9">
        <f>-1*(INDEX(Goalie[],MATCH(G_Std[[#This Row],[player]],Goalie[player],0),13)-M$80)/M$81</f>
        <v>-1.2501105592553345</v>
      </c>
      <c r="N50" s="9">
        <f>(INDEX(Goalie[],MATCH(G_Std[[#This Row],[player]],Goalie[player],0),14)-N$80)/N$81</f>
        <v>-0.8195083172552653</v>
      </c>
      <c r="O50" s="10">
        <f>(G_Std[[#This Row],[W]]+G_Std[[#This Row],[SV]]+G_Std[[#This Row],[SV%]]+G_Std[[#This Row],[GAA]])*100</f>
        <v>-262.73924239393256</v>
      </c>
      <c r="P50" s="10">
        <f>_xlfn.RANK.EQ(G_Std[[#This Row],[VAA]],G_Std[VAA])</f>
        <v>61</v>
      </c>
      <c r="Q50" s="10">
        <f>G_Std[[#This Row],[VAA]]-_xlfn.XLOOKUP($B$85,G_Std[Value Rk],G_Std[VAA],,-1)</f>
        <v>-390.34566903300271</v>
      </c>
    </row>
    <row r="51" spans="1:17" x14ac:dyDescent="0.25">
      <c r="A51" t="s">
        <v>173</v>
      </c>
      <c r="B51" t="s">
        <v>2</v>
      </c>
      <c r="C51">
        <v>28</v>
      </c>
      <c r="D51" t="s">
        <v>157</v>
      </c>
      <c r="E51">
        <v>38</v>
      </c>
      <c r="F51" s="9">
        <f>(INDEX(Goalie[],MATCH(G_Std[[#This Row],[player]],Goalie[player],0),6)-F$80)/F$81</f>
        <v>-0.61615033138597641</v>
      </c>
      <c r="G51" s="9">
        <f>(INDEX(Goalie[],MATCH(G_Std[[#This Row],[player]],Goalie[player],0),7)-G$80)/G$81</f>
        <v>1.0819424328176983</v>
      </c>
      <c r="H51" s="9">
        <f>(INDEX(Goalie[],MATCH(G_Std[[#This Row],[player]],Goalie[player],0),8)-H$80)/H$81</f>
        <v>-0.51334872157718581</v>
      </c>
      <c r="I51" s="9">
        <f>(INDEX(Goalie[],MATCH(G_Std[[#This Row],[player]],Goalie[player],0),9)-I$80)/I$81</f>
        <v>0.44108636499304588</v>
      </c>
      <c r="J51" s="9">
        <f>(INDEX(Goalie[],MATCH(G_Std[[#This Row],[player]],Goalie[player],0),10)-J$80)/J$81</f>
        <v>0.18209577713409145</v>
      </c>
      <c r="K51" s="9">
        <f>(INDEX(Goalie[],MATCH(G_Std[[#This Row],[player]],Goalie[player],0),11)-K$80)/K$81</f>
        <v>0.15699292642876378</v>
      </c>
      <c r="L51" s="9">
        <f>(INDEX(Goalie[],MATCH(G_Std[[#This Row],[player]],Goalie[player],0),12)-L$80)/L$81</f>
        <v>-0.87958048773383812</v>
      </c>
      <c r="M51" s="9">
        <f>-1*(INDEX(Goalie[],MATCH(G_Std[[#This Row],[player]],Goalie[player],0),13)-M$80)/M$81</f>
        <v>-1.6099554679007961</v>
      </c>
      <c r="N51" s="9">
        <f>(INDEX(Goalie[],MATCH(G_Std[[#This Row],[player]],Goalie[player],0),14)-N$80)/N$81</f>
        <v>-0.47019509254464298</v>
      </c>
      <c r="O51" s="10">
        <f>(G_Std[[#This Row],[W]]+G_Std[[#This Row],[SV]]+G_Std[[#This Row],[SV%]]+G_Std[[#This Row],[GAA]])*100</f>
        <v>-294.86933605918466</v>
      </c>
      <c r="P51" s="10">
        <f>_xlfn.RANK.EQ(G_Std[[#This Row],[VAA]],G_Std[VAA])</f>
        <v>63</v>
      </c>
      <c r="Q51" s="10">
        <f>G_Std[[#This Row],[VAA]]-_xlfn.XLOOKUP($B$85,G_Std[Value Rk],G_Std[VAA],,-1)</f>
        <v>-422.47576269825481</v>
      </c>
    </row>
    <row r="52" spans="1:17" x14ac:dyDescent="0.25">
      <c r="A52" t="s">
        <v>181</v>
      </c>
      <c r="B52" t="s">
        <v>12</v>
      </c>
      <c r="C52">
        <v>25</v>
      </c>
      <c r="D52" t="s">
        <v>157</v>
      </c>
      <c r="E52">
        <v>38</v>
      </c>
      <c r="F52" s="9">
        <f>(INDEX(Goalie[],MATCH(G_Std[[#This Row],[player]],Goalie[player],0),6)-F$80)/F$81</f>
        <v>-0.73387632522399182</v>
      </c>
      <c r="G52" s="9">
        <f>(INDEX(Goalie[],MATCH(G_Std[[#This Row],[player]],Goalie[player],0),7)-G$80)/G$81</f>
        <v>-0.45741641131173183</v>
      </c>
      <c r="H52" s="9">
        <f>(INDEX(Goalie[],MATCH(G_Std[[#This Row],[player]],Goalie[player],0),8)-H$80)/H$81</f>
        <v>-0.68227429846060272</v>
      </c>
      <c r="I52" s="9">
        <f>(INDEX(Goalie[],MATCH(G_Std[[#This Row],[player]],Goalie[player],0),9)-I$80)/I$81</f>
        <v>-0.5178375378059048</v>
      </c>
      <c r="J52" s="9">
        <f>(INDEX(Goalie[],MATCH(G_Std[[#This Row],[player]],Goalie[player],0),10)-J$80)/J$81</f>
        <v>-0.54578375684267588</v>
      </c>
      <c r="K52" s="9">
        <f>(INDEX(Goalie[],MATCH(G_Std[[#This Row],[player]],Goalie[player],0),11)-K$80)/K$81</f>
        <v>-0.54772706799240589</v>
      </c>
      <c r="L52" s="9">
        <f>(INDEX(Goalie[],MATCH(G_Std[[#This Row],[player]],Goalie[player],0),12)-L$80)/L$81</f>
        <v>-0.27351608007834272</v>
      </c>
      <c r="M52" s="9">
        <f>-1*(INDEX(Goalie[],MATCH(G_Std[[#This Row],[player]],Goalie[player],0),13)-M$80)/M$81</f>
        <v>-0.99821912320351225</v>
      </c>
      <c r="N52" s="9">
        <f>(INDEX(Goalie[],MATCH(G_Std[[#This Row],[player]],Goalie[player],0),14)-N$80)/N$81</f>
        <v>-1.0150790604728914</v>
      </c>
      <c r="O52" s="10">
        <f>(G_Std[[#This Row],[W]]+G_Std[[#This Row],[SV]]+G_Std[[#This Row],[SV%]]+G_Std[[#This Row],[GAA]])*100</f>
        <v>-255.33385964982526</v>
      </c>
      <c r="P52" s="10">
        <f>_xlfn.RANK.EQ(G_Std[[#This Row],[VAA]],G_Std[VAA])</f>
        <v>60</v>
      </c>
      <c r="Q52" s="10">
        <f>G_Std[[#This Row],[VAA]]-_xlfn.XLOOKUP($B$85,G_Std[Value Rk],G_Std[VAA],,-1)</f>
        <v>-382.94028628889538</v>
      </c>
    </row>
    <row r="53" spans="1:17" x14ac:dyDescent="0.25">
      <c r="A53" t="s">
        <v>171</v>
      </c>
      <c r="B53" t="s">
        <v>1079</v>
      </c>
      <c r="C53">
        <v>29</v>
      </c>
      <c r="D53" t="s">
        <v>157</v>
      </c>
      <c r="E53">
        <v>40</v>
      </c>
      <c r="F53" s="9">
        <f>(INDEX(Goalie[],MATCH(G_Std[[#This Row],[player]],Goalie[player],0),6)-F$80)/F$81</f>
        <v>0.20793162548013125</v>
      </c>
      <c r="G53" s="9">
        <f>(INDEX(Goalie[],MATCH(G_Std[[#This Row],[player]],Goalie[player],0),7)-G$80)/G$81</f>
        <v>-0.60864413959757002</v>
      </c>
      <c r="H53" s="9">
        <f>(INDEX(Goalie[],MATCH(G_Std[[#This Row],[player]],Goalie[player],0),8)-H$80)/H$81</f>
        <v>0.43577811377493758</v>
      </c>
      <c r="I53" s="9">
        <f>(INDEX(Goalie[],MATCH(G_Std[[#This Row],[player]],Goalie[player],0),9)-I$80)/I$81</f>
        <v>-0.36959201918202711</v>
      </c>
      <c r="J53" s="9">
        <f>(INDEX(Goalie[],MATCH(G_Std[[#This Row],[player]],Goalie[player],0),10)-J$80)/J$81</f>
        <v>-0.16365929530811008</v>
      </c>
      <c r="K53" s="9">
        <f>(INDEX(Goalie[],MATCH(G_Std[[#This Row],[player]],Goalie[player],0),11)-K$80)/K$81</f>
        <v>-0.14389875658252216</v>
      </c>
      <c r="L53" s="9">
        <f>(INDEX(Goalie[],MATCH(G_Std[[#This Row],[player]],Goalie[player],0),12)-L$80)/L$81</f>
        <v>1.2416449390603961</v>
      </c>
      <c r="M53" s="9">
        <f>-1*(INDEX(Goalie[],MATCH(G_Std[[#This Row],[player]],Goalie[player],0),13)-M$80)/M$81</f>
        <v>1.4127417647210796</v>
      </c>
      <c r="N53" s="9">
        <f>(INDEX(Goalie[],MATCH(G_Std[[#This Row],[player]],Goalie[player],0),14)-N$80)/N$81</f>
        <v>0.6420759327817791</v>
      </c>
      <c r="O53" s="10">
        <f>(G_Std[[#This Row],[W]]+G_Std[[#This Row],[SV]]+G_Std[[#This Row],[SV%]]+G_Std[[#This Row],[GAA]])*100</f>
        <v>271.84195726790847</v>
      </c>
      <c r="P53" s="10">
        <f>_xlfn.RANK.EQ(G_Std[[#This Row],[VAA]],G_Std[VAA])</f>
        <v>18</v>
      </c>
      <c r="Q53" s="10">
        <f>G_Std[[#This Row],[VAA]]-_xlfn.XLOOKUP($B$85,G_Std[Value Rk],G_Std[VAA],,-1)</f>
        <v>144.23553062883832</v>
      </c>
    </row>
    <row r="54" spans="1:17" x14ac:dyDescent="0.25">
      <c r="A54" t="s">
        <v>190</v>
      </c>
      <c r="B54" t="s">
        <v>1091</v>
      </c>
      <c r="C54">
        <v>27</v>
      </c>
      <c r="D54" t="s">
        <v>157</v>
      </c>
      <c r="E54">
        <v>42</v>
      </c>
      <c r="F54" s="9">
        <f>(INDEX(Goalie[],MATCH(G_Std[[#This Row],[player]],Goalie[player],0),6)-F$80)/F$81</f>
        <v>1.8560955392123466</v>
      </c>
      <c r="G54" s="9">
        <f>(INDEX(Goalie[],MATCH(G_Std[[#This Row],[player]],Goalie[player],0),7)-G$80)/G$81</f>
        <v>-0.21889182568966592</v>
      </c>
      <c r="H54" s="9">
        <f>(INDEX(Goalie[],MATCH(G_Std[[#This Row],[player]],Goalie[player],0),8)-H$80)/H$81</f>
        <v>0.59911889823923659</v>
      </c>
      <c r="I54" s="9">
        <f>(INDEX(Goalie[],MATCH(G_Std[[#This Row],[player]],Goalie[player],0),9)-I$80)/I$81</f>
        <v>0.65821612424816012</v>
      </c>
      <c r="J54" s="9">
        <f>(INDEX(Goalie[],MATCH(G_Std[[#This Row],[player]],Goalie[player],0),10)-J$80)/J$81</f>
        <v>1.1748395711710626</v>
      </c>
      <c r="K54" s="9">
        <f>(INDEX(Goalie[],MATCH(G_Std[[#This Row],[player]],Goalie[player],0),11)-K$80)/K$81</f>
        <v>1.2233108206091103</v>
      </c>
      <c r="L54" s="9">
        <f>(INDEX(Goalie[],MATCH(G_Std[[#This Row],[player]],Goalie[player],0),12)-L$80)/L$81</f>
        <v>2.3022576524575129</v>
      </c>
      <c r="M54" s="9">
        <f>-1*(INDEX(Goalie[],MATCH(G_Std[[#This Row],[player]],Goalie[player],0),13)-M$80)/M$81</f>
        <v>1.8085711642310867</v>
      </c>
      <c r="N54" s="9">
        <f>(INDEX(Goalie[],MATCH(G_Std[[#This Row],[player]],Goalie[player],0),14)-N$80)/N$81</f>
        <v>0.26003874971985413</v>
      </c>
      <c r="O54" s="10">
        <f>(G_Std[[#This Row],[W]]+G_Std[[#This Row],[SV]]+G_Std[[#This Row],[SV%]]+G_Std[[#This Row],[GAA]])*100</f>
        <v>719.02351765100559</v>
      </c>
      <c r="P54" s="10">
        <f>_xlfn.RANK.EQ(G_Std[[#This Row],[VAA]],G_Std[VAA])</f>
        <v>2</v>
      </c>
      <c r="Q54" s="10">
        <f>G_Std[[#This Row],[VAA]]-_xlfn.XLOOKUP($B$85,G_Std[Value Rk],G_Std[VAA],,-1)</f>
        <v>591.41709101193544</v>
      </c>
    </row>
    <row r="55" spans="1:17" x14ac:dyDescent="0.25">
      <c r="A55" t="s">
        <v>161</v>
      </c>
      <c r="B55" t="s">
        <v>30</v>
      </c>
      <c r="C55">
        <v>26</v>
      </c>
      <c r="D55" t="s">
        <v>157</v>
      </c>
      <c r="E55">
        <v>43</v>
      </c>
      <c r="F55" s="9">
        <f>(INDEX(Goalie[],MATCH(G_Std[[#This Row],[player]],Goalie[player],0),6)-F$80)/F$81</f>
        <v>0.91428758850822356</v>
      </c>
      <c r="G55" s="9">
        <f>(INDEX(Goalie[],MATCH(G_Std[[#This Row],[player]],Goalie[player],0),7)-G$80)/G$81</f>
        <v>0.37062051937595047</v>
      </c>
      <c r="H55" s="9">
        <f>(INDEX(Goalie[],MATCH(G_Std[[#This Row],[player]],Goalie[player],0),8)-H$80)/H$81</f>
        <v>0.77691105277774752</v>
      </c>
      <c r="I55" s="9">
        <f>(INDEX(Goalie[],MATCH(G_Std[[#This Row],[player]],Goalie[player],0),9)-I$80)/I$81</f>
        <v>0.67041492216776966</v>
      </c>
      <c r="J55" s="9">
        <f>(INDEX(Goalie[],MATCH(G_Std[[#This Row],[player]],Goalie[player],0),10)-J$80)/J$81</f>
        <v>0.77257233435890005</v>
      </c>
      <c r="K55" s="9">
        <f>(INDEX(Goalie[],MATCH(G_Std[[#This Row],[player]],Goalie[player],0),11)-K$80)/K$81</f>
        <v>0.77989149827668902</v>
      </c>
      <c r="L55" s="9">
        <f>(INDEX(Goalie[],MATCH(G_Std[[#This Row],[player]],Goalie[player],0),12)-L$80)/L$81</f>
        <v>0.78709663331877444</v>
      </c>
      <c r="M55" s="9">
        <f>-1*(INDEX(Goalie[],MATCH(G_Std[[#This Row],[player]],Goalie[player],0),13)-M$80)/M$81</f>
        <v>0.40517602051378715</v>
      </c>
      <c r="N55" s="9">
        <f>(INDEX(Goalie[],MATCH(G_Std[[#This Row],[player]],Goalie[player],0),14)-N$80)/N$81</f>
        <v>-3.8599578856204984E-2</v>
      </c>
      <c r="O55" s="10">
        <f>(G_Std[[#This Row],[W]]+G_Std[[#This Row],[SV]]+G_Std[[#This Row],[SV%]]+G_Std[[#This Row],[GAA]])*100</f>
        <v>288.64517406174741</v>
      </c>
      <c r="P55" s="10">
        <f>_xlfn.RANK.EQ(G_Std[[#This Row],[VAA]],G_Std[VAA])</f>
        <v>17</v>
      </c>
      <c r="Q55" s="10">
        <f>G_Std[[#This Row],[VAA]]-_xlfn.XLOOKUP($B$85,G_Std[Value Rk],G_Std[VAA],,-1)</f>
        <v>161.03874742267726</v>
      </c>
    </row>
    <row r="56" spans="1:17" x14ac:dyDescent="0.25">
      <c r="A56" t="s">
        <v>1100</v>
      </c>
      <c r="B56" t="s">
        <v>13</v>
      </c>
      <c r="C56">
        <v>27</v>
      </c>
      <c r="D56" t="s">
        <v>157</v>
      </c>
      <c r="E56">
        <v>43</v>
      </c>
      <c r="F56" s="9">
        <f>(INDEX(Goalie[],MATCH(G_Std[[#This Row],[player]],Goalie[player],0),6)-F$80)/F$81</f>
        <v>-0.49842433754796106</v>
      </c>
      <c r="G56" s="9">
        <f>(INDEX(Goalie[],MATCH(G_Std[[#This Row],[player]],Goalie[player],0),7)-G$80)/G$81</f>
        <v>1.2849200752155345</v>
      </c>
      <c r="H56" s="9">
        <f>(INDEX(Goalie[],MATCH(G_Std[[#This Row],[player]],Goalie[player],0),8)-H$80)/H$81</f>
        <v>-2.3959695159651913E-2</v>
      </c>
      <c r="I56" s="9">
        <f>(INDEX(Goalie[],MATCH(G_Std[[#This Row],[player]],Goalie[player],0),9)-I$80)/I$81</f>
        <v>0.6205833577616785</v>
      </c>
      <c r="J56" s="9">
        <f>(INDEX(Goalie[],MATCH(G_Std[[#This Row],[player]],Goalie[player],0),10)-J$80)/J$81</f>
        <v>0.43998381660198083</v>
      </c>
      <c r="K56" s="9">
        <f>(INDEX(Goalie[],MATCH(G_Std[[#This Row],[player]],Goalie[player],0),11)-K$80)/K$81</f>
        <v>0.42093299924568128</v>
      </c>
      <c r="L56" s="9">
        <f>(INDEX(Goalie[],MATCH(G_Std[[#This Row],[player]],Goalie[player],0),12)-L$80)/L$81</f>
        <v>-0.42503218199221654</v>
      </c>
      <c r="M56" s="9">
        <f>-1*(INDEX(Goalie[],MATCH(G_Std[[#This Row],[player]],Goalie[player],0),13)-M$80)/M$81</f>
        <v>-1.5739709770362491</v>
      </c>
      <c r="N56" s="9">
        <f>(INDEX(Goalie[],MATCH(G_Std[[#This Row],[player]],Goalie[player],0),14)-N$80)/N$81</f>
        <v>-0.74641622130524332</v>
      </c>
      <c r="O56" s="10">
        <f>(G_Std[[#This Row],[W]]+G_Std[[#This Row],[SV]]+G_Std[[#This Row],[SV%]]+G_Std[[#This Row],[GAA]])*100</f>
        <v>-207.64944973307453</v>
      </c>
      <c r="P56" s="10">
        <f>_xlfn.RANK.EQ(G_Std[[#This Row],[VAA]],G_Std[VAA])</f>
        <v>56</v>
      </c>
      <c r="Q56" s="10">
        <f>G_Std[[#This Row],[VAA]]-_xlfn.XLOOKUP($B$85,G_Std[Value Rk],G_Std[VAA],,-1)</f>
        <v>-335.25587637214466</v>
      </c>
    </row>
    <row r="57" spans="1:17" x14ac:dyDescent="0.25">
      <c r="A57" t="s">
        <v>191</v>
      </c>
      <c r="B57" t="s">
        <v>16</v>
      </c>
      <c r="C57">
        <v>32</v>
      </c>
      <c r="D57" t="s">
        <v>157</v>
      </c>
      <c r="E57">
        <v>44</v>
      </c>
      <c r="F57" s="9">
        <f>(INDEX(Goalie[],MATCH(G_Std[[#This Row],[player]],Goalie[player],0),6)-F$80)/F$81</f>
        <v>-0.73387632522399182</v>
      </c>
      <c r="G57" s="9">
        <f>(INDEX(Goalie[],MATCH(G_Std[[#This Row],[player]],Goalie[player],0),7)-G$80)/G$81</f>
        <v>0.54582711237985782</v>
      </c>
      <c r="H57" s="9">
        <f>(INDEX(Goalie[],MATCH(G_Std[[#This Row],[player]],Goalie[player],0),8)-H$80)/H$81</f>
        <v>5.6339471437143133E-3</v>
      </c>
      <c r="I57" s="9">
        <f>(INDEX(Goalie[],MATCH(G_Std[[#This Row],[player]],Goalie[player],0),9)-I$80)/I$81</f>
        <v>0.21316727472792857</v>
      </c>
      <c r="J57" s="9">
        <f>(INDEX(Goalie[],MATCH(G_Std[[#This Row],[player]],Goalie[player],0),10)-J$80)/J$81</f>
        <v>-3.185211032968497E-2</v>
      </c>
      <c r="K57" s="9">
        <f>(INDEX(Goalie[],MATCH(G_Std[[#This Row],[player]],Goalie[player],0),11)-K$80)/K$81</f>
        <v>-5.4159131824770203E-2</v>
      </c>
      <c r="L57" s="9">
        <f>(INDEX(Goalie[],MATCH(G_Std[[#This Row],[player]],Goalie[player],0),12)-L$80)/L$81</f>
        <v>-1.031096589647712</v>
      </c>
      <c r="M57" s="9">
        <f>-1*(INDEX(Goalie[],MATCH(G_Std[[#This Row],[player]],Goalie[player],0),13)-M$80)/M$81</f>
        <v>-1.10617259579715</v>
      </c>
      <c r="N57" s="9">
        <f>(INDEX(Goalie[],MATCH(G_Std[[#This Row],[player]],Goalie[player],0),14)-N$80)/N$81</f>
        <v>-0.2087469843520848</v>
      </c>
      <c r="O57" s="10">
        <f>(G_Std[[#This Row],[W]]+G_Std[[#This Row],[SV]]+G_Std[[#This Row],[SV%]]+G_Std[[#This Row],[GAA]])*100</f>
        <v>-292.53046424936241</v>
      </c>
      <c r="P57" s="10">
        <f>_xlfn.RANK.EQ(G_Std[[#This Row],[VAA]],G_Std[VAA])</f>
        <v>62</v>
      </c>
      <c r="Q57" s="10">
        <f>G_Std[[#This Row],[VAA]]-_xlfn.XLOOKUP($B$85,G_Std[Value Rk],G_Std[VAA],,-1)</f>
        <v>-420.13689088843256</v>
      </c>
    </row>
    <row r="58" spans="1:17" x14ac:dyDescent="0.25">
      <c r="A58" t="s">
        <v>1243</v>
      </c>
      <c r="B58" t="s">
        <v>1079</v>
      </c>
      <c r="C58">
        <v>38</v>
      </c>
      <c r="D58" t="s">
        <v>157</v>
      </c>
      <c r="E58">
        <v>44</v>
      </c>
      <c r="F58" s="9">
        <f>(INDEX(Goalie[],MATCH(G_Std[[#This Row],[player]],Goalie[player],0),6)-F$80)/F$81</f>
        <v>0.44338361315616204</v>
      </c>
      <c r="G58" s="9">
        <f>(INDEX(Goalie[],MATCH(G_Std[[#This Row],[player]],Goalie[player],0),7)-G$80)/G$81</f>
        <v>0.73788785949870073</v>
      </c>
      <c r="H58" s="9">
        <f>(INDEX(Goalie[],MATCH(G_Std[[#This Row],[player]],Goalie[player],0),8)-H$80)/H$81</f>
        <v>0.47222320244814914</v>
      </c>
      <c r="I58" s="9">
        <f>(INDEX(Goalie[],MATCH(G_Std[[#This Row],[player]],Goalie[player],0),9)-I$80)/I$81</f>
        <v>0.71469429241425608</v>
      </c>
      <c r="J58" s="9">
        <f>(INDEX(Goalie[],MATCH(G_Std[[#This Row],[player]],Goalie[player],0),10)-J$80)/J$81</f>
        <v>0.58680247127152629</v>
      </c>
      <c r="K58" s="9">
        <f>(INDEX(Goalie[],MATCH(G_Std[[#This Row],[player]],Goalie[player],0),11)-K$80)/K$81</f>
        <v>0.57401824147949343</v>
      </c>
      <c r="L58" s="9">
        <f>(INDEX(Goalie[],MATCH(G_Std[[#This Row],[player]],Goalie[player],0),12)-L$80)/L$81</f>
        <v>-0.12199997816446882</v>
      </c>
      <c r="M58" s="9">
        <f>-1*(INDEX(Goalie[],MATCH(G_Std[[#This Row],[player]],Goalie[player],0),13)-M$80)/M$81</f>
        <v>4.5331111868325578E-2</v>
      </c>
      <c r="N58" s="9">
        <f>(INDEX(Goalie[],MATCH(G_Std[[#This Row],[player]],Goalie[player],0),14)-N$80)/N$81</f>
        <v>0.54175681636623729</v>
      </c>
      <c r="O58" s="10">
        <f>(G_Std[[#This Row],[W]]+G_Std[[#This Row],[SV]]+G_Std[[#This Row],[SV%]]+G_Std[[#This Row],[GAA]])*100</f>
        <v>94.073298833951242</v>
      </c>
      <c r="P58" s="10">
        <f>_xlfn.RANK.EQ(G_Std[[#This Row],[VAA]],G_Std[VAA])</f>
        <v>32</v>
      </c>
      <c r="Q58" s="10">
        <f>G_Std[[#This Row],[VAA]]-_xlfn.XLOOKUP($B$85,G_Std[Value Rk],G_Std[VAA],,-1)</f>
        <v>-33.533127805118895</v>
      </c>
    </row>
    <row r="59" spans="1:17" x14ac:dyDescent="0.25">
      <c r="A59" t="s">
        <v>195</v>
      </c>
      <c r="B59" t="s">
        <v>34</v>
      </c>
      <c r="C59">
        <v>34</v>
      </c>
      <c r="D59" t="s">
        <v>157</v>
      </c>
      <c r="E59">
        <v>45</v>
      </c>
      <c r="F59" s="9">
        <f>(INDEX(Goalie[],MATCH(G_Std[[#This Row],[player]],Goalie[player],0),6)-F$80)/F$81</f>
        <v>-0.85160231906200723</v>
      </c>
      <c r="G59" s="9">
        <f>(INDEX(Goalie[],MATCH(G_Std[[#This Row],[player]],Goalie[player],0),7)-G$80)/G$81</f>
        <v>-1.0137184117917801</v>
      </c>
      <c r="H59" s="9">
        <f>(INDEX(Goalie[],MATCH(G_Std[[#This Row],[player]],Goalie[player],0),8)-H$80)/H$81</f>
        <v>-1.3004014264157371</v>
      </c>
      <c r="I59" s="9">
        <f>(INDEX(Goalie[],MATCH(G_Std[[#This Row],[player]],Goalie[player],0),9)-I$80)/I$81</f>
        <v>-1.0901750675665971</v>
      </c>
      <c r="J59" s="9">
        <f>(INDEX(Goalie[],MATCH(G_Std[[#This Row],[player]],Goalie[player],0),10)-J$80)/J$81</f>
        <v>-1.1546737529800732</v>
      </c>
      <c r="K59" s="9">
        <f>(INDEX(Goalie[],MATCH(G_Std[[#This Row],[player]],Goalie[player],0),11)-K$80)/K$81</f>
        <v>-1.1600680369276544</v>
      </c>
      <c r="L59" s="9">
        <f>(INDEX(Goalie[],MATCH(G_Std[[#This Row],[player]],Goalie[player],0),12)-L$80)/L$81</f>
        <v>-1.182612691561586</v>
      </c>
      <c r="M59" s="9">
        <f>-1*(INDEX(Goalie[],MATCH(G_Std[[#This Row],[player]],Goalie[player],0),13)-M$80)/M$81</f>
        <v>-0.74632768715168829</v>
      </c>
      <c r="N59" s="9">
        <f>(INDEX(Goalie[],MATCH(G_Std[[#This Row],[player]],Goalie[player],0),14)-N$80)/N$81</f>
        <v>-0.68749591834200585</v>
      </c>
      <c r="O59" s="10">
        <f>(G_Std[[#This Row],[W]]+G_Std[[#This Row],[SV]]+G_Std[[#This Row],[SV%]]+G_Std[[#This Row],[GAA]])*100</f>
        <v>-394.06107347029359</v>
      </c>
      <c r="P59" s="10">
        <f>_xlfn.RANK.EQ(G_Std[[#This Row],[VAA]],G_Std[VAA])</f>
        <v>68</v>
      </c>
      <c r="Q59" s="10">
        <f>G_Std[[#This Row],[VAA]]-_xlfn.XLOOKUP($B$85,G_Std[Value Rk],G_Std[VAA],,-1)</f>
        <v>-521.66750010936369</v>
      </c>
    </row>
    <row r="60" spans="1:17" x14ac:dyDescent="0.25">
      <c r="A60" t="s">
        <v>164</v>
      </c>
      <c r="B60" t="s">
        <v>6</v>
      </c>
      <c r="C60">
        <v>33</v>
      </c>
      <c r="D60" t="s">
        <v>157</v>
      </c>
      <c r="E60">
        <v>45</v>
      </c>
      <c r="F60" s="9">
        <f>(INDEX(Goalie[],MATCH(G_Std[[#This Row],[player]],Goalie[player],0),6)-F$80)/F$81</f>
        <v>-1.5579582820900995</v>
      </c>
      <c r="G60" s="9">
        <f>(INDEX(Goalie[],MATCH(G_Std[[#This Row],[player]],Goalie[player],0),7)-G$80)/G$81</f>
        <v>-1.6832879889033447</v>
      </c>
      <c r="H60" s="9">
        <f>(INDEX(Goalie[],MATCH(G_Std[[#This Row],[player]],Goalie[player],0),8)-H$80)/H$81</f>
        <v>-1.9492737002658083</v>
      </c>
      <c r="I60" s="9">
        <f>(INDEX(Goalie[],MATCH(G_Std[[#This Row],[player]],Goalie[player],0),9)-I$80)/I$81</f>
        <v>-2.0141220817224617</v>
      </c>
      <c r="J60" s="9">
        <f>(INDEX(Goalie[],MATCH(G_Std[[#This Row],[player]],Goalie[player],0),10)-J$80)/J$81</f>
        <v>-1.9396095637173545</v>
      </c>
      <c r="K60" s="9">
        <f>(INDEX(Goalie[],MATCH(G_Std[[#This Row],[player]],Goalie[player],0),11)-K$80)/K$81</f>
        <v>-1.9281336488248844</v>
      </c>
      <c r="L60" s="9">
        <f>(INDEX(Goalie[],MATCH(G_Std[[#This Row],[player]],Goalie[player],0),12)-L$80)/L$81</f>
        <v>-0.72806438581996435</v>
      </c>
      <c r="M60" s="9">
        <f>-1*(INDEX(Goalie[],MATCH(G_Std[[#This Row],[player]],Goalie[player],0),13)-M$80)/M$81</f>
        <v>9.3466210037802151E-3</v>
      </c>
      <c r="N60" s="9">
        <f>(INDEX(Goalie[],MATCH(G_Std[[#This Row],[player]],Goalie[player],0),14)-N$80)/N$81</f>
        <v>-1.4948586703163969</v>
      </c>
      <c r="O60" s="10">
        <f>(G_Std[[#This Row],[W]]+G_Std[[#This Row],[SV]]+G_Std[[#This Row],[SV%]]+G_Std[[#This Row],[GAA]])*100</f>
        <v>-420.48096957311685</v>
      </c>
      <c r="P60" s="10">
        <f>_xlfn.RANK.EQ(G_Std[[#This Row],[VAA]],G_Std[VAA])</f>
        <v>71</v>
      </c>
      <c r="Q60" s="10">
        <f>G_Std[[#This Row],[VAA]]-_xlfn.XLOOKUP($B$85,G_Std[Value Rk],G_Std[VAA],,-1)</f>
        <v>-548.08739621218695</v>
      </c>
    </row>
    <row r="61" spans="1:17" x14ac:dyDescent="0.25">
      <c r="A61" t="s">
        <v>1244</v>
      </c>
      <c r="B61" t="s">
        <v>15</v>
      </c>
      <c r="C61">
        <v>36</v>
      </c>
      <c r="D61" t="s">
        <v>157</v>
      </c>
      <c r="E61">
        <v>46</v>
      </c>
      <c r="F61" s="9">
        <f>(INDEX(Goalie[],MATCH(G_Std[[#This Row],[player]],Goalie[player],0),6)-F$80)/F$81</f>
        <v>-0.14524635603391492</v>
      </c>
      <c r="G61" s="9">
        <f>(INDEX(Goalie[],MATCH(G_Std[[#This Row],[player]],Goalie[player],0),7)-G$80)/G$81</f>
        <v>1.9030078724851123</v>
      </c>
      <c r="H61" s="9">
        <f>(INDEX(Goalie[],MATCH(G_Std[[#This Row],[player]],Goalie[player],0),8)-H$80)/H$81</f>
        <v>-0.35012308747204357</v>
      </c>
      <c r="I61" s="9">
        <f>(INDEX(Goalie[],MATCH(G_Std[[#This Row],[player]],Goalie[player],0),9)-I$80)/I$81</f>
        <v>1.0718642619508547</v>
      </c>
      <c r="J61" s="9">
        <f>(INDEX(Goalie[],MATCH(G_Std[[#This Row],[player]],Goalie[player],0),10)-J$80)/J$81</f>
        <v>0.83094558026692666</v>
      </c>
      <c r="K61" s="9">
        <f>(INDEX(Goalie[],MATCH(G_Std[[#This Row],[player]],Goalie[player],0),11)-K$80)/K$81</f>
        <v>0.80628550555838074</v>
      </c>
      <c r="L61" s="9">
        <f>(INDEX(Goalie[],MATCH(G_Std[[#This Row],[player]],Goalie[player],0),12)-L$80)/L$81</f>
        <v>-0.42503218199221654</v>
      </c>
      <c r="M61" s="9">
        <f>-1*(INDEX(Goalie[],MATCH(G_Std[[#This Row],[player]],Goalie[player],0),13)-M$80)/M$81</f>
        <v>-0.74632768715168829</v>
      </c>
      <c r="N61" s="9">
        <f>(INDEX(Goalie[],MATCH(G_Std[[#This Row],[player]],Goalie[player],0),14)-N$80)/N$81</f>
        <v>-0.97007288153304272</v>
      </c>
      <c r="O61" s="10">
        <f>(G_Std[[#This Row],[W]]+G_Std[[#This Row],[SV]]+G_Std[[#This Row],[SV%]]+G_Std[[#This Row],[GAA]])*100</f>
        <v>-51.032071961943906</v>
      </c>
      <c r="P61" s="10">
        <f>_xlfn.RANK.EQ(G_Std[[#This Row],[VAA]],G_Std[VAA])</f>
        <v>40</v>
      </c>
      <c r="Q61" s="10">
        <f>G_Std[[#This Row],[VAA]]-_xlfn.XLOOKUP($B$85,G_Std[Value Rk],G_Std[VAA],,-1)</f>
        <v>-178.63849860101405</v>
      </c>
    </row>
    <row r="62" spans="1:17" x14ac:dyDescent="0.25">
      <c r="A62" t="s">
        <v>1087</v>
      </c>
      <c r="B62" t="s">
        <v>1091</v>
      </c>
      <c r="C62">
        <v>35</v>
      </c>
      <c r="D62" t="s">
        <v>157</v>
      </c>
      <c r="E62">
        <v>46</v>
      </c>
      <c r="F62" s="9">
        <f>(INDEX(Goalie[],MATCH(G_Std[[#This Row],[player]],Goalie[player],0),6)-F$80)/F$81</f>
        <v>-1.4402322882520842</v>
      </c>
      <c r="G62" s="9">
        <f>(INDEX(Goalie[],MATCH(G_Std[[#This Row],[player]],Goalie[player],0),7)-G$80)/G$81</f>
        <v>-2.1368179541779972</v>
      </c>
      <c r="H62" s="9">
        <f>(INDEX(Goalie[],MATCH(G_Std[[#This Row],[player]],Goalie[player],0),8)-H$80)/H$81</f>
        <v>-1.5226416195888761</v>
      </c>
      <c r="I62" s="9">
        <f>(INDEX(Goalie[],MATCH(G_Std[[#This Row],[player]],Goalie[player],0),9)-I$80)/I$81</f>
        <v>-2.0557428104649458</v>
      </c>
      <c r="J62" s="9">
        <f>(INDEX(Goalie[],MATCH(G_Std[[#This Row],[player]],Goalie[player],0),10)-J$80)/J$81</f>
        <v>-1.9681760674502051</v>
      </c>
      <c r="K62" s="9">
        <f>(INDEX(Goalie[],MATCH(G_Std[[#This Row],[player]],Goalie[player],0),11)-K$80)/K$81</f>
        <v>-1.9571670568347452</v>
      </c>
      <c r="L62" s="9">
        <f>(INDEX(Goalie[],MATCH(G_Std[[#This Row],[player]],Goalie[player],0),12)-L$80)/L$81</f>
        <v>-1.031096589647712</v>
      </c>
      <c r="M62" s="9">
        <f>-1*(INDEX(Goalie[],MATCH(G_Std[[#This Row],[player]],Goalie[player],0),13)-M$80)/M$81</f>
        <v>0.54911398397197175</v>
      </c>
      <c r="N62" s="9">
        <f>(INDEX(Goalie[],MATCH(G_Std[[#This Row],[player]],Goalie[player],0),14)-N$80)/N$81</f>
        <v>-1.1908092935090198</v>
      </c>
      <c r="O62" s="10">
        <f>(G_Std[[#This Row],[W]]+G_Std[[#This Row],[SV]]+G_Std[[#This Row],[SV%]]+G_Std[[#This Row],[GAA]])*100</f>
        <v>-387.93819507625693</v>
      </c>
      <c r="P62" s="10">
        <f>_xlfn.RANK.EQ(G_Std[[#This Row],[VAA]],G_Std[VAA])</f>
        <v>67</v>
      </c>
      <c r="Q62" s="10">
        <f>G_Std[[#This Row],[VAA]]-_xlfn.XLOOKUP($B$85,G_Std[Value Rk],G_Std[VAA],,-1)</f>
        <v>-515.54462171532703</v>
      </c>
    </row>
    <row r="63" spans="1:17" x14ac:dyDescent="0.25">
      <c r="A63" t="s">
        <v>207</v>
      </c>
      <c r="B63" t="s">
        <v>12</v>
      </c>
      <c r="C63">
        <v>30</v>
      </c>
      <c r="D63" t="s">
        <v>157</v>
      </c>
      <c r="E63">
        <v>46</v>
      </c>
      <c r="F63" s="9">
        <f>(INDEX(Goalie[],MATCH(G_Std[[#This Row],[player]],Goalie[player],0),6)-F$80)/F$81</f>
        <v>-0.38069834370994571</v>
      </c>
      <c r="G63" s="9">
        <f>(INDEX(Goalie[],MATCH(G_Std[[#This Row],[player]],Goalie[player],0),7)-G$80)/G$81</f>
        <v>0.69123249651690011</v>
      </c>
      <c r="H63" s="9">
        <f>(INDEX(Goalie[],MATCH(G_Std[[#This Row],[player]],Goalie[player],0),8)-H$80)/H$81</f>
        <v>-0.37965915459583111</v>
      </c>
      <c r="I63" s="9">
        <f>(INDEX(Goalie[],MATCH(G_Std[[#This Row],[player]],Goalie[player],0),9)-I$80)/I$81</f>
        <v>4.1577114956124851E-2</v>
      </c>
      <c r="J63" s="9">
        <f>(INDEX(Goalie[],MATCH(G_Std[[#This Row],[player]],Goalie[player],0),10)-J$80)/J$81</f>
        <v>-0.22978403148066703</v>
      </c>
      <c r="K63" s="9">
        <f>(INDEX(Goalie[],MATCH(G_Std[[#This Row],[player]],Goalie[player],0),11)-K$80)/K$81</f>
        <v>-0.25475358716562752</v>
      </c>
      <c r="L63" s="9">
        <f>(INDEX(Goalie[],MATCH(G_Std[[#This Row],[player]],Goalie[player],0),12)-L$80)/L$81</f>
        <v>-1.3341287934754598</v>
      </c>
      <c r="M63" s="9">
        <f>-1*(INDEX(Goalie[],MATCH(G_Std[[#This Row],[player]],Goalie[player],0),13)-M$80)/M$81</f>
        <v>0.15328458446196486</v>
      </c>
      <c r="N63" s="9">
        <f>(INDEX(Goalie[],MATCH(G_Std[[#This Row],[player]],Goalie[player],0),14)-N$80)/N$81</f>
        <v>-0.46761840291068224</v>
      </c>
      <c r="O63" s="10">
        <f>(G_Std[[#This Row],[W]]+G_Std[[#This Row],[SV]]+G_Std[[#This Row],[SV%]]+G_Std[[#This Row],[GAA]])*100</f>
        <v>-181.62961398890681</v>
      </c>
      <c r="P63" s="10">
        <f>_xlfn.RANK.EQ(G_Std[[#This Row],[VAA]],G_Std[VAA])</f>
        <v>54</v>
      </c>
      <c r="Q63" s="10">
        <f>G_Std[[#This Row],[VAA]]-_xlfn.XLOOKUP($B$85,G_Std[Value Rk],G_Std[VAA],,-1)</f>
        <v>-309.23604062797693</v>
      </c>
    </row>
    <row r="64" spans="1:17" x14ac:dyDescent="0.25">
      <c r="A64" t="s">
        <v>1088</v>
      </c>
      <c r="B64" t="s">
        <v>87</v>
      </c>
      <c r="C64">
        <v>34</v>
      </c>
      <c r="D64" t="s">
        <v>157</v>
      </c>
      <c r="E64">
        <v>47</v>
      </c>
      <c r="F64" s="9">
        <f>(INDEX(Goalie[],MATCH(G_Std[[#This Row],[player]],Goalie[player],0),6)-F$80)/F$81</f>
        <v>0.32565761931814663</v>
      </c>
      <c r="G64" s="9">
        <f>(INDEX(Goalie[],MATCH(G_Std[[#This Row],[player]],Goalie[player],0),7)-G$80)/G$81</f>
        <v>-0.1553440036972123</v>
      </c>
      <c r="H64" s="9">
        <f>(INDEX(Goalie[],MATCH(G_Std[[#This Row],[player]],Goalie[player],0),8)-H$80)/H$81</f>
        <v>0.55605266391449326</v>
      </c>
      <c r="I64" s="9">
        <f>(INDEX(Goalie[],MATCH(G_Std[[#This Row],[player]],Goalie[player],0),9)-I$80)/I$81</f>
        <v>-0.2178421789083845</v>
      </c>
      <c r="J64" s="9">
        <f>(INDEX(Goalie[],MATCH(G_Std[[#This Row],[player]],Goalie[player],0),10)-J$80)/J$81</f>
        <v>-0.1391723074010158</v>
      </c>
      <c r="K64" s="9">
        <f>(INDEX(Goalie[],MATCH(G_Std[[#This Row],[player]],Goalie[player],0),11)-K$80)/K$81</f>
        <v>-0.13070175294167627</v>
      </c>
      <c r="L64" s="9">
        <f>(INDEX(Goalie[],MATCH(G_Std[[#This Row],[player]],Goalie[player],0),12)-L$80)/L$81</f>
        <v>0.63558053140490056</v>
      </c>
      <c r="M64" s="9">
        <f>-1*(INDEX(Goalie[],MATCH(G_Std[[#This Row],[player]],Goalie[player],0),13)-M$80)/M$81</f>
        <v>1.5926642190438096</v>
      </c>
      <c r="N64" s="9">
        <f>(INDEX(Goalie[],MATCH(G_Std[[#This Row],[player]],Goalie[player],0),14)-N$80)/N$81</f>
        <v>1.7680893028226585</v>
      </c>
      <c r="O64" s="10">
        <f>(G_Std[[#This Row],[W]]+G_Std[[#This Row],[SV]]+G_Std[[#This Row],[SV%]]+G_Std[[#This Row],[GAA]])*100</f>
        <v>242.32006168251809</v>
      </c>
      <c r="P64" s="10">
        <f>_xlfn.RANK.EQ(G_Std[[#This Row],[VAA]],G_Std[VAA])</f>
        <v>19</v>
      </c>
      <c r="Q64" s="10">
        <f>G_Std[[#This Row],[VAA]]-_xlfn.XLOOKUP($B$85,G_Std[Value Rk],G_Std[VAA],,-1)</f>
        <v>114.71363504344795</v>
      </c>
    </row>
    <row r="65" spans="1:17" x14ac:dyDescent="0.25">
      <c r="A65" t="s">
        <v>169</v>
      </c>
      <c r="B65" t="s">
        <v>11</v>
      </c>
      <c r="C65">
        <v>27</v>
      </c>
      <c r="D65" t="s">
        <v>157</v>
      </c>
      <c r="E65">
        <v>48</v>
      </c>
      <c r="F65" s="9">
        <f>(INDEX(Goalie[],MATCH(G_Std[[#This Row],[player]],Goalie[player],0),6)-F$80)/F$81</f>
        <v>-0.2629723498719303</v>
      </c>
      <c r="G65" s="9">
        <f>(INDEX(Goalie[],MATCH(G_Std[[#This Row],[player]],Goalie[player],0),7)-G$80)/G$81</f>
        <v>1.0377002782659908</v>
      </c>
      <c r="H65" s="9">
        <f>(INDEX(Goalie[],MATCH(G_Std[[#This Row],[player]],Goalie[player],0),8)-H$80)/H$81</f>
        <v>1.7548830530987156</v>
      </c>
      <c r="I65" s="9">
        <f>(INDEX(Goalie[],MATCH(G_Std[[#This Row],[player]],Goalie[player],0),9)-I$80)/I$81</f>
        <v>1.0191740998002905</v>
      </c>
      <c r="J65" s="9">
        <f>(INDEX(Goalie[],MATCH(G_Std[[#This Row],[player]],Goalie[player],0),10)-J$80)/J$81</f>
        <v>0.79683226694026954</v>
      </c>
      <c r="K65" s="9">
        <f>(INDEX(Goalie[],MATCH(G_Std[[#This Row],[player]],Goalie[player],0),11)-K$80)/K$81</f>
        <v>0.77461269682035072</v>
      </c>
      <c r="L65" s="9">
        <f>(INDEX(Goalie[],MATCH(G_Std[[#This Row],[player]],Goalie[player],0),12)-L$80)/L$81</f>
        <v>-0.42503218199221654</v>
      </c>
      <c r="M65" s="9">
        <f>-1*(INDEX(Goalie[],MATCH(G_Std[[#This Row],[player]],Goalie[player],0),13)-M$80)/M$81</f>
        <v>-1.3940485227135191</v>
      </c>
      <c r="N65" s="9">
        <f>(INDEX(Goalie[],MATCH(G_Std[[#This Row],[player]],Goalie[player],0),14)-N$80)/N$81</f>
        <v>-1.0870545909148639</v>
      </c>
      <c r="O65" s="10">
        <f>(G_Std[[#This Row],[W]]+G_Std[[#This Row],[SV]]+G_Std[[#This Row],[SV%]]+G_Std[[#This Row],[GAA]])*100</f>
        <v>-130.74403577573153</v>
      </c>
      <c r="P65" s="10">
        <f>_xlfn.RANK.EQ(G_Std[[#This Row],[VAA]],G_Std[VAA])</f>
        <v>49</v>
      </c>
      <c r="Q65" s="10">
        <f>G_Std[[#This Row],[VAA]]-_xlfn.XLOOKUP($B$85,G_Std[Value Rk],G_Std[VAA],,-1)</f>
        <v>-258.35046241480165</v>
      </c>
    </row>
    <row r="66" spans="1:17" x14ac:dyDescent="0.25">
      <c r="A66" t="s">
        <v>1090</v>
      </c>
      <c r="B66" t="s">
        <v>2</v>
      </c>
      <c r="C66">
        <v>28</v>
      </c>
      <c r="D66" t="s">
        <v>157</v>
      </c>
      <c r="E66">
        <v>48</v>
      </c>
      <c r="F66" s="9">
        <f>(INDEX(Goalie[],MATCH(G_Std[[#This Row],[player]],Goalie[player],0),6)-F$80)/F$81</f>
        <v>0.20793162548013125</v>
      </c>
      <c r="G66" s="9">
        <f>(INDEX(Goalie[],MATCH(G_Std[[#This Row],[player]],Goalie[player],0),7)-G$80)/G$81</f>
        <v>0.31469537163093425</v>
      </c>
      <c r="H66" s="9">
        <f>(INDEX(Goalie[],MATCH(G_Std[[#This Row],[player]],Goalie[player],0),8)-H$80)/H$81</f>
        <v>0.58230694580230458</v>
      </c>
      <c r="I66" s="9">
        <f>(INDEX(Goalie[],MATCH(G_Std[[#This Row],[player]],Goalie[player],0),9)-I$80)/I$81</f>
        <v>0.12738324948445476</v>
      </c>
      <c r="J66" s="9">
        <f>(INDEX(Goalie[],MATCH(G_Std[[#This Row],[player]],Goalie[player],0),10)-J$80)/J$81</f>
        <v>-5.6237514504440644E-2</v>
      </c>
      <c r="K66" s="9">
        <f>(INDEX(Goalie[],MATCH(G_Std[[#This Row],[player]],Goalie[player],0),11)-K$80)/K$81</f>
        <v>-7.2634936921954427E-2</v>
      </c>
      <c r="L66" s="9">
        <f>(INDEX(Goalie[],MATCH(G_Std[[#This Row],[player]],Goalie[player],0),12)-L$80)/L$81</f>
        <v>-0.72806438581996435</v>
      </c>
      <c r="M66" s="9">
        <f>-1*(INDEX(Goalie[],MATCH(G_Std[[#This Row],[player]],Goalie[player],0),13)-M$80)/M$81</f>
        <v>0.90895889261743334</v>
      </c>
      <c r="N66" s="9">
        <f>(INDEX(Goalie[],MATCH(G_Std[[#This Row],[player]],Goalie[player],0),14)-N$80)/N$81</f>
        <v>0.98219896446460764</v>
      </c>
      <c r="O66" s="10">
        <f>(G_Std[[#This Row],[W]]+G_Std[[#This Row],[SV]]+G_Std[[#This Row],[SV%]]+G_Std[[#This Row],[GAA]])*100</f>
        <v>31.61911953556459</v>
      </c>
      <c r="P66" s="10">
        <f>_xlfn.RANK.EQ(G_Std[[#This Row],[VAA]],G_Std[VAA])</f>
        <v>36</v>
      </c>
      <c r="Q66" s="10">
        <f>G_Std[[#This Row],[VAA]]-_xlfn.XLOOKUP($B$85,G_Std[Value Rk],G_Std[VAA],,-1)</f>
        <v>-95.987307103505543</v>
      </c>
    </row>
    <row r="67" spans="1:17" x14ac:dyDescent="0.25">
      <c r="A67" t="s">
        <v>172</v>
      </c>
      <c r="B67" t="s">
        <v>8</v>
      </c>
      <c r="C67">
        <v>28</v>
      </c>
      <c r="D67" t="s">
        <v>157</v>
      </c>
      <c r="E67">
        <v>50</v>
      </c>
      <c r="F67" s="9">
        <f>(INDEX(Goalie[],MATCH(G_Std[[#This Row],[player]],Goalie[player],0),6)-F$80)/F$81</f>
        <v>-0.96932831290002264</v>
      </c>
      <c r="G67" s="9">
        <f>(INDEX(Goalie[],MATCH(G_Std[[#This Row],[player]],Goalie[player],0),7)-G$80)/G$81</f>
        <v>-1.1734498269265186</v>
      </c>
      <c r="H67" s="9">
        <f>(INDEX(Goalie[],MATCH(G_Std[[#This Row],[player]],Goalie[player],0),8)-H$80)/H$81</f>
        <v>-0.32162337358066923</v>
      </c>
      <c r="I67" s="9">
        <f>(INDEX(Goalie[],MATCH(G_Std[[#This Row],[player]],Goalie[player],0),9)-I$80)/I$81</f>
        <v>-1.1113447078167584</v>
      </c>
      <c r="J67" s="9">
        <f>(INDEX(Goalie[],MATCH(G_Std[[#This Row],[player]],Goalie[player],0),10)-J$80)/J$81</f>
        <v>-1.0334199354631206</v>
      </c>
      <c r="K67" s="9">
        <f>(INDEX(Goalie[],MATCH(G_Std[[#This Row],[player]],Goalie[player],0),11)-K$80)/K$81</f>
        <v>-1.0254585997910266</v>
      </c>
      <c r="L67" s="9">
        <f>(INDEX(Goalie[],MATCH(G_Std[[#This Row],[player]],Goalie[player],0),12)-L$80)/L$81</f>
        <v>0.18103222566327892</v>
      </c>
      <c r="M67" s="9">
        <f>-1*(INDEX(Goalie[],MATCH(G_Std[[#This Row],[player]],Goalie[player],0),13)-M$80)/M$81</f>
        <v>-0.60238972369350363</v>
      </c>
      <c r="N67" s="9">
        <f>(INDEX(Goalie[],MATCH(G_Std[[#This Row],[player]],Goalie[player],0),14)-N$80)/N$81</f>
        <v>-1.153017845544261</v>
      </c>
      <c r="O67" s="10">
        <f>(G_Std[[#This Row],[W]]+G_Std[[#This Row],[SV]]+G_Std[[#This Row],[SV%]]+G_Std[[#This Row],[GAA]])*100</f>
        <v>-241.61444107212739</v>
      </c>
      <c r="P67" s="10">
        <f>_xlfn.RANK.EQ(G_Std[[#This Row],[VAA]],G_Std[VAA])</f>
        <v>58</v>
      </c>
      <c r="Q67" s="10">
        <f>G_Std[[#This Row],[VAA]]-_xlfn.XLOOKUP($B$85,G_Std[Value Rk],G_Std[VAA],,-1)</f>
        <v>-369.22086771119751</v>
      </c>
    </row>
    <row r="68" spans="1:17" x14ac:dyDescent="0.25">
      <c r="A68" t="s">
        <v>193</v>
      </c>
      <c r="B68" t="s">
        <v>32</v>
      </c>
      <c r="C68">
        <v>25</v>
      </c>
      <c r="D68" t="s">
        <v>157</v>
      </c>
      <c r="E68">
        <v>51</v>
      </c>
      <c r="F68" s="9">
        <f>(INDEX(Goalie[],MATCH(G_Std[[#This Row],[player]],Goalie[player],0),6)-F$80)/F$81</f>
        <v>-0.49842433754796106</v>
      </c>
      <c r="G68" s="9">
        <f>(INDEX(Goalie[],MATCH(G_Std[[#This Row],[player]],Goalie[player],0),7)-G$80)/G$81</f>
        <v>-0.22291383973982101</v>
      </c>
      <c r="H68" s="9">
        <f>(INDEX(Goalie[],MATCH(G_Std[[#This Row],[player]],Goalie[player],0),8)-H$80)/H$81</f>
        <v>-0.35098671516572161</v>
      </c>
      <c r="I68" s="9">
        <f>(INDEX(Goalie[],MATCH(G_Std[[#This Row],[player]],Goalie[player],0),9)-I$80)/I$81</f>
        <v>-0.51958969863078763</v>
      </c>
      <c r="J68" s="9">
        <f>(INDEX(Goalie[],MATCH(G_Std[[#This Row],[player]],Goalie[player],0),10)-J$80)/J$81</f>
        <v>-0.33381204697474454</v>
      </c>
      <c r="K68" s="9">
        <f>(INDEX(Goalie[],MATCH(G_Std[[#This Row],[player]],Goalie[player],0),11)-K$80)/K$81</f>
        <v>-0.31545980391351852</v>
      </c>
      <c r="L68" s="9">
        <f>(INDEX(Goalie[],MATCH(G_Std[[#This Row],[player]],Goalie[player],0),12)-L$80)/L$81</f>
        <v>1.2416449390603961</v>
      </c>
      <c r="M68" s="9">
        <f>-1*(INDEX(Goalie[],MATCH(G_Std[[#This Row],[player]],Goalie[player],0),13)-M$80)/M$81</f>
        <v>0.54911398397197175</v>
      </c>
      <c r="N68" s="9">
        <f>(INDEX(Goalie[],MATCH(G_Std[[#This Row],[player]],Goalie[player],0),14)-N$80)/N$81</f>
        <v>0.51925372689631299</v>
      </c>
      <c r="O68" s="10">
        <f>(G_Std[[#This Row],[W]]+G_Std[[#This Row],[SV]]+G_Std[[#This Row],[SV%]]+G_Std[[#This Row],[GAA]])*100</f>
        <v>97.687478157088819</v>
      </c>
      <c r="P68" s="10">
        <f>_xlfn.RANK.EQ(G_Std[[#This Row],[VAA]],G_Std[VAA])</f>
        <v>31</v>
      </c>
      <c r="Q68" s="10">
        <f>G_Std[[#This Row],[VAA]]-_xlfn.XLOOKUP($B$85,G_Std[Value Rk],G_Std[VAA],,-1)</f>
        <v>-29.918948481981317</v>
      </c>
    </row>
    <row r="69" spans="1:17" x14ac:dyDescent="0.25">
      <c r="A69" t="s">
        <v>205</v>
      </c>
      <c r="B69" t="s">
        <v>87</v>
      </c>
      <c r="C69">
        <v>32</v>
      </c>
      <c r="D69" t="s">
        <v>157</v>
      </c>
      <c r="E69">
        <v>51</v>
      </c>
      <c r="F69" s="9">
        <f>(INDEX(Goalie[],MATCH(G_Std[[#This Row],[player]],Goalie[player],0),6)-F$80)/F$81</f>
        <v>1.7383695453743313</v>
      </c>
      <c r="G69" s="9">
        <f>(INDEX(Goalie[],MATCH(G_Std[[#This Row],[player]],Goalie[player],0),7)-G$80)/G$81</f>
        <v>0.42271517754939031</v>
      </c>
      <c r="H69" s="9">
        <f>(INDEX(Goalie[],MATCH(G_Std[[#This Row],[player]],Goalie[player],0),8)-H$80)/H$81</f>
        <v>-5.2171533153133234E-2</v>
      </c>
      <c r="I69" s="9">
        <f>(INDEX(Goalie[],MATCH(G_Std[[#This Row],[player]],Goalie[player],0),9)-I$80)/I$81</f>
        <v>1.1329411613671165</v>
      </c>
      <c r="J69" s="9">
        <f>(INDEX(Goalie[],MATCH(G_Std[[#This Row],[player]],Goalie[player],0),10)-J$80)/J$81</f>
        <v>1.2017237903864246</v>
      </c>
      <c r="K69" s="9">
        <f>(INDEX(Goalie[],MATCH(G_Std[[#This Row],[player]],Goalie[player],0),11)-K$80)/K$81</f>
        <v>1.2074744162400954</v>
      </c>
      <c r="L69" s="9">
        <f>(INDEX(Goalie[],MATCH(G_Std[[#This Row],[player]],Goalie[player],0),12)-L$80)/L$81</f>
        <v>0.78709663331877444</v>
      </c>
      <c r="M69" s="9">
        <f>-1*(INDEX(Goalie[],MATCH(G_Std[[#This Row],[player]],Goalie[player],0),13)-M$80)/M$81</f>
        <v>1.1608503286692557</v>
      </c>
      <c r="N69" s="9">
        <f>(INDEX(Goalie[],MATCH(G_Std[[#This Row],[player]],Goalie[player],0),14)-N$80)/N$81</f>
        <v>1.5082730980649421</v>
      </c>
      <c r="O69" s="10">
        <f>(G_Std[[#This Row],[W]]+G_Std[[#This Row],[SV]]+G_Std[[#This Row],[SV%]]+G_Std[[#This Row],[GAA]])*100</f>
        <v>489.37909236024569</v>
      </c>
      <c r="P69" s="10">
        <f>_xlfn.RANK.EQ(G_Std[[#This Row],[VAA]],G_Std[VAA])</f>
        <v>8</v>
      </c>
      <c r="Q69" s="10">
        <f>G_Std[[#This Row],[VAA]]-_xlfn.XLOOKUP($B$85,G_Std[Value Rk],G_Std[VAA],,-1)</f>
        <v>361.77266572117554</v>
      </c>
    </row>
    <row r="70" spans="1:17" x14ac:dyDescent="0.25">
      <c r="A70" t="s">
        <v>167</v>
      </c>
      <c r="B70" t="s">
        <v>1085</v>
      </c>
      <c r="C70">
        <v>28</v>
      </c>
      <c r="D70" t="s">
        <v>157</v>
      </c>
      <c r="E70">
        <v>51</v>
      </c>
      <c r="F70" s="9">
        <f>(INDEX(Goalie[],MATCH(G_Std[[#This Row],[player]],Goalie[player],0),6)-F$80)/F$81</f>
        <v>-0.49842433754796106</v>
      </c>
      <c r="G70" s="9">
        <f>(INDEX(Goalie[],MATCH(G_Std[[#This Row],[player]],Goalie[player],0),7)-G$80)/G$81</f>
        <v>-0.81731005900919762</v>
      </c>
      <c r="H70" s="9">
        <f>(INDEX(Goalie[],MATCH(G_Std[[#This Row],[player]],Goalie[player],0),8)-H$80)/H$81</f>
        <v>-0.44483425787873088</v>
      </c>
      <c r="I70" s="9">
        <f>(INDEX(Goalie[],MATCH(G_Std[[#This Row],[player]],Goalie[player],0),9)-I$80)/I$81</f>
        <v>-0.72673987943376916</v>
      </c>
      <c r="J70" s="9">
        <f>(INDEX(Goalie[],MATCH(G_Std[[#This Row],[player]],Goalie[player],0),10)-J$80)/J$81</f>
        <v>-0.69204189129791849</v>
      </c>
      <c r="K70" s="9">
        <f>(INDEX(Goalie[],MATCH(G_Std[[#This Row],[player]],Goalie[player],0),11)-K$80)/K$81</f>
        <v>-0.68761530658537218</v>
      </c>
      <c r="L70" s="9">
        <f>(INDEX(Goalie[],MATCH(G_Std[[#This Row],[player]],Goalie[player],0),12)-L$80)/L$81</f>
        <v>0.18103222566327892</v>
      </c>
      <c r="M70" s="9">
        <f>-1*(INDEX(Goalie[],MATCH(G_Std[[#This Row],[player]],Goalie[player],0),13)-M$80)/M$81</f>
        <v>-0.38648277850622675</v>
      </c>
      <c r="N70" s="9">
        <f>(INDEX(Goalie[],MATCH(G_Std[[#This Row],[player]],Goalie[player],0),14)-N$80)/N$81</f>
        <v>-0.33706612812333375</v>
      </c>
      <c r="O70" s="10">
        <f>(G_Std[[#This Row],[W]]+G_Std[[#This Row],[SV]]+G_Std[[#This Row],[SV%]]+G_Std[[#This Row],[GAA]])*100</f>
        <v>-139.14901969762809</v>
      </c>
      <c r="P70" s="10">
        <f>_xlfn.RANK.EQ(G_Std[[#This Row],[VAA]],G_Std[VAA])</f>
        <v>50</v>
      </c>
      <c r="Q70" s="10">
        <f>G_Std[[#This Row],[VAA]]-_xlfn.XLOOKUP($B$85,G_Std[Value Rk],G_Std[VAA],,-1)</f>
        <v>-266.75544633669824</v>
      </c>
    </row>
    <row r="71" spans="1:17" x14ac:dyDescent="0.25">
      <c r="A71" t="s">
        <v>158</v>
      </c>
      <c r="B71" t="s">
        <v>20</v>
      </c>
      <c r="C71">
        <v>28</v>
      </c>
      <c r="D71" t="s">
        <v>157</v>
      </c>
      <c r="E71">
        <v>54</v>
      </c>
      <c r="F71" s="9">
        <f>(INDEX(Goalie[],MATCH(G_Std[[#This Row],[player]],Goalie[player],0),6)-F$80)/F$81</f>
        <v>-1.5579582820900995</v>
      </c>
      <c r="G71" s="9">
        <f>(INDEX(Goalie[],MATCH(G_Std[[#This Row],[player]],Goalie[player],0),7)-G$80)/G$81</f>
        <v>-1.7108675138186953</v>
      </c>
      <c r="H71" s="9">
        <f>(INDEX(Goalie[],MATCH(G_Std[[#This Row],[player]],Goalie[player],0),8)-H$80)/H$81</f>
        <v>-1.5209143642015202</v>
      </c>
      <c r="I71" s="9">
        <f>(INDEX(Goalie[],MATCH(G_Std[[#This Row],[player]],Goalie[player],0),9)-I$80)/I$81</f>
        <v>-1.8841194867658575</v>
      </c>
      <c r="J71" s="9">
        <f>(INDEX(Goalie[],MATCH(G_Std[[#This Row],[player]],Goalie[player],0),10)-J$80)/J$81</f>
        <v>-1.8592522468987789</v>
      </c>
      <c r="K71" s="9">
        <f>(INDEX(Goalie[],MATCH(G_Std[[#This Row],[player]],Goalie[player],0),11)-K$80)/K$81</f>
        <v>-1.8542304284361475</v>
      </c>
      <c r="L71" s="9">
        <f>(INDEX(Goalie[],MATCH(G_Std[[#This Row],[player]],Goalie[player],0),12)-L$80)/L$81</f>
        <v>-1.7886770992170815</v>
      </c>
      <c r="M71" s="9">
        <f>-1*(INDEX(Goalie[],MATCH(G_Std[[#This Row],[player]],Goalie[player],0),13)-M$80)/M$81</f>
        <v>-1.6819244496298884</v>
      </c>
      <c r="N71" s="9">
        <f>(INDEX(Goalie[],MATCH(G_Std[[#This Row],[player]],Goalie[player],0),14)-N$80)/N$81</f>
        <v>-1.5051654288522403</v>
      </c>
      <c r="O71" s="10">
        <f>(G_Std[[#This Row],[W]]+G_Std[[#This Row],[SV]]+G_Std[[#This Row],[SV%]]+G_Std[[#This Row],[GAA]])*100</f>
        <v>-688.27902593732176</v>
      </c>
      <c r="P71" s="10">
        <f>_xlfn.RANK.EQ(G_Std[[#This Row],[VAA]],G_Std[VAA])</f>
        <v>75</v>
      </c>
      <c r="Q71" s="10">
        <f>G_Std[[#This Row],[VAA]]-_xlfn.XLOOKUP($B$85,G_Std[Value Rk],G_Std[VAA],,-1)</f>
        <v>-815.88545257639191</v>
      </c>
    </row>
    <row r="72" spans="1:17" x14ac:dyDescent="0.25">
      <c r="A72" t="s">
        <v>180</v>
      </c>
      <c r="B72" t="s">
        <v>17</v>
      </c>
      <c r="C72">
        <v>25</v>
      </c>
      <c r="D72" t="s">
        <v>157</v>
      </c>
      <c r="E72">
        <v>54</v>
      </c>
      <c r="F72" s="9">
        <f>(INDEX(Goalie[],MATCH(G_Std[[#This Row],[player]],Goalie[player],0),6)-F$80)/F$81</f>
        <v>1.5029175576983005</v>
      </c>
      <c r="G72" s="9">
        <f>(INDEX(Goalie[],MATCH(G_Std[[#This Row],[player]],Goalie[player],0),7)-G$80)/G$81</f>
        <v>0.54896811382855071</v>
      </c>
      <c r="H72" s="9">
        <f>(INDEX(Goalie[],MATCH(G_Std[[#This Row],[player]],Goalie[player],0),8)-H$80)/H$81</f>
        <v>0.43445388464463081</v>
      </c>
      <c r="I72" s="9">
        <f>(INDEX(Goalie[],MATCH(G_Std[[#This Row],[player]],Goalie[player],0),9)-I$80)/I$81</f>
        <v>1.0367491902774146</v>
      </c>
      <c r="J72" s="9">
        <f>(INDEX(Goalie[],MATCH(G_Std[[#This Row],[player]],Goalie[player],0),10)-J$80)/J$81</f>
        <v>1.0502086374597943</v>
      </c>
      <c r="K72" s="9">
        <f>(INDEX(Goalie[],MATCH(G_Std[[#This Row],[player]],Goalie[player],0),11)-K$80)/K$81</f>
        <v>1.0491103725499449</v>
      </c>
      <c r="L72" s="9">
        <f>(INDEX(Goalie[],MATCH(G_Std[[#This Row],[player]],Goalie[player],0),12)-L$80)/L$81</f>
        <v>0.48406442949102668</v>
      </c>
      <c r="M72" s="9">
        <f>-1*(INDEX(Goalie[],MATCH(G_Std[[#This Row],[player]],Goalie[player],0),13)-M$80)/M$81</f>
        <v>0.87297440175288643</v>
      </c>
      <c r="N72" s="9">
        <f>(INDEX(Goalie[],MATCH(G_Std[[#This Row],[player]],Goalie[player],0),14)-N$80)/N$81</f>
        <v>2.7793124045518824E-2</v>
      </c>
      <c r="O72" s="10">
        <f>(G_Std[[#This Row],[W]]+G_Std[[#This Row],[SV]]+G_Std[[#This Row],[SV%]]+G_Std[[#This Row],[GAA]])*100</f>
        <v>390.90667614921585</v>
      </c>
      <c r="P72" s="10">
        <f>_xlfn.RANK.EQ(G_Std[[#This Row],[VAA]],G_Std[VAA])</f>
        <v>13</v>
      </c>
      <c r="Q72" s="10">
        <f>G_Std[[#This Row],[VAA]]-_xlfn.XLOOKUP($B$85,G_Std[Value Rk],G_Std[VAA],,-1)</f>
        <v>263.3002495101457</v>
      </c>
    </row>
    <row r="73" spans="1:17" x14ac:dyDescent="0.25">
      <c r="A73" t="s">
        <v>204</v>
      </c>
      <c r="B73" t="s">
        <v>18</v>
      </c>
      <c r="C73">
        <v>39</v>
      </c>
      <c r="D73" t="s">
        <v>157</v>
      </c>
      <c r="E73">
        <v>54</v>
      </c>
      <c r="F73" s="9">
        <f>(INDEX(Goalie[],MATCH(G_Std[[#This Row],[player]],Goalie[player],0),6)-F$80)/F$81</f>
        <v>1.2674655700222697</v>
      </c>
      <c r="G73" s="9">
        <f>(INDEX(Goalie[],MATCH(G_Std[[#This Row],[player]],Goalie[player],0),7)-G$80)/G$81</f>
        <v>0.68950877620969064</v>
      </c>
      <c r="H73" s="9">
        <f>(INDEX(Goalie[],MATCH(G_Std[[#This Row],[player]],Goalie[player],0),8)-H$80)/H$81</f>
        <v>0.27773424583186307</v>
      </c>
      <c r="I73" s="9">
        <f>(INDEX(Goalie[],MATCH(G_Std[[#This Row],[player]],Goalie[player],0),9)-I$80)/I$81</f>
        <v>0.90250713994956477</v>
      </c>
      <c r="J73" s="9">
        <f>(INDEX(Goalie[],MATCH(G_Std[[#This Row],[player]],Goalie[player],0),10)-J$80)/J$81</f>
        <v>1.0830855730085387</v>
      </c>
      <c r="K73" s="9">
        <f>(INDEX(Goalie[],MATCH(G_Std[[#This Row],[player]],Goalie[player],0),11)-K$80)/K$81</f>
        <v>1.0992589863851592</v>
      </c>
      <c r="L73" s="9">
        <f>(INDEX(Goalie[],MATCH(G_Std[[#This Row],[player]],Goalie[player],0),12)-L$80)/L$81</f>
        <v>1.2416449390603961</v>
      </c>
      <c r="M73" s="9">
        <f>-1*(INDEX(Goalie[],MATCH(G_Std[[#This Row],[player]],Goalie[player],0),13)-M$80)/M$81</f>
        <v>0.83698991088834107</v>
      </c>
      <c r="N73" s="9">
        <f>(INDEX(Goalie[],MATCH(G_Std[[#This Row],[player]],Goalie[player],0),14)-N$80)/N$81</f>
        <v>0.69790420818426346</v>
      </c>
      <c r="O73" s="10">
        <f>(G_Std[[#This Row],[W]]+G_Std[[#This Row],[SV]]+G_Std[[#This Row],[SV%]]+G_Std[[#This Row],[GAA]])*100</f>
        <v>444.53594063561661</v>
      </c>
      <c r="P73" s="10">
        <f>_xlfn.RANK.EQ(G_Std[[#This Row],[VAA]],G_Std[VAA])</f>
        <v>11</v>
      </c>
      <c r="Q73" s="10">
        <f>G_Std[[#This Row],[VAA]]-_xlfn.XLOOKUP($B$85,G_Std[Value Rk],G_Std[VAA],,-1)</f>
        <v>316.92951399654646</v>
      </c>
    </row>
    <row r="74" spans="1:17" x14ac:dyDescent="0.25">
      <c r="A74" t="s">
        <v>206</v>
      </c>
      <c r="B74" t="s">
        <v>25</v>
      </c>
      <c r="C74">
        <v>28</v>
      </c>
      <c r="D74" t="s">
        <v>157</v>
      </c>
      <c r="E74">
        <v>55</v>
      </c>
      <c r="F74" s="9">
        <f>(INDEX(Goalie[],MATCH(G_Std[[#This Row],[player]],Goalie[player],0),6)-F$80)/F$81</f>
        <v>0.91428758850822356</v>
      </c>
      <c r="G74" s="9">
        <f>(INDEX(Goalie[],MATCH(G_Std[[#This Row],[player]],Goalie[player],0),7)-G$80)/G$81</f>
        <v>1.2759950345137618</v>
      </c>
      <c r="H74" s="9">
        <f>(INDEX(Goalie[],MATCH(G_Std[[#This Row],[player]],Goalie[player],0),8)-H$80)/H$81</f>
        <v>1.2487972246034074</v>
      </c>
      <c r="I74" s="9">
        <f>(INDEX(Goalie[],MATCH(G_Std[[#This Row],[player]],Goalie[player],0),9)-I$80)/I$81</f>
        <v>1.0343061143007641</v>
      </c>
      <c r="J74" s="9">
        <f>(INDEX(Goalie[],MATCH(G_Std[[#This Row],[player]],Goalie[player],0),10)-J$80)/J$81</f>
        <v>1.1028816123636409</v>
      </c>
      <c r="K74" s="9">
        <f>(INDEX(Goalie[],MATCH(G_Std[[#This Row],[player]],Goalie[player],0),11)-K$80)/K$81</f>
        <v>1.1071771885696666</v>
      </c>
      <c r="L74" s="9">
        <f>(INDEX(Goalie[],MATCH(G_Std[[#This Row],[player]],Goalie[player],0),12)-L$80)/L$81</f>
        <v>0.78709663331877444</v>
      </c>
      <c r="M74" s="9">
        <f>-1*(INDEX(Goalie[],MATCH(G_Std[[#This Row],[player]],Goalie[player],0),13)-M$80)/M$81</f>
        <v>0.87297440175288643</v>
      </c>
      <c r="N74" s="9">
        <f>(INDEX(Goalie[],MATCH(G_Std[[#This Row],[player]],Goalie[player],0),14)-N$80)/N$81</f>
        <v>1.988482156180774</v>
      </c>
      <c r="O74" s="10">
        <f>(G_Std[[#This Row],[W]]+G_Std[[#This Row],[SV]]+G_Std[[#This Row],[SV%]]+G_Std[[#This Row],[GAA]])*100</f>
        <v>368.15358121495507</v>
      </c>
      <c r="P74" s="10">
        <f>_xlfn.RANK.EQ(G_Std[[#This Row],[VAA]],G_Std[VAA])</f>
        <v>14</v>
      </c>
      <c r="Q74" s="10">
        <f>G_Std[[#This Row],[VAA]]-_xlfn.XLOOKUP($B$85,G_Std[Value Rk],G_Std[VAA],,-1)</f>
        <v>240.54715457588492</v>
      </c>
    </row>
    <row r="75" spans="1:17" x14ac:dyDescent="0.25">
      <c r="A75" t="s">
        <v>160</v>
      </c>
      <c r="B75" t="s">
        <v>29</v>
      </c>
      <c r="C75">
        <v>33</v>
      </c>
      <c r="D75" t="s">
        <v>157</v>
      </c>
      <c r="E75">
        <v>56</v>
      </c>
      <c r="F75" s="9">
        <f>(INDEX(Goalie[],MATCH(G_Std[[#This Row],[player]],Goalie[player],0),6)-F$80)/F$81</f>
        <v>0.32565761931814663</v>
      </c>
      <c r="G75" s="9">
        <f>(INDEX(Goalie[],MATCH(G_Std[[#This Row],[player]],Goalie[player],0),7)-G$80)/G$81</f>
        <v>0.71996116830372325</v>
      </c>
      <c r="H75" s="9">
        <f>(INDEX(Goalie[],MATCH(G_Std[[#This Row],[player]],Goalie[player],0),8)-H$80)/H$81</f>
        <v>0.29431589755048088</v>
      </c>
      <c r="I75" s="9">
        <f>(INDEX(Goalie[],MATCH(G_Std[[#This Row],[player]],Goalie[player],0),9)-I$80)/I$81</f>
        <v>0.50202508137895441</v>
      </c>
      <c r="J75" s="9">
        <f>(INDEX(Goalie[],MATCH(G_Std[[#This Row],[player]],Goalie[player],0),10)-J$80)/J$81</f>
        <v>0.43056041735556833</v>
      </c>
      <c r="K75" s="9">
        <f>(INDEX(Goalie[],MATCH(G_Std[[#This Row],[player]],Goalie[player],0),11)-K$80)/K$81</f>
        <v>0.42357239997385043</v>
      </c>
      <c r="L75" s="9">
        <f>(INDEX(Goalie[],MATCH(G_Std[[#This Row],[player]],Goalie[player],0),12)-L$80)/L$81</f>
        <v>2.9516123749405047E-2</v>
      </c>
      <c r="M75" s="9">
        <f>-1*(INDEX(Goalie[],MATCH(G_Std[[#This Row],[player]],Goalie[player],0),13)-M$80)/M$81</f>
        <v>0.22525356619105716</v>
      </c>
      <c r="N75" s="9">
        <f>(INDEX(Goalie[],MATCH(G_Std[[#This Row],[player]],Goalie[player],0),14)-N$80)/N$81</f>
        <v>0.57594089884345134</v>
      </c>
      <c r="O75" s="10">
        <f>(G_Std[[#This Row],[W]]+G_Std[[#This Row],[SV]]+G_Std[[#This Row],[SV%]]+G_Std[[#This Row],[GAA]])*100</f>
        <v>100.39997092324593</v>
      </c>
      <c r="P75" s="10">
        <f>_xlfn.RANK.EQ(G_Std[[#This Row],[VAA]],G_Std[VAA])</f>
        <v>30</v>
      </c>
      <c r="Q75" s="10">
        <f>G_Std[[#This Row],[VAA]]-_xlfn.XLOOKUP($B$85,G_Std[Value Rk],G_Std[VAA],,-1)</f>
        <v>-27.206455715824205</v>
      </c>
    </row>
    <row r="76" spans="1:17" x14ac:dyDescent="0.25">
      <c r="A76" t="s">
        <v>176</v>
      </c>
      <c r="B76" t="s">
        <v>5</v>
      </c>
      <c r="C76">
        <v>30</v>
      </c>
      <c r="D76" t="s">
        <v>157</v>
      </c>
      <c r="E76">
        <v>56</v>
      </c>
      <c r="F76" s="9">
        <f>(INDEX(Goalie[],MATCH(G_Std[[#This Row],[player]],Goalie[player],0),6)-F$80)/F$81</f>
        <v>-0.2629723498719303</v>
      </c>
      <c r="G76" s="9">
        <f>(INDEX(Goalie[],MATCH(G_Std[[#This Row],[player]],Goalie[player],0),7)-G$80)/G$81</f>
        <v>-0.79921099578349886</v>
      </c>
      <c r="H76" s="9">
        <f>(INDEX(Goalie[],MATCH(G_Std[[#This Row],[player]],Goalie[player],0),8)-H$80)/H$81</f>
        <v>6.555150016970746E-3</v>
      </c>
      <c r="I76" s="9">
        <f>(INDEX(Goalie[],MATCH(G_Std[[#This Row],[player]],Goalie[player],0),9)-I$80)/I$81</f>
        <v>-0.38958710367418342</v>
      </c>
      <c r="J76" s="9">
        <f>(INDEX(Goalie[],MATCH(G_Std[[#This Row],[player]],Goalie[player],0),10)-J$80)/J$81</f>
        <v>-0.42446286028156632</v>
      </c>
      <c r="K76" s="9">
        <f>(INDEX(Goalie[],MATCH(G_Std[[#This Row],[player]],Goalie[player],0),11)-K$80)/K$81</f>
        <v>-0.42631463449662388</v>
      </c>
      <c r="L76" s="9">
        <f>(INDEX(Goalie[],MATCH(G_Std[[#This Row],[player]],Goalie[player],0),12)-L$80)/L$81</f>
        <v>-0.12199997816446882</v>
      </c>
      <c r="M76" s="9">
        <f>-1*(INDEX(Goalie[],MATCH(G_Std[[#This Row],[player]],Goalie[player],0),13)-M$80)/M$81</f>
        <v>-2.6637869860766741E-2</v>
      </c>
      <c r="N76" s="9">
        <f>(INDEX(Goalie[],MATCH(G_Std[[#This Row],[player]],Goalie[player],0),14)-N$80)/N$81</f>
        <v>-0.34909067974848429</v>
      </c>
      <c r="O76" s="10">
        <f>(G_Std[[#This Row],[W]]+G_Std[[#This Row],[SV]]+G_Std[[#This Row],[SV%]]+G_Std[[#This Row],[GAA]])*100</f>
        <v>-83.792483239378981</v>
      </c>
      <c r="P76" s="10">
        <f>_xlfn.RANK.EQ(G_Std[[#This Row],[VAA]],G_Std[VAA])</f>
        <v>44</v>
      </c>
      <c r="Q76" s="10">
        <f>G_Std[[#This Row],[VAA]]-_xlfn.XLOOKUP($B$85,G_Std[Value Rk],G_Std[VAA],,-1)</f>
        <v>-211.3989098784491</v>
      </c>
    </row>
    <row r="77" spans="1:17" x14ac:dyDescent="0.25">
      <c r="A77" t="s">
        <v>1245</v>
      </c>
      <c r="B77" t="s">
        <v>14</v>
      </c>
      <c r="C77">
        <v>30</v>
      </c>
      <c r="D77" t="s">
        <v>157</v>
      </c>
      <c r="E77">
        <v>56</v>
      </c>
      <c r="F77" s="9">
        <f>(INDEX(Goalie[],MATCH(G_Std[[#This Row],[player]],Goalie[player],0),6)-F$80)/F$81</f>
        <v>0.56110960699417745</v>
      </c>
      <c r="G77" s="9">
        <f>(INDEX(Goalie[],MATCH(G_Std[[#This Row],[player]],Goalie[player],0),7)-G$80)/G$81</f>
        <v>-0.32116589725075712</v>
      </c>
      <c r="H77" s="9">
        <f>(INDEX(Goalie[],MATCH(G_Std[[#This Row],[player]],Goalie[player],0),8)-H$80)/H$81</f>
        <v>0.35430923467131248</v>
      </c>
      <c r="I77" s="9">
        <f>(INDEX(Goalie[],MATCH(G_Std[[#This Row],[player]],Goalie[player],0),9)-I$80)/I$81</f>
        <v>0.27938458287334134</v>
      </c>
      <c r="J77" s="9">
        <f>(INDEX(Goalie[],MATCH(G_Std[[#This Row],[player]],Goalie[player],0),10)-J$80)/J$81</f>
        <v>0.16861723250602237</v>
      </c>
      <c r="K77" s="9">
        <f>(INDEX(Goalie[],MATCH(G_Std[[#This Row],[player]],Goalie[player],0),11)-K$80)/K$81</f>
        <v>0.15699292642876378</v>
      </c>
      <c r="L77" s="9">
        <f>(INDEX(Goalie[],MATCH(G_Std[[#This Row],[player]],Goalie[player],0),12)-L$80)/L$81</f>
        <v>-0.27351608007834272</v>
      </c>
      <c r="M77" s="9">
        <f>-1*(INDEX(Goalie[],MATCH(G_Std[[#This Row],[player]],Goalie[player],0),13)-M$80)/M$81</f>
        <v>0.44116051137833412</v>
      </c>
      <c r="N77" s="9">
        <f>(INDEX(Goalie[],MATCH(G_Std[[#This Row],[player]],Goalie[player],0),14)-N$80)/N$81</f>
        <v>0.23667676370527591</v>
      </c>
      <c r="O77" s="10">
        <f>(G_Std[[#This Row],[W]]+G_Std[[#This Row],[SV]]+G_Std[[#This Row],[SV%]]+G_Std[[#This Row],[GAA]])*100</f>
        <v>88.574696472293255</v>
      </c>
      <c r="P77" s="10">
        <f>_xlfn.RANK.EQ(G_Std[[#This Row],[VAA]],G_Std[VAA])</f>
        <v>33</v>
      </c>
      <c r="Q77" s="10">
        <f>G_Std[[#This Row],[VAA]]-_xlfn.XLOOKUP($B$85,G_Std[Value Rk],G_Std[VAA],,-1)</f>
        <v>-39.031730166776882</v>
      </c>
    </row>
    <row r="78" spans="1:17" x14ac:dyDescent="0.25">
      <c r="A78" t="s">
        <v>1253</v>
      </c>
      <c r="B78" t="s">
        <v>22</v>
      </c>
      <c r="C78">
        <v>34</v>
      </c>
      <c r="D78" t="s">
        <v>157</v>
      </c>
      <c r="E78">
        <v>62</v>
      </c>
      <c r="F78" s="9">
        <f>(INDEX(Goalie[],MATCH(G_Std[[#This Row],[player]],Goalie[player],0),6)-F$80)/F$81</f>
        <v>-2.7520362195899525E-2</v>
      </c>
      <c r="G78" s="9">
        <f>(INDEX(Goalie[],MATCH(G_Std[[#This Row],[player]],Goalie[player],0),7)-G$80)/G$81</f>
        <v>0.20611949180024128</v>
      </c>
      <c r="H78" s="9">
        <f>(INDEX(Goalie[],MATCH(G_Std[[#This Row],[player]],Goalie[player],0),8)-H$80)/H$81</f>
        <v>0.12310236154222101</v>
      </c>
      <c r="I78" s="9">
        <f>(INDEX(Goalie[],MATCH(G_Std[[#This Row],[player]],Goalie[player],0),9)-I$80)/I$81</f>
        <v>0.20838292487122803</v>
      </c>
      <c r="J78" s="9">
        <f>(INDEX(Goalie[],MATCH(G_Std[[#This Row],[player]],Goalie[player],0),10)-J$80)/J$81</f>
        <v>0.12463167382388236</v>
      </c>
      <c r="K78" s="9">
        <f>(INDEX(Goalie[],MATCH(G_Std[[#This Row],[player]],Goalie[player],0),11)-K$80)/K$81</f>
        <v>0.11740191550622615</v>
      </c>
      <c r="L78" s="9">
        <f>(INDEX(Goalie[],MATCH(G_Std[[#This Row],[player]],Goalie[player],0),12)-L$80)/L$81</f>
        <v>-0.12199997816446882</v>
      </c>
      <c r="M78" s="9">
        <f>-1*(INDEX(Goalie[],MATCH(G_Std[[#This Row],[player]],Goalie[player],0),13)-M$80)/M$81</f>
        <v>-0.13459134245440441</v>
      </c>
      <c r="N78" s="9">
        <f>(INDEX(Goalie[],MATCH(G_Std[[#This Row],[player]],Goalie[player],0),14)-N$80)/N$81</f>
        <v>-6.4066837423984904E-2</v>
      </c>
      <c r="O78" s="10">
        <f>(G_Std[[#This Row],[W]]+G_Std[[#This Row],[SV]]+G_Std[[#This Row],[SV%]]+G_Std[[#This Row],[GAA]])*100</f>
        <v>-16.670976730854658</v>
      </c>
      <c r="P78" s="10">
        <f>_xlfn.RANK.EQ(G_Std[[#This Row],[VAA]],G_Std[VAA])</f>
        <v>37</v>
      </c>
      <c r="Q78" s="10">
        <f>G_Std[[#This Row],[VAA]]-_xlfn.XLOOKUP($B$85,G_Std[Value Rk],G_Std[VAA],,-1)</f>
        <v>-144.2774033699248</v>
      </c>
    </row>
    <row r="79" spans="1:17" x14ac:dyDescent="0.25">
      <c r="E79" s="10"/>
      <c r="F79" s="9"/>
      <c r="G79" s="9"/>
      <c r="H79" s="9"/>
      <c r="I79" s="9"/>
      <c r="J79" s="9"/>
      <c r="K79" s="9"/>
      <c r="L79" s="9"/>
      <c r="M79" s="9"/>
      <c r="N79" s="9"/>
      <c r="O79" s="10"/>
      <c r="P79" s="10"/>
      <c r="Q79" s="10"/>
    </row>
    <row r="80" spans="1:17" x14ac:dyDescent="0.25">
      <c r="F80" s="8">
        <f>AVERAGE(Goalie[W])</f>
        <v>18.233766233766232</v>
      </c>
      <c r="G80" s="8">
        <f>AVERAGE(Goalie[L])</f>
        <v>13.544892163518304</v>
      </c>
      <c r="H80" s="8">
        <f>AVERAGE(Goalie[OTL])</f>
        <v>3.8526146251475786</v>
      </c>
      <c r="I80" s="8">
        <f>AVERAGE(Goalie[GA])</f>
        <v>102.03877811658377</v>
      </c>
      <c r="J80" s="8">
        <f>AVERAGE(Goalie[SA])</f>
        <v>1089.5148750885476</v>
      </c>
      <c r="K80" s="8">
        <f>AVERAGE(Goalie[SV])</f>
        <v>987.51948051948057</v>
      </c>
      <c r="L80" s="8">
        <f>AVERAGE(Goalie[SV%])</f>
        <v>0.90480519480519517</v>
      </c>
      <c r="M80" s="8">
        <f>AVERAGE(Goalie[GAA])</f>
        <v>2.9225974025974031</v>
      </c>
      <c r="N80" s="8">
        <f>AVERAGE(Goalie[SO])</f>
        <v>1.9124408943329401</v>
      </c>
    </row>
    <row r="81" spans="1:14" x14ac:dyDescent="0.25">
      <c r="F81" s="8">
        <f>_xlfn.STDEV.P(Goalie[W])</f>
        <v>8.4943007690888219</v>
      </c>
      <c r="G81" s="8">
        <f>_xlfn.STDEV.P(Goalie[L])</f>
        <v>5.2212647042317641</v>
      </c>
      <c r="H81" s="8">
        <f>_xlfn.STDEV.P(Goalie[OTL])</f>
        <v>1.736859541420944</v>
      </c>
      <c r="I81" s="8">
        <f>_xlfn.STDEV.P(Goalie[GA])</f>
        <v>36.183893110520096</v>
      </c>
      <c r="J81" s="8">
        <f>_xlfn.STDEV.P(Goalie[SA])</f>
        <v>414.43643613920955</v>
      </c>
      <c r="K81" s="8">
        <f>_xlfn.STDEV.P(Goalie[SV])</f>
        <v>378.87388198670834</v>
      </c>
      <c r="L81" s="8">
        <f>_xlfn.STDEV.P(Goalie[SV%])</f>
        <v>6.5999586008913414E-3</v>
      </c>
      <c r="M81" s="8">
        <f>_xlfn.STDEV.P(Goalie[GAA])</f>
        <v>0.27789749860967305</v>
      </c>
      <c r="N81" s="8">
        <f>_xlfn.STDEV.P(Goalie[SO])</f>
        <v>1.1642845767918408</v>
      </c>
    </row>
    <row r="85" spans="1:14" x14ac:dyDescent="0.25">
      <c r="A85" t="s">
        <v>157</v>
      </c>
      <c r="B85">
        <f>'League Inputs'!O20*'League Inputs'!$N$13</f>
        <v>28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B783"/>
  <sheetViews>
    <sheetView topLeftCell="A33" zoomScaleNormal="100" workbookViewId="0">
      <selection activeCell="A50" sqref="A50:XFD50"/>
    </sheetView>
  </sheetViews>
  <sheetFormatPr defaultRowHeight="15" x14ac:dyDescent="0.25"/>
  <cols>
    <col min="1" max="1" width="24.5703125" bestFit="1" customWidth="1"/>
    <col min="4" max="5" width="9.140625" style="54"/>
    <col min="7" max="8" width="9.28515625" bestFit="1" customWidth="1"/>
    <col min="9" max="9" width="12.7109375" customWidth="1"/>
    <col min="10" max="10" width="7" bestFit="1" customWidth="1"/>
    <col min="11" max="11" width="6.85546875" bestFit="1" customWidth="1"/>
    <col min="12" max="12" width="11.42578125" customWidth="1"/>
    <col min="13" max="13" width="6.7109375" bestFit="1" customWidth="1"/>
    <col min="14" max="16" width="9.28515625" bestFit="1" customWidth="1"/>
    <col min="17" max="18" width="9.5703125" bestFit="1" customWidth="1"/>
    <col min="19" max="19" width="9.28515625" bestFit="1" customWidth="1"/>
    <col min="23" max="23" width="24.5703125" bestFit="1" customWidth="1"/>
    <col min="24" max="24" width="14.5703125" bestFit="1" customWidth="1"/>
    <col min="27" max="27" width="24.5703125" bestFit="1" customWidth="1"/>
    <col min="28" max="28" width="13.42578125" bestFit="1" customWidth="1"/>
  </cols>
  <sheetData>
    <row r="1" spans="1:28" x14ac:dyDescent="0.25">
      <c r="A1" s="3" t="s">
        <v>0</v>
      </c>
      <c r="B1" s="3" t="s">
        <v>54</v>
      </c>
      <c r="C1" s="3" t="s">
        <v>55</v>
      </c>
      <c r="D1" s="53" t="s">
        <v>120</v>
      </c>
      <c r="E1" s="53" t="s">
        <v>121</v>
      </c>
      <c r="F1" s="3" t="s">
        <v>53</v>
      </c>
      <c r="G1" s="4" t="s">
        <v>51</v>
      </c>
      <c r="H1" s="4" t="s">
        <v>45</v>
      </c>
      <c r="I1" s="4" t="s">
        <v>50</v>
      </c>
      <c r="J1" s="4" t="s">
        <v>844</v>
      </c>
      <c r="K1" s="4" t="s">
        <v>845</v>
      </c>
      <c r="L1" s="4" t="s">
        <v>64</v>
      </c>
      <c r="M1" s="4" t="s">
        <v>846</v>
      </c>
      <c r="N1" s="4" t="s">
        <v>65</v>
      </c>
      <c r="O1" s="4" t="s">
        <v>66</v>
      </c>
      <c r="P1" s="4" t="s">
        <v>56</v>
      </c>
      <c r="Q1" s="4" t="s">
        <v>67</v>
      </c>
      <c r="R1" s="4" t="s">
        <v>68</v>
      </c>
      <c r="S1" s="5" t="s">
        <v>69</v>
      </c>
      <c r="T1" s="6" t="s">
        <v>70</v>
      </c>
      <c r="U1" s="6" t="s">
        <v>71</v>
      </c>
    </row>
    <row r="2" spans="1:28" x14ac:dyDescent="0.25">
      <c r="A2" t="s">
        <v>906</v>
      </c>
      <c r="B2">
        <f>INDEX(Proj[],MATCH(Std[[#This Row],[Player]],Proj[Player],0),2)</f>
        <v>28</v>
      </c>
      <c r="C2" t="s">
        <v>74</v>
      </c>
      <c r="D2" s="76"/>
      <c r="E2" s="57"/>
      <c r="F2" t="s">
        <v>16</v>
      </c>
      <c r="G2" s="12">
        <f>(INDEX(Proj[],MATCH(Std[[#This Row],[Player]],Proj[Player],0),14)-G$764)/G$765</f>
        <v>3.1403340188980793</v>
      </c>
      <c r="H2" s="12">
        <f>(INDEX(Proj[],MATCH(Std[[#This Row],[Player]],Proj[Player],0),15)-H$764)/H$765</f>
        <v>5.2251432585733166</v>
      </c>
      <c r="I2" s="12">
        <f>(INDEX(Proj[],MATCH(Std[[#This Row],[Player]],Proj[Player],0),16)-I$764)/I$765</f>
        <v>4.7165594263396748</v>
      </c>
      <c r="J2" s="12">
        <f>(INDEX(Proj[],MATCH(Std[[#This Row],[Player]],Proj[Player],0),17)-J$764)/J$765</f>
        <v>2.4769403493220348</v>
      </c>
      <c r="K2" s="12">
        <f>(INDEX(Proj[],MATCH(Std[[#This Row],[Player]],Proj[Player],0),18)-K$764)/K$765</f>
        <v>5.250759206979053</v>
      </c>
      <c r="L2" s="12">
        <f>(INDEX(Proj[],MATCH(Std[[#This Row],[Player]],Proj[Player],0),19)-L$764)/L$765</f>
        <v>4.6204556788888684</v>
      </c>
      <c r="M2" s="12">
        <f>(INDEX(Proj[],MATCH(Std[[#This Row],[Player]],Proj[Player],0),20)-M$764)/M$765</f>
        <v>1.3378904761343182</v>
      </c>
      <c r="N2" s="12">
        <f>(INDEX(Proj[],MATCH(Std[[#This Row],[Player]],Proj[Player],0),21)-N$764)/N$765</f>
        <v>0.31526077481379738</v>
      </c>
      <c r="O2" s="12">
        <f>(INDEX(Proj[],MATCH(Std[[#This Row],[Player]],Proj[Player],0),22)-O$764)/O$765</f>
        <v>-0.54439221604893206</v>
      </c>
      <c r="P2" s="12">
        <f>((INDEX(Proj[],MATCH(Std[[#This Row],[Player]],Proj[Player],0),23)-P$764)/P$765)*IF('League Inputs'!$C$23 = "Yes",-1, 1)</f>
        <v>6.9963766660446167E-2</v>
      </c>
      <c r="Q2" s="12">
        <f>(INDEX(Proj[],MATCH(Std[[#This Row],[Player]],Proj[Player],0),24)-Q$764)/Q$765</f>
        <v>1.9126961313511002</v>
      </c>
      <c r="R2" s="12">
        <f>(INDEX(Proj[],MATCH(Std[[#This Row],[Player]],Proj[Player],0),25)-R$764)/R$765</f>
        <v>1.9001122223767688</v>
      </c>
      <c r="S2" s="12">
        <f>(INDEX(Proj[],MATCH(Std[[#This Row],[Player]],Proj[Player],0),26)-S$764)/S$765</f>
        <v>2.722785757607129</v>
      </c>
      <c r="T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2217.8806597083476</v>
      </c>
      <c r="U2" s="11"/>
      <c r="W2" t="str" cm="1">
        <f t="array" ref="W2:W756">_xlfn.UNIQUE(Std[Player])</f>
        <v>Connor McDavid</v>
      </c>
      <c r="X2" t="str" cm="1">
        <f t="array" ref="X2">_xlfn._xlws.FILTER(Std[Player],ISNUMBER(SEARCH('Player Comparison Tool'!C4,_xlfn.ANCHORARRAY(W2))),"Who?")</f>
        <v>Connor McDavid</v>
      </c>
      <c r="AA2" t="str" cm="1">
        <f t="array" ref="AA2:AA756">_xlfn.UNIQUE(Std[Player])</f>
        <v>Connor McDavid</v>
      </c>
      <c r="AB2" t="str" cm="1">
        <f t="array" ref="AB2:AB756">_xlfn._xlws.FILTER(Std[Player],ISNUMBER(SEARCH('Player Comparison Tool'!A4,_xlfn.ANCHORARRAY(AA2))),"Who?")</f>
        <v>Connor McDavid</v>
      </c>
    </row>
    <row r="3" spans="1:28" x14ac:dyDescent="0.25">
      <c r="A3" t="s">
        <v>243</v>
      </c>
      <c r="B3">
        <f>INDEX(Proj[],MATCH(Std[[#This Row],[Player]],Proj[Player],0),2)</f>
        <v>31</v>
      </c>
      <c r="C3" t="s">
        <v>74</v>
      </c>
      <c r="D3" s="75"/>
      <c r="E3" s="56"/>
      <c r="F3" t="s">
        <v>30</v>
      </c>
      <c r="G3" s="12">
        <f>(INDEX(Proj[],MATCH(Std[[#This Row],[Player]],Proj[Player],0),14)-G$764)/G$765</f>
        <v>2.6121646751092511</v>
      </c>
      <c r="H3" s="12">
        <f>(INDEX(Proj[],MATCH(Std[[#This Row],[Player]],Proj[Player],0),15)-H$764)/H$765</f>
        <v>4.479850588690665</v>
      </c>
      <c r="I3" s="12">
        <f>(INDEX(Proj[],MATCH(Std[[#This Row],[Player]],Proj[Player],0),16)-I$764)/I$765</f>
        <v>4.0079210419081273</v>
      </c>
      <c r="J3" s="12">
        <f>(INDEX(Proj[],MATCH(Std[[#This Row],[Player]],Proj[Player],0),17)-J$764)/J$765</f>
        <v>2.4769403493220348</v>
      </c>
      <c r="K3" s="12">
        <f>(INDEX(Proj[],MATCH(Std[[#This Row],[Player]],Proj[Player],0),18)-K$764)/K$765</f>
        <v>4.6344154256872017</v>
      </c>
      <c r="L3" s="12">
        <f>(INDEX(Proj[],MATCH(Std[[#This Row],[Player]],Proj[Player],0),19)-L$764)/L$765</f>
        <v>4.1855011528377979</v>
      </c>
      <c r="M3" s="12">
        <f>(INDEX(Proj[],MATCH(Std[[#This Row],[Player]],Proj[Player],0),20)-M$764)/M$765</f>
        <v>-0.71308883245737775</v>
      </c>
      <c r="N3" s="12">
        <f>(INDEX(Proj[],MATCH(Std[[#This Row],[Player]],Proj[Player],0),21)-N$764)/N$765</f>
        <v>-0.71186509264867659</v>
      </c>
      <c r="O3" s="12">
        <f>(INDEX(Proj[],MATCH(Std[[#This Row],[Player]],Proj[Player],0),22)-O$764)/O$765</f>
        <v>-0.75333624610160344</v>
      </c>
      <c r="P3" s="12">
        <f>((INDEX(Proj[],MATCH(Std[[#This Row],[Player]],Proj[Player],0),23)-P$764)/P$765)*IF('League Inputs'!$C$23 = "Yes",-1, 1)</f>
        <v>-0.16273510483134615</v>
      </c>
      <c r="Q3" s="12">
        <f>(INDEX(Proj[],MATCH(Std[[#This Row],[Player]],Proj[Player],0),24)-Q$764)/Q$765</f>
        <v>-0.5392973662837105</v>
      </c>
      <c r="R3" s="12">
        <f>(INDEX(Proj[],MATCH(Std[[#This Row],[Player]],Proj[Player],0),25)-R$764)/R$765</f>
        <v>-0.5855895036662071</v>
      </c>
      <c r="S3" s="12">
        <f>(INDEX(Proj[],MATCH(Std[[#This Row],[Player]],Proj[Player],0),26)-S$764)/S$765</f>
        <v>2.6416922875602893</v>
      </c>
      <c r="T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1575.9895936240796</v>
      </c>
      <c r="U3" s="11"/>
      <c r="W3" t="str">
        <v>Nikita Kucherov</v>
      </c>
      <c r="AA3" t="str">
        <v>Nikita Kucherov</v>
      </c>
      <c r="AB3" t="str">
        <v>Nikita Kucherov</v>
      </c>
    </row>
    <row r="4" spans="1:28" x14ac:dyDescent="0.25">
      <c r="A4" t="s">
        <v>993</v>
      </c>
      <c r="B4">
        <f>INDEX(Proj[],MATCH(Std[[#This Row],[Player]],Proj[Player],0),2)</f>
        <v>29</v>
      </c>
      <c r="C4" t="s">
        <v>103</v>
      </c>
      <c r="D4" s="75"/>
      <c r="E4" s="56"/>
      <c r="F4" t="s">
        <v>31</v>
      </c>
      <c r="G4" s="12">
        <f>(INDEX(Proj[],MATCH(Std[[#This Row],[Player]],Proj[Player],0),14)-G$764)/G$765</f>
        <v>3.2459678876558447</v>
      </c>
      <c r="H4" s="12">
        <f>(INDEX(Proj[],MATCH(Std[[#This Row],[Player]],Proj[Player],0),15)-H$764)/H$765</f>
        <v>3.8836164527845431</v>
      </c>
      <c r="I4" s="12">
        <f>(INDEX(Proj[],MATCH(Std[[#This Row],[Player]],Proj[Player],0),16)-I$764)/I$765</f>
        <v>3.9134359239839203</v>
      </c>
      <c r="J4" s="12">
        <f>(INDEX(Proj[],MATCH(Std[[#This Row],[Player]],Proj[Player],0),17)-J$764)/J$765</f>
        <v>2.4769403493220348</v>
      </c>
      <c r="K4" s="12">
        <f>(INDEX(Proj[],MATCH(Std[[#This Row],[Player]],Proj[Player],0),18)-K$764)/K$765</f>
        <v>3.7098997537494256</v>
      </c>
      <c r="L4" s="12">
        <f>(INDEX(Proj[],MATCH(Std[[#This Row],[Player]],Proj[Player],0),19)-L$764)/L$765</f>
        <v>3.5330693637611925</v>
      </c>
      <c r="M4" s="12">
        <f>(INDEX(Proj[],MATCH(Std[[#This Row],[Player]],Proj[Player],0),20)-M$764)/M$765</f>
        <v>-0.71308883245737775</v>
      </c>
      <c r="N4" s="12">
        <f>(INDEX(Proj[],MATCH(Std[[#This Row],[Player]],Proj[Player],0),21)-N$764)/N$765</f>
        <v>-0.59558669255858521</v>
      </c>
      <c r="O4" s="12">
        <f>(INDEX(Proj[],MATCH(Std[[#This Row],[Player]],Proj[Player],0),22)-O$764)/O$765</f>
        <v>-0.12650415594358927</v>
      </c>
      <c r="P4" s="12">
        <f>((INDEX(Proj[],MATCH(Std[[#This Row],[Player]],Proj[Player],0),23)-P$764)/P$765)*IF('League Inputs'!$C$23 = "Yes",-1, 1)</f>
        <v>0.30266263815223848</v>
      </c>
      <c r="Q4" s="12">
        <f>(INDEX(Proj[],MATCH(Std[[#This Row],[Player]],Proj[Player],0),24)-Q$764)/Q$765</f>
        <v>2.3231385211725795</v>
      </c>
      <c r="R4" s="12">
        <f>(INDEX(Proj[],MATCH(Std[[#This Row],[Player]],Proj[Player],0),25)-R$764)/R$765</f>
        <v>3.0691865501504059</v>
      </c>
      <c r="S4" s="12">
        <f>(INDEX(Proj[],MATCH(Std[[#This Row],[Player]],Proj[Player],0),26)-S$764)/S$765</f>
        <v>4.1824682184502473</v>
      </c>
      <c r="T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2066.2268157458398</v>
      </c>
      <c r="U4" s="11"/>
      <c r="W4" t="str">
        <v>Nathan MacKinnon</v>
      </c>
      <c r="AA4" t="str">
        <v>Nathan MacKinnon</v>
      </c>
      <c r="AB4" t="str">
        <v>Nathan MacKinnon</v>
      </c>
    </row>
    <row r="5" spans="1:28" x14ac:dyDescent="0.25">
      <c r="A5" t="s">
        <v>239</v>
      </c>
      <c r="B5">
        <f>INDEX(Proj[],MATCH(Std[[#This Row],[Player]],Proj[Player],0),2)</f>
        <v>29</v>
      </c>
      <c r="C5" t="s">
        <v>102</v>
      </c>
      <c r="D5" s="75"/>
      <c r="E5" s="57"/>
      <c r="F5" t="s">
        <v>17</v>
      </c>
      <c r="G5" s="12">
        <f>(INDEX(Proj[],MATCH(Std[[#This Row],[Player]],Proj[Player],0),14)-G$764)/G$765</f>
        <v>3.0347001501403135</v>
      </c>
      <c r="H5" s="12">
        <f>(INDEX(Proj[],MATCH(Std[[#This Row],[Player]],Proj[Player],0),15)-H$764)/H$765</f>
        <v>3.4364408508549515</v>
      </c>
      <c r="I5" s="12">
        <f>(INDEX(Proj[],MATCH(Std[[#This Row],[Player]],Proj[Player],0),16)-I$764)/I$765</f>
        <v>3.5354954522870945</v>
      </c>
      <c r="J5" s="12">
        <f>(INDEX(Proj[],MATCH(Std[[#This Row],[Player]],Proj[Player],0),17)-J$764)/J$765</f>
        <v>5.4205732215684321</v>
      </c>
      <c r="K5" s="12">
        <f>(INDEX(Proj[],MATCH(Std[[#This Row],[Player]],Proj[Player],0),18)-K$764)/K$765</f>
        <v>2.7853840818116491</v>
      </c>
      <c r="L5" s="12">
        <f>(INDEX(Proj[],MATCH(Std[[#This Row],[Player]],Proj[Player],0),19)-L$764)/L$765</f>
        <v>3.9680238898122631</v>
      </c>
      <c r="M5" s="12">
        <f>(INDEX(Proj[],MATCH(Std[[#This Row],[Player]],Proj[Player],0),20)-M$764)/M$765</f>
        <v>1.3378904761343182</v>
      </c>
      <c r="N5" s="12">
        <f>(INDEX(Proj[],MATCH(Std[[#This Row],[Player]],Proj[Player],0),21)-N$764)/N$765</f>
        <v>-0.57620695921023668</v>
      </c>
      <c r="O5" s="12">
        <f>(INDEX(Proj[],MATCH(Std[[#This Row],[Player]],Proj[Player],0),22)-O$764)/O$765</f>
        <v>-0.73012024276241771</v>
      </c>
      <c r="P5" s="12">
        <f>((INDEX(Proj[],MATCH(Std[[#This Row],[Player]],Proj[Player],0),23)-P$764)/P$765)*IF('League Inputs'!$C$23 = "Yes",-1, 1)</f>
        <v>0.44228196104731388</v>
      </c>
      <c r="Q5" s="12">
        <f>(INDEX(Proj[],MATCH(Std[[#This Row],[Player]],Proj[Player],0),24)-Q$764)/Q$765</f>
        <v>3.6770653655187573</v>
      </c>
      <c r="R5" s="12">
        <f>(INDEX(Proj[],MATCH(Std[[#This Row],[Player]],Proj[Player],0),25)-R$764)/R$765</f>
        <v>2.9329837158466812</v>
      </c>
      <c r="S5" s="12">
        <f>(INDEX(Proj[],MATCH(Std[[#This Row],[Player]],Proj[Player],0),26)-S$764)/S$765</f>
        <v>1.7334454230356819</v>
      </c>
      <c r="T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1852.1125890723724</v>
      </c>
      <c r="U5" s="11"/>
      <c r="W5" t="str">
        <v>Leon Draisaitl</v>
      </c>
      <c r="AA5" t="str">
        <v>Leon Draisaitl</v>
      </c>
      <c r="AB5" t="str">
        <v>Leon Draisaitl</v>
      </c>
    </row>
    <row r="6" spans="1:28" x14ac:dyDescent="0.25">
      <c r="A6" t="s">
        <v>285</v>
      </c>
      <c r="B6">
        <f>INDEX(Proj[],MATCH(Std[[#This Row],[Player]],Proj[Player],0),2)</f>
        <v>33</v>
      </c>
      <c r="C6" t="s">
        <v>103</v>
      </c>
      <c r="D6" s="75"/>
      <c r="E6" s="57"/>
      <c r="F6" t="s">
        <v>12</v>
      </c>
      <c r="G6" s="12">
        <f>(INDEX(Proj[],MATCH(Std[[#This Row],[Player]],Proj[Player],0),14)-G$764)/G$765</f>
        <v>2.2952630688359541</v>
      </c>
      <c r="H6" s="12">
        <f>(INDEX(Proj[],MATCH(Std[[#This Row],[Player]],Proj[Player],0),15)-H$764)/H$765</f>
        <v>3.8090871857962778</v>
      </c>
      <c r="I6" s="12">
        <f>(INDEX(Proj[],MATCH(Std[[#This Row],[Player]],Proj[Player],0),16)-I$764)/I$765</f>
        <v>3.4410103343628879</v>
      </c>
      <c r="J6" s="12">
        <f>(INDEX(Proj[],MATCH(Std[[#This Row],[Player]],Proj[Player],0),17)-J$764)/J$765</f>
        <v>1.8882137748727552</v>
      </c>
      <c r="K6" s="12">
        <f>(INDEX(Proj[],MATCH(Std[[#This Row],[Player]],Proj[Player],0),18)-K$764)/K$765</f>
        <v>4.326243535041276</v>
      </c>
      <c r="L6" s="12">
        <f>(INDEX(Proj[],MATCH(Std[[#This Row],[Player]],Proj[Player],0),19)-L$764)/L$765</f>
        <v>3.7505466267867278</v>
      </c>
      <c r="M6" s="12">
        <f>(INDEX(Proj[],MATCH(Std[[#This Row],[Player]],Proj[Player],0),20)-M$764)/M$765</f>
        <v>-0.71308883245737775</v>
      </c>
      <c r="N6" s="12">
        <f>(INDEX(Proj[],MATCH(Std[[#This Row],[Player]],Proj[Player],0),21)-N$764)/N$765</f>
        <v>-1.2932570930991336</v>
      </c>
      <c r="O6" s="12">
        <f>(INDEX(Proj[],MATCH(Std[[#This Row],[Player]],Proj[Player],0),22)-O$764)/O$765</f>
        <v>-1.1015762961893891</v>
      </c>
      <c r="P6" s="12">
        <f>((INDEX(Proj[],MATCH(Std[[#This Row],[Player]],Proj[Player],0),23)-P$764)/P$765)*IF('League Inputs'!$C$23 = "Yes",-1, 1)</f>
        <v>-0.34889420202478</v>
      </c>
      <c r="Q6" s="12">
        <f>(INDEX(Proj[],MATCH(Std[[#This Row],[Player]],Proj[Player],0),24)-Q$764)/Q$765</f>
        <v>-0.5392973662837105</v>
      </c>
      <c r="R6" s="12">
        <f>(INDEX(Proj[],MATCH(Std[[#This Row],[Player]],Proj[Player],0),25)-R$764)/R$765</f>
        <v>-0.55153879509027592</v>
      </c>
      <c r="S6" s="12">
        <f>(INDEX(Proj[],MATCH(Std[[#This Row],[Player]],Proj[Player],0),26)-S$764)/S$765</f>
        <v>2.1064753852511457</v>
      </c>
      <c r="T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1211.9357643435978</v>
      </c>
      <c r="U6" s="11"/>
      <c r="W6" t="str">
        <v>Artemi Panarin</v>
      </c>
      <c r="AA6" t="str">
        <v>Artemi Panarin</v>
      </c>
      <c r="AB6" t="str">
        <v>Artemi Panarin</v>
      </c>
    </row>
    <row r="7" spans="1:28" x14ac:dyDescent="0.25">
      <c r="A7" t="s">
        <v>268</v>
      </c>
      <c r="B7">
        <f>INDEX(Proj[],MATCH(Std[[#This Row],[Player]],Proj[Player],0),2)</f>
        <v>27</v>
      </c>
      <c r="C7" t="s">
        <v>74</v>
      </c>
      <c r="D7" s="75"/>
      <c r="E7" s="57"/>
      <c r="F7" t="s">
        <v>11</v>
      </c>
      <c r="G7" s="12">
        <f>(INDEX(Proj[],MATCH(Std[[#This Row],[Player]],Proj[Player],0),14)-G$764)/G$765</f>
        <v>3.4572356251713758</v>
      </c>
      <c r="H7" s="12">
        <f>(INDEX(Proj[],MATCH(Std[[#This Row],[Player]],Proj[Player],0),15)-H$764)/H$765</f>
        <v>2.914735981937095</v>
      </c>
      <c r="I7" s="12">
        <f>(INDEX(Proj[],MATCH(Std[[#This Row],[Player]],Proj[Player],0),16)-I$764)/I$765</f>
        <v>3.3937677754007849</v>
      </c>
      <c r="J7" s="12">
        <f>(INDEX(Proj[],MATCH(Std[[#This Row],[Player]],Proj[Player],0),17)-J$764)/J$765</f>
        <v>4.5374833598945123</v>
      </c>
      <c r="K7" s="12">
        <f>(INDEX(Proj[],MATCH(Std[[#This Row],[Player]],Proj[Player],0),18)-K$764)/K$765</f>
        <v>3.7098997537494256</v>
      </c>
      <c r="L7" s="12">
        <f>(INDEX(Proj[],MATCH(Std[[#This Row],[Player]],Proj[Player],0),19)-L$764)/L$765</f>
        <v>4.2942397843505651</v>
      </c>
      <c r="M7" s="12">
        <f>(INDEX(Proj[],MATCH(Std[[#This Row],[Player]],Proj[Player],0),20)-M$764)/M$765</f>
        <v>-0.71308883245737775</v>
      </c>
      <c r="N7" s="12">
        <f>(INDEX(Proj[],MATCH(Std[[#This Row],[Player]],Proj[Player],0),21)-N$764)/N$765</f>
        <v>-0.47930829246849382</v>
      </c>
      <c r="O7" s="12">
        <f>(INDEX(Proj[],MATCH(Std[[#This Row],[Player]],Proj[Player],0),22)-O$764)/O$765</f>
        <v>-0.59082422272730351</v>
      </c>
      <c r="P7" s="12">
        <f>((INDEX(Proj[],MATCH(Std[[#This Row],[Player]],Proj[Player],0),23)-P$764)/P$765)*IF('League Inputs'!$C$23 = "Yes",-1, 1)</f>
        <v>0.11650354095880462</v>
      </c>
      <c r="Q7" s="12">
        <f>(INDEX(Proj[],MATCH(Std[[#This Row],[Player]],Proj[Player],0),24)-Q$764)/Q$765</f>
        <v>-0.54462778693074265</v>
      </c>
      <c r="R7" s="12">
        <f>(INDEX(Proj[],MATCH(Std[[#This Row],[Player]],Proj[Player],0),25)-R$764)/R$765</f>
        <v>-0.5855895036662071</v>
      </c>
      <c r="S7" s="12">
        <f>(INDEX(Proj[],MATCH(Std[[#This Row],[Player]],Proj[Player],0),26)-S$764)/S$765</f>
        <v>2.8363166156727049</v>
      </c>
      <c r="T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1539.8039021364791</v>
      </c>
      <c r="U7" s="11"/>
      <c r="W7" t="str">
        <v>Kirill Kaprizov</v>
      </c>
      <c r="AA7" t="str">
        <v>Kirill Kaprizov</v>
      </c>
      <c r="AB7" t="str">
        <v>Kirill Kaprizov</v>
      </c>
    </row>
    <row r="8" spans="1:28" x14ac:dyDescent="0.25">
      <c r="A8" t="s">
        <v>247</v>
      </c>
      <c r="B8">
        <f>INDEX(Proj[],MATCH(Std[[#This Row],[Player]],Proj[Player],0),2)</f>
        <v>27</v>
      </c>
      <c r="C8" t="s">
        <v>74</v>
      </c>
      <c r="D8" s="75"/>
      <c r="E8" s="57"/>
      <c r="F8" t="s">
        <v>31</v>
      </c>
      <c r="G8" s="12">
        <f>(INDEX(Proj[],MATCH(Std[[#This Row],[Player]],Proj[Player],0),14)-G$764)/G$765</f>
        <v>4.6192081815067985</v>
      </c>
      <c r="H8" s="12">
        <f>(INDEX(Proj[],MATCH(Std[[#This Row],[Player]],Proj[Player],0),15)-H$764)/H$765</f>
        <v>1.7967969771131171</v>
      </c>
      <c r="I8" s="12">
        <f>(INDEX(Proj[],MATCH(Std[[#This Row],[Player]],Proj[Player],0),16)-I$764)/I$765</f>
        <v>3.2047975395523718</v>
      </c>
      <c r="J8" s="12">
        <f>(INDEX(Proj[],MATCH(Std[[#This Row],[Player]],Proj[Player],0),17)-J$764)/J$765</f>
        <v>3.6543934982205935</v>
      </c>
      <c r="K8" s="12">
        <f>(INDEX(Proj[],MATCH(Std[[#This Row],[Player]],Proj[Player],0),18)-K$764)/K$765</f>
        <v>1.7067824645509102</v>
      </c>
      <c r="L8" s="12">
        <f>(INDEX(Proj[],MATCH(Std[[#This Row],[Player]],Proj[Player],0),19)-L$764)/L$765</f>
        <v>2.5544216801462851</v>
      </c>
      <c r="M8" s="12">
        <f>(INDEX(Proj[],MATCH(Std[[#This Row],[Player]],Proj[Player],0),20)-M$764)/M$765</f>
        <v>0.31240082183847029</v>
      </c>
      <c r="N8" s="12">
        <f>(INDEX(Proj[],MATCH(Std[[#This Row],[Player]],Proj[Player],0),21)-N$764)/N$765</f>
        <v>-5.2954158804825381E-2</v>
      </c>
      <c r="O8" s="12">
        <f>(INDEX(Proj[],MATCH(Std[[#This Row],[Player]],Proj[Player],0),22)-O$764)/O$765</f>
        <v>0.68605596092791066</v>
      </c>
      <c r="P8" s="12">
        <f>((INDEX(Proj[],MATCH(Std[[#This Row],[Player]],Proj[Player],0),23)-P$764)/P$765)*IF('League Inputs'!$C$23 = "Yes",-1, 1)</f>
        <v>-0.67467262211328927</v>
      </c>
      <c r="Q8" s="12">
        <f>(INDEX(Proj[],MATCH(Std[[#This Row],[Player]],Proj[Player],0),24)-Q$764)/Q$765</f>
        <v>3.0107627846397325</v>
      </c>
      <c r="R8" s="12">
        <f>(INDEX(Proj[],MATCH(Std[[#This Row],[Player]],Proj[Player],0),25)-R$764)/R$765</f>
        <v>2.7286794643910941</v>
      </c>
      <c r="S8" s="12">
        <f>(INDEX(Proj[],MATCH(Std[[#This Row],[Player]],Proj[Player],0),26)-S$764)/S$765</f>
        <v>3.8905317262816239</v>
      </c>
      <c r="T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1903.4948069249726</v>
      </c>
      <c r="U8" s="11"/>
      <c r="W8" t="str">
        <v>Auston Matthews</v>
      </c>
      <c r="AA8" t="str">
        <v>Auston Matthews</v>
      </c>
      <c r="AB8" t="str">
        <v>Auston Matthews</v>
      </c>
    </row>
    <row r="9" spans="1:28" x14ac:dyDescent="0.25">
      <c r="A9" t="s">
        <v>245</v>
      </c>
      <c r="B9">
        <f>INDEX(Proj[],MATCH(Std[[#This Row],[Player]],Proj[Player],0),2)</f>
        <v>28</v>
      </c>
      <c r="C9" t="s">
        <v>74</v>
      </c>
      <c r="D9" s="75" t="s">
        <v>102</v>
      </c>
      <c r="E9" s="56"/>
      <c r="F9" t="s">
        <v>16</v>
      </c>
      <c r="G9" s="12">
        <f>(INDEX(Proj[],MATCH(Std[[#This Row],[Player]],Proj[Player],0),14)-G$764)/G$765</f>
        <v>3.1403340188980793</v>
      </c>
      <c r="H9" s="12">
        <f>(INDEX(Proj[],MATCH(Std[[#This Row],[Player]],Proj[Player],0),15)-H$764)/H$765</f>
        <v>2.6911481809722995</v>
      </c>
      <c r="I9" s="12">
        <f>(INDEX(Proj[],MATCH(Std[[#This Row],[Player]],Proj[Player],0),16)-I$764)/I$765</f>
        <v>3.1103124216281657</v>
      </c>
      <c r="J9" s="12">
        <f>(INDEX(Proj[],MATCH(Std[[#This Row],[Player]],Proj[Player],0),17)-J$764)/J$765</f>
        <v>3.0656669237713139</v>
      </c>
      <c r="K9" s="12">
        <f>(INDEX(Proj[],MATCH(Std[[#This Row],[Player]],Proj[Player],0),18)-K$764)/K$765</f>
        <v>3.0935559724575747</v>
      </c>
      <c r="L9" s="12">
        <f>(INDEX(Proj[],MATCH(Std[[#This Row],[Player]],Proj[Player],0),19)-L$764)/L$765</f>
        <v>3.3155921007356577</v>
      </c>
      <c r="M9" s="12">
        <f>(INDEX(Proj[],MATCH(Std[[#This Row],[Player]],Proj[Player],0),20)-M$764)/M$765</f>
        <v>-0.71308883245737775</v>
      </c>
      <c r="N9" s="12">
        <f>(INDEX(Proj[],MATCH(Std[[#This Row],[Player]],Proj[Player],0),21)-N$764)/N$765</f>
        <v>-0.6537258926036309</v>
      </c>
      <c r="O9" s="12">
        <f>(INDEX(Proj[],MATCH(Std[[#This Row],[Player]],Proj[Player],0),22)-O$764)/O$765</f>
        <v>-0.33544818599626064</v>
      </c>
      <c r="P9" s="12">
        <f>((INDEX(Proj[],MATCH(Std[[#This Row],[Player]],Proj[Player],0),23)-P$764)/P$765)*IF('League Inputs'!$C$23 = "Yes",-1, 1)</f>
        <v>1.4196172213128415</v>
      </c>
      <c r="Q9" s="12">
        <f>(INDEX(Proj[],MATCH(Std[[#This Row],[Player]],Proj[Player],0),24)-Q$764)/Q$765</f>
        <v>0.76665569223917784</v>
      </c>
      <c r="R9" s="12">
        <f>(INDEX(Proj[],MATCH(Std[[#This Row],[Player]],Proj[Player],0),25)-R$764)/R$765</f>
        <v>0.67996183173923497</v>
      </c>
      <c r="S9" s="12">
        <f>(INDEX(Proj[],MATCH(Std[[#This Row],[Player]],Proj[Player],0),26)-S$764)/S$765</f>
        <v>2.4957240414759774</v>
      </c>
      <c r="T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1595.0209598662304</v>
      </c>
      <c r="U9" s="11"/>
      <c r="W9" t="str">
        <v>Mikko Rantanen</v>
      </c>
      <c r="AA9" t="str">
        <v>Mikko Rantanen</v>
      </c>
      <c r="AB9" t="str">
        <v>Mikko Rantanen</v>
      </c>
    </row>
    <row r="10" spans="1:28" x14ac:dyDescent="0.25">
      <c r="A10" t="s">
        <v>249</v>
      </c>
      <c r="B10">
        <f>INDEX(Proj[],MATCH(Std[[#This Row],[Player]],Proj[Player],0),2)</f>
        <v>28</v>
      </c>
      <c r="C10" t="s">
        <v>103</v>
      </c>
      <c r="D10" s="75"/>
      <c r="E10" s="57"/>
      <c r="F10" t="s">
        <v>153</v>
      </c>
      <c r="G10" s="12">
        <f>(INDEX(Proj[],MATCH(Std[[#This Row],[Player]],Proj[Player],0),14)-G$764)/G$765</f>
        <v>3.6685033626869075</v>
      </c>
      <c r="H10" s="12">
        <f>(INDEX(Proj[],MATCH(Std[[#This Row],[Player]],Proj[Player],0),15)-H$764)/H$765</f>
        <v>2.3185018460309736</v>
      </c>
      <c r="I10" s="12">
        <f>(INDEX(Proj[],MATCH(Std[[#This Row],[Player]],Proj[Player],0),16)-I$764)/I$765</f>
        <v>3.1103124216281657</v>
      </c>
      <c r="J10" s="12">
        <f>(INDEX(Proj[],MATCH(Std[[#This Row],[Player]],Proj[Player],0),17)-J$764)/J$765</f>
        <v>3.3600302109959537</v>
      </c>
      <c r="K10" s="12">
        <f>(INDEX(Proj[],MATCH(Std[[#This Row],[Player]],Proj[Player],0),18)-K$764)/K$765</f>
        <v>2.3231262458427611</v>
      </c>
      <c r="L10" s="12">
        <f>(INDEX(Proj[],MATCH(Std[[#This Row],[Player]],Proj[Player],0),19)-L$764)/L$765</f>
        <v>2.8806375746845876</v>
      </c>
      <c r="M10" s="12">
        <f>(INDEX(Proj[],MATCH(Std[[#This Row],[Player]],Proj[Player],0),20)-M$764)/M$765</f>
        <v>-0.71308883245737775</v>
      </c>
      <c r="N10" s="12">
        <f>(INDEX(Proj[],MATCH(Std[[#This Row],[Player]],Proj[Player],0),21)-N$764)/N$765</f>
        <v>-0.34365015903005386</v>
      </c>
      <c r="O10" s="12">
        <f>(INDEX(Proj[],MATCH(Std[[#This Row],[Player]],Proj[Player],0),22)-O$764)/O$765</f>
        <v>-0.91584826947590336</v>
      </c>
      <c r="P10" s="12">
        <f>((INDEX(Proj[],MATCH(Std[[#This Row],[Player]],Proj[Player],0),23)-P$764)/P$765)*IF('League Inputs'!$C$23 = "Yes",-1, 1)</f>
        <v>2.3423992362087698E-2</v>
      </c>
      <c r="Q10" s="12">
        <f>(INDEX(Proj[],MATCH(Std[[#This Row],[Player]],Proj[Player],0),24)-Q$764)/Q$765</f>
        <v>-0.50731484240151736</v>
      </c>
      <c r="R10" s="12">
        <f>(INDEX(Proj[],MATCH(Std[[#This Row],[Player]],Proj[Player],0),25)-R$764)/R$765</f>
        <v>-0.51181296841835622</v>
      </c>
      <c r="S10" s="12">
        <f>(INDEX(Proj[],MATCH(Std[[#This Row],[Player]],Proj[Player],0),26)-S$764)/S$765</f>
        <v>4.1338121364221436</v>
      </c>
      <c r="T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1436.8378062907393</v>
      </c>
      <c r="U10" s="11"/>
      <c r="W10" t="str">
        <v>David Pastrnak</v>
      </c>
      <c r="AA10" t="str">
        <v>David Pastrnak</v>
      </c>
      <c r="AB10" t="str">
        <v>David Pastrnak</v>
      </c>
    </row>
    <row r="11" spans="1:28" x14ac:dyDescent="0.25">
      <c r="A11" t="s">
        <v>263</v>
      </c>
      <c r="B11">
        <f>INDEX(Proj[],MATCH(Std[[#This Row],[Player]],Proj[Player],0),2)</f>
        <v>27</v>
      </c>
      <c r="C11" t="s">
        <v>102</v>
      </c>
      <c r="D11" s="75"/>
      <c r="E11" s="56"/>
      <c r="F11" t="s">
        <v>31</v>
      </c>
      <c r="G11" s="12">
        <f>(INDEX(Proj[],MATCH(Std[[#This Row],[Player]],Proj[Player],0),14)-G$764)/G$765</f>
        <v>1.7670937250471259</v>
      </c>
      <c r="H11" s="12">
        <f>(INDEX(Proj[],MATCH(Std[[#This Row],[Player]],Proj[Player],0),15)-H$764)/H$765</f>
        <v>3.5109701178432169</v>
      </c>
      <c r="I11" s="12">
        <f>(INDEX(Proj[],MATCH(Std[[#This Row],[Player]],Proj[Player],0),16)-I$764)/I$765</f>
        <v>3.0158273037039596</v>
      </c>
      <c r="J11" s="12">
        <f>(INDEX(Proj[],MATCH(Std[[#This Row],[Player]],Proj[Player],0),17)-J$764)/J$765</f>
        <v>1.5938504876481154</v>
      </c>
      <c r="K11" s="12">
        <f>(INDEX(Proj[],MATCH(Std[[#This Row],[Player]],Proj[Player],0),18)-K$764)/K$765</f>
        <v>3.0935559724575747</v>
      </c>
      <c r="L11" s="12">
        <f>(INDEX(Proj[],MATCH(Std[[#This Row],[Player]],Proj[Player],0),19)-L$764)/L$765</f>
        <v>2.77189894317182</v>
      </c>
      <c r="M11" s="12">
        <f>(INDEX(Proj[],MATCH(Std[[#This Row],[Player]],Proj[Player],0),20)-M$764)/M$765</f>
        <v>2.3633801304301665</v>
      </c>
      <c r="N11" s="12">
        <f>(INDEX(Proj[],MATCH(Std[[#This Row],[Player]],Proj[Player],0),21)-N$764)/N$765</f>
        <v>-0.47930829246849382</v>
      </c>
      <c r="O11" s="12">
        <f>(INDEX(Proj[],MATCH(Std[[#This Row],[Player]],Proj[Player],0),22)-O$764)/O$765</f>
        <v>-0.24258417263951781</v>
      </c>
      <c r="P11" s="12">
        <f>((INDEX(Proj[],MATCH(Std[[#This Row],[Player]],Proj[Player],0),23)-P$764)/P$765)*IF('League Inputs'!$C$23 = "Yes",-1, 1)</f>
        <v>-0.53505329921821387</v>
      </c>
      <c r="Q11" s="12">
        <f>(INDEX(Proj[],MATCH(Std[[#This Row],[Player]],Proj[Player],0),24)-Q$764)/Q$765</f>
        <v>-0.51797568369558167</v>
      </c>
      <c r="R11" s="12">
        <f>(INDEX(Proj[],MATCH(Std[[#This Row],[Player]],Proj[Player],0),25)-R$764)/R$765</f>
        <v>-0.52316320461033328</v>
      </c>
      <c r="S11" s="12">
        <f>(INDEX(Proj[],MATCH(Std[[#This Row],[Player]],Proj[Player],0),26)-S$764)/S$765</f>
        <v>1.1820098267171706</v>
      </c>
      <c r="T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1047.2878468461483</v>
      </c>
      <c r="U11" s="11"/>
      <c r="W11" t="str">
        <v>Mitchell Marner</v>
      </c>
      <c r="AA11" t="str">
        <v>Mitchell Marner</v>
      </c>
      <c r="AB11" t="str">
        <v>Mitchell Marner</v>
      </c>
    </row>
    <row r="12" spans="1:28" x14ac:dyDescent="0.25">
      <c r="A12" t="s">
        <v>273</v>
      </c>
      <c r="B12">
        <f>INDEX(Proj[],MATCH(Std[[#This Row],[Player]],Proj[Player],0),2)</f>
        <v>37</v>
      </c>
      <c r="C12" t="s">
        <v>103</v>
      </c>
      <c r="D12" s="75"/>
      <c r="E12" s="56"/>
      <c r="F12" t="s">
        <v>30</v>
      </c>
      <c r="G12" s="12">
        <f>(INDEX(Proj[],MATCH(Std[[#This Row],[Player]],Proj[Player],0),14)-G$764)/G$765</f>
        <v>2.6121646751092511</v>
      </c>
      <c r="H12" s="12">
        <f>(INDEX(Proj[],MATCH(Std[[#This Row],[Player]],Proj[Player],0),15)-H$764)/H$765</f>
        <v>2.8402067149488301</v>
      </c>
      <c r="I12" s="12">
        <f>(INDEX(Proj[],MATCH(Std[[#This Row],[Player]],Proj[Player],0),16)-I$764)/I$765</f>
        <v>2.9685847447418561</v>
      </c>
      <c r="J12" s="12">
        <f>(INDEX(Proj[],MATCH(Std[[#This Row],[Player]],Proj[Player],0),17)-J$764)/J$765</f>
        <v>2.182577062097395</v>
      </c>
      <c r="K12" s="12">
        <f>(INDEX(Proj[],MATCH(Std[[#This Row],[Player]],Proj[Player],0),18)-K$764)/K$765</f>
        <v>2.3231262458427611</v>
      </c>
      <c r="L12" s="12">
        <f>(INDEX(Proj[],MATCH(Std[[#This Row],[Player]],Proj[Player],0),19)-L$764)/L$765</f>
        <v>2.4456830486335175</v>
      </c>
      <c r="M12" s="12">
        <f>(INDEX(Proj[],MATCH(Std[[#This Row],[Player]],Proj[Player],0),20)-M$764)/M$765</f>
        <v>-0.71308883245737775</v>
      </c>
      <c r="N12" s="12">
        <f>(INDEX(Proj[],MATCH(Std[[#This Row],[Player]],Proj[Player],0),21)-N$764)/N$765</f>
        <v>-9.1713625501522511E-2</v>
      </c>
      <c r="O12" s="12">
        <f>(INDEX(Proj[],MATCH(Std[[#This Row],[Player]],Proj[Player],0),22)-O$764)/O$765</f>
        <v>-0.4747442060313749</v>
      </c>
      <c r="P12" s="12">
        <f>((INDEX(Proj[],MATCH(Std[[#This Row],[Player]],Proj[Player],0),23)-P$764)/P$765)*IF('League Inputs'!$C$23 = "Yes",-1, 1)</f>
        <v>0.44228196104731388</v>
      </c>
      <c r="Q12" s="12">
        <f>(INDEX(Proj[],MATCH(Std[[#This Row],[Player]],Proj[Player],0),24)-Q$764)/Q$765</f>
        <v>4.7378190742781641</v>
      </c>
      <c r="R12" s="12">
        <f>(INDEX(Proj[],MATCH(Std[[#This Row],[Player]],Proj[Player],0),25)-R$764)/R$765</f>
        <v>3.7047997769011212</v>
      </c>
      <c r="S12" s="12">
        <f>(INDEX(Proj[],MATCH(Std[[#This Row],[Player]],Proj[Player],0),26)-S$764)/S$765</f>
        <v>2.1875688552979859</v>
      </c>
      <c r="T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1766.7851242524023</v>
      </c>
      <c r="U12" s="11"/>
      <c r="W12" t="str">
        <v>Sidney Crosby</v>
      </c>
      <c r="AA12" t="str">
        <v>Sidney Crosby</v>
      </c>
      <c r="AB12" t="str">
        <v>Sidney Crosby</v>
      </c>
    </row>
    <row r="13" spans="1:28" x14ac:dyDescent="0.25">
      <c r="A13" t="s">
        <v>242</v>
      </c>
      <c r="B13">
        <f>INDEX(Proj[],MATCH(Std[[#This Row],[Player]],Proj[Player],0),2)</f>
        <v>27</v>
      </c>
      <c r="C13" t="s">
        <v>102</v>
      </c>
      <c r="D13" s="75"/>
      <c r="E13" s="56"/>
      <c r="F13" t="s">
        <v>12</v>
      </c>
      <c r="G13" s="12">
        <f>(INDEX(Proj[],MATCH(Std[[#This Row],[Player]],Proj[Player],0),14)-G$764)/G$765</f>
        <v>2.4008969375937195</v>
      </c>
      <c r="H13" s="12">
        <f>(INDEX(Proj[],MATCH(Std[[#This Row],[Player]],Proj[Player],0),15)-H$764)/H$765</f>
        <v>2.914735981937095</v>
      </c>
      <c r="I13" s="12">
        <f>(INDEX(Proj[],MATCH(Std[[#This Row],[Player]],Proj[Player],0),16)-I$764)/I$765</f>
        <v>2.921342185779753</v>
      </c>
      <c r="J13" s="12">
        <f>(INDEX(Proj[],MATCH(Std[[#This Row],[Player]],Proj[Player],0),17)-J$764)/J$765</f>
        <v>3.0656669237713139</v>
      </c>
      <c r="K13" s="12">
        <f>(INDEX(Proj[],MATCH(Std[[#This Row],[Player]],Proj[Player],0),18)-K$764)/K$765</f>
        <v>2.7853840818116491</v>
      </c>
      <c r="L13" s="12">
        <f>(INDEX(Proj[],MATCH(Std[[#This Row],[Player]],Proj[Player],0),19)-L$764)/L$765</f>
        <v>3.0981148377101224</v>
      </c>
      <c r="M13" s="12">
        <f>(INDEX(Proj[],MATCH(Std[[#This Row],[Player]],Proj[Player],0),20)-M$764)/M$765</f>
        <v>0.31240082183847029</v>
      </c>
      <c r="N13" s="12">
        <f>(INDEX(Proj[],MATCH(Std[[#This Row],[Player]],Proj[Player],0),21)-N$764)/N$765</f>
        <v>0.66409597508407159</v>
      </c>
      <c r="O13" s="12">
        <f>(INDEX(Proj[],MATCH(Std[[#This Row],[Player]],Proj[Player],0),22)-O$764)/O$765</f>
        <v>-0.79976825277997488</v>
      </c>
      <c r="P13" s="12">
        <f>((INDEX(Proj[],MATCH(Std[[#This Row],[Player]],Proj[Player],0),23)-P$764)/P$765)*IF('League Inputs'!$C$23 = "Yes",-1, 1)</f>
        <v>2.7227309016668788</v>
      </c>
      <c r="Q13" s="12">
        <f>(INDEX(Proj[],MATCH(Std[[#This Row],[Player]],Proj[Player],0),24)-Q$764)/Q$765</f>
        <v>-0.51264526304854952</v>
      </c>
      <c r="R13" s="12">
        <f>(INDEX(Proj[],MATCH(Std[[#This Row],[Player]],Proj[Player],0),25)-R$764)/R$765</f>
        <v>-0.54018855889829887</v>
      </c>
      <c r="S13" s="12">
        <f>(INDEX(Proj[],MATCH(Std[[#This Row],[Player]],Proj[Player],0),26)-S$764)/S$765</f>
        <v>2.5768175115228176</v>
      </c>
      <c r="T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1598.6320815465933</v>
      </c>
      <c r="U13" s="11"/>
      <c r="W13" t="str">
        <v>Matthew Tkachuk</v>
      </c>
      <c r="AA13" t="str">
        <v>Matthew Tkachuk</v>
      </c>
      <c r="AB13" t="str">
        <v>Matthew Tkachuk</v>
      </c>
    </row>
    <row r="14" spans="1:28" x14ac:dyDescent="0.25">
      <c r="A14" t="s">
        <v>422</v>
      </c>
      <c r="B14">
        <f>INDEX(Proj[],MATCH(Std[[#This Row],[Player]],Proj[Player],0),2)</f>
        <v>23</v>
      </c>
      <c r="C14" t="s">
        <v>102</v>
      </c>
      <c r="D14" s="75"/>
      <c r="E14" s="57"/>
      <c r="F14" t="s">
        <v>23</v>
      </c>
      <c r="G14" s="12">
        <f>(INDEX(Proj[],MATCH(Std[[#This Row],[Player]],Proj[Player],0),14)-G$764)/G$765</f>
        <v>2.9290662813825477</v>
      </c>
      <c r="H14" s="12">
        <f>(INDEX(Proj[],MATCH(Std[[#This Row],[Player]],Proj[Player],0),15)-H$764)/H$765</f>
        <v>2.5420896469957692</v>
      </c>
      <c r="I14" s="12">
        <f>(INDEX(Proj[],MATCH(Std[[#This Row],[Player]],Proj[Player],0),16)-I$764)/I$765</f>
        <v>2.921342185779753</v>
      </c>
      <c r="J14" s="12">
        <f>(INDEX(Proj[],MATCH(Std[[#This Row],[Player]],Proj[Player],0),17)-J$764)/J$765</f>
        <v>2.7713036365466741</v>
      </c>
      <c r="K14" s="12">
        <f>(INDEX(Proj[],MATCH(Std[[#This Row],[Player]],Proj[Player],0),18)-K$764)/K$765</f>
        <v>2.9394700271346119</v>
      </c>
      <c r="L14" s="12">
        <f>(INDEX(Proj[],MATCH(Std[[#This Row],[Player]],Proj[Player],0),19)-L$764)/L$765</f>
        <v>3.0981148377101224</v>
      </c>
      <c r="M14" s="12">
        <f>(INDEX(Proj[],MATCH(Std[[#This Row],[Player]],Proj[Player],0),20)-M$764)/M$765</f>
        <v>-0.71308883245737775</v>
      </c>
      <c r="N14" s="12">
        <f>(INDEX(Proj[],MATCH(Std[[#This Row],[Player]],Proj[Player],0),21)-N$764)/N$765</f>
        <v>-1.409535493189225</v>
      </c>
      <c r="O14" s="12">
        <f>(INDEX(Proj[],MATCH(Std[[#This Row],[Player]],Proj[Player],0),22)-O$764)/O$765</f>
        <v>-0.73012024276241771</v>
      </c>
      <c r="P14" s="12">
        <f>((INDEX(Proj[],MATCH(Std[[#This Row],[Player]],Proj[Player],0),23)-P$764)/P$765)*IF('League Inputs'!$C$23 = "Yes",-1, 1)</f>
        <v>-1.1866101393952324</v>
      </c>
      <c r="Q14" s="12">
        <f>(INDEX(Proj[],MATCH(Std[[#This Row],[Player]],Proj[Player],0),24)-Q$764)/Q$765</f>
        <v>0.26026573077111909</v>
      </c>
      <c r="R14" s="12">
        <f>(INDEX(Proj[],MATCH(Std[[#This Row],[Player]],Proj[Player],0),25)-R$764)/R$765</f>
        <v>0.91264167367476468</v>
      </c>
      <c r="S14" s="12">
        <f>(INDEX(Proj[],MATCH(Std[[#This Row],[Player]],Proj[Player],0),26)-S$764)/S$765</f>
        <v>3.4688456820380562</v>
      </c>
      <c r="T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1189.3458489330492</v>
      </c>
      <c r="U14" s="11"/>
      <c r="W14" t="str">
        <v>Jack Hughes</v>
      </c>
      <c r="AA14" t="str">
        <v>Jack Hughes</v>
      </c>
      <c r="AB14" t="str">
        <v>Jack Hughes</v>
      </c>
    </row>
    <row r="15" spans="1:28" x14ac:dyDescent="0.25">
      <c r="A15" t="s">
        <v>884</v>
      </c>
      <c r="B15">
        <f>INDEX(Proj[],MATCH(Std[[#This Row],[Player]],Proj[Player],0),2)</f>
        <v>31</v>
      </c>
      <c r="C15" t="s">
        <v>74</v>
      </c>
      <c r="D15" s="75"/>
      <c r="E15" s="56"/>
      <c r="F15" t="s">
        <v>25</v>
      </c>
      <c r="G15" s="12">
        <f>(INDEX(Proj[],MATCH(Std[[#This Row],[Player]],Proj[Player],0),14)-G$764)/G$765</f>
        <v>1.9783614625626571</v>
      </c>
      <c r="H15" s="12">
        <f>(INDEX(Proj[],MATCH(Std[[#This Row],[Player]],Proj[Player],0),15)-H$764)/H$765</f>
        <v>2.914735981937095</v>
      </c>
      <c r="I15" s="12">
        <f>(INDEX(Proj[],MATCH(Std[[#This Row],[Player]],Proj[Player],0),16)-I$764)/I$765</f>
        <v>2.7323719499313399</v>
      </c>
      <c r="J15" s="12">
        <f>(INDEX(Proj[],MATCH(Std[[#This Row],[Player]],Proj[Player],0),17)-J$764)/J$765</f>
        <v>2.182577062097395</v>
      </c>
      <c r="K15" s="12">
        <f>(INDEX(Proj[],MATCH(Std[[#This Row],[Player]],Proj[Player],0),18)-K$764)/K$765</f>
        <v>3.4017278631034999</v>
      </c>
      <c r="L15" s="12">
        <f>(INDEX(Proj[],MATCH(Std[[#This Row],[Player]],Proj[Player],0),19)-L$764)/L$765</f>
        <v>3.2068534692228901</v>
      </c>
      <c r="M15" s="12">
        <f>(INDEX(Proj[],MATCH(Std[[#This Row],[Player]],Proj[Player],0),20)-M$764)/M$765</f>
        <v>2.3633801304301665</v>
      </c>
      <c r="N15" s="12">
        <f>(INDEX(Proj[],MATCH(Std[[#This Row],[Player]],Proj[Player],0),21)-N$764)/N$765</f>
        <v>2.0981962428618655</v>
      </c>
      <c r="O15" s="12">
        <f>(INDEX(Proj[],MATCH(Std[[#This Row],[Player]],Proj[Player],0),22)-O$764)/O$765</f>
        <v>-0.10328815260440355</v>
      </c>
      <c r="P15" s="12">
        <f>((INDEX(Proj[],MATCH(Std[[#This Row],[Player]],Proj[Player],0),23)-P$764)/P$765)*IF('League Inputs'!$C$23 = "Yes",-1, 1)</f>
        <v>0.95421947832925702</v>
      </c>
      <c r="Q15" s="12">
        <f>(INDEX(Proj[],MATCH(Std[[#This Row],[Player]],Proj[Player],0),24)-Q$764)/Q$765</f>
        <v>3.3572401266968255</v>
      </c>
      <c r="R15" s="12">
        <f>(INDEX(Proj[],MATCH(Std[[#This Row],[Player]],Proj[Player],0),25)-R$764)/R$765</f>
        <v>2.70597899200714</v>
      </c>
      <c r="S15" s="12">
        <f>(INDEX(Proj[],MATCH(Std[[#This Row],[Player]],Proj[Player],0),26)-S$764)/S$765</f>
        <v>1.2306659087452745</v>
      </c>
      <c r="T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1836.9356467682803</v>
      </c>
      <c r="U15" s="11"/>
      <c r="W15" t="str">
        <v>JT Miller</v>
      </c>
      <c r="AA15" t="str">
        <v>JT Miller</v>
      </c>
      <c r="AB15" t="str">
        <v>JT Miller</v>
      </c>
    </row>
    <row r="16" spans="1:28" x14ac:dyDescent="0.25">
      <c r="A16" t="s">
        <v>290</v>
      </c>
      <c r="B16">
        <f>INDEX(Proj[],MATCH(Std[[#This Row],[Player]],Proj[Player],0),2)</f>
        <v>28</v>
      </c>
      <c r="C16" t="s">
        <v>74</v>
      </c>
      <c r="D16" s="75" t="s">
        <v>102</v>
      </c>
      <c r="E16" s="57"/>
      <c r="F16" t="s">
        <v>156</v>
      </c>
      <c r="G16" s="12">
        <f>(INDEX(Proj[],MATCH(Std[[#This Row],[Player]],Proj[Player],0),14)-G$764)/G$765</f>
        <v>2.6121646751092511</v>
      </c>
      <c r="H16" s="12">
        <f>(INDEX(Proj[],MATCH(Std[[#This Row],[Player]],Proj[Player],0),15)-H$764)/H$765</f>
        <v>2.3185018460309736</v>
      </c>
      <c r="I16" s="12">
        <f>(INDEX(Proj[],MATCH(Std[[#This Row],[Player]],Proj[Player],0),16)-I$764)/I$765</f>
        <v>2.6378868320071334</v>
      </c>
      <c r="J16" s="12">
        <f>(INDEX(Proj[],MATCH(Std[[#This Row],[Player]],Proj[Player],0),17)-J$764)/J$765</f>
        <v>2.4769403493220348</v>
      </c>
      <c r="K16" s="12">
        <f>(INDEX(Proj[],MATCH(Std[[#This Row],[Player]],Proj[Player],0),18)-K$764)/K$765</f>
        <v>2.4772121911657239</v>
      </c>
      <c r="L16" s="12">
        <f>(INDEX(Proj[],MATCH(Std[[#This Row],[Player]],Proj[Player],0),19)-L$764)/L$765</f>
        <v>2.6631603116590523</v>
      </c>
      <c r="M16" s="12">
        <f>(INDEX(Proj[],MATCH(Std[[#This Row],[Player]],Proj[Player],0),20)-M$764)/M$765</f>
        <v>0.31240082183847029</v>
      </c>
      <c r="N16" s="12">
        <f>(INDEX(Proj[],MATCH(Std[[#This Row],[Player]],Proj[Player],0),21)-N$764)/N$765</f>
        <v>-1.138219226312345</v>
      </c>
      <c r="O16" s="12">
        <f>(INDEX(Proj[],MATCH(Std[[#This Row],[Player]],Proj[Player],0),22)-O$764)/O$765</f>
        <v>-0.75333624610160344</v>
      </c>
      <c r="P16" s="12">
        <f>((INDEX(Proj[],MATCH(Std[[#This Row],[Player]],Proj[Player],0),23)-P$764)/P$765)*IF('League Inputs'!$C$23 = "Yes",-1, 1)</f>
        <v>-0.53505329921821387</v>
      </c>
      <c r="Q16" s="12">
        <f>(INDEX(Proj[],MATCH(Std[[#This Row],[Player]],Proj[Player],0),24)-Q$764)/Q$765</f>
        <v>-0.29942843716726164</v>
      </c>
      <c r="R16" s="12">
        <f>(INDEX(Proj[],MATCH(Std[[#This Row],[Player]],Proj[Player],0),25)-R$764)/R$765</f>
        <v>-0.28480824457881504</v>
      </c>
      <c r="S16" s="12">
        <f>(INDEX(Proj[],MATCH(Std[[#This Row],[Player]],Proj[Player],0),26)-S$764)/S$765</f>
        <v>2.8200979216633373</v>
      </c>
      <c r="T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1032.5774377670323</v>
      </c>
      <c r="U16" s="11"/>
      <c r="W16" t="str">
        <v>William Nylander</v>
      </c>
      <c r="AA16" t="str">
        <v>William Nylander</v>
      </c>
      <c r="AB16" t="str">
        <v>William Nylander</v>
      </c>
    </row>
    <row r="17" spans="1:28" x14ac:dyDescent="0.25">
      <c r="A17" t="s">
        <v>336</v>
      </c>
      <c r="B17">
        <f>INDEX(Proj[],MATCH(Std[[#This Row],[Player]],Proj[Player],0),2)</f>
        <v>25</v>
      </c>
      <c r="C17" t="s">
        <v>102</v>
      </c>
      <c r="D17" s="75" t="s">
        <v>103</v>
      </c>
      <c r="E17" s="57"/>
      <c r="F17" t="s">
        <v>155</v>
      </c>
      <c r="G17" s="12">
        <f>(INDEX(Proj[],MATCH(Std[[#This Row],[Player]],Proj[Player],0),14)-G$764)/G$765</f>
        <v>2.4008969375937195</v>
      </c>
      <c r="H17" s="12">
        <f>(INDEX(Proj[],MATCH(Std[[#This Row],[Player]],Proj[Player],0),15)-H$764)/H$765</f>
        <v>2.3185018460309736</v>
      </c>
      <c r="I17" s="12">
        <f>(INDEX(Proj[],MATCH(Std[[#This Row],[Player]],Proj[Player],0),16)-I$764)/I$765</f>
        <v>2.5434017140829273</v>
      </c>
      <c r="J17" s="12">
        <f>(INDEX(Proj[],MATCH(Std[[#This Row],[Player]],Proj[Player],0),17)-J$764)/J$765</f>
        <v>2.4769403493220348</v>
      </c>
      <c r="K17" s="12">
        <f>(INDEX(Proj[],MATCH(Std[[#This Row],[Player]],Proj[Player],0),18)-K$764)/K$765</f>
        <v>2.1690403005197982</v>
      </c>
      <c r="L17" s="12">
        <f>(INDEX(Proj[],MATCH(Std[[#This Row],[Player]],Proj[Player],0),19)-L$764)/L$765</f>
        <v>2.4456830486335175</v>
      </c>
      <c r="M17" s="12">
        <f>(INDEX(Proj[],MATCH(Std[[#This Row],[Player]],Proj[Player],0),20)-M$764)/M$765</f>
        <v>-0.71308883245737775</v>
      </c>
      <c r="N17" s="12">
        <f>(INDEX(Proj[],MATCH(Std[[#This Row],[Player]],Proj[Player],0),21)-N$764)/N$765</f>
        <v>-0.36302989237840244</v>
      </c>
      <c r="O17" s="12">
        <f>(INDEX(Proj[],MATCH(Std[[#This Row],[Player]],Proj[Player],0),22)-O$764)/O$765</f>
        <v>-0.79976825277997488</v>
      </c>
      <c r="P17" s="12">
        <f>((INDEX(Proj[],MATCH(Std[[#This Row],[Player]],Proj[Player],0),23)-P$764)/P$765)*IF('League Inputs'!$C$23 = "Yes",-1, 1)</f>
        <v>-0.5815930735165723</v>
      </c>
      <c r="Q17" s="12">
        <f>(INDEX(Proj[],MATCH(Std[[#This Row],[Player]],Proj[Player],0),24)-Q$764)/Q$765</f>
        <v>-0.54995820757777492</v>
      </c>
      <c r="R17" s="12">
        <f>(INDEX(Proj[],MATCH(Std[[#This Row],[Player]],Proj[Player],0),25)-R$764)/R$765</f>
        <v>-0.59693973985818416</v>
      </c>
      <c r="S17" s="12">
        <f>(INDEX(Proj[],MATCH(Std[[#This Row],[Player]],Proj[Player],0),26)-S$764)/S$765</f>
        <v>2.0902566912417777</v>
      </c>
      <c r="T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950.43908113301893</v>
      </c>
      <c r="U17" s="11"/>
      <c r="W17" t="str">
        <v>Jason Robertson</v>
      </c>
      <c r="AA17" t="str">
        <v>Jason Robertson</v>
      </c>
      <c r="AB17" t="str">
        <v>Jason Robertson</v>
      </c>
    </row>
    <row r="18" spans="1:28" x14ac:dyDescent="0.25">
      <c r="A18" t="s">
        <v>341</v>
      </c>
      <c r="B18">
        <f>INDEX(Proj[],MATCH(Std[[#This Row],[Player]],Proj[Player],0),2)</f>
        <v>29</v>
      </c>
      <c r="C18" t="s">
        <v>102</v>
      </c>
      <c r="D18" s="75" t="s">
        <v>103</v>
      </c>
      <c r="E18" s="57"/>
      <c r="F18" t="s">
        <v>9</v>
      </c>
      <c r="G18" s="12">
        <f>(INDEX(Proj[],MATCH(Std[[#This Row],[Player]],Proj[Player],0),14)-G$764)/G$765</f>
        <v>3.0347001501403135</v>
      </c>
      <c r="H18" s="12">
        <f>(INDEX(Proj[],MATCH(Std[[#This Row],[Player]],Proj[Player],0),15)-H$764)/H$765</f>
        <v>1.5732091761483213</v>
      </c>
      <c r="I18" s="12">
        <f>(INDEX(Proj[],MATCH(Std[[#This Row],[Player]],Proj[Player],0),16)-I$764)/I$765</f>
        <v>2.3544314782345142</v>
      </c>
      <c r="J18" s="12">
        <f>(INDEX(Proj[],MATCH(Std[[#This Row],[Player]],Proj[Player],0),17)-J$764)/J$765</f>
        <v>5.1262099343437919</v>
      </c>
      <c r="K18" s="12">
        <f>(INDEX(Proj[],MATCH(Std[[#This Row],[Player]],Proj[Player],0),18)-K$764)/K$765</f>
        <v>1.244524628582022</v>
      </c>
      <c r="L18" s="12">
        <f>(INDEX(Proj[],MATCH(Std[[#This Row],[Player]],Proj[Player],0),19)-L$764)/L$765</f>
        <v>2.77189894317182</v>
      </c>
      <c r="M18" s="12">
        <f>(INDEX(Proj[],MATCH(Std[[#This Row],[Player]],Proj[Player],0),20)-M$764)/M$765</f>
        <v>3.3888697847260145</v>
      </c>
      <c r="N18" s="12">
        <f>(INDEX(Proj[],MATCH(Std[[#This Row],[Player]],Proj[Player],0),21)-N$764)/N$765</f>
        <v>-0.32427042568170528</v>
      </c>
      <c r="O18" s="12">
        <f>(INDEX(Proj[],MATCH(Std[[#This Row],[Player]],Proj[Player],0),22)-O$764)/O$765</f>
        <v>-0.12650415594358927</v>
      </c>
      <c r="P18" s="12">
        <f>((INDEX(Proj[],MATCH(Std[[#This Row],[Player]],Proj[Player],0),23)-P$764)/P$765)*IF('League Inputs'!$C$23 = "Yes",-1, 1)</f>
        <v>-0.76775217071000623</v>
      </c>
      <c r="Q18" s="12">
        <f>(INDEX(Proj[],MATCH(Std[[#This Row],[Player]],Proj[Player],0),24)-Q$764)/Q$765</f>
        <v>0.64938643800446949</v>
      </c>
      <c r="R18" s="12">
        <f>(INDEX(Proj[],MATCH(Std[[#This Row],[Player]],Proj[Player],0),25)-R$764)/R$765</f>
        <v>0.93534214605871879</v>
      </c>
      <c r="S18" s="12">
        <f>(INDEX(Proj[],MATCH(Std[[#This Row],[Player]],Proj[Player],0),26)-S$764)/S$765</f>
        <v>1.6036958709607381</v>
      </c>
      <c r="T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1076.8795304324876</v>
      </c>
      <c r="U18" s="11"/>
      <c r="W18" t="str">
        <v>Sam Reinhart</v>
      </c>
      <c r="AA18" t="str">
        <v>Sam Reinhart</v>
      </c>
      <c r="AB18" t="str">
        <v>Sam Reinhart</v>
      </c>
    </row>
    <row r="19" spans="1:28" x14ac:dyDescent="0.25">
      <c r="A19" t="s">
        <v>269</v>
      </c>
      <c r="B19">
        <f>INDEX(Proj[],MATCH(Std[[#This Row],[Player]],Proj[Player],0),2)</f>
        <v>30</v>
      </c>
      <c r="C19" t="s">
        <v>102</v>
      </c>
      <c r="D19" s="75"/>
      <c r="E19" s="57"/>
      <c r="F19" t="s">
        <v>10</v>
      </c>
      <c r="G19" s="12">
        <f>(INDEX(Proj[],MATCH(Std[[#This Row],[Player]],Proj[Player],0),14)-G$764)/G$765</f>
        <v>2.9290662813825477</v>
      </c>
      <c r="H19" s="12">
        <f>(INDEX(Proj[],MATCH(Std[[#This Row],[Player]],Proj[Player],0),15)-H$764)/H$765</f>
        <v>1.6477384431365867</v>
      </c>
      <c r="I19" s="12">
        <f>(INDEX(Proj[],MATCH(Std[[#This Row],[Player]],Proj[Player],0),16)-I$764)/I$765</f>
        <v>2.3544314782345142</v>
      </c>
      <c r="J19" s="12">
        <f>(INDEX(Proj[],MATCH(Std[[#This Row],[Player]],Proj[Player],0),17)-J$764)/J$765</f>
        <v>2.182577062097395</v>
      </c>
      <c r="K19" s="12">
        <f>(INDEX(Proj[],MATCH(Std[[#This Row],[Player]],Proj[Player],0),18)-K$764)/K$765</f>
        <v>1.8608684098738728</v>
      </c>
      <c r="L19" s="12">
        <f>(INDEX(Proj[],MATCH(Std[[#This Row],[Player]],Proj[Player],0),19)-L$764)/L$765</f>
        <v>2.1194671540952146</v>
      </c>
      <c r="M19" s="12">
        <f>(INDEX(Proj[],MATCH(Std[[#This Row],[Player]],Proj[Player],0),20)-M$764)/M$765</f>
        <v>-0.71308883245737775</v>
      </c>
      <c r="N19" s="12">
        <f>(INDEX(Proj[],MATCH(Std[[#This Row],[Player]],Proj[Player],0),21)-N$764)/N$765</f>
        <v>0.78037437517416297</v>
      </c>
      <c r="O19" s="12">
        <f>(INDEX(Proj[],MATCH(Std[[#This Row],[Player]],Proj[Player],0),22)-O$764)/O$765</f>
        <v>-0.42831219935300352</v>
      </c>
      <c r="P19" s="12">
        <f>((INDEX(Proj[],MATCH(Std[[#This Row],[Player]],Proj[Player],0),23)-P$764)/P$765)*IF('League Inputs'!$C$23 = "Yes",-1, 1)</f>
        <v>-6.9655556234629226E-2</v>
      </c>
      <c r="Q19" s="12">
        <f>(INDEX(Proj[],MATCH(Std[[#This Row],[Player]],Proj[Player],0),24)-Q$764)/Q$765</f>
        <v>-0.50731484240151736</v>
      </c>
      <c r="R19" s="12">
        <f>(INDEX(Proj[],MATCH(Std[[#This Row],[Player]],Proj[Player],0),25)-R$764)/R$765</f>
        <v>-0.55153879509027592</v>
      </c>
      <c r="S19" s="12">
        <f>(INDEX(Proj[],MATCH(Std[[#This Row],[Player]],Proj[Player],0),26)-S$764)/S$765</f>
        <v>2.7876605336446012</v>
      </c>
      <c r="T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1161.3455667678479</v>
      </c>
      <c r="U19" s="11"/>
      <c r="W19" t="str">
        <v>Filip Forsberg</v>
      </c>
      <c r="AA19" t="str">
        <v>Filip Forsberg</v>
      </c>
      <c r="AB19" t="str">
        <v>Filip Forsberg</v>
      </c>
    </row>
    <row r="20" spans="1:28" x14ac:dyDescent="0.25">
      <c r="A20" t="s">
        <v>255</v>
      </c>
      <c r="B20">
        <f>INDEX(Proj[],MATCH(Std[[#This Row],[Player]],Proj[Player],0),2)</f>
        <v>30</v>
      </c>
      <c r="C20" t="s">
        <v>102</v>
      </c>
      <c r="D20" s="75" t="s">
        <v>103</v>
      </c>
      <c r="E20" s="56"/>
      <c r="F20" t="s">
        <v>30</v>
      </c>
      <c r="G20" s="12">
        <f>(INDEX(Proj[],MATCH(Std[[#This Row],[Player]],Proj[Player],0),14)-G$764)/G$765</f>
        <v>2.6121646751092511</v>
      </c>
      <c r="H20" s="12">
        <f>(INDEX(Proj[],MATCH(Std[[#This Row],[Player]],Proj[Player],0),15)-H$764)/H$765</f>
        <v>1.8713262441013823</v>
      </c>
      <c r="I20" s="12">
        <f>(INDEX(Proj[],MATCH(Std[[#This Row],[Player]],Proj[Player],0),16)-I$764)/I$765</f>
        <v>2.3544314782345142</v>
      </c>
      <c r="J20" s="12">
        <f>(INDEX(Proj[],MATCH(Std[[#This Row],[Player]],Proj[Player],0),17)-J$764)/J$765</f>
        <v>1.8882137748727552</v>
      </c>
      <c r="K20" s="12">
        <f>(INDEX(Proj[],MATCH(Std[[#This Row],[Player]],Proj[Player],0),18)-K$764)/K$765</f>
        <v>1.7067824645509102</v>
      </c>
      <c r="L20" s="12">
        <f>(INDEX(Proj[],MATCH(Std[[#This Row],[Player]],Proj[Player],0),19)-L$764)/L$765</f>
        <v>1.9019898910696798</v>
      </c>
      <c r="M20" s="12">
        <f>(INDEX(Proj[],MATCH(Std[[#This Row],[Player]],Proj[Player],0),20)-M$764)/M$765</f>
        <v>-0.71308883245737775</v>
      </c>
      <c r="N20" s="12">
        <f>(INDEX(Proj[],MATCH(Std[[#This Row],[Player]],Proj[Player],0),21)-N$764)/N$765</f>
        <v>-0.51806775916519099</v>
      </c>
      <c r="O20" s="12">
        <f>(INDEX(Proj[],MATCH(Std[[#This Row],[Player]],Proj[Player],0),22)-O$764)/O$765</f>
        <v>-0.56760821938811779</v>
      </c>
      <c r="P20" s="12">
        <f>((INDEX(Proj[],MATCH(Std[[#This Row],[Player]],Proj[Player],0),23)-P$764)/P$765)*IF('League Inputs'!$C$23 = "Yes",-1, 1)</f>
        <v>2.3423992362087698E-2</v>
      </c>
      <c r="Q20" s="12">
        <f>(INDEX(Proj[],MATCH(Std[[#This Row],[Player]],Proj[Player],0),24)-Q$764)/Q$765</f>
        <v>-0.51264526304854952</v>
      </c>
      <c r="R20" s="12">
        <f>(INDEX(Proj[],MATCH(Std[[#This Row],[Player]],Proj[Player],0),25)-R$764)/R$765</f>
        <v>-0.50046273222637916</v>
      </c>
      <c r="S20" s="12">
        <f>(INDEX(Proj[],MATCH(Std[[#This Row],[Player]],Proj[Player],0),26)-S$764)/S$765</f>
        <v>2.2037875493073535</v>
      </c>
      <c r="T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936.88025885824084</v>
      </c>
      <c r="U20" s="11"/>
      <c r="W20" t="str">
        <v>Jake Guentzel</v>
      </c>
      <c r="AA20" t="str">
        <v>Jake Guentzel</v>
      </c>
      <c r="AB20" t="str">
        <v>Jake Guentzel</v>
      </c>
    </row>
    <row r="21" spans="1:28" x14ac:dyDescent="0.25">
      <c r="A21" t="s">
        <v>312</v>
      </c>
      <c r="B21">
        <f>INDEX(Proj[],MATCH(Std[[#This Row],[Player]],Proj[Player],0),2)</f>
        <v>26</v>
      </c>
      <c r="C21" t="s">
        <v>102</v>
      </c>
      <c r="D21" s="75" t="s">
        <v>103</v>
      </c>
      <c r="E21" s="56"/>
      <c r="F21" t="s">
        <v>22</v>
      </c>
      <c r="G21" s="12">
        <f>(INDEX(Proj[],MATCH(Std[[#This Row],[Player]],Proj[Player],0),14)-G$764)/G$765</f>
        <v>2.1896292000781883</v>
      </c>
      <c r="H21" s="12">
        <f>(INDEX(Proj[],MATCH(Std[[#This Row],[Player]],Proj[Player],0),15)-H$764)/H$765</f>
        <v>2.0949140450661781</v>
      </c>
      <c r="I21" s="12">
        <f>(INDEX(Proj[],MATCH(Std[[#This Row],[Player]],Proj[Player],0),16)-I$764)/I$765</f>
        <v>2.3071889192724111</v>
      </c>
      <c r="J21" s="12">
        <f>(INDEX(Proj[],MATCH(Std[[#This Row],[Player]],Proj[Player],0),17)-J$764)/J$765</f>
        <v>2.4769403493220348</v>
      </c>
      <c r="K21" s="12">
        <f>(INDEX(Proj[],MATCH(Std[[#This Row],[Player]],Proj[Player],0),18)-K$764)/K$765</f>
        <v>2.1690403005197982</v>
      </c>
      <c r="L21" s="12">
        <f>(INDEX(Proj[],MATCH(Std[[#This Row],[Player]],Proj[Player],0),19)-L$764)/L$765</f>
        <v>2.4456830486335175</v>
      </c>
      <c r="M21" s="12">
        <f>(INDEX(Proj[],MATCH(Std[[#This Row],[Player]],Proj[Player],0),20)-M$764)/M$765</f>
        <v>2.3633801304301665</v>
      </c>
      <c r="N21" s="12">
        <f>(INDEX(Proj[],MATCH(Std[[#This Row],[Player]],Proj[Player],0),21)-N$764)/N$765</f>
        <v>0.23774184142040311</v>
      </c>
      <c r="O21" s="12">
        <f>(INDEX(Proj[],MATCH(Std[[#This Row],[Player]],Proj[Player],0),22)-O$764)/O$765</f>
        <v>0.15208788412663926</v>
      </c>
      <c r="P21" s="12">
        <f>((INDEX(Proj[],MATCH(Std[[#This Row],[Player]],Proj[Player],0),23)-P$764)/P$765)*IF('League Inputs'!$C$23 = "Yes",-1, 1)</f>
        <v>-1.0004510422017985</v>
      </c>
      <c r="Q21" s="12">
        <f>(INDEX(Proj[],MATCH(Std[[#This Row],[Player]],Proj[Player],0),24)-Q$764)/Q$765</f>
        <v>1.4756016382944601</v>
      </c>
      <c r="R21" s="12">
        <f>(INDEX(Proj[],MATCH(Std[[#This Row],[Player]],Proj[Player],0),25)-R$764)/R$765</f>
        <v>1.6277065537693194</v>
      </c>
      <c r="S21" s="12">
        <f>(INDEX(Proj[],MATCH(Std[[#This Row],[Player]],Proj[Player],0),26)-S$764)/S$765</f>
        <v>1.5550397889326342</v>
      </c>
      <c r="T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1145.7435323622633</v>
      </c>
      <c r="U21" s="11"/>
      <c r="W21" t="str">
        <v>Elias Pettersson</v>
      </c>
      <c r="AA21" t="str">
        <v>Elias Pettersson</v>
      </c>
      <c r="AB21" t="str">
        <v>Elias Pettersson</v>
      </c>
    </row>
    <row r="22" spans="1:28" x14ac:dyDescent="0.25">
      <c r="A22" t="s">
        <v>289</v>
      </c>
      <c r="B22">
        <f>INDEX(Proj[],MATCH(Std[[#This Row],[Player]],Proj[Player],0),2)</f>
        <v>25</v>
      </c>
      <c r="C22" t="s">
        <v>74</v>
      </c>
      <c r="D22" s="75" t="s">
        <v>102</v>
      </c>
      <c r="E22" s="56"/>
      <c r="F22" t="s">
        <v>8</v>
      </c>
      <c r="G22" s="12">
        <f>(INDEX(Proj[],MATCH(Std[[#This Row],[Player]],Proj[Player],0),14)-G$764)/G$765</f>
        <v>-0.13431591259265557</v>
      </c>
      <c r="H22" s="12">
        <f>(INDEX(Proj[],MATCH(Std[[#This Row],[Player]],Proj[Player],0),15)-H$764)/H$765</f>
        <v>3.7345579188080125</v>
      </c>
      <c r="I22" s="12">
        <f>(INDEX(Proj[],MATCH(Std[[#This Row],[Player]],Proj[Player],0),16)-I$764)/I$765</f>
        <v>2.3071889192724111</v>
      </c>
      <c r="J22" s="12">
        <f>(INDEX(Proj[],MATCH(Std[[#This Row],[Player]],Proj[Player],0),17)-J$764)/J$765</f>
        <v>0.12203405152491688</v>
      </c>
      <c r="K22" s="12">
        <f>(INDEX(Proj[],MATCH(Std[[#This Row],[Player]],Proj[Player],0),18)-K$764)/K$765</f>
        <v>4.6344154256872017</v>
      </c>
      <c r="L22" s="12">
        <f>(INDEX(Proj[],MATCH(Std[[#This Row],[Player]],Proj[Player],0),19)-L$764)/L$765</f>
        <v>3.3155921007356577</v>
      </c>
      <c r="M22" s="12">
        <f>(INDEX(Proj[],MATCH(Std[[#This Row],[Player]],Proj[Player],0),20)-M$764)/M$765</f>
        <v>-0.71308883245737775</v>
      </c>
      <c r="N22" s="12">
        <f>(INDEX(Proj[],MATCH(Std[[#This Row],[Player]],Proj[Player],0),21)-N$764)/N$765</f>
        <v>-1.0800800262672994</v>
      </c>
      <c r="O22" s="12">
        <f>(INDEX(Proj[],MATCH(Std[[#This Row],[Player]],Proj[Player],0),22)-O$764)/O$765</f>
        <v>0.12887188078745357</v>
      </c>
      <c r="P22" s="12">
        <f>((INDEX(Proj[],MATCH(Std[[#This Row],[Player]],Proj[Player],0),23)-P$764)/P$765)*IF('League Inputs'!$C$23 = "Yes",-1, 1)</f>
        <v>-2.3115781936270764E-2</v>
      </c>
      <c r="Q22" s="12">
        <f>(INDEX(Proj[],MATCH(Std[[#This Row],[Player]],Proj[Player],0),24)-Q$764)/Q$765</f>
        <v>-0.5766103108129359</v>
      </c>
      <c r="R22" s="12">
        <f>(INDEX(Proj[],MATCH(Std[[#This Row],[Player]],Proj[Player],0),25)-R$764)/R$765</f>
        <v>-0.62531533033812681</v>
      </c>
      <c r="S22" s="12">
        <f>(INDEX(Proj[],MATCH(Std[[#This Row],[Player]],Proj[Player],0),26)-S$764)/S$765</f>
        <v>0.85763594652981101</v>
      </c>
      <c r="T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852.97247345241851</v>
      </c>
      <c r="U22" s="11"/>
      <c r="W22" t="str">
        <v>Quinn Hughes</v>
      </c>
      <c r="AA22" t="str">
        <v>Quinn Hughes</v>
      </c>
      <c r="AB22" t="str">
        <v>Quinn Hughes</v>
      </c>
    </row>
    <row r="23" spans="1:28" x14ac:dyDescent="0.25">
      <c r="A23" t="s">
        <v>278</v>
      </c>
      <c r="B23">
        <f>INDEX(Proj[],MATCH(Std[[#This Row],[Player]],Proj[Player],0),2)</f>
        <v>29</v>
      </c>
      <c r="C23" t="s">
        <v>74</v>
      </c>
      <c r="D23" s="75" t="s">
        <v>103</v>
      </c>
      <c r="E23" s="56"/>
      <c r="F23" t="s">
        <v>11</v>
      </c>
      <c r="G23" s="12">
        <f>(INDEX(Proj[],MATCH(Std[[#This Row],[Player]],Proj[Player],0),14)-G$764)/G$765</f>
        <v>1.5558259875315945</v>
      </c>
      <c r="H23" s="12">
        <f>(INDEX(Proj[],MATCH(Std[[#This Row],[Player]],Proj[Player],0),15)-H$764)/H$765</f>
        <v>2.5420896469957692</v>
      </c>
      <c r="I23" s="12">
        <f>(INDEX(Proj[],MATCH(Std[[#This Row],[Player]],Proj[Player],0),16)-I$764)/I$765</f>
        <v>2.3071889192724111</v>
      </c>
      <c r="J23" s="12">
        <f>(INDEX(Proj[],MATCH(Std[[#This Row],[Player]],Proj[Player],0),17)-J$764)/J$765</f>
        <v>1.5938504876481154</v>
      </c>
      <c r="K23" s="12">
        <f>(INDEX(Proj[],MATCH(Std[[#This Row],[Player]],Proj[Player],0),18)-K$764)/K$765</f>
        <v>2.6312981364886867</v>
      </c>
      <c r="L23" s="12">
        <f>(INDEX(Proj[],MATCH(Std[[#This Row],[Player]],Proj[Player],0),19)-L$764)/L$765</f>
        <v>2.4456830486335175</v>
      </c>
      <c r="M23" s="12">
        <f>(INDEX(Proj[],MATCH(Std[[#This Row],[Player]],Proj[Player],0),20)-M$764)/M$765</f>
        <v>2.3633801304301665</v>
      </c>
      <c r="N23" s="12">
        <f>(INDEX(Proj[],MATCH(Std[[#This Row],[Player]],Proj[Player],0),21)-N$764)/N$765</f>
        <v>-0.13047309219821965</v>
      </c>
      <c r="O23" s="12">
        <f>(INDEX(Proj[],MATCH(Std[[#This Row],[Player]],Proj[Player],0),22)-O$764)/O$765</f>
        <v>-0.26580017597870353</v>
      </c>
      <c r="P23" s="12">
        <f>((INDEX(Proj[],MATCH(Std[[#This Row],[Player]],Proj[Player],0),23)-P$764)/P$765)*IF('League Inputs'!$C$23 = "Yes",-1, 1)</f>
        <v>-0.81429194500836466</v>
      </c>
      <c r="Q23" s="12">
        <f>(INDEX(Proj[],MATCH(Std[[#This Row],[Player]],Proj[Player],0),24)-Q$764)/Q$765</f>
        <v>2.9148152129931528</v>
      </c>
      <c r="R23" s="12">
        <f>(INDEX(Proj[],MATCH(Std[[#This Row],[Player]],Proj[Player],0),25)-R$764)/R$765</f>
        <v>2.2065685995601494</v>
      </c>
      <c r="S23" s="12">
        <f>(INDEX(Proj[],MATCH(Std[[#This Row],[Player]],Proj[Player],0),26)-S$764)/S$765</f>
        <v>1.3279780728014825</v>
      </c>
      <c r="T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1188.3015675042641</v>
      </c>
      <c r="U23" s="11"/>
      <c r="W23" t="str">
        <v>Aleksander Barkov</v>
      </c>
      <c r="AA23" t="str">
        <v>Aleksander Barkov</v>
      </c>
      <c r="AB23" t="str">
        <v>Aleksander Barkov</v>
      </c>
    </row>
    <row r="24" spans="1:28" x14ac:dyDescent="0.25">
      <c r="A24" t="s">
        <v>266</v>
      </c>
      <c r="B24">
        <f>INDEX(Proj[],MATCH(Std[[#This Row],[Player]],Proj[Player],0),2)</f>
        <v>27</v>
      </c>
      <c r="C24" t="s">
        <v>102</v>
      </c>
      <c r="D24" s="75"/>
      <c r="E24" s="56"/>
      <c r="F24" t="s">
        <v>25</v>
      </c>
      <c r="G24" s="12">
        <f>(INDEX(Proj[],MATCH(Std[[#This Row],[Player]],Proj[Player],0),14)-G$764)/G$765</f>
        <v>2.4008969375937195</v>
      </c>
      <c r="H24" s="12">
        <f>(INDEX(Proj[],MATCH(Std[[#This Row],[Player]],Proj[Player],0),15)-H$764)/H$765</f>
        <v>1.9458555110896474</v>
      </c>
      <c r="I24" s="12">
        <f>(INDEX(Proj[],MATCH(Std[[#This Row],[Player]],Proj[Player],0),16)-I$764)/I$765</f>
        <v>2.3071889192724111</v>
      </c>
      <c r="J24" s="12">
        <f>(INDEX(Proj[],MATCH(Std[[#This Row],[Player]],Proj[Player],0),17)-J$764)/J$765</f>
        <v>1.8882137748727552</v>
      </c>
      <c r="K24" s="12">
        <f>(INDEX(Proj[],MATCH(Std[[#This Row],[Player]],Proj[Player],0),18)-K$764)/K$765</f>
        <v>1.8608684098738728</v>
      </c>
      <c r="L24" s="12">
        <f>(INDEX(Proj[],MATCH(Std[[#This Row],[Player]],Proj[Player],0),19)-L$764)/L$765</f>
        <v>2.0107285225824474</v>
      </c>
      <c r="M24" s="12">
        <f>(INDEX(Proj[],MATCH(Std[[#This Row],[Player]],Proj[Player],0),20)-M$764)/M$765</f>
        <v>2.3633801304301665</v>
      </c>
      <c r="N24" s="12">
        <f>(INDEX(Proj[],MATCH(Std[[#This Row],[Player]],Proj[Player],0),21)-N$764)/N$765</f>
        <v>-0.55682722586188804</v>
      </c>
      <c r="O24" s="12">
        <f>(INDEX(Proj[],MATCH(Std[[#This Row],[Player]],Proj[Player],0),22)-O$764)/O$765</f>
        <v>-0.89263226613671776</v>
      </c>
      <c r="P24" s="12">
        <f>((INDEX(Proj[],MATCH(Std[[#This Row],[Player]],Proj[Player],0),23)-P$764)/P$765)*IF('League Inputs'!$C$23 = "Yes",-1, 1)</f>
        <v>0.16304331525716309</v>
      </c>
      <c r="Q24" s="12">
        <f>(INDEX(Proj[],MATCH(Std[[#This Row],[Player]],Proj[Player],0),24)-Q$764)/Q$765</f>
        <v>2.4297469341132234</v>
      </c>
      <c r="R24" s="12">
        <f>(INDEX(Proj[],MATCH(Std[[#This Row],[Player]],Proj[Player],0),25)-R$764)/R$765</f>
        <v>2.1838681271761953</v>
      </c>
      <c r="S24" s="12">
        <f>(INDEX(Proj[],MATCH(Std[[#This Row],[Player]],Proj[Player],0),26)-S$764)/S$765</f>
        <v>1.5874771769513703</v>
      </c>
      <c r="T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1139.5477824861377</v>
      </c>
      <c r="U24" s="11"/>
      <c r="W24" t="str">
        <v>Sebastian Aho</v>
      </c>
      <c r="AA24" t="str">
        <v>Sebastian Aho</v>
      </c>
      <c r="AB24" t="str">
        <v>Sebastian Aho</v>
      </c>
    </row>
    <row r="25" spans="1:28" x14ac:dyDescent="0.25">
      <c r="A25" t="s">
        <v>419</v>
      </c>
      <c r="B25">
        <f>INDEX(Proj[],MATCH(Std[[#This Row],[Player]],Proj[Player],0),2)</f>
        <v>26</v>
      </c>
      <c r="C25" t="s">
        <v>103</v>
      </c>
      <c r="D25" s="75"/>
      <c r="E25" s="57"/>
      <c r="F25" t="s">
        <v>156</v>
      </c>
      <c r="G25" s="12">
        <f>(INDEX(Proj[],MATCH(Std[[#This Row],[Player]],Proj[Player],0),14)-G$764)/G$765</f>
        <v>1.7670937250471259</v>
      </c>
      <c r="H25" s="12">
        <f>(INDEX(Proj[],MATCH(Std[[#This Row],[Player]],Proj[Player],0),15)-H$764)/H$765</f>
        <v>2.3930311130192385</v>
      </c>
      <c r="I25" s="12">
        <f>(INDEX(Proj[],MATCH(Std[[#This Row],[Player]],Proj[Player],0),16)-I$764)/I$765</f>
        <v>2.3071889192724111</v>
      </c>
      <c r="J25" s="12">
        <f>(INDEX(Proj[],MATCH(Std[[#This Row],[Player]],Proj[Player],0),17)-J$764)/J$765</f>
        <v>1.2994872004234757</v>
      </c>
      <c r="K25" s="12">
        <f>(INDEX(Proj[],MATCH(Std[[#This Row],[Player]],Proj[Player],0),18)-K$764)/K$765</f>
        <v>2.1690403005197982</v>
      </c>
      <c r="L25" s="12">
        <f>(INDEX(Proj[],MATCH(Std[[#This Row],[Player]],Proj[Player],0),19)-L$764)/L$765</f>
        <v>2.0107285225824474</v>
      </c>
      <c r="M25" s="12">
        <f>(INDEX(Proj[],MATCH(Std[[#This Row],[Player]],Proj[Player],0),20)-M$764)/M$765</f>
        <v>0.31240082183847029</v>
      </c>
      <c r="N25" s="12">
        <f>(INDEX(Proj[],MATCH(Std[[#This Row],[Player]],Proj[Player],0),21)-N$764)/N$765</f>
        <v>-0.75062455934537375</v>
      </c>
      <c r="O25" s="12">
        <f>(INDEX(Proj[],MATCH(Std[[#This Row],[Player]],Proj[Player],0),22)-O$764)/O$765</f>
        <v>-0.66047223274486055</v>
      </c>
      <c r="P25" s="12">
        <f>((INDEX(Proj[],MATCH(Std[[#This Row],[Player]],Proj[Player],0),23)-P$764)/P$765)*IF('League Inputs'!$C$23 = "Yes",-1, 1)</f>
        <v>-1.0004510422017985</v>
      </c>
      <c r="Q25" s="12">
        <f>(INDEX(Proj[],MATCH(Std[[#This Row],[Player]],Proj[Player],0),24)-Q$764)/Q$765</f>
        <v>-0.51264526304854952</v>
      </c>
      <c r="R25" s="12">
        <f>(INDEX(Proj[],MATCH(Std[[#This Row],[Player]],Proj[Player],0),25)-R$764)/R$765</f>
        <v>-0.52316320461033328</v>
      </c>
      <c r="S25" s="12">
        <f>(INDEX(Proj[],MATCH(Std[[#This Row],[Player]],Proj[Player],0),26)-S$764)/S$765</f>
        <v>1.83075758709189</v>
      </c>
      <c r="T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738.46067696725311</v>
      </c>
      <c r="U25" s="11"/>
      <c r="W25" t="str">
        <v>Jesper Bratt</v>
      </c>
      <c r="AA25" t="str">
        <v>Jesper Bratt</v>
      </c>
      <c r="AB25" t="str">
        <v>Jesper Bratt</v>
      </c>
    </row>
    <row r="26" spans="1:28" x14ac:dyDescent="0.25">
      <c r="A26" t="s">
        <v>354</v>
      </c>
      <c r="B26">
        <f>INDEX(Proj[],MATCH(Std[[#This Row],[Player]],Proj[Player],0),2)</f>
        <v>28</v>
      </c>
      <c r="C26" t="s">
        <v>74</v>
      </c>
      <c r="D26" s="75" t="s">
        <v>102</v>
      </c>
      <c r="E26" s="57"/>
      <c r="F26" t="s">
        <v>11</v>
      </c>
      <c r="G26" s="12">
        <f>(INDEX(Proj[],MATCH(Std[[#This Row],[Player]],Proj[Player],0),14)-G$764)/G$765</f>
        <v>2.9290662813825477</v>
      </c>
      <c r="H26" s="12">
        <f>(INDEX(Proj[],MATCH(Std[[#This Row],[Player]],Proj[Player],0),15)-H$764)/H$765</f>
        <v>1.4241506421717909</v>
      </c>
      <c r="I26" s="12">
        <f>(INDEX(Proj[],MATCH(Std[[#This Row],[Player]],Proj[Player],0),16)-I$764)/I$765</f>
        <v>2.2127038013482045</v>
      </c>
      <c r="J26" s="12">
        <f>(INDEX(Proj[],MATCH(Std[[#This Row],[Player]],Proj[Player],0),17)-J$764)/J$765</f>
        <v>3.3600302109959537</v>
      </c>
      <c r="K26" s="12">
        <f>(INDEX(Proj[],MATCH(Std[[#This Row],[Player]],Proj[Player],0),18)-K$764)/K$765</f>
        <v>1.244524628582022</v>
      </c>
      <c r="L26" s="12">
        <f>(INDEX(Proj[],MATCH(Std[[#This Row],[Player]],Proj[Player],0),19)-L$764)/L$765</f>
        <v>2.1194671540952146</v>
      </c>
      <c r="M26" s="12">
        <f>(INDEX(Proj[],MATCH(Std[[#This Row],[Player]],Proj[Player],0),20)-M$764)/M$765</f>
        <v>-0.71308883245737775</v>
      </c>
      <c r="N26" s="12">
        <f>(INDEX(Proj[],MATCH(Std[[#This Row],[Player]],Proj[Player],0),21)-N$764)/N$765</f>
        <v>-1.0607002929189508</v>
      </c>
      <c r="O26" s="12">
        <f>(INDEX(Proj[],MATCH(Std[[#This Row],[Player]],Proj[Player],0),22)-O$764)/O$765</f>
        <v>-0.52117621270974634</v>
      </c>
      <c r="P26" s="12">
        <f>((INDEX(Proj[],MATCH(Std[[#This Row],[Player]],Proj[Player],0),23)-P$764)/P$765)*IF('League Inputs'!$C$23 = "Yes",-1, 1)</f>
        <v>-0.67467262211328927</v>
      </c>
      <c r="Q26" s="12">
        <f>(INDEX(Proj[],MATCH(Std[[#This Row],[Player]],Proj[Player],0),24)-Q$764)/Q$765</f>
        <v>1.1184634549433028</v>
      </c>
      <c r="R26" s="12">
        <f>(INDEX(Proj[],MATCH(Std[[#This Row],[Player]],Proj[Player],0),25)-R$764)/R$765</f>
        <v>1.4063769480257668</v>
      </c>
      <c r="S26" s="12">
        <f>(INDEX(Proj[],MATCH(Std[[#This Row],[Player]],Proj[Player],0),26)-S$764)/S$765</f>
        <v>1.5712584829420022</v>
      </c>
      <c r="T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911.85606891410771</v>
      </c>
      <c r="U26" s="11"/>
      <c r="W26" t="str">
        <v>Brayden Point</v>
      </c>
      <c r="AA26" t="str">
        <v>Brayden Point</v>
      </c>
      <c r="AB26" t="str">
        <v>Brayden Point</v>
      </c>
    </row>
    <row r="27" spans="1:28" x14ac:dyDescent="0.25">
      <c r="A27" t="s">
        <v>246</v>
      </c>
      <c r="B27">
        <f>INDEX(Proj[],MATCH(Std[[#This Row],[Player]],Proj[Player],0),2)</f>
        <v>26</v>
      </c>
      <c r="C27" t="s">
        <v>74</v>
      </c>
      <c r="D27" s="75"/>
      <c r="E27" s="56"/>
      <c r="F27" t="s">
        <v>153</v>
      </c>
      <c r="G27" s="12">
        <f>(INDEX(Proj[],MATCH(Std[[#This Row],[Player]],Proj[Player],0),14)-G$764)/G$765</f>
        <v>0.60512116871170385</v>
      </c>
      <c r="H27" s="12">
        <f>(INDEX(Proj[],MATCH(Std[[#This Row],[Player]],Proj[Player],0),15)-H$764)/H$765</f>
        <v>2.9892652489253604</v>
      </c>
      <c r="I27" s="12">
        <f>(INDEX(Proj[],MATCH(Std[[#This Row],[Player]],Proj[Player],0),16)-I$764)/I$765</f>
        <v>2.165461242386101</v>
      </c>
      <c r="J27" s="12">
        <f>(INDEX(Proj[],MATCH(Std[[#This Row],[Player]],Proj[Player],0),17)-J$764)/J$765</f>
        <v>1.0051239131988361</v>
      </c>
      <c r="K27" s="12">
        <f>(INDEX(Proj[],MATCH(Std[[#This Row],[Player]],Proj[Player],0),18)-K$764)/K$765</f>
        <v>3.7098997537494256</v>
      </c>
      <c r="L27" s="12">
        <f>(INDEX(Proj[],MATCH(Std[[#This Row],[Player]],Proj[Player],0),19)-L$764)/L$765</f>
        <v>2.9893762061973552</v>
      </c>
      <c r="M27" s="12">
        <f>(INDEX(Proj[],MATCH(Std[[#This Row],[Player]],Proj[Player],0),20)-M$764)/M$765</f>
        <v>1.3378904761343182</v>
      </c>
      <c r="N27" s="12">
        <f>(INDEX(Proj[],MATCH(Std[[#This Row],[Player]],Proj[Player],0),21)-N$764)/N$765</f>
        <v>-0.63434615925528237</v>
      </c>
      <c r="O27" s="12">
        <f>(INDEX(Proj[],MATCH(Std[[#This Row],[Player]],Proj[Player],0),22)-O$764)/O$765</f>
        <v>1.5450480844777819</v>
      </c>
      <c r="P27" s="12">
        <f>((INDEX(Proj[],MATCH(Std[[#This Row],[Player]],Proj[Player],0),23)-P$764)/P$765)*IF('League Inputs'!$C$23 = "Yes",-1, 1)</f>
        <v>-0.48851352491985539</v>
      </c>
      <c r="Q27" s="12">
        <f>(INDEX(Proj[],MATCH(Std[[#This Row],[Player]],Proj[Player],0),24)-Q$764)/Q$765</f>
        <v>-0.5766103108129359</v>
      </c>
      <c r="R27" s="12">
        <f>(INDEX(Proj[],MATCH(Std[[#This Row],[Player]],Proj[Player],0),25)-R$764)/R$765</f>
        <v>-0.62531533033812681</v>
      </c>
      <c r="S27" s="12">
        <f>(INDEX(Proj[],MATCH(Std[[#This Row],[Player]],Proj[Player],0),26)-S$764)/S$765</f>
        <v>1.4090715428483225</v>
      </c>
      <c r="T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1000.3873498558552</v>
      </c>
      <c r="U27" s="11"/>
      <c r="W27" t="str">
        <v>Cale Makar</v>
      </c>
      <c r="AA27" t="str">
        <v>Cale Makar</v>
      </c>
      <c r="AB27" t="str">
        <v>Cale Makar</v>
      </c>
    </row>
    <row r="28" spans="1:28" x14ac:dyDescent="0.25">
      <c r="A28" t="s">
        <v>257</v>
      </c>
      <c r="B28">
        <f>INDEX(Proj[],MATCH(Std[[#This Row],[Player]],Proj[Player],0),2)</f>
        <v>34</v>
      </c>
      <c r="C28" t="s">
        <v>102</v>
      </c>
      <c r="D28" s="75" t="s">
        <v>103</v>
      </c>
      <c r="E28" s="56"/>
      <c r="F28" t="s">
        <v>13</v>
      </c>
      <c r="G28" s="12">
        <f>(INDEX(Proj[],MATCH(Std[[#This Row],[Player]],Proj[Player],0),14)-G$764)/G$765</f>
        <v>2.4008969375937195</v>
      </c>
      <c r="H28" s="12">
        <f>(INDEX(Proj[],MATCH(Std[[#This Row],[Player]],Proj[Player],0),15)-H$764)/H$765</f>
        <v>1.7222677101248518</v>
      </c>
      <c r="I28" s="12">
        <f>(INDEX(Proj[],MATCH(Std[[#This Row],[Player]],Proj[Player],0),16)-I$764)/I$765</f>
        <v>2.165461242386101</v>
      </c>
      <c r="J28" s="12">
        <f>(INDEX(Proj[],MATCH(Std[[#This Row],[Player]],Proj[Player],0),17)-J$764)/J$765</f>
        <v>3.6543934982205935</v>
      </c>
      <c r="K28" s="12">
        <f>(INDEX(Proj[],MATCH(Std[[#This Row],[Player]],Proj[Player],0),18)-K$764)/K$765</f>
        <v>2.0149543551968354</v>
      </c>
      <c r="L28" s="12">
        <f>(INDEX(Proj[],MATCH(Std[[#This Row],[Player]],Proj[Player],0),19)-L$764)/L$765</f>
        <v>2.77189894317182</v>
      </c>
      <c r="M28" s="12">
        <f>(INDEX(Proj[],MATCH(Std[[#This Row],[Player]],Proj[Player],0),20)-M$764)/M$765</f>
        <v>-0.71308883245737775</v>
      </c>
      <c r="N28" s="12">
        <f>(INDEX(Proj[],MATCH(Std[[#This Row],[Player]],Proj[Player],0),21)-N$764)/N$765</f>
        <v>-0.18861229224326534</v>
      </c>
      <c r="O28" s="12">
        <f>(INDEX(Proj[],MATCH(Std[[#This Row],[Player]],Proj[Player],0),22)-O$764)/O$765</f>
        <v>-0.45152820269218918</v>
      </c>
      <c r="P28" s="12">
        <f>((INDEX(Proj[],MATCH(Std[[#This Row],[Player]],Proj[Player],0),23)-P$764)/P$765)*IF('League Inputs'!$C$23 = "Yes",-1, 1)</f>
        <v>6.9963766660446167E-2</v>
      </c>
      <c r="Q28" s="12">
        <f>(INDEX(Proj[],MATCH(Std[[#This Row],[Player]],Proj[Player],0),24)-Q$764)/Q$765</f>
        <v>1.5502275273529109</v>
      </c>
      <c r="R28" s="12">
        <f>(INDEX(Proj[],MATCH(Std[[#This Row],[Player]],Proj[Player],0),25)-R$764)/R$765</f>
        <v>1.35530088516187</v>
      </c>
      <c r="S28" s="12">
        <f>(INDEX(Proj[],MATCH(Std[[#This Row],[Player]],Proj[Player],0),26)-S$764)/S$765</f>
        <v>1.8631949751106258</v>
      </c>
      <c r="T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1190.3770607465021</v>
      </c>
      <c r="U28" s="11"/>
      <c r="W28" t="str">
        <v>Steven Stamkos</v>
      </c>
      <c r="AA28" t="str">
        <v>Steven Stamkos</v>
      </c>
      <c r="AB28" t="str">
        <v>Steven Stamkos</v>
      </c>
    </row>
    <row r="29" spans="1:28" x14ac:dyDescent="0.25">
      <c r="A29" t="s">
        <v>240</v>
      </c>
      <c r="B29">
        <f>INDEX(Proj[],MATCH(Std[[#This Row],[Player]],Proj[Player],0),2)</f>
        <v>34</v>
      </c>
      <c r="C29" t="s">
        <v>102</v>
      </c>
      <c r="D29" s="75"/>
      <c r="E29" s="57"/>
      <c r="F29" t="s">
        <v>18</v>
      </c>
      <c r="G29" s="12">
        <f>(INDEX(Proj[],MATCH(Std[[#This Row],[Player]],Proj[Player],0),14)-G$764)/G$765</f>
        <v>0.71075503746946955</v>
      </c>
      <c r="H29" s="12">
        <f>(INDEX(Proj[],MATCH(Std[[#This Row],[Player]],Proj[Player],0),15)-H$764)/H$765</f>
        <v>2.8402067149488301</v>
      </c>
      <c r="I29" s="12">
        <f>(INDEX(Proj[],MATCH(Std[[#This Row],[Player]],Proj[Player],0),16)-I$764)/I$765</f>
        <v>2.118218683423998</v>
      </c>
      <c r="J29" s="12">
        <f>(INDEX(Proj[],MATCH(Std[[#This Row],[Player]],Proj[Player],0),17)-J$764)/J$765</f>
        <v>1.5938504876481154</v>
      </c>
      <c r="K29" s="12">
        <f>(INDEX(Proj[],MATCH(Std[[#This Row],[Player]],Proj[Player],0),18)-K$764)/K$765</f>
        <v>2.7853840818116491</v>
      </c>
      <c r="L29" s="12">
        <f>(INDEX(Proj[],MATCH(Std[[#This Row],[Player]],Proj[Player],0),19)-L$764)/L$765</f>
        <v>2.5544216801462851</v>
      </c>
      <c r="M29" s="12">
        <f>(INDEX(Proj[],MATCH(Std[[#This Row],[Player]],Proj[Player],0),20)-M$764)/M$765</f>
        <v>0.31240082183847029</v>
      </c>
      <c r="N29" s="12">
        <f>(INDEX(Proj[],MATCH(Std[[#This Row],[Player]],Proj[Player],0),21)-N$764)/N$765</f>
        <v>-0.71186509264867659</v>
      </c>
      <c r="O29" s="12">
        <f>(INDEX(Proj[],MATCH(Std[[#This Row],[Player]],Proj[Player],0),22)-O$764)/O$765</f>
        <v>2.1254481679574249</v>
      </c>
      <c r="P29" s="12">
        <f>((INDEX(Proj[],MATCH(Std[[#This Row],[Player]],Proj[Player],0),23)-P$764)/P$765)*IF('League Inputs'!$C$23 = "Yes",-1, 1)</f>
        <v>0.39574218674895539</v>
      </c>
      <c r="Q29" s="12">
        <f>(INDEX(Proj[],MATCH(Std[[#This Row],[Player]],Proj[Player],0),24)-Q$764)/Q$765</f>
        <v>-0.5766103108129359</v>
      </c>
      <c r="R29" s="12">
        <f>(INDEX(Proj[],MATCH(Std[[#This Row],[Player]],Proj[Player],0),25)-R$764)/R$765</f>
        <v>-0.62531533033812681</v>
      </c>
      <c r="S29" s="12">
        <f>(INDEX(Proj[],MATCH(Std[[#This Row],[Player]],Proj[Player],0),26)-S$764)/S$765</f>
        <v>2.4146305714291376</v>
      </c>
      <c r="T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1187.0947638662492</v>
      </c>
      <c r="U29" s="11"/>
      <c r="W29" t="str">
        <v>Roman Josi</v>
      </c>
      <c r="AA29" t="str">
        <v>Roman Josi</v>
      </c>
      <c r="AB29" t="str">
        <v>Roman Josi</v>
      </c>
    </row>
    <row r="30" spans="1:28" x14ac:dyDescent="0.25">
      <c r="A30" t="s">
        <v>437</v>
      </c>
      <c r="B30">
        <f>INDEX(Proj[],MATCH(Std[[#This Row],[Player]],Proj[Player],0),2)</f>
        <v>37</v>
      </c>
      <c r="C30" t="s">
        <v>102</v>
      </c>
      <c r="D30" s="75" t="s">
        <v>103</v>
      </c>
      <c r="E30" s="56"/>
      <c r="F30" t="s">
        <v>14</v>
      </c>
      <c r="G30" s="12">
        <f>(INDEX(Proj[],MATCH(Std[[#This Row],[Player]],Proj[Player],0),14)-G$764)/G$765</f>
        <v>0.71075503746946955</v>
      </c>
      <c r="H30" s="12">
        <f>(INDEX(Proj[],MATCH(Std[[#This Row],[Player]],Proj[Player],0),15)-H$764)/H$765</f>
        <v>2.8402067149488301</v>
      </c>
      <c r="I30" s="12">
        <f>(INDEX(Proj[],MATCH(Std[[#This Row],[Player]],Proj[Player],0),16)-I$764)/I$765</f>
        <v>2.118218683423998</v>
      </c>
      <c r="J30" s="12">
        <f>(INDEX(Proj[],MATCH(Std[[#This Row],[Player]],Proj[Player],0),17)-J$764)/J$765</f>
        <v>1.5938504876481154</v>
      </c>
      <c r="K30" s="12">
        <f>(INDEX(Proj[],MATCH(Std[[#This Row],[Player]],Proj[Player],0),18)-K$764)/K$765</f>
        <v>4.1721575897183136</v>
      </c>
      <c r="L30" s="12">
        <f>(INDEX(Proj[],MATCH(Std[[#This Row],[Player]],Proj[Player],0),19)-L$764)/L$765</f>
        <v>3.5330693637611925</v>
      </c>
      <c r="M30" s="12">
        <f>(INDEX(Proj[],MATCH(Std[[#This Row],[Player]],Proj[Player],0),20)-M$764)/M$765</f>
        <v>-0.71308883245737775</v>
      </c>
      <c r="N30" s="12">
        <f>(INDEX(Proj[],MATCH(Std[[#This Row],[Player]],Proj[Player],0),21)-N$764)/N$765</f>
        <v>-1.0413205595706023</v>
      </c>
      <c r="O30" s="12">
        <f>(INDEX(Proj[],MATCH(Std[[#This Row],[Player]],Proj[Player],0),22)-O$764)/O$765</f>
        <v>-0.31223218265707492</v>
      </c>
      <c r="P30" s="12">
        <f>((INDEX(Proj[],MATCH(Std[[#This Row],[Player]],Proj[Player],0),23)-P$764)/P$765)*IF('League Inputs'!$C$23 = "Yes",-1, 1)</f>
        <v>-0.30235442772642157</v>
      </c>
      <c r="Q30" s="12">
        <f>(INDEX(Proj[],MATCH(Std[[#This Row],[Player]],Proj[Player],0),24)-Q$764)/Q$765</f>
        <v>-0.40070642946087337</v>
      </c>
      <c r="R30" s="12">
        <f>(INDEX(Proj[],MATCH(Std[[#This Row],[Player]],Proj[Player],0),25)-R$764)/R$765</f>
        <v>-0.3358843074427118</v>
      </c>
      <c r="S30" s="12">
        <f>(INDEX(Proj[],MATCH(Std[[#This Row],[Player]],Proj[Player],0),26)-S$764)/S$765</f>
        <v>1.0036041926141228</v>
      </c>
      <c r="T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814.92403928026431</v>
      </c>
      <c r="U30" s="11"/>
      <c r="W30" t="str">
        <v>Mats Zuccarello</v>
      </c>
      <c r="AA30" t="str">
        <v>Mats Zuccarello</v>
      </c>
      <c r="AB30" t="str">
        <v>Mats Zuccarello</v>
      </c>
    </row>
    <row r="31" spans="1:28" x14ac:dyDescent="0.25">
      <c r="A31" t="s">
        <v>277</v>
      </c>
      <c r="B31">
        <f>INDEX(Proj[],MATCH(Std[[#This Row],[Player]],Proj[Player],0),2)</f>
        <v>31</v>
      </c>
      <c r="C31" t="s">
        <v>74</v>
      </c>
      <c r="D31" s="75" t="s">
        <v>102</v>
      </c>
      <c r="E31" s="56"/>
      <c r="F31" t="s">
        <v>153</v>
      </c>
      <c r="G31" s="12">
        <f>(INDEX(Proj[],MATCH(Std[[#This Row],[Player]],Proj[Player],0),14)-G$764)/G$765</f>
        <v>1.6614598562893603</v>
      </c>
      <c r="H31" s="12">
        <f>(INDEX(Proj[],MATCH(Std[[#This Row],[Player]],Proj[Player],0),15)-H$764)/H$765</f>
        <v>2.169443312054443</v>
      </c>
      <c r="I31" s="12">
        <f>(INDEX(Proj[],MATCH(Std[[#This Row],[Player]],Proj[Player],0),16)-I$764)/I$765</f>
        <v>2.118218683423998</v>
      </c>
      <c r="J31" s="12">
        <f>(INDEX(Proj[],MATCH(Std[[#This Row],[Player]],Proj[Player],0),17)-J$764)/J$765</f>
        <v>3.0656669237713139</v>
      </c>
      <c r="K31" s="12">
        <f>(INDEX(Proj[],MATCH(Std[[#This Row],[Player]],Proj[Player],0),18)-K$764)/K$765</f>
        <v>2.1690403005197982</v>
      </c>
      <c r="L31" s="12">
        <f>(INDEX(Proj[],MATCH(Std[[#This Row],[Player]],Proj[Player],0),19)-L$764)/L$765</f>
        <v>2.6631603116590523</v>
      </c>
      <c r="M31" s="12">
        <f>(INDEX(Proj[],MATCH(Std[[#This Row],[Player]],Proj[Player],0),20)-M$764)/M$765</f>
        <v>3.3888697847260145</v>
      </c>
      <c r="N31" s="12">
        <f>(INDEX(Proj[],MATCH(Std[[#This Row],[Player]],Proj[Player],0),21)-N$764)/N$765</f>
        <v>-0.67310562595197942</v>
      </c>
      <c r="O31" s="12">
        <f>(INDEX(Proj[],MATCH(Std[[#This Row],[Player]],Proj[Player],0),22)-O$764)/O$765</f>
        <v>-0.21936816930033209</v>
      </c>
      <c r="P31" s="12">
        <f>((INDEX(Proj[],MATCH(Std[[#This Row],[Player]],Proj[Player],0),23)-P$764)/P$765)*IF('League Inputs'!$C$23 = "Yes",-1, 1)</f>
        <v>-0.62813284781493084</v>
      </c>
      <c r="Q31" s="12">
        <f>(INDEX(Proj[],MATCH(Std[[#This Row],[Player]],Proj[Player],0),24)-Q$764)/Q$765</f>
        <v>2.4670598786424489</v>
      </c>
      <c r="R31" s="12">
        <f>(INDEX(Proj[],MATCH(Std[[#This Row],[Player]],Proj[Player],0),25)-R$764)/R$765</f>
        <v>2.6946287558151631</v>
      </c>
      <c r="S31" s="12">
        <f>(INDEX(Proj[],MATCH(Std[[#This Row],[Player]],Proj[Player],0),26)-S$764)/S$765</f>
        <v>1.5874771769513703</v>
      </c>
      <c r="T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1114.6212575953432</v>
      </c>
      <c r="U31" s="11"/>
      <c r="W31" t="str">
        <v>Mika Zibanejad</v>
      </c>
      <c r="AA31" t="str">
        <v>Mika Zibanejad</v>
      </c>
      <c r="AB31" t="str">
        <v>Mika Zibanejad</v>
      </c>
    </row>
    <row r="32" spans="1:28" x14ac:dyDescent="0.25">
      <c r="A32" t="s">
        <v>276</v>
      </c>
      <c r="B32">
        <f>INDEX(Proj[],MATCH(Std[[#This Row],[Player]],Proj[Player],0),2)</f>
        <v>28</v>
      </c>
      <c r="C32" t="s">
        <v>102</v>
      </c>
      <c r="D32" s="75"/>
      <c r="E32" s="57"/>
      <c r="F32" t="s">
        <v>34</v>
      </c>
      <c r="G32" s="12">
        <f>(INDEX(Proj[],MATCH(Std[[#This Row],[Player]],Proj[Player],0),14)-G$764)/G$765</f>
        <v>1.6614598562893603</v>
      </c>
      <c r="H32" s="12">
        <f>(INDEX(Proj[],MATCH(Std[[#This Row],[Player]],Proj[Player],0),15)-H$764)/H$765</f>
        <v>2.0949140450661781</v>
      </c>
      <c r="I32" s="12">
        <f>(INDEX(Proj[],MATCH(Std[[#This Row],[Player]],Proj[Player],0),16)-I$764)/I$765</f>
        <v>2.0709761244618949</v>
      </c>
      <c r="J32" s="12">
        <f>(INDEX(Proj[],MATCH(Std[[#This Row],[Player]],Proj[Player],0),17)-J$764)/J$765</f>
        <v>1.8882137748727552</v>
      </c>
      <c r="K32" s="12">
        <f>(INDEX(Proj[],MATCH(Std[[#This Row],[Player]],Proj[Player],0),18)-K$764)/K$765</f>
        <v>2.1690403005197982</v>
      </c>
      <c r="L32" s="12">
        <f>(INDEX(Proj[],MATCH(Std[[#This Row],[Player]],Proj[Player],0),19)-L$764)/L$765</f>
        <v>2.2282057856079822</v>
      </c>
      <c r="M32" s="12">
        <f>(INDEX(Proj[],MATCH(Std[[#This Row],[Player]],Proj[Player],0),20)-M$764)/M$765</f>
        <v>-0.71308883245737775</v>
      </c>
      <c r="N32" s="12">
        <f>(INDEX(Proj[],MATCH(Std[[#This Row],[Player]],Proj[Player],0),21)-N$764)/N$765</f>
        <v>-0.51806775916519099</v>
      </c>
      <c r="O32" s="12">
        <f>(INDEX(Proj[],MATCH(Std[[#This Row],[Player]],Proj[Player],0),22)-O$764)/O$765</f>
        <v>-0.86941626279753204</v>
      </c>
      <c r="P32" s="12">
        <f>((INDEX(Proj[],MATCH(Std[[#This Row],[Player]],Proj[Player],0),23)-P$764)/P$765)*IF('League Inputs'!$C$23 = "Yes",-1, 1)</f>
        <v>0.86113992973254005</v>
      </c>
      <c r="Q32" s="12">
        <f>(INDEX(Proj[],MATCH(Std[[#This Row],[Player]],Proj[Player],0),24)-Q$764)/Q$765</f>
        <v>-0.5019844217544851</v>
      </c>
      <c r="R32" s="12">
        <f>(INDEX(Proj[],MATCH(Std[[#This Row],[Player]],Proj[Player],0),25)-R$764)/R$765</f>
        <v>-0.46641202365044798</v>
      </c>
      <c r="S32" s="12">
        <f>(INDEX(Proj[],MATCH(Std[[#This Row],[Player]],Proj[Player],0),26)-S$764)/S$765</f>
        <v>1.7821015050637861</v>
      </c>
      <c r="T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880.93288025045331</v>
      </c>
      <c r="U32" s="11"/>
      <c r="W32" t="str">
        <v>Kevin Fiala</v>
      </c>
      <c r="AA32" t="str">
        <v>Kevin Fiala</v>
      </c>
      <c r="AB32" t="str">
        <v>Kevin Fiala</v>
      </c>
    </row>
    <row r="33" spans="1:28" x14ac:dyDescent="0.25">
      <c r="A33" t="s">
        <v>264</v>
      </c>
      <c r="B33">
        <f>INDEX(Proj[],MATCH(Std[[#This Row],[Player]],Proj[Player],0),2)</f>
        <v>39</v>
      </c>
      <c r="C33" t="s">
        <v>74</v>
      </c>
      <c r="D33" s="75" t="s">
        <v>103</v>
      </c>
      <c r="E33" s="57"/>
      <c r="F33" t="s">
        <v>4</v>
      </c>
      <c r="G33" s="12">
        <f>(INDEX(Proj[],MATCH(Std[[#This Row],[Player]],Proj[Player],0),14)-G$764)/G$765</f>
        <v>2.6121646751092511</v>
      </c>
      <c r="H33" s="12">
        <f>(INDEX(Proj[],MATCH(Std[[#This Row],[Player]],Proj[Player],0),15)-H$764)/H$765</f>
        <v>1.3496213751835258</v>
      </c>
      <c r="I33" s="12">
        <f>(INDEX(Proj[],MATCH(Std[[#This Row],[Player]],Proj[Player],0),16)-I$764)/I$765</f>
        <v>2.0237335654997914</v>
      </c>
      <c r="J33" s="12">
        <f>(INDEX(Proj[],MATCH(Std[[#This Row],[Player]],Proj[Player],0),17)-J$764)/J$765</f>
        <v>3.0656669237713139</v>
      </c>
      <c r="K33" s="12">
        <f>(INDEX(Proj[],MATCH(Std[[#This Row],[Player]],Proj[Player],0),18)-K$764)/K$765</f>
        <v>1.8608684098738728</v>
      </c>
      <c r="L33" s="12">
        <f>(INDEX(Proj[],MATCH(Std[[#This Row],[Player]],Proj[Player],0),19)-L$764)/L$765</f>
        <v>2.4456830486335175</v>
      </c>
      <c r="M33" s="12">
        <f>(INDEX(Proj[],MATCH(Std[[#This Row],[Player]],Proj[Player],0),20)-M$764)/M$765</f>
        <v>-0.71308883245737775</v>
      </c>
      <c r="N33" s="12">
        <f>(INDEX(Proj[],MATCH(Std[[#This Row],[Player]],Proj[Player],0),21)-N$764)/N$765</f>
        <v>1.3811461089729684</v>
      </c>
      <c r="O33" s="12">
        <f>(INDEX(Proj[],MATCH(Std[[#This Row],[Player]],Proj[Player],0),22)-O$764)/O$765</f>
        <v>-0.8229842561191606</v>
      </c>
      <c r="P33" s="12">
        <f>((INDEX(Proj[],MATCH(Std[[#This Row],[Player]],Proj[Player],0),23)-P$764)/P$765)*IF('League Inputs'!$C$23 = "Yes",-1, 1)</f>
        <v>-0.25581465342806309</v>
      </c>
      <c r="Q33" s="12">
        <f>(INDEX(Proj[],MATCH(Std[[#This Row],[Player]],Proj[Player],0),24)-Q$764)/Q$765</f>
        <v>-0.54462778693074265</v>
      </c>
      <c r="R33" s="12">
        <f>(INDEX(Proj[],MATCH(Std[[#This Row],[Player]],Proj[Player],0),25)-R$764)/R$765</f>
        <v>-0.57991438557021857</v>
      </c>
      <c r="S33" s="12">
        <f>(INDEX(Proj[],MATCH(Std[[#This Row],[Player]],Proj[Player],0),26)-S$764)/S$765</f>
        <v>2.6903483695883934</v>
      </c>
      <c r="T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1087.9270446509481</v>
      </c>
      <c r="U33" s="11"/>
      <c r="W33" t="str">
        <v>Alex Ovechkin</v>
      </c>
      <c r="AA33" t="str">
        <v>Alex Ovechkin</v>
      </c>
      <c r="AB33" t="str">
        <v>Alex Ovechkin</v>
      </c>
    </row>
    <row r="34" spans="1:28" x14ac:dyDescent="0.25">
      <c r="A34" t="s">
        <v>291</v>
      </c>
      <c r="B34">
        <f>INDEX(Proj[],MATCH(Std[[#This Row],[Player]],Proj[Player],0),2)</f>
        <v>28</v>
      </c>
      <c r="C34" t="s">
        <v>102</v>
      </c>
      <c r="D34" s="75"/>
      <c r="E34" s="57"/>
      <c r="F34" t="s">
        <v>4</v>
      </c>
      <c r="G34" s="12">
        <f>(INDEX(Proj[],MATCH(Std[[#This Row],[Player]],Proj[Player],0),14)-G$764)/G$765</f>
        <v>2.4008969375937195</v>
      </c>
      <c r="H34" s="12">
        <f>(INDEX(Proj[],MATCH(Std[[#This Row],[Player]],Proj[Player],0),15)-H$764)/H$765</f>
        <v>1.4986799091600562</v>
      </c>
      <c r="I34" s="12">
        <f>(INDEX(Proj[],MATCH(Std[[#This Row],[Player]],Proj[Player],0),16)-I$764)/I$765</f>
        <v>2.0237335654997914</v>
      </c>
      <c r="J34" s="12">
        <f>(INDEX(Proj[],MATCH(Std[[#This Row],[Player]],Proj[Player],0),17)-J$764)/J$765</f>
        <v>1.8882137748727552</v>
      </c>
      <c r="K34" s="12">
        <f>(INDEX(Proj[],MATCH(Std[[#This Row],[Player]],Proj[Player],0),18)-K$764)/K$765</f>
        <v>1.7067824645509102</v>
      </c>
      <c r="L34" s="12">
        <f>(INDEX(Proj[],MATCH(Std[[#This Row],[Player]],Proj[Player],0),19)-L$764)/L$765</f>
        <v>1.9019898910696798</v>
      </c>
      <c r="M34" s="12">
        <f>(INDEX(Proj[],MATCH(Std[[#This Row],[Player]],Proj[Player],0),20)-M$764)/M$765</f>
        <v>1.3378904761343182</v>
      </c>
      <c r="N34" s="12">
        <f>(INDEX(Proj[],MATCH(Std[[#This Row],[Player]],Proj[Player],0),21)-N$764)/N$765</f>
        <v>-0.80876375939041945</v>
      </c>
      <c r="O34" s="12">
        <f>(INDEX(Proj[],MATCH(Std[[#This Row],[Player]],Proj[Player],0),22)-O$764)/O$765</f>
        <v>0.5003279342144249</v>
      </c>
      <c r="P34" s="12">
        <f>((INDEX(Proj[],MATCH(Std[[#This Row],[Player]],Proj[Player],0),23)-P$764)/P$765)*IF('League Inputs'!$C$23 = "Yes",-1, 1)</f>
        <v>-0.5815930735165723</v>
      </c>
      <c r="Q34" s="12">
        <f>(INDEX(Proj[],MATCH(Std[[#This Row],[Player]],Proj[Player],0),24)-Q$764)/Q$765</f>
        <v>2.0193045442917441</v>
      </c>
      <c r="R34" s="12">
        <f>(INDEX(Proj[],MATCH(Std[[#This Row],[Player]],Proj[Player],0),25)-R$764)/R$765</f>
        <v>2.6889536377191745</v>
      </c>
      <c r="S34" s="12">
        <f>(INDEX(Proj[],MATCH(Std[[#This Row],[Player]],Proj[Player],0),26)-S$764)/S$765</f>
        <v>3.2417839659069045</v>
      </c>
      <c r="T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1219.6359914829327</v>
      </c>
      <c r="U34" s="11"/>
      <c r="W34" t="str">
        <v>Jack Eichel</v>
      </c>
      <c r="AA34" t="str">
        <v>Jack Eichel</v>
      </c>
      <c r="AB34" t="str">
        <v>Jack Eichel</v>
      </c>
    </row>
    <row r="35" spans="1:28" x14ac:dyDescent="0.25">
      <c r="A35" t="s">
        <v>309</v>
      </c>
      <c r="B35">
        <f>INDEX(Proj[],MATCH(Std[[#This Row],[Player]],Proj[Player],0),2)</f>
        <v>38</v>
      </c>
      <c r="C35" t="s">
        <v>74</v>
      </c>
      <c r="D35" s="75"/>
      <c r="E35" s="57"/>
      <c r="F35" t="s">
        <v>156</v>
      </c>
      <c r="G35" s="12">
        <f>(INDEX(Proj[],MATCH(Std[[#This Row],[Player]],Proj[Player],0),14)-G$764)/G$765</f>
        <v>1.6614598562893603</v>
      </c>
      <c r="H35" s="12">
        <f>(INDEX(Proj[],MATCH(Std[[#This Row],[Player]],Proj[Player],0),15)-H$764)/H$765</f>
        <v>2.0203847780779127</v>
      </c>
      <c r="I35" s="12">
        <f>(INDEX(Proj[],MATCH(Std[[#This Row],[Player]],Proj[Player],0),16)-I$764)/I$765</f>
        <v>2.0237335654997914</v>
      </c>
      <c r="J35" s="12">
        <f>(INDEX(Proj[],MATCH(Std[[#This Row],[Player]],Proj[Player],0),17)-J$764)/J$765</f>
        <v>1.8882137748727552</v>
      </c>
      <c r="K35" s="12">
        <f>(INDEX(Proj[],MATCH(Std[[#This Row],[Player]],Proj[Player],0),18)-K$764)/K$765</f>
        <v>2.1690403005197982</v>
      </c>
      <c r="L35" s="12">
        <f>(INDEX(Proj[],MATCH(Std[[#This Row],[Player]],Proj[Player],0),19)-L$764)/L$765</f>
        <v>2.2282057856079822</v>
      </c>
      <c r="M35" s="12">
        <f>(INDEX(Proj[],MATCH(Std[[#This Row],[Player]],Proj[Player],0),20)-M$764)/M$765</f>
        <v>-0.71308883245737775</v>
      </c>
      <c r="N35" s="12">
        <f>(INDEX(Proj[],MATCH(Std[[#This Row],[Player]],Proj[Player],0),21)-N$764)/N$765</f>
        <v>-1.0219408262222536</v>
      </c>
      <c r="O35" s="12">
        <f>(INDEX(Proj[],MATCH(Std[[#This Row],[Player]],Proj[Player],0),22)-O$764)/O$765</f>
        <v>-0.54439221604893206</v>
      </c>
      <c r="P35" s="12">
        <f>((INDEX(Proj[],MATCH(Std[[#This Row],[Player]],Proj[Player],0),23)-P$764)/P$765)*IF('League Inputs'!$C$23 = "Yes",-1, 1)</f>
        <v>1.4196172213128415</v>
      </c>
      <c r="Q35" s="12">
        <f>(INDEX(Proj[],MATCH(Std[[#This Row],[Player]],Proj[Player],0),24)-Q$764)/Q$765</f>
        <v>1.4276278524711703</v>
      </c>
      <c r="R35" s="12">
        <f>(INDEX(Proj[],MATCH(Std[[#This Row],[Player]],Proj[Player],0),25)-R$764)/R$765</f>
        <v>1.6901328528251933</v>
      </c>
      <c r="S35" s="12">
        <f>(INDEX(Proj[],MATCH(Std[[#This Row],[Player]],Proj[Player],0),26)-S$764)/S$765</f>
        <v>1.4577276248764264</v>
      </c>
      <c r="T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1067.2423641864298</v>
      </c>
      <c r="U35" s="11"/>
      <c r="W35" t="str">
        <v>Evgeni Malkin</v>
      </c>
      <c r="AA35" t="str">
        <v>Evgeni Malkin</v>
      </c>
      <c r="AB35" t="str">
        <v>Evgeni Malkin</v>
      </c>
    </row>
    <row r="36" spans="1:28" x14ac:dyDescent="0.25">
      <c r="A36" t="s">
        <v>397</v>
      </c>
      <c r="B36">
        <f>INDEX(Proj[],MATCH(Std[[#This Row],[Player]],Proj[Player],0),2)</f>
        <v>27</v>
      </c>
      <c r="C36" t="s">
        <v>102</v>
      </c>
      <c r="D36" s="75"/>
      <c r="E36" s="57"/>
      <c r="F36" t="s">
        <v>29</v>
      </c>
      <c r="G36" s="12">
        <f>(INDEX(Proj[],MATCH(Std[[#This Row],[Player]],Proj[Player],0),14)-G$764)/G$765</f>
        <v>0.92202277498500074</v>
      </c>
      <c r="H36" s="12">
        <f>(INDEX(Proj[],MATCH(Std[[#This Row],[Player]],Proj[Player],0),15)-H$764)/H$765</f>
        <v>2.5420896469957692</v>
      </c>
      <c r="I36" s="12">
        <f>(INDEX(Proj[],MATCH(Std[[#This Row],[Player]],Proj[Player],0),16)-I$764)/I$765</f>
        <v>2.0237335654997914</v>
      </c>
      <c r="J36" s="12">
        <f>(INDEX(Proj[],MATCH(Std[[#This Row],[Player]],Proj[Player],0),17)-J$764)/J$765</f>
        <v>0.41639733874955659</v>
      </c>
      <c r="K36" s="12">
        <f>(INDEX(Proj[],MATCH(Std[[#This Row],[Player]],Proj[Player],0),18)-K$764)/K$765</f>
        <v>2.6312981364886867</v>
      </c>
      <c r="L36" s="12">
        <f>(INDEX(Proj[],MATCH(Std[[#This Row],[Player]],Proj[Player],0),19)-L$764)/L$765</f>
        <v>2.0107285225824474</v>
      </c>
      <c r="M36" s="12">
        <f>(INDEX(Proj[],MATCH(Std[[#This Row],[Player]],Proj[Player],0),20)-M$764)/M$765</f>
        <v>-0.71308883245737775</v>
      </c>
      <c r="N36" s="12">
        <f>(INDEX(Proj[],MATCH(Std[[#This Row],[Player]],Proj[Player],0),21)-N$764)/N$765</f>
        <v>-0.78938402604207092</v>
      </c>
      <c r="O36" s="12">
        <f>(INDEX(Proj[],MATCH(Std[[#This Row],[Player]],Proj[Player],0),22)-O$764)/O$765</f>
        <v>-0.4050961960138178</v>
      </c>
      <c r="P36" s="12">
        <f>((INDEX(Proj[],MATCH(Std[[#This Row],[Player]],Proj[Player],0),23)-P$764)/P$765)*IF('League Inputs'!$C$23 = "Yes",-1, 1)</f>
        <v>-0.30235442772642157</v>
      </c>
      <c r="Q36" s="12">
        <f>(INDEX(Proj[],MATCH(Std[[#This Row],[Player]],Proj[Player],0),24)-Q$764)/Q$765</f>
        <v>-9.687245258003814E-2</v>
      </c>
      <c r="R36" s="12">
        <f>(INDEX(Proj[],MATCH(Std[[#This Row],[Player]],Proj[Player],0),25)-R$764)/R$765</f>
        <v>7.8399313564450845E-2</v>
      </c>
      <c r="S36" s="12">
        <f>(INDEX(Proj[],MATCH(Std[[#This Row],[Player]],Proj[Player],0),26)-S$764)/S$765</f>
        <v>1.5063837069045303</v>
      </c>
      <c r="T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741.12511146051918</v>
      </c>
      <c r="U36" s="11"/>
      <c r="W36" t="str">
        <v>Mathew Barzal</v>
      </c>
      <c r="AA36" t="str">
        <v>Mathew Barzal</v>
      </c>
      <c r="AB36" t="str">
        <v>Mathew Barzal</v>
      </c>
    </row>
    <row r="37" spans="1:28" x14ac:dyDescent="0.25">
      <c r="A37" t="s">
        <v>238</v>
      </c>
      <c r="B37">
        <f>INDEX(Proj[],MATCH(Std[[#This Row],[Player]],Proj[Player],0),2)</f>
        <v>25</v>
      </c>
      <c r="C37" t="s">
        <v>102</v>
      </c>
      <c r="D37" s="75"/>
      <c r="E37" s="57"/>
      <c r="F37" t="s">
        <v>7</v>
      </c>
      <c r="G37" s="12">
        <f>(INDEX(Proj[],MATCH(Std[[#This Row],[Player]],Proj[Player],0),14)-G$764)/G$765</f>
        <v>2.7177985438670165</v>
      </c>
      <c r="H37" s="12">
        <f>(INDEX(Proj[],MATCH(Std[[#This Row],[Player]],Proj[Player],0),15)-H$764)/H$765</f>
        <v>1.2005628412069953</v>
      </c>
      <c r="I37" s="12">
        <f>(INDEX(Proj[],MATCH(Std[[#This Row],[Player]],Proj[Player],0),16)-I$764)/I$765</f>
        <v>1.9764910065376884</v>
      </c>
      <c r="J37" s="12">
        <f>(INDEX(Proj[],MATCH(Std[[#This Row],[Player]],Proj[Player],0),17)-J$764)/J$765</f>
        <v>3.0656669237713139</v>
      </c>
      <c r="K37" s="12">
        <f>(INDEX(Proj[],MATCH(Std[[#This Row],[Player]],Proj[Player],0),18)-K$764)/K$765</f>
        <v>0.62818084729017121</v>
      </c>
      <c r="L37" s="12">
        <f>(INDEX(Proj[],MATCH(Std[[#This Row],[Player]],Proj[Player],0),19)-L$764)/L$765</f>
        <v>1.5757739965313768</v>
      </c>
      <c r="M37" s="12">
        <f>(INDEX(Proj[],MATCH(Std[[#This Row],[Player]],Proj[Player],0),20)-M$764)/M$765</f>
        <v>-0.71308883245737775</v>
      </c>
      <c r="N37" s="12">
        <f>(INDEX(Proj[],MATCH(Std[[#This Row],[Player]],Proj[Player],0),21)-N$764)/N$765</f>
        <v>3.4547775772462646</v>
      </c>
      <c r="O37" s="12">
        <f>(INDEX(Proj[],MATCH(Std[[#This Row],[Player]],Proj[Player],0),22)-O$764)/O$765</f>
        <v>-0.8229842561191606</v>
      </c>
      <c r="P37" s="12">
        <f>((INDEX(Proj[],MATCH(Std[[#This Row],[Player]],Proj[Player],0),23)-P$764)/P$765)*IF('League Inputs'!$C$23 = "Yes",-1, 1)</f>
        <v>4.5843218736012172</v>
      </c>
      <c r="Q37" s="12">
        <f>(INDEX(Proj[],MATCH(Std[[#This Row],[Player]],Proj[Player],0),24)-Q$764)/Q$765</f>
        <v>0.62273433476930851</v>
      </c>
      <c r="R37" s="12">
        <f>(INDEX(Proj[],MATCH(Std[[#This Row],[Player]],Proj[Player],0),25)-R$764)/R$765</f>
        <v>0.59483506029940703</v>
      </c>
      <c r="S37" s="12">
        <f>(INDEX(Proj[],MATCH(Std[[#This Row],[Player]],Proj[Player],0),26)-S$764)/S$765</f>
        <v>3.5012830700567923</v>
      </c>
      <c r="T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1881.0758987697498</v>
      </c>
      <c r="U37" s="11"/>
      <c r="W37" t="str">
        <v>Brady Tkachuk</v>
      </c>
      <c r="AA37" t="str">
        <v>Brady Tkachuk</v>
      </c>
      <c r="AB37" t="str">
        <v>Brady Tkachuk</v>
      </c>
    </row>
    <row r="38" spans="1:28" x14ac:dyDescent="0.25">
      <c r="A38" t="s">
        <v>398</v>
      </c>
      <c r="B38">
        <f>INDEX(Proj[],MATCH(Std[[#This Row],[Player]],Proj[Player],0),2)</f>
        <v>23</v>
      </c>
      <c r="C38" t="s">
        <v>74</v>
      </c>
      <c r="D38" s="75" t="s">
        <v>103</v>
      </c>
      <c r="E38" s="57"/>
      <c r="F38" t="s">
        <v>13</v>
      </c>
      <c r="G38" s="12">
        <f>(INDEX(Proj[],MATCH(Std[[#This Row],[Player]],Proj[Player],0),14)-G$764)/G$765</f>
        <v>1.9783614625626571</v>
      </c>
      <c r="H38" s="12">
        <f>(INDEX(Proj[],MATCH(Std[[#This Row],[Player]],Proj[Player],0),15)-H$764)/H$765</f>
        <v>1.7222677101248518</v>
      </c>
      <c r="I38" s="12">
        <f>(INDEX(Proj[],MATCH(Std[[#This Row],[Player]],Proj[Player],0),16)-I$764)/I$765</f>
        <v>1.9764910065376884</v>
      </c>
      <c r="J38" s="12">
        <f>(INDEX(Proj[],MATCH(Std[[#This Row],[Player]],Proj[Player],0),17)-J$764)/J$765</f>
        <v>2.4769403493220348</v>
      </c>
      <c r="K38" s="12">
        <f>(INDEX(Proj[],MATCH(Std[[#This Row],[Player]],Proj[Player],0),18)-K$764)/K$765</f>
        <v>2.4772121911657239</v>
      </c>
      <c r="L38" s="12">
        <f>(INDEX(Proj[],MATCH(Std[[#This Row],[Player]],Proj[Player],0),19)-L$764)/L$765</f>
        <v>2.6631603116590523</v>
      </c>
      <c r="M38" s="12">
        <f>(INDEX(Proj[],MATCH(Std[[#This Row],[Player]],Proj[Player],0),20)-M$764)/M$765</f>
        <v>-0.71308883245737775</v>
      </c>
      <c r="N38" s="12">
        <f>(INDEX(Proj[],MATCH(Std[[#This Row],[Player]],Proj[Player],0),21)-N$764)/N$765</f>
        <v>-0.9056624261321623</v>
      </c>
      <c r="O38" s="12">
        <f>(INDEX(Proj[],MATCH(Std[[#This Row],[Player]],Proj[Player],0),22)-O$764)/O$765</f>
        <v>-0.56760821938811779</v>
      </c>
      <c r="P38" s="12">
        <f>((INDEX(Proj[],MATCH(Std[[#This Row],[Player]],Proj[Player],0),23)-P$764)/P$765)*IF('League Inputs'!$C$23 = "Yes",-1, 1)</f>
        <v>6.9963766660446167E-2</v>
      </c>
      <c r="Q38" s="12">
        <f>(INDEX(Proj[],MATCH(Std[[#This Row],[Player]],Proj[Player],0),24)-Q$764)/Q$765</f>
        <v>-0.29409801652022943</v>
      </c>
      <c r="R38" s="12">
        <f>(INDEX(Proj[],MATCH(Std[[#This Row],[Player]],Proj[Player],0),25)-R$764)/R$765</f>
        <v>-0.27345800838683798</v>
      </c>
      <c r="S38" s="12">
        <f>(INDEX(Proj[],MATCH(Std[[#This Row],[Player]],Proj[Player],0),26)-S$764)/S$765</f>
        <v>2.0253819152043055</v>
      </c>
      <c r="T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866.82575107084915</v>
      </c>
      <c r="U38" s="11"/>
      <c r="W38" t="str">
        <v>Matt Boldy</v>
      </c>
      <c r="AA38" t="str">
        <v>Matt Boldy</v>
      </c>
      <c r="AB38" t="str">
        <v>Matt Boldy</v>
      </c>
    </row>
    <row r="39" spans="1:28" x14ac:dyDescent="0.25">
      <c r="A39" t="s">
        <v>607</v>
      </c>
      <c r="B39">
        <f>INDEX(Proj[],MATCH(Std[[#This Row],[Player]],Proj[Player],0),2)</f>
        <v>25</v>
      </c>
      <c r="C39" t="s">
        <v>74</v>
      </c>
      <c r="D39" s="75"/>
      <c r="E39" s="57"/>
      <c r="F39" t="s">
        <v>20</v>
      </c>
      <c r="G39" s="12">
        <f>(INDEX(Proj[],MATCH(Std[[#This Row],[Player]],Proj[Player],0),14)-G$764)/G$765</f>
        <v>1.0276566437427663</v>
      </c>
      <c r="H39" s="12">
        <f>(INDEX(Proj[],MATCH(Std[[#This Row],[Player]],Proj[Player],0),15)-H$764)/H$765</f>
        <v>2.3930311130192385</v>
      </c>
      <c r="I39" s="12">
        <f>(INDEX(Proj[],MATCH(Std[[#This Row],[Player]],Proj[Player],0),16)-I$764)/I$765</f>
        <v>1.9764910065376884</v>
      </c>
      <c r="J39" s="12">
        <f>(INDEX(Proj[],MATCH(Std[[#This Row],[Player]],Proj[Player],0),17)-J$764)/J$765</f>
        <v>1.2994872004234757</v>
      </c>
      <c r="K39" s="12">
        <f>(INDEX(Proj[],MATCH(Std[[#This Row],[Player]],Proj[Player],0),18)-K$764)/K$765</f>
        <v>1.8608684098738728</v>
      </c>
      <c r="L39" s="12">
        <f>(INDEX(Proj[],MATCH(Std[[#This Row],[Player]],Proj[Player],0),19)-L$764)/L$765</f>
        <v>1.7932512595569121</v>
      </c>
      <c r="M39" s="12">
        <f>(INDEX(Proj[],MATCH(Std[[#This Row],[Player]],Proj[Player],0),20)-M$764)/M$765</f>
        <v>1.3378904761343182</v>
      </c>
      <c r="N39" s="12">
        <f>(INDEX(Proj[],MATCH(Std[[#This Row],[Player]],Proj[Player],0),21)-N$764)/N$765</f>
        <v>-1.3513962931441792</v>
      </c>
      <c r="O39" s="12">
        <f>(INDEX(Proj[],MATCH(Std[[#This Row],[Player]],Proj[Player],0),22)-O$764)/O$765</f>
        <v>-0.52117621270974634</v>
      </c>
      <c r="P39" s="12">
        <f>((INDEX(Proj[],MATCH(Std[[#This Row],[Player]],Proj[Player],0),23)-P$764)/P$765)*IF('League Inputs'!$C$23 = "Yes",-1, 1)</f>
        <v>-0.20927487912970463</v>
      </c>
      <c r="Q39" s="12">
        <f>(INDEX(Proj[],MATCH(Std[[#This Row],[Player]],Proj[Player],0),24)-Q$764)/Q$765</f>
        <v>3.53847442869592</v>
      </c>
      <c r="R39" s="12">
        <f>(INDEX(Proj[],MATCH(Std[[#This Row],[Player]],Proj[Player],0),25)-R$764)/R$765</f>
        <v>3.3472673368538439</v>
      </c>
      <c r="S39" s="12">
        <f>(INDEX(Proj[],MATCH(Std[[#This Row],[Player]],Proj[Player],0),26)-S$764)/S$765</f>
        <v>0.40351251426750745</v>
      </c>
      <c r="T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905.05695808364044</v>
      </c>
      <c r="U39" s="11"/>
      <c r="W39" t="str">
        <v>Robert Thomas</v>
      </c>
      <c r="AA39" t="str">
        <v>Robert Thomas</v>
      </c>
      <c r="AB39" t="str">
        <v>Robert Thomas</v>
      </c>
    </row>
    <row r="40" spans="1:28" x14ac:dyDescent="0.25">
      <c r="A40" t="s">
        <v>259</v>
      </c>
      <c r="B40">
        <f>INDEX(Proj[],MATCH(Std[[#This Row],[Player]],Proj[Player],0),2)</f>
        <v>26</v>
      </c>
      <c r="C40" t="s">
        <v>74</v>
      </c>
      <c r="D40" s="75"/>
      <c r="E40" s="56"/>
      <c r="F40" t="s">
        <v>12</v>
      </c>
      <c r="G40" s="12">
        <f>(INDEX(Proj[],MATCH(Std[[#This Row],[Player]],Proj[Player],0),14)-G$764)/G$765</f>
        <v>-2.8682043834889943E-2</v>
      </c>
      <c r="H40" s="12">
        <f>(INDEX(Proj[],MATCH(Std[[#This Row],[Player]],Proj[Player],0),15)-H$764)/H$765</f>
        <v>3.0637945159136257</v>
      </c>
      <c r="I40" s="12">
        <f>(INDEX(Proj[],MATCH(Std[[#This Row],[Player]],Proj[Player],0),16)-I$764)/I$765</f>
        <v>1.9292484475755851</v>
      </c>
      <c r="J40" s="12">
        <f>(INDEX(Proj[],MATCH(Std[[#This Row],[Player]],Proj[Player],0),17)-J$764)/J$765</f>
        <v>0.12203405152491688</v>
      </c>
      <c r="K40" s="12">
        <f>(INDEX(Proj[],MATCH(Std[[#This Row],[Player]],Proj[Player],0),18)-K$764)/K$765</f>
        <v>4.0180716443953512</v>
      </c>
      <c r="L40" s="12">
        <f>(INDEX(Proj[],MATCH(Std[[#This Row],[Player]],Proj[Player],0),19)-L$764)/L$765</f>
        <v>2.8806375746845876</v>
      </c>
      <c r="M40" s="12">
        <f>(INDEX(Proj[],MATCH(Std[[#This Row],[Player]],Proj[Player],0),20)-M$764)/M$765</f>
        <v>2.3633801304301665</v>
      </c>
      <c r="N40" s="12">
        <f>(INDEX(Proj[],MATCH(Std[[#This Row],[Player]],Proj[Player],0),21)-N$764)/N$765</f>
        <v>-0.88628269278381366</v>
      </c>
      <c r="O40" s="12">
        <f>(INDEX(Proj[],MATCH(Std[[#This Row],[Player]],Proj[Player],0),22)-O$764)/O$765</f>
        <v>1.6611281011737105</v>
      </c>
      <c r="P40" s="12">
        <f>((INDEX(Proj[],MATCH(Std[[#This Row],[Player]],Proj[Player],0),23)-P$764)/P$765)*IF('League Inputs'!$C$23 = "Yes",-1, 1)</f>
        <v>-6.9655556234629226E-2</v>
      </c>
      <c r="Q40" s="12">
        <f>(INDEX(Proj[],MATCH(Std[[#This Row],[Player]],Proj[Player],0),24)-Q$764)/Q$765</f>
        <v>-0.5766103108129359</v>
      </c>
      <c r="R40" s="12">
        <f>(INDEX(Proj[],MATCH(Std[[#This Row],[Player]],Proj[Player],0),25)-R$764)/R$765</f>
        <v>-0.62531533033812681</v>
      </c>
      <c r="S40" s="12">
        <f>(INDEX(Proj[],MATCH(Std[[#This Row],[Player]],Proj[Player],0),26)-S$764)/S$765</f>
        <v>0.43594990228624342</v>
      </c>
      <c r="T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840.95279379674821</v>
      </c>
      <c r="U40" s="11"/>
      <c r="W40" t="str">
        <v>Adam Fox</v>
      </c>
      <c r="AA40" t="str">
        <v>Adam Fox</v>
      </c>
      <c r="AB40" t="str">
        <v>Adam Fox</v>
      </c>
    </row>
    <row r="41" spans="1:28" x14ac:dyDescent="0.25">
      <c r="A41" t="s">
        <v>371</v>
      </c>
      <c r="B41">
        <f>INDEX(Proj[],MATCH(Std[[#This Row],[Player]],Proj[Player],0),2)</f>
        <v>32</v>
      </c>
      <c r="C41" t="s">
        <v>74</v>
      </c>
      <c r="D41" s="75"/>
      <c r="E41" s="56"/>
      <c r="F41" t="s">
        <v>22</v>
      </c>
      <c r="G41" s="12">
        <f>(INDEX(Proj[],MATCH(Std[[#This Row],[Player]],Proj[Player],0),14)-G$764)/G$765</f>
        <v>3.2459678876558447</v>
      </c>
      <c r="H41" s="12">
        <f>(INDEX(Proj[],MATCH(Std[[#This Row],[Player]],Proj[Player],0),15)-H$764)/H$765</f>
        <v>0.75338723927740403</v>
      </c>
      <c r="I41" s="12">
        <f>(INDEX(Proj[],MATCH(Std[[#This Row],[Player]],Proj[Player],0),16)-I$764)/I$765</f>
        <v>1.9292484475755851</v>
      </c>
      <c r="J41" s="12">
        <f>(INDEX(Proj[],MATCH(Std[[#This Row],[Player]],Proj[Player],0),17)-J$764)/J$765</f>
        <v>3.0656669237713139</v>
      </c>
      <c r="K41" s="12">
        <f>(INDEX(Proj[],MATCH(Std[[#This Row],[Player]],Proj[Player],0),18)-K$764)/K$765</f>
        <v>0.32000895664424578</v>
      </c>
      <c r="L41" s="12">
        <f>(INDEX(Proj[],MATCH(Std[[#This Row],[Player]],Proj[Player],0),19)-L$764)/L$765</f>
        <v>1.3582967335058418</v>
      </c>
      <c r="M41" s="12">
        <f>(INDEX(Proj[],MATCH(Std[[#This Row],[Player]],Proj[Player],0),20)-M$764)/M$765</f>
        <v>0.31240082183847029</v>
      </c>
      <c r="N41" s="12">
        <f>(INDEX(Proj[],MATCH(Std[[#This Row],[Player]],Proj[Player],0),21)-N$764)/N$765</f>
        <v>-0.1498528255465682</v>
      </c>
      <c r="O41" s="12">
        <f>(INDEX(Proj[],MATCH(Std[[#This Row],[Player]],Proj[Player],0),22)-O$764)/O$765</f>
        <v>-0.61404022606648923</v>
      </c>
      <c r="P41" s="12">
        <f>((INDEX(Proj[],MATCH(Std[[#This Row],[Player]],Proj[Player],0),23)-P$764)/P$765)*IF('League Inputs'!$C$23 = "Yes",-1, 1)</f>
        <v>0.34920241245059697</v>
      </c>
      <c r="Q41" s="12">
        <f>(INDEX(Proj[],MATCH(Std[[#This Row],[Player]],Proj[Player],0),24)-Q$764)/Q$765</f>
        <v>-0.47533231851932412</v>
      </c>
      <c r="R41" s="12">
        <f>(INDEX(Proj[],MATCH(Std[[#This Row],[Player]],Proj[Player],0),25)-R$764)/R$765</f>
        <v>-0.51181296841835622</v>
      </c>
      <c r="S41" s="12">
        <f>(INDEX(Proj[],MATCH(Std[[#This Row],[Player]],Proj[Player],0),26)-S$764)/S$765</f>
        <v>2.5605988175134495</v>
      </c>
      <c r="T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895.74761678463392</v>
      </c>
      <c r="U41" s="11"/>
      <c r="W41" t="str">
        <v>Zach Hyman</v>
      </c>
      <c r="AA41" t="str">
        <v>Zach Hyman</v>
      </c>
      <c r="AB41" t="str">
        <v>Zach Hyman</v>
      </c>
    </row>
    <row r="42" spans="1:28" x14ac:dyDescent="0.25">
      <c r="A42" t="s">
        <v>339</v>
      </c>
      <c r="B42">
        <f>INDEX(Proj[],MATCH(Std[[#This Row],[Player]],Proj[Player],0),2)</f>
        <v>23</v>
      </c>
      <c r="C42" t="s">
        <v>102</v>
      </c>
      <c r="D42" s="75"/>
      <c r="E42" s="57"/>
      <c r="F42" t="s">
        <v>15</v>
      </c>
      <c r="G42" s="12">
        <f>(INDEX(Proj[],MATCH(Std[[#This Row],[Player]],Proj[Player],0),14)-G$764)/G$765</f>
        <v>1.3445582500160633</v>
      </c>
      <c r="H42" s="12">
        <f>(INDEX(Proj[],MATCH(Std[[#This Row],[Player]],Proj[Player],0),15)-H$764)/H$765</f>
        <v>2.0949140450661781</v>
      </c>
      <c r="I42" s="12">
        <f>(INDEX(Proj[],MATCH(Std[[#This Row],[Player]],Proj[Player],0),16)-I$764)/I$765</f>
        <v>1.9292484475755851</v>
      </c>
      <c r="J42" s="12">
        <f>(INDEX(Proj[],MATCH(Std[[#This Row],[Player]],Proj[Player],0),17)-J$764)/J$765</f>
        <v>0.71076062597419631</v>
      </c>
      <c r="K42" s="12">
        <f>(INDEX(Proj[],MATCH(Std[[#This Row],[Player]],Proj[Player],0),18)-K$764)/K$765</f>
        <v>2.3231262458427611</v>
      </c>
      <c r="L42" s="12">
        <f>(INDEX(Proj[],MATCH(Std[[#This Row],[Player]],Proj[Player],0),19)-L$764)/L$765</f>
        <v>1.9019898910696798</v>
      </c>
      <c r="M42" s="12">
        <f>(INDEX(Proj[],MATCH(Std[[#This Row],[Player]],Proj[Player],0),20)-M$764)/M$765</f>
        <v>0.31240082183847029</v>
      </c>
      <c r="N42" s="12">
        <f>(INDEX(Proj[],MATCH(Std[[#This Row],[Player]],Proj[Player],0),21)-N$764)/N$765</f>
        <v>0.2958810414654488</v>
      </c>
      <c r="O42" s="12">
        <f>(INDEX(Proj[],MATCH(Std[[#This Row],[Player]],Proj[Player],0),22)-O$764)/O$765</f>
        <v>-0.31223218265707492</v>
      </c>
      <c r="P42" s="12">
        <f>((INDEX(Proj[],MATCH(Std[[#This Row],[Player]],Proj[Player],0),23)-P$764)/P$765)*IF('League Inputs'!$C$23 = "Yes",-1, 1)</f>
        <v>0.20958308955552155</v>
      </c>
      <c r="Q42" s="12">
        <f>(INDEX(Proj[],MATCH(Std[[#This Row],[Player]],Proj[Player],0),24)-Q$764)/Q$765</f>
        <v>0.68136896188666263</v>
      </c>
      <c r="R42" s="12">
        <f>(INDEX(Proj[],MATCH(Std[[#This Row],[Player]],Proj[Player],0),25)-R$764)/R$765</f>
        <v>1.0034435632105811</v>
      </c>
      <c r="S42" s="12">
        <f>(INDEX(Proj[],MATCH(Std[[#This Row],[Player]],Proj[Player],0),26)-S$764)/S$765</f>
        <v>1.3279780728014825</v>
      </c>
      <c r="T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947.32896167795479</v>
      </c>
      <c r="U42" s="11"/>
      <c r="W42" t="str">
        <v>Tim Stutzle</v>
      </c>
      <c r="AA42" t="str">
        <v>Tim Stutzle</v>
      </c>
      <c r="AB42" t="str">
        <v>Tim Stutzle</v>
      </c>
    </row>
    <row r="43" spans="1:28" x14ac:dyDescent="0.25">
      <c r="A43" t="s">
        <v>324</v>
      </c>
      <c r="B43">
        <f>INDEX(Proj[],MATCH(Std[[#This Row],[Player]],Proj[Player],0),2)</f>
        <v>26</v>
      </c>
      <c r="C43" t="s">
        <v>102</v>
      </c>
      <c r="D43" s="75"/>
      <c r="E43" s="56"/>
      <c r="F43" t="s">
        <v>9</v>
      </c>
      <c r="G43" s="12">
        <f>(INDEX(Proj[],MATCH(Std[[#This Row],[Player]],Proj[Player],0),14)-G$764)/G$765</f>
        <v>2.0839953313204229</v>
      </c>
      <c r="H43" s="12">
        <f>(INDEX(Proj[],MATCH(Std[[#This Row],[Player]],Proj[Player],0),15)-H$764)/H$765</f>
        <v>1.5732091761483213</v>
      </c>
      <c r="I43" s="12">
        <f>(INDEX(Proj[],MATCH(Std[[#This Row],[Player]],Proj[Player],0),16)-I$764)/I$765</f>
        <v>1.9292484475755851</v>
      </c>
      <c r="J43" s="12">
        <f>(INDEX(Proj[],MATCH(Std[[#This Row],[Player]],Proj[Player],0),17)-J$764)/J$765</f>
        <v>1.2994872004234757</v>
      </c>
      <c r="K43" s="12">
        <f>(INDEX(Proj[],MATCH(Std[[#This Row],[Player]],Proj[Player],0),18)-K$764)/K$765</f>
        <v>1.5526965192279474</v>
      </c>
      <c r="L43" s="12">
        <f>(INDEX(Proj[],MATCH(Std[[#This Row],[Player]],Proj[Player],0),19)-L$764)/L$765</f>
        <v>1.5757739965313768</v>
      </c>
      <c r="M43" s="12">
        <f>(INDEX(Proj[],MATCH(Std[[#This Row],[Player]],Proj[Player],0),20)-M$764)/M$765</f>
        <v>0.31240082183847029</v>
      </c>
      <c r="N43" s="12">
        <f>(INDEX(Proj[],MATCH(Std[[#This Row],[Player]],Proj[Player],0),21)-N$764)/N$765</f>
        <v>-1.2738773597507851</v>
      </c>
      <c r="O43" s="12">
        <f>(INDEX(Proj[],MATCH(Std[[#This Row],[Player]],Proj[Player],0),22)-O$764)/O$765</f>
        <v>-0.61404022606648923</v>
      </c>
      <c r="P43" s="12">
        <f>((INDEX(Proj[],MATCH(Std[[#This Row],[Player]],Proj[Player],0),23)-P$764)/P$765)*IF('League Inputs'!$C$23 = "Yes",-1, 1)</f>
        <v>0.20958308955552155</v>
      </c>
      <c r="Q43" s="12">
        <f>(INDEX(Proj[],MATCH(Std[[#This Row],[Player]],Proj[Player],0),24)-Q$764)/Q$765</f>
        <v>-0.3847151675197768</v>
      </c>
      <c r="R43" s="12">
        <f>(INDEX(Proj[],MATCH(Std[[#This Row],[Player]],Proj[Player],0),25)-R$764)/R$765</f>
        <v>-0.36425989792265445</v>
      </c>
      <c r="S43" s="12">
        <f>(INDEX(Proj[],MATCH(Std[[#This Row],[Player]],Proj[Player],0),26)-S$764)/S$765</f>
        <v>1.684789341007578</v>
      </c>
      <c r="T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678.39666288017543</v>
      </c>
      <c r="U43" s="11"/>
      <c r="W43" t="str">
        <v>Clayton Keller</v>
      </c>
      <c r="AA43" t="str">
        <v>Clayton Keller</v>
      </c>
      <c r="AB43" t="str">
        <v>Clayton Keller</v>
      </c>
    </row>
    <row r="44" spans="1:28" x14ac:dyDescent="0.25">
      <c r="A44" t="s">
        <v>1076</v>
      </c>
      <c r="B44">
        <f>INDEX(Proj[],MATCH(Std[[#This Row],[Player]],Proj[Player],0),2)</f>
        <v>19</v>
      </c>
      <c r="C44" t="s">
        <v>103</v>
      </c>
      <c r="D44" s="75"/>
      <c r="E44" s="56"/>
      <c r="F44" t="s">
        <v>28</v>
      </c>
      <c r="G44" s="12">
        <f>(INDEX(Proj[],MATCH(Std[[#This Row],[Player]],Proj[Player],0),14)-G$764)/G$765</f>
        <v>2.0839953313204229</v>
      </c>
      <c r="H44" s="12">
        <f>(INDEX(Proj[],MATCH(Std[[#This Row],[Player]],Proj[Player],0),15)-H$764)/H$765</f>
        <v>1.5732091761483213</v>
      </c>
      <c r="I44" s="12">
        <f>(INDEX(Proj[],MATCH(Std[[#This Row],[Player]],Proj[Player],0),16)-I$764)/I$765</f>
        <v>1.9292484475755851</v>
      </c>
      <c r="J44" s="12">
        <f>(INDEX(Proj[],MATCH(Std[[#This Row],[Player]],Proj[Player],0),17)-J$764)/J$765</f>
        <v>1.5938504876481154</v>
      </c>
      <c r="K44" s="12">
        <f>(INDEX(Proj[],MATCH(Std[[#This Row],[Player]],Proj[Player],0),18)-K$764)/K$765</f>
        <v>1.7067824645509102</v>
      </c>
      <c r="L44" s="12">
        <f>(INDEX(Proj[],MATCH(Std[[#This Row],[Player]],Proj[Player],0),19)-L$764)/L$765</f>
        <v>1.7932512595569121</v>
      </c>
      <c r="M44" s="12">
        <f>(INDEX(Proj[],MATCH(Std[[#This Row],[Player]],Proj[Player],0),20)-M$764)/M$765</f>
        <v>-0.71308883245737775</v>
      </c>
      <c r="N44" s="12">
        <f>(INDEX(Proj[],MATCH(Std[[#This Row],[Player]],Proj[Player],0),21)-N$764)/N$765</f>
        <v>-0.38240962572675097</v>
      </c>
      <c r="O44" s="12">
        <f>(INDEX(Proj[],MATCH(Std[[#This Row],[Player]],Proj[Player],0),22)-O$764)/O$765</f>
        <v>-0.66047223274486055</v>
      </c>
      <c r="P44" s="12">
        <f>((INDEX(Proj[],MATCH(Std[[#This Row],[Player]],Proj[Player],0),23)-P$764)/P$765)*IF('League Inputs'!$C$23 = "Yes",-1, 1)</f>
        <v>0.11650354095880462</v>
      </c>
      <c r="Q44" s="12">
        <f>(INDEX(Proj[],MATCH(Std[[#This Row],[Player]],Proj[Player],0),24)-Q$764)/Q$765</f>
        <v>0.8466120019446608</v>
      </c>
      <c r="R44" s="12">
        <f>(INDEX(Proj[],MATCH(Std[[#This Row],[Player]],Proj[Player],0),25)-R$764)/R$765</f>
        <v>1.4574530108896635</v>
      </c>
      <c r="S44" s="12">
        <f>(INDEX(Proj[],MATCH(Std[[#This Row],[Player]],Proj[Player],0),26)-S$764)/S$765</f>
        <v>2.0902566912417777</v>
      </c>
      <c r="T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939.01945902748753</v>
      </c>
      <c r="U44" s="11"/>
      <c r="W44" t="str">
        <v>Connor Bedard</v>
      </c>
      <c r="AA44" t="str">
        <v>Connor Bedard</v>
      </c>
      <c r="AB44" t="str">
        <v>Connor Bedard</v>
      </c>
    </row>
    <row r="45" spans="1:28" x14ac:dyDescent="0.25">
      <c r="A45" t="s">
        <v>464</v>
      </c>
      <c r="B45">
        <f>INDEX(Proj[],MATCH(Std[[#This Row],[Player]],Proj[Player],0),2)</f>
        <v>29</v>
      </c>
      <c r="C45" t="s">
        <v>74</v>
      </c>
      <c r="D45" s="75"/>
      <c r="E45" s="56"/>
      <c r="F45" t="s">
        <v>25</v>
      </c>
      <c r="G45" s="12">
        <f>(INDEX(Proj[],MATCH(Std[[#This Row],[Player]],Proj[Player],0),14)-G$764)/G$765</f>
        <v>2.1896292000781883</v>
      </c>
      <c r="H45" s="12">
        <f>(INDEX(Proj[],MATCH(Std[[#This Row],[Player]],Proj[Player],0),15)-H$764)/H$765</f>
        <v>1.4241506421717909</v>
      </c>
      <c r="I45" s="12">
        <f>(INDEX(Proj[],MATCH(Std[[#This Row],[Player]],Proj[Player],0),16)-I$764)/I$765</f>
        <v>1.8820058886134818</v>
      </c>
      <c r="J45" s="12">
        <f>(INDEX(Proj[],MATCH(Std[[#This Row],[Player]],Proj[Player],0),17)-J$764)/J$765</f>
        <v>1.0051239131988361</v>
      </c>
      <c r="K45" s="12">
        <f>(INDEX(Proj[],MATCH(Std[[#This Row],[Player]],Proj[Player],0),18)-K$764)/K$765</f>
        <v>1.3986105739049848</v>
      </c>
      <c r="L45" s="12">
        <f>(INDEX(Proj[],MATCH(Std[[#This Row],[Player]],Proj[Player],0),19)-L$764)/L$765</f>
        <v>1.3582967335058418</v>
      </c>
      <c r="M45" s="12">
        <f>(INDEX(Proj[],MATCH(Std[[#This Row],[Player]],Proj[Player],0),20)-M$764)/M$765</f>
        <v>-0.71308883245737775</v>
      </c>
      <c r="N45" s="12">
        <f>(INDEX(Proj[],MATCH(Std[[#This Row],[Player]],Proj[Player],0),21)-N$764)/N$765</f>
        <v>-0.57620695921023668</v>
      </c>
      <c r="O45" s="12">
        <f>(INDEX(Proj[],MATCH(Std[[#This Row],[Player]],Proj[Player],0),22)-O$764)/O$765</f>
        <v>-0.91584826947590336</v>
      </c>
      <c r="P45" s="12">
        <f>((INDEX(Proj[],MATCH(Std[[#This Row],[Player]],Proj[Player],0),23)-P$764)/P$765)*IF('League Inputs'!$C$23 = "Yes",-1, 1)</f>
        <v>0.34920241245059697</v>
      </c>
      <c r="Q45" s="12">
        <f>(INDEX(Proj[],MATCH(Std[[#This Row],[Player]],Proj[Player],0),24)-Q$764)/Q$765</f>
        <v>-0.37405432622571239</v>
      </c>
      <c r="R45" s="12">
        <f>(INDEX(Proj[],MATCH(Std[[#This Row],[Player]],Proj[Player],0),25)-R$764)/R$765</f>
        <v>-0.37561013411463151</v>
      </c>
      <c r="S45" s="12">
        <f>(INDEX(Proj[],MATCH(Std[[#This Row],[Player]],Proj[Player],0),26)-S$764)/S$765</f>
        <v>2.0091632211949375</v>
      </c>
      <c r="T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734.6338543102986</v>
      </c>
      <c r="U45" s="11"/>
      <c r="W45" t="str">
        <v>Carter Verhaeghe</v>
      </c>
      <c r="AA45" t="str">
        <v>Carter Verhaeghe</v>
      </c>
      <c r="AB45" t="str">
        <v>Carter Verhaeghe</v>
      </c>
    </row>
    <row r="46" spans="1:28" x14ac:dyDescent="0.25">
      <c r="A46" t="s">
        <v>258</v>
      </c>
      <c r="B46">
        <f>INDEX(Proj[],MATCH(Std[[#This Row],[Player]],Proj[Player],0),2)</f>
        <v>28</v>
      </c>
      <c r="C46" t="s">
        <v>102</v>
      </c>
      <c r="D46" s="75"/>
      <c r="E46" s="56"/>
      <c r="F46" t="s">
        <v>34</v>
      </c>
      <c r="G46" s="12">
        <f>(INDEX(Proj[],MATCH(Std[[#This Row],[Player]],Proj[Player],0),14)-G$764)/G$765</f>
        <v>2.4008969375937195</v>
      </c>
      <c r="H46" s="12">
        <f>(INDEX(Proj[],MATCH(Std[[#This Row],[Player]],Proj[Player],0),15)-H$764)/H$765</f>
        <v>1.2750921081952606</v>
      </c>
      <c r="I46" s="12">
        <f>(INDEX(Proj[],MATCH(Std[[#This Row],[Player]],Proj[Player],0),16)-I$764)/I$765</f>
        <v>1.8820058886134818</v>
      </c>
      <c r="J46" s="12">
        <f>(INDEX(Proj[],MATCH(Std[[#This Row],[Player]],Proj[Player],0),17)-J$764)/J$765</f>
        <v>1.0051239131988361</v>
      </c>
      <c r="K46" s="12">
        <f>(INDEX(Proj[],MATCH(Std[[#This Row],[Player]],Proj[Player],0),18)-K$764)/K$765</f>
        <v>1.8608684098738728</v>
      </c>
      <c r="L46" s="12">
        <f>(INDEX(Proj[],MATCH(Std[[#This Row],[Player]],Proj[Player],0),19)-L$764)/L$765</f>
        <v>1.6845126280441445</v>
      </c>
      <c r="M46" s="12">
        <f>(INDEX(Proj[],MATCH(Std[[#This Row],[Player]],Proj[Player],0),20)-M$764)/M$765</f>
        <v>0.31240082183847029</v>
      </c>
      <c r="N46" s="12">
        <f>(INDEX(Proj[],MATCH(Std[[#This Row],[Player]],Proj[Player],0),21)-N$764)/N$765</f>
        <v>-1.2157381597057393</v>
      </c>
      <c r="O46" s="12">
        <f>(INDEX(Proj[],MATCH(Std[[#This Row],[Player]],Proj[Player],0),22)-O$764)/O$765</f>
        <v>-0.84620025945834632</v>
      </c>
      <c r="P46" s="12">
        <f>((INDEX(Proj[],MATCH(Std[[#This Row],[Player]],Proj[Player],0),23)-P$764)/P$765)*IF('League Inputs'!$C$23 = "Yes",-1, 1)</f>
        <v>-1.140070365096874</v>
      </c>
      <c r="Q46" s="12">
        <f>(INDEX(Proj[],MATCH(Std[[#This Row],[Player]],Proj[Player],0),24)-Q$764)/Q$765</f>
        <v>-0.53396694563667835</v>
      </c>
      <c r="R46" s="12">
        <f>(INDEX(Proj[],MATCH(Std[[#This Row],[Player]],Proj[Player],0),25)-R$764)/R$765</f>
        <v>-0.56856414937824151</v>
      </c>
      <c r="S46" s="12">
        <f>(INDEX(Proj[],MATCH(Std[[#This Row],[Player]],Proj[Player],0),26)-S$764)/S$765</f>
        <v>2.2524436313354577</v>
      </c>
      <c r="T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575.89754638844261</v>
      </c>
      <c r="U46" s="11"/>
      <c r="W46" t="str">
        <v>Kyle Connor</v>
      </c>
      <c r="AA46" t="str">
        <v>Kyle Connor</v>
      </c>
      <c r="AB46" t="str">
        <v>Kyle Connor</v>
      </c>
    </row>
    <row r="47" spans="1:28" x14ac:dyDescent="0.25">
      <c r="A47" t="s">
        <v>370</v>
      </c>
      <c r="B47">
        <f>INDEX(Proj[],MATCH(Std[[#This Row],[Player]],Proj[Player],0),2)</f>
        <v>37</v>
      </c>
      <c r="C47" t="s">
        <v>102</v>
      </c>
      <c r="D47" s="75" t="s">
        <v>103</v>
      </c>
      <c r="E47" s="56"/>
      <c r="F47" t="s">
        <v>156</v>
      </c>
      <c r="G47" s="12">
        <f>(INDEX(Proj[],MATCH(Std[[#This Row],[Player]],Proj[Player],0),14)-G$764)/G$765</f>
        <v>1.1332905125005321</v>
      </c>
      <c r="H47" s="12">
        <f>(INDEX(Proj[],MATCH(Std[[#This Row],[Player]],Proj[Player],0),15)-H$764)/H$765</f>
        <v>2.0949140450661781</v>
      </c>
      <c r="I47" s="12">
        <f>(INDEX(Proj[],MATCH(Std[[#This Row],[Player]],Proj[Player],0),16)-I$764)/I$765</f>
        <v>1.8347633296513786</v>
      </c>
      <c r="J47" s="12">
        <f>(INDEX(Proj[],MATCH(Std[[#This Row],[Player]],Proj[Player],0),17)-J$764)/J$765</f>
        <v>0.41639733874955659</v>
      </c>
      <c r="K47" s="12">
        <f>(INDEX(Proj[],MATCH(Std[[#This Row],[Player]],Proj[Player],0),18)-K$764)/K$765</f>
        <v>2.1690403005197982</v>
      </c>
      <c r="L47" s="12">
        <f>(INDEX(Proj[],MATCH(Std[[#This Row],[Player]],Proj[Player],0),19)-L$764)/L$765</f>
        <v>1.6845126280441445</v>
      </c>
      <c r="M47" s="12">
        <f>(INDEX(Proj[],MATCH(Std[[#This Row],[Player]],Proj[Player],0),20)-M$764)/M$765</f>
        <v>1.3378904761343182</v>
      </c>
      <c r="N47" s="12">
        <f>(INDEX(Proj[],MATCH(Std[[#This Row],[Player]],Proj[Player],0),21)-N$764)/N$765</f>
        <v>-0.73124482599702512</v>
      </c>
      <c r="O47" s="12">
        <f>(INDEX(Proj[],MATCH(Std[[#This Row],[Player]],Proj[Player],0),22)-O$764)/O$765</f>
        <v>-0.75333624610160344</v>
      </c>
      <c r="P47" s="12">
        <f>((INDEX(Proj[],MATCH(Std[[#This Row],[Player]],Proj[Player],0),23)-P$764)/P$765)*IF('League Inputs'!$C$23 = "Yes",-1, 1)</f>
        <v>-0.25581465342806309</v>
      </c>
      <c r="Q47" s="12">
        <f>(INDEX(Proj[],MATCH(Std[[#This Row],[Player]],Proj[Player],0),24)-Q$764)/Q$765</f>
        <v>3.0214236259337968</v>
      </c>
      <c r="R47" s="12">
        <f>(INDEX(Proj[],MATCH(Std[[#This Row],[Player]],Proj[Player],0),25)-R$764)/R$765</f>
        <v>2.1895432452721839</v>
      </c>
      <c r="S47" s="12">
        <f>(INDEX(Proj[],MATCH(Std[[#This Row],[Player]],Proj[Player],0),26)-S$764)/S$765</f>
        <v>1.1009163566703306</v>
      </c>
      <c r="T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912.942477233967</v>
      </c>
      <c r="U47" s="11"/>
      <c r="W47" t="str">
        <v>Claude Giroux</v>
      </c>
      <c r="AA47" t="str">
        <v>Claude Giroux</v>
      </c>
      <c r="AB47" t="str">
        <v>Claude Giroux</v>
      </c>
    </row>
    <row r="48" spans="1:28" x14ac:dyDescent="0.25">
      <c r="A48" t="s">
        <v>395</v>
      </c>
      <c r="B48">
        <f>INDEX(Proj[],MATCH(Std[[#This Row],[Player]],Proj[Player],0),2)</f>
        <v>34</v>
      </c>
      <c r="C48" t="s">
        <v>74</v>
      </c>
      <c r="D48" s="75"/>
      <c r="E48" s="57"/>
      <c r="F48" t="s">
        <v>17</v>
      </c>
      <c r="G48" s="12">
        <f>(INDEX(Proj[],MATCH(Std[[#This Row],[Player]],Proj[Player],0),14)-G$764)/G$765</f>
        <v>0.18258569368064134</v>
      </c>
      <c r="H48" s="12">
        <f>(INDEX(Proj[],MATCH(Std[[#This Row],[Player]],Proj[Player],0),15)-H$764)/H$765</f>
        <v>2.7656774479605648</v>
      </c>
      <c r="I48" s="12">
        <f>(INDEX(Proj[],MATCH(Std[[#This Row],[Player]],Proj[Player],0),16)-I$764)/I$765</f>
        <v>1.8347633296513786</v>
      </c>
      <c r="J48" s="12">
        <f>(INDEX(Proj[],MATCH(Std[[#This Row],[Player]],Proj[Player],0),17)-J$764)/J$765</f>
        <v>0.12203405152491688</v>
      </c>
      <c r="K48" s="12">
        <f>(INDEX(Proj[],MATCH(Std[[#This Row],[Player]],Proj[Player],0),18)-K$764)/K$765</f>
        <v>2.6312981364886867</v>
      </c>
      <c r="L48" s="12">
        <f>(INDEX(Proj[],MATCH(Std[[#This Row],[Player]],Proj[Player],0),19)-L$764)/L$765</f>
        <v>1.9019898910696798</v>
      </c>
      <c r="M48" s="12">
        <f>(INDEX(Proj[],MATCH(Std[[#This Row],[Player]],Proj[Player],0),20)-M$764)/M$765</f>
        <v>-0.71308883245737775</v>
      </c>
      <c r="N48" s="12">
        <f>(INDEX(Proj[],MATCH(Std[[#This Row],[Player]],Proj[Player],0),21)-N$764)/N$765</f>
        <v>-0.88628269278381366</v>
      </c>
      <c r="O48" s="12">
        <f>(INDEX(Proj[],MATCH(Std[[#This Row],[Player]],Proj[Player],0),22)-O$764)/O$765</f>
        <v>0.84856798430221059</v>
      </c>
      <c r="P48" s="12">
        <f>((INDEX(Proj[],MATCH(Std[[#This Row],[Player]],Proj[Player],0),23)-P$764)/P$765)*IF('League Inputs'!$C$23 = "Yes",-1, 1)</f>
        <v>6.9963766660446167E-2</v>
      </c>
      <c r="Q48" s="12">
        <f>(INDEX(Proj[],MATCH(Std[[#This Row],[Player]],Proj[Player],0),24)-Q$764)/Q$765</f>
        <v>-0.5766103108129359</v>
      </c>
      <c r="R48" s="12">
        <f>(INDEX(Proj[],MATCH(Std[[#This Row],[Player]],Proj[Player],0),25)-R$764)/R$765</f>
        <v>-0.62531533033812681</v>
      </c>
      <c r="S48" s="12">
        <f>(INDEX(Proj[],MATCH(Std[[#This Row],[Player]],Proj[Player],0),26)-S$764)/S$765</f>
        <v>1.2468846027546425</v>
      </c>
      <c r="T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738.75397124828146</v>
      </c>
      <c r="U48" s="11"/>
      <c r="W48" t="str">
        <v>Erik Karlsson</v>
      </c>
      <c r="AA48" t="str">
        <v>Erik Karlsson</v>
      </c>
      <c r="AB48" t="str">
        <v>Erik Karlsson</v>
      </c>
    </row>
    <row r="49" spans="1:28" x14ac:dyDescent="0.25">
      <c r="A49" t="s">
        <v>359</v>
      </c>
      <c r="B49">
        <f>INDEX(Proj[],MATCH(Std[[#This Row],[Player]],Proj[Player],0),2)</f>
        <v>31</v>
      </c>
      <c r="C49" t="s">
        <v>74</v>
      </c>
      <c r="D49" s="75" t="s">
        <v>103</v>
      </c>
      <c r="E49" s="56"/>
      <c r="F49" t="s">
        <v>15</v>
      </c>
      <c r="G49" s="12">
        <f>(INDEX(Proj[],MATCH(Std[[#This Row],[Player]],Proj[Player],0),14)-G$764)/G$765</f>
        <v>1.0276566437427663</v>
      </c>
      <c r="H49" s="12">
        <f>(INDEX(Proj[],MATCH(Std[[#This Row],[Player]],Proj[Player],0),15)-H$764)/H$765</f>
        <v>2.169443312054443</v>
      </c>
      <c r="I49" s="12">
        <f>(INDEX(Proj[],MATCH(Std[[#This Row],[Player]],Proj[Player],0),16)-I$764)/I$765</f>
        <v>1.8347633296513786</v>
      </c>
      <c r="J49" s="12">
        <f>(INDEX(Proj[],MATCH(Std[[#This Row],[Player]],Proj[Player],0),17)-J$764)/J$765</f>
        <v>1.0051239131988361</v>
      </c>
      <c r="K49" s="12">
        <f>(INDEX(Proj[],MATCH(Std[[#This Row],[Player]],Proj[Player],0),18)-K$764)/K$765</f>
        <v>3.0935559724575747</v>
      </c>
      <c r="L49" s="12">
        <f>(INDEX(Proj[],MATCH(Std[[#This Row],[Player]],Proj[Player],0),19)-L$764)/L$765</f>
        <v>2.5544216801462851</v>
      </c>
      <c r="M49" s="12">
        <f>(INDEX(Proj[],MATCH(Std[[#This Row],[Player]],Proj[Player],0),20)-M$764)/M$765</f>
        <v>2.3633801304301665</v>
      </c>
      <c r="N49" s="12">
        <f>(INDEX(Proj[],MATCH(Std[[#This Row],[Player]],Proj[Player],0),21)-N$764)/N$765</f>
        <v>-0.53744749251353952</v>
      </c>
      <c r="O49" s="12">
        <f>(INDEX(Proj[],MATCH(Std[[#This Row],[Player]],Proj[Player],0),22)-O$764)/O$765</f>
        <v>-0.61404022606648923</v>
      </c>
      <c r="P49" s="12">
        <f>((INDEX(Proj[],MATCH(Std[[#This Row],[Player]],Proj[Player],0),23)-P$764)/P$765)*IF('League Inputs'!$C$23 = "Yes",-1, 1)</f>
        <v>-0.16273510483134615</v>
      </c>
      <c r="Q49" s="12">
        <f>(INDEX(Proj[],MATCH(Std[[#This Row],[Player]],Proj[Player],0),24)-Q$764)/Q$765</f>
        <v>0.73467316835698471</v>
      </c>
      <c r="R49" s="12">
        <f>(INDEX(Proj[],MATCH(Std[[#This Row],[Player]],Proj[Player],0),25)-R$764)/R$765</f>
        <v>0.95804261844267291</v>
      </c>
      <c r="S49" s="12">
        <f>(INDEX(Proj[],MATCH(Std[[#This Row],[Player]],Proj[Player],0),26)-S$764)/S$765</f>
        <v>1.0360415806328587</v>
      </c>
      <c r="T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804.27768911733392</v>
      </c>
      <c r="U49" s="11"/>
      <c r="W49" t="str">
        <v>Ryan Nugent-Hopkins</v>
      </c>
      <c r="AA49" t="str">
        <v>Ryan Nugent-Hopkins</v>
      </c>
      <c r="AB49" t="str">
        <v>Ryan Nugent-Hopkins</v>
      </c>
    </row>
    <row r="50" spans="1:28" x14ac:dyDescent="0.25">
      <c r="A50" t="s">
        <v>488</v>
      </c>
      <c r="B50">
        <f>INDEX(Proj[],MATCH(Std[[#This Row],[Player]],Proj[Player],0),2)</f>
        <v>26</v>
      </c>
      <c r="C50" t="s">
        <v>74</v>
      </c>
      <c r="D50" s="75" t="s">
        <v>102</v>
      </c>
      <c r="E50" s="57" t="s">
        <v>103</v>
      </c>
      <c r="F50" t="s">
        <v>8</v>
      </c>
      <c r="G50" s="12">
        <f>(INDEX(Proj[],MATCH(Std[[#This Row],[Player]],Proj[Player],0),14)-G$764)/G$765</f>
        <v>1.7670937250471259</v>
      </c>
      <c r="H50" s="12">
        <f>(INDEX(Proj[],MATCH(Std[[#This Row],[Player]],Proj[Player],0),15)-H$764)/H$765</f>
        <v>1.5732091761483213</v>
      </c>
      <c r="I50" s="12">
        <f>(INDEX(Proj[],MATCH(Std[[#This Row],[Player]],Proj[Player],0),16)-I$764)/I$765</f>
        <v>1.7875207706892755</v>
      </c>
      <c r="J50" s="12">
        <f>(INDEX(Proj[],MATCH(Std[[#This Row],[Player]],Proj[Player],0),17)-J$764)/J$765</f>
        <v>1.5938504876481154</v>
      </c>
      <c r="K50" s="12">
        <f>(INDEX(Proj[],MATCH(Std[[#This Row],[Player]],Proj[Player],0),18)-K$764)/K$765</f>
        <v>0.78226679261313392</v>
      </c>
      <c r="L50" s="12">
        <f>(INDEX(Proj[],MATCH(Std[[#This Row],[Player]],Proj[Player],0),19)-L$764)/L$765</f>
        <v>1.1408194704803067</v>
      </c>
      <c r="M50" s="12">
        <f>(INDEX(Proj[],MATCH(Std[[#This Row],[Player]],Proj[Player],0),20)-M$764)/M$765</f>
        <v>1.3378904761343182</v>
      </c>
      <c r="N50" s="12">
        <f>(INDEX(Proj[],MATCH(Std[[#This Row],[Player]],Proj[Player],0),21)-N$764)/N$765</f>
        <v>-0.77000429269372228</v>
      </c>
      <c r="O50" s="12">
        <f>(INDEX(Proj[],MATCH(Std[[#This Row],[Player]],Proj[Player],0),22)-O$764)/O$765</f>
        <v>-0.26580017597870353</v>
      </c>
      <c r="P50" s="12">
        <f>((INDEX(Proj[],MATCH(Std[[#This Row],[Player]],Proj[Player],0),23)-P$764)/P$765)*IF('League Inputs'!$C$23 = "Yes",-1, 1)</f>
        <v>-0.95391126790344005</v>
      </c>
      <c r="Q50" s="12">
        <f>(INDEX(Proj[],MATCH(Std[[#This Row],[Player]],Proj[Player],0),24)-Q$764)/Q$765</f>
        <v>3.810325881694562</v>
      </c>
      <c r="R50" s="12">
        <f>(INDEX(Proj[],MATCH(Std[[#This Row],[Player]],Proj[Player],0),25)-R$764)/R$765</f>
        <v>3.1259377311102914</v>
      </c>
      <c r="S50" s="12">
        <f>(INDEX(Proj[],MATCH(Std[[#This Row],[Player]],Proj[Player],0),26)-S$764)/S$765</f>
        <v>1.2955406847827464</v>
      </c>
      <c r="T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938.47939722664717</v>
      </c>
      <c r="U50" s="11"/>
      <c r="W50" t="str">
        <v>Nico Hischier</v>
      </c>
      <c r="AA50" t="str">
        <v>Nico Hischier</v>
      </c>
      <c r="AB50" t="str">
        <v>Nico Hischier</v>
      </c>
    </row>
    <row r="51" spans="1:28" x14ac:dyDescent="0.25">
      <c r="A51" t="s">
        <v>484</v>
      </c>
      <c r="B51">
        <f>INDEX(Proj[],MATCH(Std[[#This Row],[Player]],Proj[Player],0),2)</f>
        <v>26</v>
      </c>
      <c r="C51" t="s">
        <v>74</v>
      </c>
      <c r="D51" s="75"/>
      <c r="E51" s="57"/>
      <c r="F51" t="s">
        <v>154</v>
      </c>
      <c r="G51" s="12">
        <f>(INDEX(Proj[],MATCH(Std[[#This Row],[Player]],Proj[Player],0),14)-G$764)/G$765</f>
        <v>1.9783614625626571</v>
      </c>
      <c r="H51" s="12">
        <f>(INDEX(Proj[],MATCH(Std[[#This Row],[Player]],Proj[Player],0),15)-H$764)/H$765</f>
        <v>1.4241506421717909</v>
      </c>
      <c r="I51" s="12">
        <f>(INDEX(Proj[],MATCH(Std[[#This Row],[Player]],Proj[Player],0),16)-I$764)/I$765</f>
        <v>1.7875207706892755</v>
      </c>
      <c r="J51" s="12">
        <f>(INDEX(Proj[],MATCH(Std[[#This Row],[Player]],Proj[Player],0),17)-J$764)/J$765</f>
        <v>1.5938504876481154</v>
      </c>
      <c r="K51" s="12">
        <f>(INDEX(Proj[],MATCH(Std[[#This Row],[Player]],Proj[Player],0),18)-K$764)/K$765</f>
        <v>1.3986105739049848</v>
      </c>
      <c r="L51" s="12">
        <f>(INDEX(Proj[],MATCH(Std[[#This Row],[Player]],Proj[Player],0),19)-L$764)/L$765</f>
        <v>1.5757739965313768</v>
      </c>
      <c r="M51" s="12">
        <f>(INDEX(Proj[],MATCH(Std[[#This Row],[Player]],Proj[Player],0),20)-M$764)/M$765</f>
        <v>-0.71308883245737775</v>
      </c>
      <c r="N51" s="12">
        <f>(INDEX(Proj[],MATCH(Std[[#This Row],[Player]],Proj[Player],0),21)-N$764)/N$765</f>
        <v>-1.2351178930540878</v>
      </c>
      <c r="O51" s="12">
        <f>(INDEX(Proj[],MATCH(Std[[#This Row],[Player]],Proj[Player],0),22)-O$764)/O$765</f>
        <v>-0.68368823608404627</v>
      </c>
      <c r="P51" s="12">
        <f>((INDEX(Proj[],MATCH(Std[[#This Row],[Player]],Proj[Player],0),23)-P$764)/P$765)*IF('League Inputs'!$C$23 = "Yes",-1, 1)</f>
        <v>-0.53505329921821387</v>
      </c>
      <c r="Q51" s="12">
        <f>(INDEX(Proj[],MATCH(Std[[#This Row],[Player]],Proj[Player],0),24)-Q$764)/Q$765</f>
        <v>-0.52863652498964608</v>
      </c>
      <c r="R51" s="12">
        <f>(INDEX(Proj[],MATCH(Std[[#This Row],[Player]],Proj[Player],0),25)-R$764)/R$765</f>
        <v>-0.55721391318626445</v>
      </c>
      <c r="S51" s="12">
        <f>(INDEX(Proj[],MATCH(Std[[#This Row],[Player]],Proj[Player],0),26)-S$764)/S$765</f>
        <v>2.0253819152043055</v>
      </c>
      <c r="T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580.86928338134112</v>
      </c>
      <c r="U51" s="11"/>
      <c r="W51" t="str">
        <v>Jordan Kyrou</v>
      </c>
      <c r="AA51" t="str">
        <v>Jordan Kyrou</v>
      </c>
      <c r="AB51" t="str">
        <v>Jordan Kyrou</v>
      </c>
    </row>
    <row r="52" spans="1:28" x14ac:dyDescent="0.25">
      <c r="A52" t="s">
        <v>279</v>
      </c>
      <c r="B52">
        <f>INDEX(Proj[],MATCH(Std[[#This Row],[Player]],Proj[Player],0),2)</f>
        <v>31</v>
      </c>
      <c r="C52" t="s">
        <v>103</v>
      </c>
      <c r="D52" s="75"/>
      <c r="E52" s="57"/>
      <c r="F52" t="s">
        <v>18</v>
      </c>
      <c r="G52" s="12">
        <f>(INDEX(Proj[],MATCH(Std[[#This Row],[Player]],Proj[Player],0),14)-G$764)/G$765</f>
        <v>0.28821956243840696</v>
      </c>
      <c r="H52" s="12">
        <f>(INDEX(Proj[],MATCH(Std[[#This Row],[Player]],Proj[Player],0),15)-H$764)/H$765</f>
        <v>2.5420896469957692</v>
      </c>
      <c r="I52" s="12">
        <f>(INDEX(Proj[],MATCH(Std[[#This Row],[Player]],Proj[Player],0),16)-I$764)/I$765</f>
        <v>1.7402782117271722</v>
      </c>
      <c r="J52" s="12">
        <f>(INDEX(Proj[],MATCH(Std[[#This Row],[Player]],Proj[Player],0),17)-J$764)/J$765</f>
        <v>1.2994872004234757</v>
      </c>
      <c r="K52" s="12">
        <f>(INDEX(Proj[],MATCH(Std[[#This Row],[Player]],Proj[Player],0),18)-K$764)/K$765</f>
        <v>3.5558138084264628</v>
      </c>
      <c r="L52" s="12">
        <f>(INDEX(Proj[],MATCH(Std[[#This Row],[Player]],Proj[Player],0),19)-L$764)/L$765</f>
        <v>2.9893762061973552</v>
      </c>
      <c r="M52" s="12">
        <f>(INDEX(Proj[],MATCH(Std[[#This Row],[Player]],Proj[Player],0),20)-M$764)/M$765</f>
        <v>-0.71308883245737775</v>
      </c>
      <c r="N52" s="12">
        <f>(INDEX(Proj[],MATCH(Std[[#This Row],[Player]],Proj[Player],0),21)-N$764)/N$765</f>
        <v>-0.55682722586188804</v>
      </c>
      <c r="O52" s="12">
        <f>(INDEX(Proj[],MATCH(Std[[#This Row],[Player]],Proj[Player],0),22)-O$764)/O$765</f>
        <v>0.89499999098058203</v>
      </c>
      <c r="P52" s="12">
        <f>((INDEX(Proj[],MATCH(Std[[#This Row],[Player]],Proj[Player],0),23)-P$764)/P$765)*IF('League Inputs'!$C$23 = "Yes",-1, 1)</f>
        <v>1.0472990269259739</v>
      </c>
      <c r="Q52" s="12">
        <f>(INDEX(Proj[],MATCH(Std[[#This Row],[Player]],Proj[Player],0),24)-Q$764)/Q$765</f>
        <v>-0.5766103108129359</v>
      </c>
      <c r="R52" s="12">
        <f>(INDEX(Proj[],MATCH(Std[[#This Row],[Player]],Proj[Player],0),25)-R$764)/R$765</f>
        <v>-0.62531533033812681</v>
      </c>
      <c r="S52" s="12">
        <f>(INDEX(Proj[],MATCH(Std[[#This Row],[Player]],Proj[Player],0),26)-S$764)/S$765</f>
        <v>1.9442884451574658</v>
      </c>
      <c r="T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1031.3113553747901</v>
      </c>
      <c r="U52" s="11"/>
      <c r="W52" t="str">
        <v>Dougie Hamilton</v>
      </c>
      <c r="AA52" t="str">
        <v>Dougie Hamilton</v>
      </c>
      <c r="AB52" t="str">
        <v>Dougie Hamilton</v>
      </c>
    </row>
    <row r="53" spans="1:28" x14ac:dyDescent="0.25">
      <c r="A53" t="s">
        <v>294</v>
      </c>
      <c r="B53">
        <f>INDEX(Proj[],MATCH(Std[[#This Row],[Player]],Proj[Player],0),2)</f>
        <v>25</v>
      </c>
      <c r="C53" t="s">
        <v>102</v>
      </c>
      <c r="D53" s="75" t="s">
        <v>103</v>
      </c>
      <c r="E53" s="56"/>
      <c r="F53" t="s">
        <v>156</v>
      </c>
      <c r="G53" s="12">
        <f>(INDEX(Proj[],MATCH(Std[[#This Row],[Player]],Proj[Player],0),14)-G$764)/G$765</f>
        <v>0.18258569368064134</v>
      </c>
      <c r="H53" s="12">
        <f>(INDEX(Proj[],MATCH(Std[[#This Row],[Player]],Proj[Player],0),15)-H$764)/H$765</f>
        <v>2.6166189139840346</v>
      </c>
      <c r="I53" s="12">
        <f>(INDEX(Proj[],MATCH(Std[[#This Row],[Player]],Proj[Player],0),16)-I$764)/I$765</f>
        <v>1.7402782117271722</v>
      </c>
      <c r="J53" s="12">
        <f>(INDEX(Proj[],MATCH(Std[[#This Row],[Player]],Proj[Player],0),17)-J$764)/J$765</f>
        <v>1.0051239131988361</v>
      </c>
      <c r="K53" s="12">
        <f>(INDEX(Proj[],MATCH(Std[[#This Row],[Player]],Proj[Player],0),18)-K$764)/K$765</f>
        <v>2.9394700271346119</v>
      </c>
      <c r="L53" s="12">
        <f>(INDEX(Proj[],MATCH(Std[[#This Row],[Player]],Proj[Player],0),19)-L$764)/L$765</f>
        <v>2.4456830486335175</v>
      </c>
      <c r="M53" s="12">
        <f>(INDEX(Proj[],MATCH(Std[[#This Row],[Player]],Proj[Player],0),20)-M$764)/M$765</f>
        <v>-0.71308883245737775</v>
      </c>
      <c r="N53" s="12">
        <f>(INDEX(Proj[],MATCH(Std[[#This Row],[Player]],Proj[Player],0),21)-N$764)/N$765</f>
        <v>-0.16923255889491676</v>
      </c>
      <c r="O53" s="12">
        <f>(INDEX(Proj[],MATCH(Std[[#This Row],[Player]],Proj[Player],0),22)-O$764)/O$765</f>
        <v>1.057512014354882</v>
      </c>
      <c r="P53" s="12">
        <f>((INDEX(Proj[],MATCH(Std[[#This Row],[Player]],Proj[Player],0),23)-P$764)/P$765)*IF('League Inputs'!$C$23 = "Yes",-1, 1)</f>
        <v>-6.9655556234629226E-2</v>
      </c>
      <c r="Q53" s="12">
        <f>(INDEX(Proj[],MATCH(Std[[#This Row],[Player]],Proj[Player],0),24)-Q$764)/Q$765</f>
        <v>-0.5766103108129359</v>
      </c>
      <c r="R53" s="12">
        <f>(INDEX(Proj[],MATCH(Std[[#This Row],[Player]],Proj[Player],0),25)-R$764)/R$765</f>
        <v>-0.62531533033812681</v>
      </c>
      <c r="S53" s="12">
        <f>(INDEX(Proj[],MATCH(Std[[#This Row],[Player]],Proj[Player],0),26)-S$764)/S$765</f>
        <v>1.4252902368576903</v>
      </c>
      <c r="T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865.24696932954589</v>
      </c>
      <c r="U53" s="11"/>
      <c r="W53" t="str">
        <v>Evan Bouchard</v>
      </c>
      <c r="AA53" t="str">
        <v>Evan Bouchard</v>
      </c>
      <c r="AB53" t="str">
        <v>Evan Bouchard</v>
      </c>
    </row>
    <row r="54" spans="1:28" x14ac:dyDescent="0.25">
      <c r="A54" t="s">
        <v>306</v>
      </c>
      <c r="B54">
        <f>INDEX(Proj[],MATCH(Std[[#This Row],[Player]],Proj[Player],0),2)</f>
        <v>34</v>
      </c>
      <c r="C54" t="s">
        <v>102</v>
      </c>
      <c r="D54" s="75" t="s">
        <v>103</v>
      </c>
      <c r="E54" s="57"/>
      <c r="F54" t="s">
        <v>14</v>
      </c>
      <c r="G54" s="12">
        <f>(INDEX(Proj[],MATCH(Std[[#This Row],[Player]],Proj[Player],0),14)-G$764)/G$765</f>
        <v>2.0839953313204229</v>
      </c>
      <c r="H54" s="12">
        <f>(INDEX(Proj[],MATCH(Std[[#This Row],[Player]],Proj[Player],0),15)-H$764)/H$765</f>
        <v>1.2750921081952606</v>
      </c>
      <c r="I54" s="12">
        <f>(INDEX(Proj[],MATCH(Std[[#This Row],[Player]],Proj[Player],0),16)-I$764)/I$765</f>
        <v>1.7402782117271722</v>
      </c>
      <c r="J54" s="12">
        <f>(INDEX(Proj[],MATCH(Std[[#This Row],[Player]],Proj[Player],0),17)-J$764)/J$765</f>
        <v>3.0656669237713139</v>
      </c>
      <c r="K54" s="12">
        <f>(INDEX(Proj[],MATCH(Std[[#This Row],[Player]],Proj[Player],0),18)-K$764)/K$765</f>
        <v>1.3986105739049848</v>
      </c>
      <c r="L54" s="12">
        <f>(INDEX(Proj[],MATCH(Std[[#This Row],[Player]],Proj[Player],0),19)-L$764)/L$765</f>
        <v>2.1194671540952146</v>
      </c>
      <c r="M54" s="12">
        <f>(INDEX(Proj[],MATCH(Std[[#This Row],[Player]],Proj[Player],0),20)-M$764)/M$765</f>
        <v>-0.71308883245737775</v>
      </c>
      <c r="N54" s="12">
        <f>(INDEX(Proj[],MATCH(Std[[#This Row],[Player]],Proj[Player],0),21)-N$764)/N$765</f>
        <v>0.6059567750390259</v>
      </c>
      <c r="O54" s="12">
        <f>(INDEX(Proj[],MATCH(Std[[#This Row],[Player]],Proj[Player],0),22)-O$764)/O$765</f>
        <v>-0.54439221604893206</v>
      </c>
      <c r="P54" s="12">
        <f>((INDEX(Proj[],MATCH(Std[[#This Row],[Player]],Proj[Player],0),23)-P$764)/P$765)*IF('League Inputs'!$C$23 = "Yes",-1, 1)</f>
        <v>-0.16273510483134615</v>
      </c>
      <c r="Q54" s="12">
        <f>(INDEX(Proj[],MATCH(Std[[#This Row],[Player]],Proj[Player],0),24)-Q$764)/Q$765</f>
        <v>3.485170222225598</v>
      </c>
      <c r="R54" s="12">
        <f>(INDEX(Proj[],MATCH(Std[[#This Row],[Player]],Proj[Player],0),25)-R$764)/R$765</f>
        <v>2.3824972605357937</v>
      </c>
      <c r="S54" s="12">
        <f>(INDEX(Proj[],MATCH(Std[[#This Row],[Player]],Proj[Player],0),26)-S$764)/S$765</f>
        <v>2.2686623253448257</v>
      </c>
      <c r="T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1287.1494807067243</v>
      </c>
      <c r="U54" s="11"/>
      <c r="W54" t="str">
        <v>John Tavares</v>
      </c>
      <c r="AA54" t="str">
        <v>John Tavares</v>
      </c>
      <c r="AB54" t="str">
        <v>John Tavares</v>
      </c>
    </row>
    <row r="55" spans="1:28" x14ac:dyDescent="0.25">
      <c r="A55" t="s">
        <v>252</v>
      </c>
      <c r="B55">
        <f>INDEX(Proj[],MATCH(Std[[#This Row],[Player]],Proj[Player],0),2)</f>
        <v>36</v>
      </c>
      <c r="C55" t="s">
        <v>102</v>
      </c>
      <c r="D55" s="75" t="s">
        <v>103</v>
      </c>
      <c r="E55" s="57"/>
      <c r="F55" t="s">
        <v>28</v>
      </c>
      <c r="G55" s="12">
        <f>(INDEX(Proj[],MATCH(Std[[#This Row],[Player]],Proj[Player],0),14)-G$764)/G$765</f>
        <v>1.3445582500160633</v>
      </c>
      <c r="H55" s="12">
        <f>(INDEX(Proj[],MATCH(Std[[#This Row],[Player]],Proj[Player],0),15)-H$764)/H$765</f>
        <v>1.7967969771131171</v>
      </c>
      <c r="I55" s="12">
        <f>(INDEX(Proj[],MATCH(Std[[#This Row],[Player]],Proj[Player],0),16)-I$764)/I$765</f>
        <v>1.7402782117271722</v>
      </c>
      <c r="J55" s="12">
        <f>(INDEX(Proj[],MATCH(Std[[#This Row],[Player]],Proj[Player],0),17)-J$764)/J$765</f>
        <v>1.2994872004234757</v>
      </c>
      <c r="K55" s="12">
        <f>(INDEX(Proj[],MATCH(Std[[#This Row],[Player]],Proj[Player],0),18)-K$764)/K$765</f>
        <v>2.1690403005197982</v>
      </c>
      <c r="L55" s="12">
        <f>(INDEX(Proj[],MATCH(Std[[#This Row],[Player]],Proj[Player],0),19)-L$764)/L$765</f>
        <v>2.0107285225824474</v>
      </c>
      <c r="M55" s="12">
        <f>(INDEX(Proj[],MATCH(Std[[#This Row],[Player]],Proj[Player],0),20)-M$764)/M$765</f>
        <v>2.3633801304301665</v>
      </c>
      <c r="N55" s="12">
        <f>(INDEX(Proj[],MATCH(Std[[#This Row],[Player]],Proj[Player],0),21)-N$764)/N$765</f>
        <v>0.19898237472370597</v>
      </c>
      <c r="O55" s="12">
        <f>(INDEX(Proj[],MATCH(Std[[#This Row],[Player]],Proj[Player],0),22)-O$764)/O$765</f>
        <v>-0.73012024276241771</v>
      </c>
      <c r="P55" s="12">
        <f>((INDEX(Proj[],MATCH(Std[[#This Row],[Player]],Proj[Player],0),23)-P$764)/P$765)*IF('League Inputs'!$C$23 = "Yes",-1, 1)</f>
        <v>2.3969524815783694</v>
      </c>
      <c r="Q55" s="12">
        <f>(INDEX(Proj[],MATCH(Std[[#This Row],[Player]],Proj[Player],0),24)-Q$764)/Q$765</f>
        <v>-0.43268895334306656</v>
      </c>
      <c r="R55" s="12">
        <f>(INDEX(Proj[],MATCH(Std[[#This Row],[Player]],Proj[Player],0),25)-R$764)/R$765</f>
        <v>-0.42668619697852828</v>
      </c>
      <c r="S55" s="12">
        <f>(INDEX(Proj[],MATCH(Std[[#This Row],[Player]],Proj[Player],0),26)-S$764)/S$765</f>
        <v>1.3441967668108505</v>
      </c>
      <c r="T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966.96843884462419</v>
      </c>
      <c r="U55" s="11"/>
      <c r="W55" t="str">
        <v>Brad Marchand</v>
      </c>
      <c r="AA55" t="str">
        <v>Brad Marchand</v>
      </c>
      <c r="AB55" t="str">
        <v>Brad Marchand</v>
      </c>
    </row>
    <row r="56" spans="1:28" x14ac:dyDescent="0.25">
      <c r="A56" t="s">
        <v>281</v>
      </c>
      <c r="B56">
        <f>INDEX(Proj[],MATCH(Std[[#This Row],[Player]],Proj[Player],0),2)</f>
        <v>34</v>
      </c>
      <c r="C56" t="s">
        <v>102</v>
      </c>
      <c r="D56" s="75" t="s">
        <v>103</v>
      </c>
      <c r="E56" s="57"/>
      <c r="F56" t="s">
        <v>22</v>
      </c>
      <c r="G56" s="12">
        <f>(INDEX(Proj[],MATCH(Std[[#This Row],[Player]],Proj[Player],0),14)-G$764)/G$765</f>
        <v>1.6614598562893603</v>
      </c>
      <c r="H56" s="12">
        <f>(INDEX(Proj[],MATCH(Std[[#This Row],[Player]],Proj[Player],0),15)-H$764)/H$765</f>
        <v>1.5732091761483213</v>
      </c>
      <c r="I56" s="12">
        <f>(INDEX(Proj[],MATCH(Std[[#This Row],[Player]],Proj[Player],0),16)-I$764)/I$765</f>
        <v>1.7402782117271722</v>
      </c>
      <c r="J56" s="12">
        <f>(INDEX(Proj[],MATCH(Std[[#This Row],[Player]],Proj[Player],0),17)-J$764)/J$765</f>
        <v>1.8882137748727552</v>
      </c>
      <c r="K56" s="12">
        <f>(INDEX(Proj[],MATCH(Std[[#This Row],[Player]],Proj[Player],0),18)-K$764)/K$765</f>
        <v>1.0904386832590593</v>
      </c>
      <c r="L56" s="12">
        <f>(INDEX(Proj[],MATCH(Std[[#This Row],[Player]],Proj[Player],0),19)-L$764)/L$765</f>
        <v>1.4670353650186094</v>
      </c>
      <c r="M56" s="12">
        <f>(INDEX(Proj[],MATCH(Std[[#This Row],[Player]],Proj[Player],0),20)-M$764)/M$765</f>
        <v>-0.71308883245737775</v>
      </c>
      <c r="N56" s="12">
        <f>(INDEX(Proj[],MATCH(Std[[#This Row],[Player]],Proj[Player],0),21)-N$764)/N$765</f>
        <v>-0.49868802581684241</v>
      </c>
      <c r="O56" s="12">
        <f>(INDEX(Proj[],MATCH(Std[[#This Row],[Player]],Proj[Player],0),22)-O$764)/O$765</f>
        <v>-0.8229842561191606</v>
      </c>
      <c r="P56" s="12">
        <f>((INDEX(Proj[],MATCH(Std[[#This Row],[Player]],Proj[Player],0),23)-P$764)/P$765)*IF('League Inputs'!$C$23 = "Yes",-1, 1)</f>
        <v>1.1403785755226907</v>
      </c>
      <c r="Q56" s="12">
        <f>(INDEX(Proj[],MATCH(Std[[#This Row],[Player]],Proj[Player],0),24)-Q$764)/Q$765</f>
        <v>2.4990424025246418</v>
      </c>
      <c r="R56" s="12">
        <f>(INDEX(Proj[],MATCH(Std[[#This Row],[Player]],Proj[Player],0),25)-R$764)/R$765</f>
        <v>2.8421818263108647</v>
      </c>
      <c r="S56" s="12">
        <f>(INDEX(Proj[],MATCH(Std[[#This Row],[Player]],Proj[Player],0),26)-S$764)/S$765</f>
        <v>2.3335371013822974</v>
      </c>
      <c r="T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1109.3268406677091</v>
      </c>
      <c r="U56" s="11"/>
      <c r="W56" t="str">
        <v>Nazem Kadri</v>
      </c>
      <c r="AA56" t="str">
        <v>Nazem Kadri</v>
      </c>
      <c r="AB56" t="str">
        <v>Nazem Kadri</v>
      </c>
    </row>
    <row r="57" spans="1:28" x14ac:dyDescent="0.25">
      <c r="A57" t="s">
        <v>333</v>
      </c>
      <c r="B57">
        <f>INDEX(Proj[],MATCH(Std[[#This Row],[Player]],Proj[Player],0),2)</f>
        <v>31</v>
      </c>
      <c r="C57" t="s">
        <v>102</v>
      </c>
      <c r="D57" s="75" t="s">
        <v>103</v>
      </c>
      <c r="E57" s="56"/>
      <c r="F57" t="s">
        <v>16</v>
      </c>
      <c r="G57" s="12">
        <f>(INDEX(Proj[],MATCH(Std[[#This Row],[Player]],Proj[Player],0),14)-G$764)/G$765</f>
        <v>1.7670937250471259</v>
      </c>
      <c r="H57" s="12">
        <f>(INDEX(Proj[],MATCH(Std[[#This Row],[Player]],Proj[Player],0),15)-H$764)/H$765</f>
        <v>1.4986799091600562</v>
      </c>
      <c r="I57" s="12">
        <f>(INDEX(Proj[],MATCH(Std[[#This Row],[Player]],Proj[Player],0),16)-I$764)/I$765</f>
        <v>1.7402782117271722</v>
      </c>
      <c r="J57" s="12">
        <f>(INDEX(Proj[],MATCH(Std[[#This Row],[Player]],Proj[Player],0),17)-J$764)/J$765</f>
        <v>1.2994872004234757</v>
      </c>
      <c r="K57" s="12">
        <f>(INDEX(Proj[],MATCH(Std[[#This Row],[Player]],Proj[Player],0),18)-K$764)/K$765</f>
        <v>1.0904386832590593</v>
      </c>
      <c r="L57" s="12">
        <f>(INDEX(Proj[],MATCH(Std[[#This Row],[Player]],Proj[Player],0),19)-L$764)/L$765</f>
        <v>1.2495581019930744</v>
      </c>
      <c r="M57" s="12">
        <f>(INDEX(Proj[],MATCH(Std[[#This Row],[Player]],Proj[Player],0),20)-M$764)/M$765</f>
        <v>-0.71308883245737775</v>
      </c>
      <c r="N57" s="12">
        <f>(INDEX(Proj[],MATCH(Std[[#This Row],[Player]],Proj[Player],0),21)-N$764)/N$765</f>
        <v>-0.55682722586188804</v>
      </c>
      <c r="O57" s="12">
        <f>(INDEX(Proj[],MATCH(Std[[#This Row],[Player]],Proj[Player],0),22)-O$764)/O$765</f>
        <v>-0.35866418933544636</v>
      </c>
      <c r="P57" s="12">
        <f>((INDEX(Proj[],MATCH(Std[[#This Row],[Player]],Proj[Player],0),23)-P$764)/P$765)*IF('League Inputs'!$C$23 = "Yes",-1, 1)</f>
        <v>0.6284410582407477</v>
      </c>
      <c r="Q57" s="12">
        <f>(INDEX(Proj[],MATCH(Std[[#This Row],[Player]],Proj[Player],0),24)-Q$764)/Q$765</f>
        <v>2.6696158632296725</v>
      </c>
      <c r="R57" s="12">
        <f>(INDEX(Proj[],MATCH(Std[[#This Row],[Player]],Proj[Player],0),25)-R$764)/R$765</f>
        <v>3.0464860777664517</v>
      </c>
      <c r="S57" s="12">
        <f>(INDEX(Proj[],MATCH(Std[[#This Row],[Player]],Proj[Player],0),26)-S$764)/S$765</f>
        <v>0.72788639445486714</v>
      </c>
      <c r="T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936.60618486553824</v>
      </c>
      <c r="U57" s="11"/>
      <c r="W57" t="str">
        <v>Mark Scheifele</v>
      </c>
      <c r="AA57" t="str">
        <v>Mark Scheifele</v>
      </c>
      <c r="AB57" t="str">
        <v>Mark Scheifele</v>
      </c>
    </row>
    <row r="58" spans="1:28" x14ac:dyDescent="0.25">
      <c r="A58" t="s">
        <v>358</v>
      </c>
      <c r="B58">
        <f>INDEX(Proj[],MATCH(Std[[#This Row],[Player]],Proj[Player],0),2)</f>
        <v>29</v>
      </c>
      <c r="C58" t="s">
        <v>74</v>
      </c>
      <c r="D58" s="75"/>
      <c r="E58" s="57"/>
      <c r="F58" t="s">
        <v>10</v>
      </c>
      <c r="G58" s="12">
        <f>(INDEX(Proj[],MATCH(Std[[#This Row],[Player]],Proj[Player],0),14)-G$764)/G$765</f>
        <v>1.6614598562893603</v>
      </c>
      <c r="H58" s="12">
        <f>(INDEX(Proj[],MATCH(Std[[#This Row],[Player]],Proj[Player],0),15)-H$764)/H$765</f>
        <v>1.5732091761483213</v>
      </c>
      <c r="I58" s="12">
        <f>(INDEX(Proj[],MATCH(Std[[#This Row],[Player]],Proj[Player],0),16)-I$764)/I$765</f>
        <v>1.7402782117271722</v>
      </c>
      <c r="J58" s="12">
        <f>(INDEX(Proj[],MATCH(Std[[#This Row],[Player]],Proj[Player],0),17)-J$764)/J$765</f>
        <v>1.5938504876481154</v>
      </c>
      <c r="K58" s="12">
        <f>(INDEX(Proj[],MATCH(Std[[#This Row],[Player]],Proj[Player],0),18)-K$764)/K$765</f>
        <v>1.244524628582022</v>
      </c>
      <c r="L58" s="12">
        <f>(INDEX(Proj[],MATCH(Std[[#This Row],[Player]],Proj[Player],0),19)-L$764)/L$765</f>
        <v>1.4670353650186094</v>
      </c>
      <c r="M58" s="12">
        <f>(INDEX(Proj[],MATCH(Std[[#This Row],[Player]],Proj[Player],0),20)-M$764)/M$765</f>
        <v>2.3633801304301665</v>
      </c>
      <c r="N58" s="12">
        <f>(INDEX(Proj[],MATCH(Std[[#This Row],[Player]],Proj[Player],0),21)-N$764)/N$765</f>
        <v>-0.77000429269372228</v>
      </c>
      <c r="O58" s="12">
        <f>(INDEX(Proj[],MATCH(Std[[#This Row],[Player]],Proj[Player],0),22)-O$764)/O$765</f>
        <v>-0.8229842561191606</v>
      </c>
      <c r="P58" s="12">
        <f>((INDEX(Proj[],MATCH(Std[[#This Row],[Player]],Proj[Player],0),23)-P$764)/P$765)*IF('League Inputs'!$C$23 = "Yes",-1, 1)</f>
        <v>0.44228196104731388</v>
      </c>
      <c r="Q58" s="12">
        <f>(INDEX(Proj[],MATCH(Std[[#This Row],[Player]],Proj[Player],0),24)-Q$764)/Q$765</f>
        <v>-0.19282002422661768</v>
      </c>
      <c r="R58" s="12">
        <f>(INDEX(Proj[],MATCH(Std[[#This Row],[Player]],Proj[Player],0),25)-R$764)/R$765</f>
        <v>6.1373959276485257E-2</v>
      </c>
      <c r="S58" s="12">
        <f>(INDEX(Proj[],MATCH(Std[[#This Row],[Player]],Proj[Player],0),26)-S$764)/S$765</f>
        <v>1.0522602746422267</v>
      </c>
      <c r="T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615.0716271833503</v>
      </c>
      <c r="U58" s="11"/>
      <c r="W58" t="str">
        <v>Pavel Buchnevich</v>
      </c>
      <c r="AA58" t="str">
        <v>Pavel Buchnevich</v>
      </c>
      <c r="AB58" t="str">
        <v>Pavel Buchnevich</v>
      </c>
    </row>
    <row r="59" spans="1:28" x14ac:dyDescent="0.25">
      <c r="A59" t="s">
        <v>492</v>
      </c>
      <c r="B59">
        <f>INDEX(Proj[],MATCH(Std[[#This Row],[Player]],Proj[Player],0),2)</f>
        <v>33</v>
      </c>
      <c r="C59" t="s">
        <v>74</v>
      </c>
      <c r="D59" s="75" t="s">
        <v>102</v>
      </c>
      <c r="E59" s="56"/>
      <c r="F59" t="s">
        <v>31</v>
      </c>
      <c r="G59" s="12">
        <f>(INDEX(Proj[],MATCH(Std[[#This Row],[Player]],Proj[Player],0),14)-G$764)/G$765</f>
        <v>2.4008969375937195</v>
      </c>
      <c r="H59" s="12">
        <f>(INDEX(Proj[],MATCH(Std[[#This Row],[Player]],Proj[Player],0),15)-H$764)/H$765</f>
        <v>1.0515043072304648</v>
      </c>
      <c r="I59" s="12">
        <f>(INDEX(Proj[],MATCH(Std[[#This Row],[Player]],Proj[Player],0),16)-I$764)/I$765</f>
        <v>1.7402782117271722</v>
      </c>
      <c r="J59" s="12">
        <f>(INDEX(Proj[],MATCH(Std[[#This Row],[Player]],Proj[Player],0),17)-J$764)/J$765</f>
        <v>1.8882137748727552</v>
      </c>
      <c r="K59" s="12">
        <f>(INDEX(Proj[],MATCH(Std[[#This Row],[Player]],Proj[Player],0),18)-K$764)/K$765</f>
        <v>0.62818084729017121</v>
      </c>
      <c r="L59" s="12">
        <f>(INDEX(Proj[],MATCH(Std[[#This Row],[Player]],Proj[Player],0),19)-L$764)/L$765</f>
        <v>1.1408194704803067</v>
      </c>
      <c r="M59" s="12">
        <f>(INDEX(Proj[],MATCH(Std[[#This Row],[Player]],Proj[Player],0),20)-M$764)/M$765</f>
        <v>0.31240082183847029</v>
      </c>
      <c r="N59" s="12">
        <f>(INDEX(Proj[],MATCH(Std[[#This Row],[Player]],Proj[Player],0),21)-N$764)/N$765</f>
        <v>-0.94442189282885936</v>
      </c>
      <c r="O59" s="12">
        <f>(INDEX(Proj[],MATCH(Std[[#This Row],[Player]],Proj[Player],0),22)-O$764)/O$765</f>
        <v>-0.35866418933544636</v>
      </c>
      <c r="P59" s="12">
        <f>((INDEX(Proj[],MATCH(Std[[#This Row],[Player]],Proj[Player],0),23)-P$764)/P$765)*IF('League Inputs'!$C$23 = "Yes",-1, 1)</f>
        <v>-6.9655556234629226E-2</v>
      </c>
      <c r="Q59" s="12">
        <f>(INDEX(Proj[],MATCH(Std[[#This Row],[Player]],Proj[Player],0),24)-Q$764)/Q$765</f>
        <v>1.4862624795885244</v>
      </c>
      <c r="R59" s="12">
        <f>(INDEX(Proj[],MATCH(Std[[#This Row],[Player]],Proj[Player],0),25)-R$764)/R$765</f>
        <v>1.9625385214326427</v>
      </c>
      <c r="S59" s="12">
        <f>(INDEX(Proj[],MATCH(Std[[#This Row],[Player]],Proj[Player],0),26)-S$764)/S$765</f>
        <v>1.684789341007578</v>
      </c>
      <c r="T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813.1809109228833</v>
      </c>
      <c r="U59" s="11"/>
      <c r="W59" t="str">
        <v>Brock Nelson</v>
      </c>
      <c r="AA59" t="str">
        <v>Brock Nelson</v>
      </c>
      <c r="AB59" t="str">
        <v>Brock Nelson</v>
      </c>
    </row>
    <row r="60" spans="1:28" x14ac:dyDescent="0.25">
      <c r="A60" t="s">
        <v>302</v>
      </c>
      <c r="B60">
        <f>INDEX(Proj[],MATCH(Std[[#This Row],[Player]],Proj[Player],0),2)</f>
        <v>31</v>
      </c>
      <c r="C60" t="s">
        <v>74</v>
      </c>
      <c r="D60" s="75"/>
      <c r="E60" s="56"/>
      <c r="F60" t="s">
        <v>2</v>
      </c>
      <c r="G60" s="12">
        <f>(INDEX(Proj[],MATCH(Std[[#This Row],[Player]],Proj[Player],0),14)-G$764)/G$765</f>
        <v>1.3445582500160633</v>
      </c>
      <c r="H60" s="12">
        <f>(INDEX(Proj[],MATCH(Std[[#This Row],[Player]],Proj[Player],0),15)-H$764)/H$765</f>
        <v>1.7222677101248518</v>
      </c>
      <c r="I60" s="12">
        <f>(INDEX(Proj[],MATCH(Std[[#This Row],[Player]],Proj[Player],0),16)-I$764)/I$765</f>
        <v>1.693035652765069</v>
      </c>
      <c r="J60" s="12">
        <f>(INDEX(Proj[],MATCH(Std[[#This Row],[Player]],Proj[Player],0),17)-J$764)/J$765</f>
        <v>2.182577062097395</v>
      </c>
      <c r="K60" s="12">
        <f>(INDEX(Proj[],MATCH(Std[[#This Row],[Player]],Proj[Player],0),18)-K$764)/K$765</f>
        <v>0.93635273793609664</v>
      </c>
      <c r="L60" s="12">
        <f>(INDEX(Proj[],MATCH(Std[[#This Row],[Player]],Proj[Player],0),19)-L$764)/L$765</f>
        <v>1.4670353650186094</v>
      </c>
      <c r="M60" s="12">
        <f>(INDEX(Proj[],MATCH(Std[[#This Row],[Player]],Proj[Player],0),20)-M$764)/M$765</f>
        <v>0.31240082183847029</v>
      </c>
      <c r="N60" s="12">
        <f>(INDEX(Proj[],MATCH(Std[[#This Row],[Player]],Proj[Player],0),21)-N$764)/N$765</f>
        <v>1.4005258423213169</v>
      </c>
      <c r="O60" s="12">
        <f>(INDEX(Proj[],MATCH(Std[[#This Row],[Player]],Proj[Player],0),22)-O$764)/O$765</f>
        <v>0.12887188078745357</v>
      </c>
      <c r="P60" s="12">
        <f>((INDEX(Proj[],MATCH(Std[[#This Row],[Player]],Proj[Player],0),23)-P$764)/P$765)*IF('League Inputs'!$C$23 = "Yes",-1, 1)</f>
        <v>1.559236544207917</v>
      </c>
      <c r="Q60" s="12">
        <f>(INDEX(Proj[],MATCH(Std[[#This Row],[Player]],Proj[Player],0),24)-Q$764)/Q$765</f>
        <v>3.719708730695015</v>
      </c>
      <c r="R60" s="12">
        <f>(INDEX(Proj[],MATCH(Std[[#This Row],[Player]],Proj[Player],0),25)-R$764)/R$765</f>
        <v>2.7230043462951055</v>
      </c>
      <c r="S60" s="12">
        <f>(INDEX(Proj[],MATCH(Std[[#This Row],[Player]],Proj[Player],0),26)-S$764)/S$765</f>
        <v>1.4252902368576903</v>
      </c>
      <c r="T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1446.0530212793985</v>
      </c>
      <c r="U60" s="11"/>
      <c r="W60" t="str">
        <v>Vincent Trocheck</v>
      </c>
      <c r="AA60" t="str">
        <v>Vincent Trocheck</v>
      </c>
      <c r="AB60" t="str">
        <v>Vincent Trocheck</v>
      </c>
    </row>
    <row r="61" spans="1:28" x14ac:dyDescent="0.25">
      <c r="A61" t="s">
        <v>372</v>
      </c>
      <c r="B61">
        <f>INDEX(Proj[],MATCH(Std[[#This Row],[Player]],Proj[Player],0),2)</f>
        <v>27</v>
      </c>
      <c r="C61" t="s">
        <v>74</v>
      </c>
      <c r="D61" s="75" t="s">
        <v>103</v>
      </c>
      <c r="E61" s="56"/>
      <c r="F61" t="s">
        <v>17</v>
      </c>
      <c r="G61" s="12">
        <f>(INDEX(Proj[],MATCH(Std[[#This Row],[Player]],Proj[Player],0),14)-G$764)/G$765</f>
        <v>1.7670937250471259</v>
      </c>
      <c r="H61" s="12">
        <f>(INDEX(Proj[],MATCH(Std[[#This Row],[Player]],Proj[Player],0),15)-H$764)/H$765</f>
        <v>1.4241506421717909</v>
      </c>
      <c r="I61" s="12">
        <f>(INDEX(Proj[],MATCH(Std[[#This Row],[Player]],Proj[Player],0),16)-I$764)/I$765</f>
        <v>1.693035652765069</v>
      </c>
      <c r="J61" s="12">
        <f>(INDEX(Proj[],MATCH(Std[[#This Row],[Player]],Proj[Player],0),17)-J$764)/J$765</f>
        <v>1.0051239131988361</v>
      </c>
      <c r="K61" s="12">
        <f>(INDEX(Proj[],MATCH(Std[[#This Row],[Player]],Proj[Player],0),18)-K$764)/K$765</f>
        <v>0.78226679261313392</v>
      </c>
      <c r="L61" s="12">
        <f>(INDEX(Proj[],MATCH(Std[[#This Row],[Player]],Proj[Player],0),19)-L$764)/L$765</f>
        <v>0.92334220745477169</v>
      </c>
      <c r="M61" s="12">
        <f>(INDEX(Proj[],MATCH(Std[[#This Row],[Player]],Proj[Player],0),20)-M$764)/M$765</f>
        <v>4.4143594390218626</v>
      </c>
      <c r="N61" s="12">
        <f>(INDEX(Proj[],MATCH(Std[[#This Row],[Player]],Proj[Player],0),21)-N$764)/N$765</f>
        <v>-1.4194692108128246E-2</v>
      </c>
      <c r="O61" s="12">
        <f>(INDEX(Proj[],MATCH(Std[[#This Row],[Player]],Proj[Player],0),22)-O$764)/O$765</f>
        <v>-0.49796020937056062</v>
      </c>
      <c r="P61" s="12">
        <f>((INDEX(Proj[],MATCH(Std[[#This Row],[Player]],Proj[Player],0),23)-P$764)/P$765)*IF('League Inputs'!$C$23 = "Yes",-1, 1)</f>
        <v>1.9780945128931431</v>
      </c>
      <c r="Q61" s="12">
        <f>(INDEX(Proj[],MATCH(Std[[#This Row],[Player]],Proj[Player],0),24)-Q$764)/Q$765</f>
        <v>-0.34207180234351919</v>
      </c>
      <c r="R61" s="12">
        <f>(INDEX(Proj[],MATCH(Std[[#This Row],[Player]],Proj[Player],0),25)-R$764)/R$765</f>
        <v>-0.29048336267480357</v>
      </c>
      <c r="S61" s="12">
        <f>(INDEX(Proj[],MATCH(Std[[#This Row],[Player]],Proj[Player],0),26)-S$764)/S$765</f>
        <v>2.0091632211949375</v>
      </c>
      <c r="T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894.06532577046301</v>
      </c>
      <c r="U61" s="11"/>
      <c r="W61" t="str">
        <v>Travis Konecny</v>
      </c>
      <c r="AA61" t="str">
        <v>Travis Konecny</v>
      </c>
      <c r="AB61" t="str">
        <v>Travis Konecny</v>
      </c>
    </row>
    <row r="62" spans="1:28" x14ac:dyDescent="0.25">
      <c r="A62" t="s">
        <v>356</v>
      </c>
      <c r="B62">
        <f>INDEX(Proj[],MATCH(Std[[#This Row],[Player]],Proj[Player],0),2)</f>
        <v>28</v>
      </c>
      <c r="C62" t="s">
        <v>74</v>
      </c>
      <c r="D62" s="75" t="s">
        <v>103</v>
      </c>
      <c r="E62" s="57"/>
      <c r="F62" t="s">
        <v>14</v>
      </c>
      <c r="G62" s="12">
        <f>(INDEX(Proj[],MATCH(Std[[#This Row],[Player]],Proj[Player],0),14)-G$764)/G$765</f>
        <v>1.8727275938048915</v>
      </c>
      <c r="H62" s="12">
        <f>(INDEX(Proj[],MATCH(Std[[#This Row],[Player]],Proj[Player],0),15)-H$764)/H$765</f>
        <v>1.3496213751835258</v>
      </c>
      <c r="I62" s="12">
        <f>(INDEX(Proj[],MATCH(Std[[#This Row],[Player]],Proj[Player],0),16)-I$764)/I$765</f>
        <v>1.693035652765069</v>
      </c>
      <c r="J62" s="12">
        <f>(INDEX(Proj[],MATCH(Std[[#This Row],[Player]],Proj[Player],0),17)-J$764)/J$765</f>
        <v>2.4769403493220348</v>
      </c>
      <c r="K62" s="12">
        <f>(INDEX(Proj[],MATCH(Std[[#This Row],[Player]],Proj[Player],0),18)-K$764)/K$765</f>
        <v>1.244524628582022</v>
      </c>
      <c r="L62" s="12">
        <f>(INDEX(Proj[],MATCH(Std[[#This Row],[Player]],Proj[Player],0),19)-L$764)/L$765</f>
        <v>1.7932512595569121</v>
      </c>
      <c r="M62" s="12">
        <f>(INDEX(Proj[],MATCH(Std[[#This Row],[Player]],Proj[Player],0),20)-M$764)/M$765</f>
        <v>1.3378904761343182</v>
      </c>
      <c r="N62" s="12">
        <f>(INDEX(Proj[],MATCH(Std[[#This Row],[Player]],Proj[Player],0),21)-N$764)/N$765</f>
        <v>-0.77000429269372228</v>
      </c>
      <c r="O62" s="12">
        <f>(INDEX(Proj[],MATCH(Std[[#This Row],[Player]],Proj[Player],0),22)-O$764)/O$765</f>
        <v>-0.63725622940567483</v>
      </c>
      <c r="P62" s="12">
        <f>((INDEX(Proj[],MATCH(Std[[#This Row],[Player]],Proj[Player],0),23)-P$764)/P$765)*IF('League Inputs'!$C$23 = "Yes",-1, 1)</f>
        <v>0.39574218674895539</v>
      </c>
      <c r="Q62" s="12">
        <f>(INDEX(Proj[],MATCH(Std[[#This Row],[Player]],Proj[Player],0),24)-Q$764)/Q$765</f>
        <v>3.3465792854027612</v>
      </c>
      <c r="R62" s="12">
        <f>(INDEX(Proj[],MATCH(Std[[#This Row],[Player]],Proj[Player],0),25)-R$764)/R$765</f>
        <v>2.8308315901188879</v>
      </c>
      <c r="S62" s="12">
        <f>(INDEX(Proj[],MATCH(Std[[#This Row],[Player]],Proj[Player],0),26)-S$764)/S$765</f>
        <v>1.7334454230356819</v>
      </c>
      <c r="T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1077.71422543984</v>
      </c>
      <c r="U62" s="11"/>
      <c r="W62" t="str">
        <v>Dylan Larkin</v>
      </c>
      <c r="AA62" t="str">
        <v>Dylan Larkin</v>
      </c>
      <c r="AB62" t="str">
        <v>Dylan Larkin</v>
      </c>
    </row>
    <row r="63" spans="1:28" x14ac:dyDescent="0.25">
      <c r="A63" t="s">
        <v>320</v>
      </c>
      <c r="B63">
        <f>INDEX(Proj[],MATCH(Std[[#This Row],[Player]],Proj[Player],0),2)</f>
        <v>25</v>
      </c>
      <c r="C63" t="s">
        <v>103</v>
      </c>
      <c r="D63" s="75"/>
      <c r="E63" s="56"/>
      <c r="F63" t="s">
        <v>5</v>
      </c>
      <c r="G63" s="12">
        <f>(INDEX(Proj[],MATCH(Std[[#This Row],[Player]],Proj[Player],0),14)-G$764)/G$765</f>
        <v>1.4501921187738289</v>
      </c>
      <c r="H63" s="12">
        <f>(INDEX(Proj[],MATCH(Std[[#This Row],[Player]],Proj[Player],0),15)-H$764)/H$765</f>
        <v>1.6477384431365867</v>
      </c>
      <c r="I63" s="12">
        <f>(INDEX(Proj[],MATCH(Std[[#This Row],[Player]],Proj[Player],0),16)-I$764)/I$765</f>
        <v>1.693035652765069</v>
      </c>
      <c r="J63" s="12">
        <f>(INDEX(Proj[],MATCH(Std[[#This Row],[Player]],Proj[Player],0),17)-J$764)/J$765</f>
        <v>1.8882137748727552</v>
      </c>
      <c r="K63" s="12">
        <f>(INDEX(Proj[],MATCH(Std[[#This Row],[Player]],Proj[Player],0),18)-K$764)/K$765</f>
        <v>1.8608684098738728</v>
      </c>
      <c r="L63" s="12">
        <f>(INDEX(Proj[],MATCH(Std[[#This Row],[Player]],Proj[Player],0),19)-L$764)/L$765</f>
        <v>2.0107285225824474</v>
      </c>
      <c r="M63" s="12">
        <f>(INDEX(Proj[],MATCH(Std[[#This Row],[Player]],Proj[Player],0),20)-M$764)/M$765</f>
        <v>0.31240082183847029</v>
      </c>
      <c r="N63" s="12">
        <f>(INDEX(Proj[],MATCH(Std[[#This Row],[Player]],Proj[Player],0),21)-N$764)/N$765</f>
        <v>-0.47930829246849382</v>
      </c>
      <c r="O63" s="12">
        <f>(INDEX(Proj[],MATCH(Std[[#This Row],[Player]],Proj[Player],0),22)-O$764)/O$765</f>
        <v>-0.17293616262196068</v>
      </c>
      <c r="P63" s="12">
        <f>((INDEX(Proj[],MATCH(Std[[#This Row],[Player]],Proj[Player],0),23)-P$764)/P$765)*IF('League Inputs'!$C$23 = "Yes",-1, 1)</f>
        <v>-6.9655556234629226E-2</v>
      </c>
      <c r="Q63" s="12">
        <f>(INDEX(Proj[],MATCH(Std[[#This Row],[Player]],Proj[Player],0),24)-Q$764)/Q$765</f>
        <v>3.0107627846397325</v>
      </c>
      <c r="R63" s="12">
        <f>(INDEX(Proj[],MATCH(Std[[#This Row],[Player]],Proj[Player],0),25)-R$764)/R$765</f>
        <v>3.0351358415744749</v>
      </c>
      <c r="S63" s="12">
        <f>(INDEX(Proj[],MATCH(Std[[#This Row],[Player]],Proj[Player],0),26)-S$764)/S$765</f>
        <v>0.92251072256728295</v>
      </c>
      <c r="T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1001.3068233139866</v>
      </c>
      <c r="U63" s="11"/>
      <c r="W63" t="str">
        <v>Nick Suzuki</v>
      </c>
      <c r="AA63" t="str">
        <v>Nick Suzuki</v>
      </c>
      <c r="AB63" t="str">
        <v>Nick Suzuki</v>
      </c>
    </row>
    <row r="64" spans="1:28" x14ac:dyDescent="0.25">
      <c r="A64" t="s">
        <v>272</v>
      </c>
      <c r="B64">
        <f>INDEX(Proj[],MATCH(Std[[#This Row],[Player]],Proj[Player],0),2)</f>
        <v>33</v>
      </c>
      <c r="C64" t="s">
        <v>102</v>
      </c>
      <c r="D64" s="75" t="s">
        <v>103</v>
      </c>
      <c r="E64" s="57"/>
      <c r="F64" t="s">
        <v>8</v>
      </c>
      <c r="G64" s="12">
        <f>(INDEX(Proj[],MATCH(Std[[#This Row],[Player]],Proj[Player],0),14)-G$764)/G$765</f>
        <v>2.8234324126247823</v>
      </c>
      <c r="H64" s="12">
        <f>(INDEX(Proj[],MATCH(Std[[#This Row],[Player]],Proj[Player],0),15)-H$764)/H$765</f>
        <v>0.52979943831260845</v>
      </c>
      <c r="I64" s="12">
        <f>(INDEX(Proj[],MATCH(Std[[#This Row],[Player]],Proj[Player],0),16)-I$764)/I$765</f>
        <v>1.5985505348408624</v>
      </c>
      <c r="J64" s="12">
        <f>(INDEX(Proj[],MATCH(Std[[#This Row],[Player]],Proj[Player],0),17)-J$764)/J$765</f>
        <v>3.9487567854452332</v>
      </c>
      <c r="K64" s="12">
        <f>(INDEX(Proj[],MATCH(Std[[#This Row],[Player]],Proj[Player],0),18)-K$764)/K$765</f>
        <v>0.78226679261313392</v>
      </c>
      <c r="L64" s="12">
        <f>(INDEX(Proj[],MATCH(Std[[#This Row],[Player]],Proj[Player],0),19)-L$764)/L$765</f>
        <v>2.0107285225824474</v>
      </c>
      <c r="M64" s="12">
        <f>(INDEX(Proj[],MATCH(Std[[#This Row],[Player]],Proj[Player],0),20)-M$764)/M$765</f>
        <v>3.3888697847260145</v>
      </c>
      <c r="N64" s="12">
        <f>(INDEX(Proj[],MATCH(Std[[#This Row],[Player]],Proj[Player],0),21)-N$764)/N$765</f>
        <v>0.23774184142040311</v>
      </c>
      <c r="O64" s="12">
        <f>(INDEX(Proj[],MATCH(Std[[#This Row],[Player]],Proj[Player],0),22)-O$764)/O$765</f>
        <v>-0.79976825277997488</v>
      </c>
      <c r="P64" s="12">
        <f>((INDEX(Proj[],MATCH(Std[[#This Row],[Player]],Proj[Player],0),23)-P$764)/P$765)*IF('League Inputs'!$C$23 = "Yes",-1, 1)</f>
        <v>-0.44197375062149696</v>
      </c>
      <c r="Q64" s="12">
        <f>(INDEX(Proj[],MATCH(Std[[#This Row],[Player]],Proj[Player],0),24)-Q$764)/Q$765</f>
        <v>-0.3474022229905514</v>
      </c>
      <c r="R64" s="12">
        <f>(INDEX(Proj[],MATCH(Std[[#This Row],[Player]],Proj[Player],0),25)-R$764)/R$765</f>
        <v>-0.26210777219486092</v>
      </c>
      <c r="S64" s="12">
        <f>(INDEX(Proj[],MATCH(Std[[#This Row],[Player]],Proj[Player],0),26)-S$764)/S$765</f>
        <v>1.83075758709189</v>
      </c>
      <c r="T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744.18661104809701</v>
      </c>
      <c r="U64" s="11"/>
      <c r="W64" t="str">
        <v>Chris Kreider</v>
      </c>
      <c r="AA64" t="str">
        <v>Chris Kreider</v>
      </c>
      <c r="AB64" t="str">
        <v>Chris Kreider</v>
      </c>
    </row>
    <row r="65" spans="1:28" x14ac:dyDescent="0.25">
      <c r="A65" t="s">
        <v>254</v>
      </c>
      <c r="B65">
        <f>INDEX(Proj[],MATCH(Std[[#This Row],[Player]],Proj[Player],0),2)</f>
        <v>36</v>
      </c>
      <c r="C65" t="s">
        <v>103</v>
      </c>
      <c r="D65" s="75"/>
      <c r="E65" s="56"/>
      <c r="F65" t="s">
        <v>31</v>
      </c>
      <c r="G65" s="12">
        <f>(INDEX(Proj[],MATCH(Std[[#This Row],[Player]],Proj[Player],0),14)-G$764)/G$765</f>
        <v>1.2389243812582977</v>
      </c>
      <c r="H65" s="12">
        <f>(INDEX(Proj[],MATCH(Std[[#This Row],[Player]],Proj[Player],0),15)-H$764)/H$765</f>
        <v>1.6477384431365867</v>
      </c>
      <c r="I65" s="12">
        <f>(INDEX(Proj[],MATCH(Std[[#This Row],[Player]],Proj[Player],0),16)-I$764)/I$765</f>
        <v>1.5985505348408624</v>
      </c>
      <c r="J65" s="12">
        <f>(INDEX(Proj[],MATCH(Std[[#This Row],[Player]],Proj[Player],0),17)-J$764)/J$765</f>
        <v>0.71076062597419631</v>
      </c>
      <c r="K65" s="12">
        <f>(INDEX(Proj[],MATCH(Std[[#This Row],[Player]],Proj[Player],0),18)-K$764)/K$765</f>
        <v>2.3231262458427611</v>
      </c>
      <c r="L65" s="12">
        <f>(INDEX(Proj[],MATCH(Std[[#This Row],[Player]],Proj[Player],0),19)-L$764)/L$765</f>
        <v>1.9019898910696798</v>
      </c>
      <c r="M65" s="12">
        <f>(INDEX(Proj[],MATCH(Std[[#This Row],[Player]],Proj[Player],0),20)-M$764)/M$765</f>
        <v>-0.71308883245737775</v>
      </c>
      <c r="N65" s="12">
        <f>(INDEX(Proj[],MATCH(Std[[#This Row],[Player]],Proj[Player],0),21)-N$764)/N$765</f>
        <v>-1.2932570930991336</v>
      </c>
      <c r="O65" s="12">
        <f>(INDEX(Proj[],MATCH(Std[[#This Row],[Player]],Proj[Player],0),22)-O$764)/O$765</f>
        <v>-0.93906427281508909</v>
      </c>
      <c r="P65" s="12">
        <f>((INDEX(Proj[],MATCH(Std[[#This Row],[Player]],Proj[Player],0),23)-P$764)/P$765)*IF('League Inputs'!$C$23 = "Yes",-1, 1)</f>
        <v>-0.81429194500836466</v>
      </c>
      <c r="Q65" s="12">
        <f>(INDEX(Proj[],MATCH(Std[[#This Row],[Player]],Proj[Player],0),24)-Q$764)/Q$765</f>
        <v>-0.54995820757777492</v>
      </c>
      <c r="R65" s="12">
        <f>(INDEX(Proj[],MATCH(Std[[#This Row],[Player]],Proj[Player],0),25)-R$764)/R$765</f>
        <v>-0.59693973985818416</v>
      </c>
      <c r="S65" s="12">
        <f>(INDEX(Proj[],MATCH(Std[[#This Row],[Player]],Proj[Player],0),26)-S$764)/S$765</f>
        <v>1.6036958709607381</v>
      </c>
      <c r="T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439.43276027658032</v>
      </c>
      <c r="U65" s="11"/>
      <c r="W65" t="str">
        <v>Patrick Kane</v>
      </c>
      <c r="AA65" t="str">
        <v>Patrick Kane</v>
      </c>
      <c r="AB65" t="str">
        <v>Patrick Kane</v>
      </c>
    </row>
    <row r="66" spans="1:28" x14ac:dyDescent="0.25">
      <c r="A66" t="s">
        <v>321</v>
      </c>
      <c r="B66">
        <f>INDEX(Proj[],MATCH(Std[[#This Row],[Player]],Proj[Player],0),2)</f>
        <v>28</v>
      </c>
      <c r="C66" t="s">
        <v>102</v>
      </c>
      <c r="D66" s="75" t="s">
        <v>103</v>
      </c>
      <c r="E66" s="56"/>
      <c r="F66" t="s">
        <v>12</v>
      </c>
      <c r="G66" s="12">
        <f>(INDEX(Proj[],MATCH(Std[[#This Row],[Player]],Proj[Player],0),14)-G$764)/G$765</f>
        <v>1.8727275938048915</v>
      </c>
      <c r="H66" s="12">
        <f>(INDEX(Proj[],MATCH(Std[[#This Row],[Player]],Proj[Player],0),15)-H$764)/H$765</f>
        <v>1.2005628412069953</v>
      </c>
      <c r="I66" s="12">
        <f>(INDEX(Proj[],MATCH(Std[[#This Row],[Player]],Proj[Player],0),16)-I$764)/I$765</f>
        <v>1.5985505348408624</v>
      </c>
      <c r="J66" s="12">
        <f>(INDEX(Proj[],MATCH(Std[[#This Row],[Player]],Proj[Player],0),17)-J$764)/J$765</f>
        <v>1.5938504876481154</v>
      </c>
      <c r="K66" s="12">
        <f>(INDEX(Proj[],MATCH(Std[[#This Row],[Player]],Proj[Player],0),18)-K$764)/K$765</f>
        <v>1.244524628582022</v>
      </c>
      <c r="L66" s="12">
        <f>(INDEX(Proj[],MATCH(Std[[#This Row],[Player]],Proj[Player],0),19)-L$764)/L$765</f>
        <v>1.4670353650186094</v>
      </c>
      <c r="M66" s="12">
        <f>(INDEX(Proj[],MATCH(Std[[#This Row],[Player]],Proj[Player],0),20)-M$764)/M$765</f>
        <v>3.3888697847260145</v>
      </c>
      <c r="N66" s="12">
        <f>(INDEX(Proj[],MATCH(Std[[#This Row],[Player]],Proj[Player],0),21)-N$764)/N$765</f>
        <v>-0.84752322608711661</v>
      </c>
      <c r="O66" s="12">
        <f>(INDEX(Proj[],MATCH(Std[[#This Row],[Player]],Proj[Player],0),22)-O$764)/O$765</f>
        <v>-0.45152820269218918</v>
      </c>
      <c r="P66" s="12">
        <f>((INDEX(Proj[],MATCH(Std[[#This Row],[Player]],Proj[Player],0),23)-P$764)/P$765)*IF('League Inputs'!$C$23 = "Yes",-1, 1)</f>
        <v>-0.44197375062149696</v>
      </c>
      <c r="Q66" s="12">
        <f>(INDEX(Proj[],MATCH(Std[[#This Row],[Player]],Proj[Player],0),24)-Q$764)/Q$765</f>
        <v>1.0118550420026589</v>
      </c>
      <c r="R66" s="12">
        <f>(INDEX(Proj[],MATCH(Std[[#This Row],[Player]],Proj[Player],0),25)-R$764)/R$765</f>
        <v>0.77076372127505144</v>
      </c>
      <c r="S66" s="12">
        <f>(INDEX(Proj[],MATCH(Std[[#This Row],[Player]],Proj[Player],0),26)-S$764)/S$765</f>
        <v>0.92251072256728295</v>
      </c>
      <c r="T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633.22169200404983</v>
      </c>
      <c r="U66" s="11"/>
      <c r="W66" t="str">
        <v>Roope Hintz</v>
      </c>
      <c r="AA66" t="str">
        <v>Roope Hintz</v>
      </c>
      <c r="AB66" t="str">
        <v>Roope Hintz</v>
      </c>
    </row>
    <row r="67" spans="1:28" x14ac:dyDescent="0.25">
      <c r="A67" t="s">
        <v>413</v>
      </c>
      <c r="B67">
        <f>INDEX(Proj[],MATCH(Std[[#This Row],[Player]],Proj[Player],0),2)</f>
        <v>27</v>
      </c>
      <c r="C67" t="s">
        <v>102</v>
      </c>
      <c r="D67" s="75"/>
      <c r="E67" s="56"/>
      <c r="F67" t="s">
        <v>30</v>
      </c>
      <c r="G67" s="12">
        <f>(INDEX(Proj[],MATCH(Std[[#This Row],[Player]],Proj[Player],0),14)-G$764)/G$765</f>
        <v>2.1896292000781883</v>
      </c>
      <c r="H67" s="12">
        <f>(INDEX(Proj[],MATCH(Std[[#This Row],[Player]],Proj[Player],0),15)-H$764)/H$765</f>
        <v>0.90244577325393449</v>
      </c>
      <c r="I67" s="12">
        <f>(INDEX(Proj[],MATCH(Std[[#This Row],[Player]],Proj[Player],0),16)-I$764)/I$765</f>
        <v>1.5513079758787593</v>
      </c>
      <c r="J67" s="12">
        <f>(INDEX(Proj[],MATCH(Std[[#This Row],[Player]],Proj[Player],0),17)-J$764)/J$765</f>
        <v>2.182577062097395</v>
      </c>
      <c r="K67" s="12">
        <f>(INDEX(Proj[],MATCH(Std[[#This Row],[Player]],Proj[Player],0),18)-K$764)/K$765</f>
        <v>0.62818084729017121</v>
      </c>
      <c r="L67" s="12">
        <f>(INDEX(Proj[],MATCH(Std[[#This Row],[Player]],Proj[Player],0),19)-L$764)/L$765</f>
        <v>1.2495581019930744</v>
      </c>
      <c r="M67" s="12">
        <f>(INDEX(Proj[],MATCH(Std[[#This Row],[Player]],Proj[Player],0),20)-M$764)/M$765</f>
        <v>0.31240082183847029</v>
      </c>
      <c r="N67" s="12">
        <f>(INDEX(Proj[],MATCH(Std[[#This Row],[Player]],Proj[Player],0),21)-N$764)/N$765</f>
        <v>-0.22737175893996248</v>
      </c>
      <c r="O67" s="12">
        <f>(INDEX(Proj[],MATCH(Std[[#This Row],[Player]],Proj[Player],0),22)-O$764)/O$765</f>
        <v>-0.75333624610160344</v>
      </c>
      <c r="P67" s="12">
        <f>((INDEX(Proj[],MATCH(Std[[#This Row],[Player]],Proj[Player],0),23)-P$764)/P$765)*IF('League Inputs'!$C$23 = "Yes",-1, 1)</f>
        <v>0.11650354095880462</v>
      </c>
      <c r="Q67" s="12">
        <f>(INDEX(Proj[],MATCH(Std[[#This Row],[Player]],Proj[Player],0),24)-Q$764)/Q$765</f>
        <v>1.4596103763533634</v>
      </c>
      <c r="R67" s="12">
        <f>(INDEX(Proj[],MATCH(Std[[#This Row],[Player]],Proj[Player],0),25)-R$764)/R$765</f>
        <v>2.2803451348080004</v>
      </c>
      <c r="S67" s="12">
        <f>(INDEX(Proj[],MATCH(Std[[#This Row],[Player]],Proj[Player],0),26)-S$764)/S$765</f>
        <v>2.3173184073729298</v>
      </c>
      <c r="T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880.56653708474903</v>
      </c>
      <c r="U67" s="11"/>
      <c r="W67" t="str">
        <v>Tage Thompson</v>
      </c>
      <c r="AA67" t="str">
        <v>Tage Thompson</v>
      </c>
      <c r="AB67" t="str">
        <v>Tage Thompson</v>
      </c>
    </row>
    <row r="68" spans="1:28" x14ac:dyDescent="0.25">
      <c r="A68" t="s">
        <v>308</v>
      </c>
      <c r="B68">
        <f>INDEX(Proj[],MATCH(Std[[#This Row],[Player]],Proj[Player],0),2)</f>
        <v>34</v>
      </c>
      <c r="C68" t="s">
        <v>102</v>
      </c>
      <c r="D68" s="75" t="s">
        <v>103</v>
      </c>
      <c r="E68" s="57"/>
      <c r="F68" t="s">
        <v>153</v>
      </c>
      <c r="G68" s="12">
        <f>(INDEX(Proj[],MATCH(Std[[#This Row],[Player]],Proj[Player],0),14)-G$764)/G$765</f>
        <v>2.2952630688359541</v>
      </c>
      <c r="H68" s="12">
        <f>(INDEX(Proj[],MATCH(Std[[#This Row],[Player]],Proj[Player],0),15)-H$764)/H$765</f>
        <v>0.82791650626566926</v>
      </c>
      <c r="I68" s="12">
        <f>(INDEX(Proj[],MATCH(Std[[#This Row],[Player]],Proj[Player],0),16)-I$764)/I$765</f>
        <v>1.5513079758787593</v>
      </c>
      <c r="J68" s="12">
        <f>(INDEX(Proj[],MATCH(Std[[#This Row],[Player]],Proj[Player],0),17)-J$764)/J$765</f>
        <v>1.8882137748727552</v>
      </c>
      <c r="K68" s="12">
        <f>(INDEX(Proj[],MATCH(Std[[#This Row],[Player]],Proj[Player],0),18)-K$764)/K$765</f>
        <v>1.0904386832590593</v>
      </c>
      <c r="L68" s="12">
        <f>(INDEX(Proj[],MATCH(Std[[#This Row],[Player]],Proj[Player],0),19)-L$764)/L$765</f>
        <v>1.4670353650186094</v>
      </c>
      <c r="M68" s="12">
        <f>(INDEX(Proj[],MATCH(Std[[#This Row],[Player]],Proj[Player],0),20)-M$764)/M$765</f>
        <v>-0.71308883245737775</v>
      </c>
      <c r="N68" s="12">
        <f>(INDEX(Proj[],MATCH(Std[[#This Row],[Player]],Proj[Player],0),21)-N$764)/N$765</f>
        <v>5.1850412402203189E-3</v>
      </c>
      <c r="O68" s="12">
        <f>(INDEX(Proj[],MATCH(Std[[#This Row],[Player]],Proj[Player],0),22)-O$764)/O$765</f>
        <v>-0.93906427281508909</v>
      </c>
      <c r="P68" s="12">
        <f>((INDEX(Proj[],MATCH(Std[[#This Row],[Player]],Proj[Player],0),23)-P$764)/P$765)*IF('League Inputs'!$C$23 = "Yes",-1, 1)</f>
        <v>-6.9655556234629226E-2</v>
      </c>
      <c r="Q68" s="12">
        <f>(INDEX(Proj[],MATCH(Std[[#This Row],[Player]],Proj[Player],0),24)-Q$764)/Q$765</f>
        <v>-0.48599315981338853</v>
      </c>
      <c r="R68" s="12">
        <f>(INDEX(Proj[],MATCH(Std[[#This Row],[Player]],Proj[Player],0),25)-R$764)/R$765</f>
        <v>-0.45506178745847092</v>
      </c>
      <c r="S68" s="12">
        <f>(INDEX(Proj[],MATCH(Std[[#This Row],[Player]],Proj[Player],0),26)-S$764)/S$765</f>
        <v>2.2037875493073535</v>
      </c>
      <c r="T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685.57825176834592</v>
      </c>
      <c r="U68" s="11"/>
      <c r="W68" t="str">
        <v>Jonathan Marchessault</v>
      </c>
      <c r="AA68" t="str">
        <v>Jonathan Marchessault</v>
      </c>
      <c r="AB68" t="str">
        <v>Jonathan Marchessault</v>
      </c>
    </row>
    <row r="69" spans="1:28" x14ac:dyDescent="0.25">
      <c r="A69" t="s">
        <v>335</v>
      </c>
      <c r="B69">
        <f>INDEX(Proj[],MATCH(Std[[#This Row],[Player]],Proj[Player],0),2)</f>
        <v>28</v>
      </c>
      <c r="C69" t="s">
        <v>103</v>
      </c>
      <c r="D69" s="75"/>
      <c r="E69" s="57"/>
      <c r="F69" t="s">
        <v>14</v>
      </c>
      <c r="G69" s="12">
        <f>(INDEX(Proj[],MATCH(Std[[#This Row],[Player]],Proj[Player],0),14)-G$764)/G$765</f>
        <v>1.9783614625626571</v>
      </c>
      <c r="H69" s="12">
        <f>(INDEX(Proj[],MATCH(Std[[#This Row],[Player]],Proj[Player],0),15)-H$764)/H$765</f>
        <v>0.97697504024219972</v>
      </c>
      <c r="I69" s="12">
        <f>(INDEX(Proj[],MATCH(Std[[#This Row],[Player]],Proj[Player],0),16)-I$764)/I$765</f>
        <v>1.5040654169166561</v>
      </c>
      <c r="J69" s="12">
        <f>(INDEX(Proj[],MATCH(Std[[#This Row],[Player]],Proj[Player],0),17)-J$764)/J$765</f>
        <v>1.2994872004234757</v>
      </c>
      <c r="K69" s="12">
        <f>(INDEX(Proj[],MATCH(Std[[#This Row],[Player]],Proj[Player],0),18)-K$764)/K$765</f>
        <v>1.5526965192279474</v>
      </c>
      <c r="L69" s="12">
        <f>(INDEX(Proj[],MATCH(Std[[#This Row],[Player]],Proj[Player],0),19)-L$764)/L$765</f>
        <v>1.5757739965313768</v>
      </c>
      <c r="M69" s="12">
        <f>(INDEX(Proj[],MATCH(Std[[#This Row],[Player]],Proj[Player],0),20)-M$764)/M$765</f>
        <v>2.3633801304301665</v>
      </c>
      <c r="N69" s="12">
        <f>(INDEX(Proj[],MATCH(Std[[#This Row],[Player]],Proj[Player],0),21)-N$764)/N$765</f>
        <v>0.45091890825223735</v>
      </c>
      <c r="O69" s="12">
        <f>(INDEX(Proj[],MATCH(Std[[#This Row],[Player]],Proj[Player],0),22)-O$764)/O$765</f>
        <v>-0.66047223274486055</v>
      </c>
      <c r="P69" s="12">
        <f>((INDEX(Proj[],MATCH(Std[[#This Row],[Player]],Proj[Player],0),23)-P$764)/P$765)*IF('League Inputs'!$C$23 = "Yes",-1, 1)</f>
        <v>1.0938388012243323</v>
      </c>
      <c r="Q69" s="12">
        <f>(INDEX(Proj[],MATCH(Std[[#This Row],[Player]],Proj[Player],0),24)-Q$764)/Q$765</f>
        <v>-0.50731484240151736</v>
      </c>
      <c r="R69" s="12">
        <f>(INDEX(Proj[],MATCH(Std[[#This Row],[Player]],Proj[Player],0),25)-R$764)/R$765</f>
        <v>-0.51181296841835622</v>
      </c>
      <c r="S69" s="12">
        <f>(INDEX(Proj[],MATCH(Std[[#This Row],[Player]],Proj[Player],0),26)-S$764)/S$765</f>
        <v>2.0416006092136736</v>
      </c>
      <c r="T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845.37471597967556</v>
      </c>
      <c r="U69" s="11"/>
      <c r="W69" t="str">
        <v>Adrian Kempe</v>
      </c>
      <c r="AA69" t="str">
        <v>Adrian Kempe</v>
      </c>
      <c r="AB69" t="str">
        <v>Adrian Kempe</v>
      </c>
    </row>
    <row r="70" spans="1:28" x14ac:dyDescent="0.25">
      <c r="A70" t="s">
        <v>301</v>
      </c>
      <c r="B70">
        <f>INDEX(Proj[],MATCH(Std[[#This Row],[Player]],Proj[Player],0),2)</f>
        <v>26</v>
      </c>
      <c r="C70" t="s">
        <v>74</v>
      </c>
      <c r="D70" s="75"/>
      <c r="E70" s="57"/>
      <c r="F70" t="s">
        <v>34</v>
      </c>
      <c r="G70" s="12">
        <f>(INDEX(Proj[],MATCH(Std[[#This Row],[Player]],Proj[Player],0),14)-G$764)/G$765</f>
        <v>1.3445582500160633</v>
      </c>
      <c r="H70" s="12">
        <f>(INDEX(Proj[],MATCH(Std[[#This Row],[Player]],Proj[Player],0),15)-H$764)/H$765</f>
        <v>1.4241506421717909</v>
      </c>
      <c r="I70" s="12">
        <f>(INDEX(Proj[],MATCH(Std[[#This Row],[Player]],Proj[Player],0),16)-I$764)/I$765</f>
        <v>1.5040654169166561</v>
      </c>
      <c r="J70" s="12">
        <f>(INDEX(Proj[],MATCH(Std[[#This Row],[Player]],Proj[Player],0),17)-J$764)/J$765</f>
        <v>1.5938504876481154</v>
      </c>
      <c r="K70" s="12">
        <f>(INDEX(Proj[],MATCH(Std[[#This Row],[Player]],Proj[Player],0),18)-K$764)/K$765</f>
        <v>1.7067824645509102</v>
      </c>
      <c r="L70" s="12">
        <f>(INDEX(Proj[],MATCH(Std[[#This Row],[Player]],Proj[Player],0),19)-L$764)/L$765</f>
        <v>1.7932512595569121</v>
      </c>
      <c r="M70" s="12">
        <f>(INDEX(Proj[],MATCH(Std[[#This Row],[Player]],Proj[Player],0),20)-M$764)/M$765</f>
        <v>-0.71308883245737775</v>
      </c>
      <c r="N70" s="12">
        <f>(INDEX(Proj[],MATCH(Std[[#This Row],[Player]],Proj[Player],0),21)-N$764)/N$765</f>
        <v>0.31526077481379738</v>
      </c>
      <c r="O70" s="12">
        <f>(INDEX(Proj[],MATCH(Std[[#This Row],[Player]],Proj[Player],0),22)-O$764)/O$765</f>
        <v>-0.68368823608404627</v>
      </c>
      <c r="P70" s="12">
        <f>((INDEX(Proj[],MATCH(Std[[#This Row],[Player]],Proj[Player],0),23)-P$764)/P$765)*IF('League Inputs'!$C$23 = "Yes",-1, 1)</f>
        <v>0.44228196104731388</v>
      </c>
      <c r="Q70" s="12">
        <f>(INDEX(Proj[],MATCH(Std[[#This Row],[Player]],Proj[Player],0),24)-Q$764)/Q$765</f>
        <v>-0.37405432622571239</v>
      </c>
      <c r="R70" s="12">
        <f>(INDEX(Proj[],MATCH(Std[[#This Row],[Player]],Proj[Player],0),25)-R$764)/R$765</f>
        <v>-0.31885895315474622</v>
      </c>
      <c r="S70" s="12">
        <f>(INDEX(Proj[],MATCH(Std[[#This Row],[Player]],Proj[Player],0),26)-S$764)/S$765</f>
        <v>1.3441967668108505</v>
      </c>
      <c r="T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711.00225090236268</v>
      </c>
      <c r="U70" s="11"/>
      <c r="W70" t="str">
        <v>Drake Batherson</v>
      </c>
      <c r="AA70" t="str">
        <v>Drake Batherson</v>
      </c>
      <c r="AB70" t="str">
        <v>Drake Batherson</v>
      </c>
    </row>
    <row r="71" spans="1:28" x14ac:dyDescent="0.25">
      <c r="A71" t="s">
        <v>519</v>
      </c>
      <c r="B71">
        <f>INDEX(Proj[],MATCH(Std[[#This Row],[Player]],Proj[Player],0),2)</f>
        <v>27</v>
      </c>
      <c r="C71" t="s">
        <v>102</v>
      </c>
      <c r="D71" s="75" t="s">
        <v>103</v>
      </c>
      <c r="E71" s="56"/>
      <c r="F71" t="s">
        <v>23</v>
      </c>
      <c r="G71" s="12">
        <f>(INDEX(Proj[],MATCH(Std[[#This Row],[Player]],Proj[Player],0),14)-G$764)/G$765</f>
        <v>1.4501921187738289</v>
      </c>
      <c r="H71" s="12">
        <f>(INDEX(Proj[],MATCH(Std[[#This Row],[Player]],Proj[Player],0),15)-H$764)/H$765</f>
        <v>1.3496213751835258</v>
      </c>
      <c r="I71" s="12">
        <f>(INDEX(Proj[],MATCH(Std[[#This Row],[Player]],Proj[Player],0),16)-I$764)/I$765</f>
        <v>1.5040654169166561</v>
      </c>
      <c r="J71" s="12">
        <f>(INDEX(Proj[],MATCH(Std[[#This Row],[Player]],Proj[Player],0),17)-J$764)/J$765</f>
        <v>1.0051239131988361</v>
      </c>
      <c r="K71" s="12">
        <f>(INDEX(Proj[],MATCH(Std[[#This Row],[Player]],Proj[Player],0),18)-K$764)/K$765</f>
        <v>1.7067824645509102</v>
      </c>
      <c r="L71" s="12">
        <f>(INDEX(Proj[],MATCH(Std[[#This Row],[Player]],Proj[Player],0),19)-L$764)/L$765</f>
        <v>1.5757739965313768</v>
      </c>
      <c r="M71" s="12">
        <f>(INDEX(Proj[],MATCH(Std[[#This Row],[Player]],Proj[Player],0),20)-M$764)/M$765</f>
        <v>-0.71308883245737775</v>
      </c>
      <c r="N71" s="12">
        <f>(INDEX(Proj[],MATCH(Std[[#This Row],[Player]],Proj[Player],0),21)-N$764)/N$765</f>
        <v>-1.3707760264925277</v>
      </c>
      <c r="O71" s="12">
        <f>(INDEX(Proj[],MATCH(Std[[#This Row],[Player]],Proj[Player],0),22)-O$764)/O$765</f>
        <v>-0.26580017597870353</v>
      </c>
      <c r="P71" s="12">
        <f>((INDEX(Proj[],MATCH(Std[[#This Row],[Player]],Proj[Player],0),23)-P$764)/P$765)*IF('League Inputs'!$C$23 = "Yes",-1, 1)</f>
        <v>-0.44197375062149696</v>
      </c>
      <c r="Q71" s="12">
        <f>(INDEX(Proj[],MATCH(Std[[#This Row],[Player]],Proj[Player],0),24)-Q$764)/Q$765</f>
        <v>2.7708938555232838</v>
      </c>
      <c r="R71" s="12">
        <f>(INDEX(Proj[],MATCH(Std[[#This Row],[Player]],Proj[Player],0),25)-R$764)/R$765</f>
        <v>2.6549029291432431</v>
      </c>
      <c r="S71" s="12">
        <f>(INDEX(Proj[],MATCH(Std[[#This Row],[Player]],Proj[Player],0),26)-S$764)/S$765</f>
        <v>0.61435553638929119</v>
      </c>
      <c r="T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718.6352346225234</v>
      </c>
      <c r="U71" s="11"/>
      <c r="W71" t="str">
        <v>Dylan Strome</v>
      </c>
      <c r="AA71" t="str">
        <v>Dylan Strome</v>
      </c>
      <c r="AB71" t="str">
        <v>Dylan Strome</v>
      </c>
    </row>
    <row r="72" spans="1:28" x14ac:dyDescent="0.25">
      <c r="A72" t="s">
        <v>248</v>
      </c>
      <c r="B72">
        <f>INDEX(Proj[],MATCH(Std[[#This Row],[Player]],Proj[Player],0),2)</f>
        <v>31</v>
      </c>
      <c r="C72" t="s">
        <v>74</v>
      </c>
      <c r="D72" s="75" t="s">
        <v>102</v>
      </c>
      <c r="E72" s="57"/>
      <c r="F72" t="s">
        <v>30</v>
      </c>
      <c r="G72" s="12">
        <f>(INDEX(Proj[],MATCH(Std[[#This Row],[Player]],Proj[Player],0),14)-G$764)/G$765</f>
        <v>0.39385343119617261</v>
      </c>
      <c r="H72" s="12">
        <f>(INDEX(Proj[],MATCH(Std[[#This Row],[Player]],Proj[Player],0),15)-H$764)/H$765</f>
        <v>2.0949140450661781</v>
      </c>
      <c r="I72" s="12">
        <f>(INDEX(Proj[],MATCH(Std[[#This Row],[Player]],Proj[Player],0),16)-I$764)/I$765</f>
        <v>1.5040654169166561</v>
      </c>
      <c r="J72" s="12">
        <f>(INDEX(Proj[],MATCH(Std[[#This Row],[Player]],Proj[Player],0),17)-J$764)/J$765</f>
        <v>0.41639733874955659</v>
      </c>
      <c r="K72" s="12">
        <f>(INDEX(Proj[],MATCH(Std[[#This Row],[Player]],Proj[Player],0),18)-K$764)/K$765</f>
        <v>1.8608684098738728</v>
      </c>
      <c r="L72" s="12">
        <f>(INDEX(Proj[],MATCH(Std[[#This Row],[Player]],Proj[Player],0),19)-L$764)/L$765</f>
        <v>1.4670353650186094</v>
      </c>
      <c r="M72" s="12">
        <f>(INDEX(Proj[],MATCH(Std[[#This Row],[Player]],Proj[Player],0),20)-M$764)/M$765</f>
        <v>-0.71308883245737775</v>
      </c>
      <c r="N72" s="12">
        <f>(INDEX(Proj[],MATCH(Std[[#This Row],[Player]],Proj[Player],0),21)-N$764)/N$765</f>
        <v>-0.42116909242344813</v>
      </c>
      <c r="O72" s="12">
        <f>(INDEX(Proj[],MATCH(Std[[#This Row],[Player]],Proj[Player],0),22)-O$764)/O$765</f>
        <v>-0.68368823608404627</v>
      </c>
      <c r="P72" s="12">
        <f>((INDEX(Proj[],MATCH(Std[[#This Row],[Player]],Proj[Player],0),23)-P$764)/P$765)*IF('League Inputs'!$C$23 = "Yes",-1, 1)</f>
        <v>0.58190128394238927</v>
      </c>
      <c r="Q72" s="12">
        <f>(INDEX(Proj[],MATCH(Std[[#This Row],[Player]],Proj[Player],0),24)-Q$764)/Q$765</f>
        <v>-0.45934105657822755</v>
      </c>
      <c r="R72" s="12">
        <f>(INDEX(Proj[],MATCH(Std[[#This Row],[Player]],Proj[Player],0),25)-R$764)/R$765</f>
        <v>-0.49478761413039063</v>
      </c>
      <c r="S72" s="12">
        <f>(INDEX(Proj[],MATCH(Std[[#This Row],[Player]],Proj[Player],0),26)-S$764)/S$765</f>
        <v>0.43594990228624342</v>
      </c>
      <c r="T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491.35210593405259</v>
      </c>
      <c r="U72" s="11"/>
      <c r="W72" t="str">
        <v>Jonathan Huberdeau</v>
      </c>
      <c r="AA72" t="str">
        <v>Jonathan Huberdeau</v>
      </c>
      <c r="AB72" t="str">
        <v>Jonathan Huberdeau</v>
      </c>
    </row>
    <row r="73" spans="1:28" x14ac:dyDescent="0.25">
      <c r="A73" t="s">
        <v>283</v>
      </c>
      <c r="B73">
        <f>INDEX(Proj[],MATCH(Std[[#This Row],[Player]],Proj[Player],0),2)</f>
        <v>28</v>
      </c>
      <c r="C73" t="s">
        <v>102</v>
      </c>
      <c r="D73" s="75"/>
      <c r="E73" s="57"/>
      <c r="F73" t="s">
        <v>16</v>
      </c>
      <c r="G73" s="12">
        <f>(INDEX(Proj[],MATCH(Std[[#This Row],[Player]],Proj[Player],0),14)-G$764)/G$765</f>
        <v>1.4501921187738289</v>
      </c>
      <c r="H73" s="12">
        <f>(INDEX(Proj[],MATCH(Std[[#This Row],[Player]],Proj[Player],0),15)-H$764)/H$765</f>
        <v>1.3496213751835258</v>
      </c>
      <c r="I73" s="12">
        <f>(INDEX(Proj[],MATCH(Std[[#This Row],[Player]],Proj[Player],0),16)-I$764)/I$765</f>
        <v>1.5040654169166561</v>
      </c>
      <c r="J73" s="12">
        <f>(INDEX(Proj[],MATCH(Std[[#This Row],[Player]],Proj[Player],0),17)-J$764)/J$765</f>
        <v>0.41639733874955659</v>
      </c>
      <c r="K73" s="12">
        <f>(INDEX(Proj[],MATCH(Std[[#This Row],[Player]],Proj[Player],0),18)-K$764)/K$765</f>
        <v>0.93635273793609664</v>
      </c>
      <c r="L73" s="12">
        <f>(INDEX(Proj[],MATCH(Std[[#This Row],[Player]],Proj[Player],0),19)-L$764)/L$765</f>
        <v>0.81460357594200417</v>
      </c>
      <c r="M73" s="12">
        <f>(INDEX(Proj[],MATCH(Std[[#This Row],[Player]],Proj[Player],0),20)-M$764)/M$765</f>
        <v>-0.71308883245737775</v>
      </c>
      <c r="N73" s="12">
        <f>(INDEX(Proj[],MATCH(Std[[#This Row],[Player]],Proj[Player],0),21)-N$764)/N$765</f>
        <v>-0.94442189282885936</v>
      </c>
      <c r="O73" s="12">
        <f>(INDEX(Proj[],MATCH(Std[[#This Row],[Player]],Proj[Player],0),22)-O$764)/O$765</f>
        <v>-0.70690423942323199</v>
      </c>
      <c r="P73" s="12">
        <f>((INDEX(Proj[],MATCH(Std[[#This Row],[Player]],Proj[Player],0),23)-P$764)/P$765)*IF('League Inputs'!$C$23 = "Yes",-1, 1)</f>
        <v>-0.44197375062149696</v>
      </c>
      <c r="Q73" s="12">
        <f>(INDEX(Proj[],MATCH(Std[[#This Row],[Player]],Proj[Player],0),24)-Q$764)/Q$765</f>
        <v>-0.52863652498964608</v>
      </c>
      <c r="R73" s="12">
        <f>(INDEX(Proj[],MATCH(Std[[#This Row],[Player]],Proj[Player],0),25)-R$764)/R$765</f>
        <v>-0.54586367699428739</v>
      </c>
      <c r="S73" s="12">
        <f>(INDEX(Proj[],MATCH(Std[[#This Row],[Player]],Proj[Player],0),26)-S$764)/S$765</f>
        <v>2.0091632211949375</v>
      </c>
      <c r="T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450.57093001477176</v>
      </c>
      <c r="U73" s="11"/>
      <c r="W73" t="str">
        <v>Nikolaj Ehlers</v>
      </c>
      <c r="AA73" t="str">
        <v>Nikolaj Ehlers</v>
      </c>
      <c r="AB73" t="str">
        <v>Nikolaj Ehlers</v>
      </c>
    </row>
    <row r="74" spans="1:28" x14ac:dyDescent="0.25">
      <c r="A74" t="s">
        <v>978</v>
      </c>
      <c r="B74">
        <f>INDEX(Proj[],MATCH(Std[[#This Row],[Player]],Proj[Player],0),2)</f>
        <v>27</v>
      </c>
      <c r="C74" t="s">
        <v>74</v>
      </c>
      <c r="D74" s="75" t="s">
        <v>103</v>
      </c>
      <c r="E74" s="56"/>
      <c r="F74" t="s">
        <v>32</v>
      </c>
      <c r="G74" s="12">
        <f>(INDEX(Proj[],MATCH(Std[[#This Row],[Player]],Proj[Player],0),14)-G$764)/G$765</f>
        <v>1.6614598562893603</v>
      </c>
      <c r="H74" s="12">
        <f>(INDEX(Proj[],MATCH(Std[[#This Row],[Player]],Proj[Player],0),15)-H$764)/H$765</f>
        <v>1.1260335742187302</v>
      </c>
      <c r="I74" s="12">
        <f>(INDEX(Proj[],MATCH(Std[[#This Row],[Player]],Proj[Player],0),16)-I$764)/I$765</f>
        <v>1.4568228579545528</v>
      </c>
      <c r="J74" s="12">
        <f>(INDEX(Proj[],MATCH(Std[[#This Row],[Player]],Proj[Player],0),17)-J$764)/J$765</f>
        <v>2.4769403493220348</v>
      </c>
      <c r="K74" s="12">
        <f>(INDEX(Proj[],MATCH(Std[[#This Row],[Player]],Proj[Player],0),18)-K$764)/K$765</f>
        <v>1.0904386832590593</v>
      </c>
      <c r="L74" s="12">
        <f>(INDEX(Proj[],MATCH(Std[[#This Row],[Player]],Proj[Player],0),19)-L$764)/L$765</f>
        <v>1.6845126280441445</v>
      </c>
      <c r="M74" s="12">
        <f>(INDEX(Proj[],MATCH(Std[[#This Row],[Player]],Proj[Player],0),20)-M$764)/M$765</f>
        <v>-0.71308883245737775</v>
      </c>
      <c r="N74" s="12">
        <f>(INDEX(Proj[],MATCH(Std[[#This Row],[Player]],Proj[Player],0),21)-N$764)/N$765</f>
        <v>-0.30489069233335675</v>
      </c>
      <c r="O74" s="12">
        <f>(INDEX(Proj[],MATCH(Std[[#This Row],[Player]],Proj[Player],0),22)-O$764)/O$765</f>
        <v>-0.61404022606648923</v>
      </c>
      <c r="P74" s="12">
        <f>((INDEX(Proj[],MATCH(Std[[#This Row],[Player]],Proj[Player],0),23)-P$764)/P$765)*IF('League Inputs'!$C$23 = "Yes",-1, 1)</f>
        <v>0.11650354095880462</v>
      </c>
      <c r="Q74" s="12">
        <f>(INDEX(Proj[],MATCH(Std[[#This Row],[Player]],Proj[Player],0),24)-Q$764)/Q$765</f>
        <v>-0.47000189787229196</v>
      </c>
      <c r="R74" s="12">
        <f>(INDEX(Proj[],MATCH(Std[[#This Row],[Player]],Proj[Player],0),25)-R$764)/R$765</f>
        <v>-0.47776225984242504</v>
      </c>
      <c r="S74" s="12">
        <f>(INDEX(Proj[],MATCH(Std[[#This Row],[Player]],Proj[Player],0),26)-S$764)/S$765</f>
        <v>1.8794136691199939</v>
      </c>
      <c r="T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653.58133103134492</v>
      </c>
      <c r="U74" s="11"/>
      <c r="W74" t="str">
        <v>Alex DeBrincat</v>
      </c>
      <c r="AA74" t="str">
        <v>Alex DeBrincat</v>
      </c>
      <c r="AB74" t="str">
        <v>Alex DeBrincat</v>
      </c>
    </row>
    <row r="75" spans="1:28" x14ac:dyDescent="0.25">
      <c r="A75" t="s">
        <v>318</v>
      </c>
      <c r="B75">
        <f>INDEX(Proj[],MATCH(Std[[#This Row],[Player]],Proj[Player],0),2)</f>
        <v>37</v>
      </c>
      <c r="C75" t="s">
        <v>103</v>
      </c>
      <c r="D75" s="75"/>
      <c r="E75" s="57"/>
      <c r="F75" t="s">
        <v>4</v>
      </c>
      <c r="G75" s="12">
        <f>(INDEX(Proj[],MATCH(Std[[#This Row],[Player]],Proj[Player],0),14)-G$764)/G$765</f>
        <v>0.92202277498500074</v>
      </c>
      <c r="H75" s="12">
        <f>(INDEX(Proj[],MATCH(Std[[#This Row],[Player]],Proj[Player],0),15)-H$764)/H$765</f>
        <v>1.6477384431365867</v>
      </c>
      <c r="I75" s="12">
        <f>(INDEX(Proj[],MATCH(Std[[#This Row],[Player]],Proj[Player],0),16)-I$764)/I$765</f>
        <v>1.4568228579545528</v>
      </c>
      <c r="J75" s="12">
        <f>(INDEX(Proj[],MATCH(Std[[#This Row],[Player]],Proj[Player],0),17)-J$764)/J$765</f>
        <v>1.2994872004234757</v>
      </c>
      <c r="K75" s="12">
        <f>(INDEX(Proj[],MATCH(Std[[#This Row],[Player]],Proj[Player],0),18)-K$764)/K$765</f>
        <v>1.3986105739049848</v>
      </c>
      <c r="L75" s="12">
        <f>(INDEX(Proj[],MATCH(Std[[#This Row],[Player]],Proj[Player],0),19)-L$764)/L$765</f>
        <v>1.4670353650186094</v>
      </c>
      <c r="M75" s="12">
        <f>(INDEX(Proj[],MATCH(Std[[#This Row],[Player]],Proj[Player],0),20)-M$764)/M$765</f>
        <v>1.3378904761343182</v>
      </c>
      <c r="N75" s="12">
        <f>(INDEX(Proj[],MATCH(Std[[#This Row],[Player]],Proj[Player],0),21)-N$764)/N$765</f>
        <v>-0.84752322608711661</v>
      </c>
      <c r="O75" s="12">
        <f>(INDEX(Proj[],MATCH(Std[[#This Row],[Player]],Proj[Player],0),22)-O$764)/O$765</f>
        <v>1.2791864091525006E-2</v>
      </c>
      <c r="P75" s="12">
        <f>((INDEX(Proj[],MATCH(Std[[#This Row],[Player]],Proj[Player],0),23)-P$764)/P$765)*IF('League Inputs'!$C$23 = "Yes",-1, 1)</f>
        <v>-0.44197375062149696</v>
      </c>
      <c r="Q75" s="12">
        <f>(INDEX(Proj[],MATCH(Std[[#This Row],[Player]],Proj[Player],0),24)-Q$764)/Q$765</f>
        <v>3.53847442869592</v>
      </c>
      <c r="R75" s="12">
        <f>(INDEX(Proj[],MATCH(Std[[#This Row],[Player]],Proj[Player],0),25)-R$764)/R$765</f>
        <v>2.9670344244226126</v>
      </c>
      <c r="S75" s="12">
        <f>(INDEX(Proj[],MATCH(Std[[#This Row],[Player]],Proj[Player],0),26)-S$764)/S$765</f>
        <v>0.14401341011761973</v>
      </c>
      <c r="T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789.94021672912004</v>
      </c>
      <c r="U75" s="11"/>
      <c r="W75" t="str">
        <v>Anze Kopitar</v>
      </c>
      <c r="AA75" t="str">
        <v>Anze Kopitar</v>
      </c>
      <c r="AB75" t="str">
        <v>Anze Kopitar</v>
      </c>
    </row>
    <row r="76" spans="1:28" x14ac:dyDescent="0.25">
      <c r="A76" t="s">
        <v>571</v>
      </c>
      <c r="B76">
        <f>INDEX(Proj[],MATCH(Std[[#This Row],[Player]],Proj[Player],0),2)</f>
        <v>26</v>
      </c>
      <c r="C76" t="s">
        <v>74</v>
      </c>
      <c r="D76" s="75"/>
      <c r="E76" s="56"/>
      <c r="F76" t="s">
        <v>9</v>
      </c>
      <c r="G76" s="12">
        <f>(INDEX(Proj[],MATCH(Std[[#This Row],[Player]],Proj[Player],0),14)-G$764)/G$765</f>
        <v>1.6614598562893603</v>
      </c>
      <c r="H76" s="12">
        <f>(INDEX(Proj[],MATCH(Std[[#This Row],[Player]],Proj[Player],0),15)-H$764)/H$765</f>
        <v>1.1260335742187302</v>
      </c>
      <c r="I76" s="12">
        <f>(INDEX(Proj[],MATCH(Std[[#This Row],[Player]],Proj[Player],0),16)-I$764)/I$765</f>
        <v>1.4568228579545528</v>
      </c>
      <c r="J76" s="12">
        <f>(INDEX(Proj[],MATCH(Std[[#This Row],[Player]],Proj[Player],0),17)-J$764)/J$765</f>
        <v>0.12203405152491688</v>
      </c>
      <c r="K76" s="12">
        <f>(INDEX(Proj[],MATCH(Std[[#This Row],[Player]],Proj[Player],0),18)-K$764)/K$765</f>
        <v>1.1837065998320361E-2</v>
      </c>
      <c r="L76" s="12">
        <f>(INDEX(Proj[],MATCH(Std[[#This Row],[Player]],Proj[Player],0),19)-L$764)/L$765</f>
        <v>5.3433155352631455E-2</v>
      </c>
      <c r="M76" s="12">
        <f>(INDEX(Proj[],MATCH(Std[[#This Row],[Player]],Proj[Player],0),20)-M$764)/M$765</f>
        <v>3.3888697847260145</v>
      </c>
      <c r="N76" s="12">
        <f>(INDEX(Proj[],MATCH(Std[[#This Row],[Player]],Proj[Player],0),21)-N$764)/N$765</f>
        <v>-0.61496642590693373</v>
      </c>
      <c r="O76" s="12">
        <f>(INDEX(Proj[],MATCH(Std[[#This Row],[Player]],Proj[Player],0),22)-O$764)/O$765</f>
        <v>-0.28901617931788925</v>
      </c>
      <c r="P76" s="12">
        <f>((INDEX(Proj[],MATCH(Std[[#This Row],[Player]],Proj[Player],0),23)-P$764)/P$765)*IF('League Inputs'!$C$23 = "Yes",-1, 1)</f>
        <v>1.0007592526276154</v>
      </c>
      <c r="Q76" s="12">
        <f>(INDEX(Proj[],MATCH(Std[[#This Row],[Player]],Proj[Player],0),24)-Q$764)/Q$765</f>
        <v>-0.41669769140196994</v>
      </c>
      <c r="R76" s="12">
        <f>(INDEX(Proj[],MATCH(Std[[#This Row],[Player]],Proj[Player],0),25)-R$764)/R$765</f>
        <v>-0.37561013411463151</v>
      </c>
      <c r="S76" s="12">
        <f>(INDEX(Proj[],MATCH(Std[[#This Row],[Player]],Proj[Player],0),26)-S$764)/S$765</f>
        <v>0.77654247648297103</v>
      </c>
      <c r="T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475.43708762990684</v>
      </c>
      <c r="U76" s="11"/>
      <c r="W76" t="str">
        <v>Brandon Hagel</v>
      </c>
      <c r="AA76" t="str">
        <v>Brandon Hagel</v>
      </c>
      <c r="AB76" t="str">
        <v>Brandon Hagel</v>
      </c>
    </row>
    <row r="77" spans="1:28" x14ac:dyDescent="0.25">
      <c r="A77" t="s">
        <v>410</v>
      </c>
      <c r="B77">
        <f>INDEX(Proj[],MATCH(Std[[#This Row],[Player]],Proj[Player],0),2)</f>
        <v>28</v>
      </c>
      <c r="C77" t="s">
        <v>102</v>
      </c>
      <c r="D77" s="75" t="s">
        <v>103</v>
      </c>
      <c r="E77" s="56"/>
      <c r="F77" t="s">
        <v>87</v>
      </c>
      <c r="G77" s="12">
        <f>(INDEX(Proj[],MATCH(Std[[#This Row],[Player]],Proj[Player],0),14)-G$764)/G$765</f>
        <v>1.1332905125005321</v>
      </c>
      <c r="H77" s="12">
        <f>(INDEX(Proj[],MATCH(Std[[#This Row],[Player]],Proj[Player],0),15)-H$764)/H$765</f>
        <v>1.4986799091600562</v>
      </c>
      <c r="I77" s="12">
        <f>(INDEX(Proj[],MATCH(Std[[#This Row],[Player]],Proj[Player],0),16)-I$764)/I$765</f>
        <v>1.4568228579545528</v>
      </c>
      <c r="J77" s="12">
        <f>(INDEX(Proj[],MATCH(Std[[#This Row],[Player]],Proj[Player],0),17)-J$764)/J$765</f>
        <v>1.5938504876481154</v>
      </c>
      <c r="K77" s="12">
        <f>(INDEX(Proj[],MATCH(Std[[#This Row],[Player]],Proj[Player],0),18)-K$764)/K$765</f>
        <v>0.62818084729017121</v>
      </c>
      <c r="L77" s="12">
        <f>(INDEX(Proj[],MATCH(Std[[#This Row],[Player]],Proj[Player],0),19)-L$764)/L$765</f>
        <v>1.0320808389675393</v>
      </c>
      <c r="M77" s="12">
        <f>(INDEX(Proj[],MATCH(Std[[#This Row],[Player]],Proj[Player],0),20)-M$764)/M$765</f>
        <v>0.31240082183847029</v>
      </c>
      <c r="N77" s="12">
        <f>(INDEX(Proj[],MATCH(Std[[#This Row],[Player]],Proj[Player],0),21)-N$764)/N$765</f>
        <v>-1.2932570930991336</v>
      </c>
      <c r="O77" s="12">
        <f>(INDEX(Proj[],MATCH(Std[[#This Row],[Player]],Proj[Player],0),22)-O$764)/O$765</f>
        <v>-0.54439221604893206</v>
      </c>
      <c r="P77" s="12">
        <f>((INDEX(Proj[],MATCH(Std[[#This Row],[Player]],Proj[Player],0),23)-P$764)/P$765)*IF('League Inputs'!$C$23 = "Yes",-1, 1)</f>
        <v>-0.76775217071000623</v>
      </c>
      <c r="Q77" s="12">
        <f>(INDEX(Proj[],MATCH(Std[[#This Row],[Player]],Proj[Player],0),24)-Q$764)/Q$765</f>
        <v>0.21762236559486151</v>
      </c>
      <c r="R77" s="12">
        <f>(INDEX(Proj[],MATCH(Std[[#This Row],[Player]],Proj[Player],0),25)-R$764)/R$765</f>
        <v>0.57213458791545291</v>
      </c>
      <c r="S77" s="12">
        <f>(INDEX(Proj[],MATCH(Std[[#This Row],[Player]],Proj[Player],0),26)-S$764)/S$765</f>
        <v>0.54948076035181925</v>
      </c>
      <c r="T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328.25757646712901</v>
      </c>
      <c r="U77" s="11"/>
      <c r="W77" t="str">
        <v>Nick Schmaltz</v>
      </c>
      <c r="AA77" t="str">
        <v>Nick Schmaltz</v>
      </c>
      <c r="AB77" t="str">
        <v>Nick Schmaltz</v>
      </c>
    </row>
    <row r="78" spans="1:28" x14ac:dyDescent="0.25">
      <c r="A78" t="s">
        <v>389</v>
      </c>
      <c r="B78">
        <f>INDEX(Proj[],MATCH(Std[[#This Row],[Player]],Proj[Player],0),2)</f>
        <v>28</v>
      </c>
      <c r="C78" t="s">
        <v>102</v>
      </c>
      <c r="D78" s="75" t="s">
        <v>103</v>
      </c>
      <c r="E78" s="56"/>
      <c r="F78" t="s">
        <v>87</v>
      </c>
      <c r="G78" s="12">
        <f>(INDEX(Proj[],MATCH(Std[[#This Row],[Player]],Proj[Player],0),14)-G$764)/G$765</f>
        <v>2.0839953313204229</v>
      </c>
      <c r="H78" s="12">
        <f>(INDEX(Proj[],MATCH(Std[[#This Row],[Player]],Proj[Player],0),15)-H$764)/H$765</f>
        <v>0.75338723927740403</v>
      </c>
      <c r="I78" s="12">
        <f>(INDEX(Proj[],MATCH(Std[[#This Row],[Player]],Proj[Player],0),16)-I$764)/I$765</f>
        <v>1.4095802989924495</v>
      </c>
      <c r="J78" s="12">
        <f>(INDEX(Proj[],MATCH(Std[[#This Row],[Player]],Proj[Player],0),17)-J$764)/J$765</f>
        <v>3.9487567854452332</v>
      </c>
      <c r="K78" s="12">
        <f>(INDEX(Proj[],MATCH(Std[[#This Row],[Player]],Proj[Player],0),18)-K$764)/K$765</f>
        <v>0.62818084729017121</v>
      </c>
      <c r="L78" s="12">
        <f>(INDEX(Proj[],MATCH(Std[[#This Row],[Player]],Proj[Player],0),19)-L$764)/L$765</f>
        <v>1.9019898910696798</v>
      </c>
      <c r="M78" s="12">
        <f>(INDEX(Proj[],MATCH(Std[[#This Row],[Player]],Proj[Player],0),20)-M$764)/M$765</f>
        <v>0.31240082183847029</v>
      </c>
      <c r="N78" s="12">
        <f>(INDEX(Proj[],MATCH(Std[[#This Row],[Player]],Proj[Player],0),21)-N$764)/N$765</f>
        <v>1.1873487754894829</v>
      </c>
      <c r="O78" s="12">
        <f>(INDEX(Proj[],MATCH(Std[[#This Row],[Player]],Proj[Player],0),22)-O$764)/O$765</f>
        <v>-0.14972015928277496</v>
      </c>
      <c r="P78" s="12">
        <f>((INDEX(Proj[],MATCH(Std[[#This Row],[Player]],Proj[Player],0),23)-P$764)/P$765)*IF('League Inputs'!$C$23 = "Yes",-1, 1)</f>
        <v>0.39574218674895539</v>
      </c>
      <c r="Q78" s="12">
        <f>(INDEX(Proj[],MATCH(Std[[#This Row],[Player]],Proj[Player],0),24)-Q$764)/Q$765</f>
        <v>3.5224831667548235</v>
      </c>
      <c r="R78" s="12">
        <f>(INDEX(Proj[],MATCH(Std[[#This Row],[Player]],Proj[Player],0),25)-R$764)/R$765</f>
        <v>3.8750533197807773</v>
      </c>
      <c r="S78" s="12">
        <f>(INDEX(Proj[],MATCH(Std[[#This Row],[Player]],Proj[Player],0),26)-S$764)/S$765</f>
        <v>2.3010997133635618</v>
      </c>
      <c r="T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1340.5906443734007</v>
      </c>
      <c r="U78" s="11"/>
      <c r="W78" t="str">
        <v>Joel Eriksson Ek</v>
      </c>
      <c r="AA78" t="str">
        <v>Joel Eriksson Ek</v>
      </c>
      <c r="AB78" t="str">
        <v>Joel Eriksson Ek</v>
      </c>
    </row>
    <row r="79" spans="1:28" x14ac:dyDescent="0.25">
      <c r="A79" t="s">
        <v>299</v>
      </c>
      <c r="B79">
        <f>INDEX(Proj[],MATCH(Std[[#This Row],[Player]],Proj[Player],0),2)</f>
        <v>29</v>
      </c>
      <c r="C79" t="s">
        <v>74</v>
      </c>
      <c r="D79" s="75" t="s">
        <v>103</v>
      </c>
      <c r="E79" s="57"/>
      <c r="F79" t="s">
        <v>31</v>
      </c>
      <c r="G79" s="12">
        <f>(INDEX(Proj[],MATCH(Std[[#This Row],[Player]],Proj[Player],0),14)-G$764)/G$765</f>
        <v>-2.8682043834889943E-2</v>
      </c>
      <c r="H79" s="12">
        <f>(INDEX(Proj[],MATCH(Std[[#This Row],[Player]],Proj[Player],0),15)-H$764)/H$765</f>
        <v>2.2439725790427083</v>
      </c>
      <c r="I79" s="12">
        <f>(INDEX(Proj[],MATCH(Std[[#This Row],[Player]],Proj[Player],0),16)-I$764)/I$765</f>
        <v>1.4095802989924495</v>
      </c>
      <c r="J79" s="12">
        <f>(INDEX(Proj[],MATCH(Std[[#This Row],[Player]],Proj[Player],0),17)-J$764)/J$765</f>
        <v>0.12203405152491688</v>
      </c>
      <c r="K79" s="12">
        <f>(INDEX(Proj[],MATCH(Std[[#This Row],[Player]],Proj[Player],0),18)-K$764)/K$765</f>
        <v>2.1690403005197982</v>
      </c>
      <c r="L79" s="12">
        <f>(INDEX(Proj[],MATCH(Std[[#This Row],[Player]],Proj[Player],0),19)-L$764)/L$765</f>
        <v>1.5757739965313768</v>
      </c>
      <c r="M79" s="12">
        <f>(INDEX(Proj[],MATCH(Std[[#This Row],[Player]],Proj[Player],0),20)-M$764)/M$765</f>
        <v>-0.71308883245737775</v>
      </c>
      <c r="N79" s="12">
        <f>(INDEX(Proj[],MATCH(Std[[#This Row],[Player]],Proj[Player],0),21)-N$764)/N$765</f>
        <v>0.12146344133031171</v>
      </c>
      <c r="O79" s="12">
        <f>(INDEX(Proj[],MATCH(Std[[#This Row],[Player]],Proj[Player],0),22)-O$764)/O$765</f>
        <v>1.2896720477467392</v>
      </c>
      <c r="P79" s="12">
        <f>((INDEX(Proj[],MATCH(Std[[#This Row],[Player]],Proj[Player],0),23)-P$764)/P$765)*IF('League Inputs'!$C$23 = "Yes",-1, 1)</f>
        <v>0.58190128394238927</v>
      </c>
      <c r="Q79" s="12">
        <f>(INDEX(Proj[],MATCH(Std[[#This Row],[Player]],Proj[Player],0),24)-Q$764)/Q$765</f>
        <v>-0.5766103108129359</v>
      </c>
      <c r="R79" s="12">
        <f>(INDEX(Proj[],MATCH(Std[[#This Row],[Player]],Proj[Player],0),25)-R$764)/R$765</f>
        <v>-0.62531533033812681</v>
      </c>
      <c r="S79" s="12">
        <f>(INDEX(Proj[],MATCH(Std[[#This Row],[Player]],Proj[Player],0),26)-S$764)/S$765</f>
        <v>1.0036041926141228</v>
      </c>
      <c r="T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762.06754855522718</v>
      </c>
      <c r="U79" s="11"/>
      <c r="W79" t="str">
        <v>Josh Morrissey</v>
      </c>
      <c r="AA79" t="str">
        <v>Josh Morrissey</v>
      </c>
      <c r="AB79" t="str">
        <v>Josh Morrissey</v>
      </c>
    </row>
    <row r="80" spans="1:28" x14ac:dyDescent="0.25">
      <c r="A80" t="s">
        <v>260</v>
      </c>
      <c r="B80">
        <f>INDEX(Proj[],MATCH(Std[[#This Row],[Player]],Proj[Player],0),2)</f>
        <v>24</v>
      </c>
      <c r="C80" t="s">
        <v>74</v>
      </c>
      <c r="D80" s="75" t="s">
        <v>102</v>
      </c>
      <c r="E80" s="56"/>
      <c r="F80" t="s">
        <v>5</v>
      </c>
      <c r="G80" s="12">
        <f>(INDEX(Proj[],MATCH(Std[[#This Row],[Player]],Proj[Player],0),14)-G$764)/G$765</f>
        <v>1.3445582500160633</v>
      </c>
      <c r="H80" s="12">
        <f>(INDEX(Proj[],MATCH(Std[[#This Row],[Player]],Proj[Player],0),15)-H$764)/H$765</f>
        <v>1.2750921081952606</v>
      </c>
      <c r="I80" s="12">
        <f>(INDEX(Proj[],MATCH(Std[[#This Row],[Player]],Proj[Player],0),16)-I$764)/I$765</f>
        <v>1.4095802989924495</v>
      </c>
      <c r="J80" s="12">
        <f>(INDEX(Proj[],MATCH(Std[[#This Row],[Player]],Proj[Player],0),17)-J$764)/J$765</f>
        <v>1.2994872004234757</v>
      </c>
      <c r="K80" s="12">
        <f>(INDEX(Proj[],MATCH(Std[[#This Row],[Player]],Proj[Player],0),18)-K$764)/K$765</f>
        <v>1.3986105739049848</v>
      </c>
      <c r="L80" s="12">
        <f>(INDEX(Proj[],MATCH(Std[[#This Row],[Player]],Proj[Player],0),19)-L$764)/L$765</f>
        <v>1.4670353650186094</v>
      </c>
      <c r="M80" s="12">
        <f>(INDEX(Proj[],MATCH(Std[[#This Row],[Player]],Proj[Player],0),20)-M$764)/M$765</f>
        <v>-0.71308883245737775</v>
      </c>
      <c r="N80" s="12">
        <f>(INDEX(Proj[],MATCH(Std[[#This Row],[Player]],Proj[Player],0),21)-N$764)/N$765</f>
        <v>1.5168042424114083</v>
      </c>
      <c r="O80" s="12">
        <f>(INDEX(Proj[],MATCH(Std[[#This Row],[Player]],Proj[Player],0),22)-O$764)/O$765</f>
        <v>-0.89263226613671776</v>
      </c>
      <c r="P80" s="12">
        <f>((INDEX(Proj[],MATCH(Std[[#This Row],[Player]],Proj[Player],0),23)-P$764)/P$765)*IF('League Inputs'!$C$23 = "Yes",-1, 1)</f>
        <v>1.7919354156997094</v>
      </c>
      <c r="Q80" s="12">
        <f>(INDEX(Proj[],MATCH(Std[[#This Row],[Player]],Proj[Player],0),24)-Q$764)/Q$765</f>
        <v>-0.52863652498964608</v>
      </c>
      <c r="R80" s="12">
        <f>(INDEX(Proj[],MATCH(Std[[#This Row],[Player]],Proj[Player],0),25)-R$764)/R$765</f>
        <v>-0.56856414937824151</v>
      </c>
      <c r="S80" s="12">
        <f>(INDEX(Proj[],MATCH(Std[[#This Row],[Player]],Proj[Player],0),26)-S$764)/S$765</f>
        <v>1.2631032967640106</v>
      </c>
      <c r="T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864.68401859711469</v>
      </c>
      <c r="U80" s="11"/>
      <c r="W80" t="str">
        <v>Andrei Svechnikov</v>
      </c>
      <c r="AA80" t="str">
        <v>Andrei Svechnikov</v>
      </c>
      <c r="AB80" t="str">
        <v>Andrei Svechnikov</v>
      </c>
    </row>
    <row r="81" spans="1:28" x14ac:dyDescent="0.25">
      <c r="A81" t="s">
        <v>350</v>
      </c>
      <c r="B81">
        <f>INDEX(Proj[],MATCH(Std[[#This Row],[Player]],Proj[Player],0),2)</f>
        <v>25</v>
      </c>
      <c r="C81" t="s">
        <v>74</v>
      </c>
      <c r="D81" s="75"/>
      <c r="E81" s="57"/>
      <c r="F81" t="s">
        <v>31</v>
      </c>
      <c r="G81" s="12">
        <f>(INDEX(Proj[],MATCH(Std[[#This Row],[Player]],Proj[Player],0),14)-G$764)/G$765</f>
        <v>-0.23994978135042122</v>
      </c>
      <c r="H81" s="12">
        <f>(INDEX(Proj[],MATCH(Std[[#This Row],[Player]],Proj[Player],0),15)-H$764)/H$765</f>
        <v>2.3930311130192385</v>
      </c>
      <c r="I81" s="12">
        <f>(INDEX(Proj[],MATCH(Std[[#This Row],[Player]],Proj[Player],0),16)-I$764)/I$765</f>
        <v>1.4095802989924495</v>
      </c>
      <c r="J81" s="12">
        <f>(INDEX(Proj[],MATCH(Std[[#This Row],[Player]],Proj[Player],0),17)-J$764)/J$765</f>
        <v>0.12203405152491688</v>
      </c>
      <c r="K81" s="12">
        <f>(INDEX(Proj[],MATCH(Std[[#This Row],[Player]],Proj[Player],0),18)-K$764)/K$765</f>
        <v>3.0935559724575747</v>
      </c>
      <c r="L81" s="12">
        <f>(INDEX(Proj[],MATCH(Std[[#This Row],[Player]],Proj[Player],0),19)-L$764)/L$765</f>
        <v>2.2282057856079822</v>
      </c>
      <c r="M81" s="12">
        <f>(INDEX(Proj[],MATCH(Std[[#This Row],[Player]],Proj[Player],0),20)-M$764)/M$765</f>
        <v>-0.71308883245737775</v>
      </c>
      <c r="N81" s="12">
        <f>(INDEX(Proj[],MATCH(Std[[#This Row],[Player]],Proj[Player],0),21)-N$764)/N$765</f>
        <v>-0.53744749251353952</v>
      </c>
      <c r="O81" s="12">
        <f>(INDEX(Proj[],MATCH(Std[[#This Row],[Player]],Proj[Player],0),22)-O$764)/O$765</f>
        <v>1.0807280176940677</v>
      </c>
      <c r="P81" s="12">
        <f>((INDEX(Proj[],MATCH(Std[[#This Row],[Player]],Proj[Player],0),23)-P$764)/P$765)*IF('League Inputs'!$C$23 = "Yes",-1, 1)</f>
        <v>-6.9655556234629226E-2</v>
      </c>
      <c r="Q81" s="12">
        <f>(INDEX(Proj[],MATCH(Std[[#This Row],[Player]],Proj[Player],0),24)-Q$764)/Q$765</f>
        <v>-0.5766103108129359</v>
      </c>
      <c r="R81" s="12">
        <f>(INDEX(Proj[],MATCH(Std[[#This Row],[Player]],Proj[Player],0),25)-R$764)/R$765</f>
        <v>-0.62531533033812681</v>
      </c>
      <c r="S81" s="12">
        <f>(INDEX(Proj[],MATCH(Std[[#This Row],[Player]],Proj[Player],0),26)-S$764)/S$765</f>
        <v>0.95494811058601881</v>
      </c>
      <c r="T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664.28301849882303</v>
      </c>
      <c r="U81" s="11"/>
      <c r="W81" t="str">
        <v>Miro Heiskanen</v>
      </c>
      <c r="AA81" t="str">
        <v>Miro Heiskanen</v>
      </c>
      <c r="AB81" t="str">
        <v>Miro Heiskanen</v>
      </c>
    </row>
    <row r="82" spans="1:28" x14ac:dyDescent="0.25">
      <c r="A82" t="s">
        <v>374</v>
      </c>
      <c r="B82">
        <f>INDEX(Proj[],MATCH(Std[[#This Row],[Player]],Proj[Player],0),2)</f>
        <v>29</v>
      </c>
      <c r="C82" t="s">
        <v>74</v>
      </c>
      <c r="D82" s="75"/>
      <c r="E82" s="57"/>
      <c r="F82" t="s">
        <v>4</v>
      </c>
      <c r="G82" s="12">
        <f>(INDEX(Proj[],MATCH(Std[[#This Row],[Player]],Proj[Player],0),14)-G$764)/G$765</f>
        <v>1.9783614625626571</v>
      </c>
      <c r="H82" s="12">
        <f>(INDEX(Proj[],MATCH(Std[[#This Row],[Player]],Proj[Player],0),15)-H$764)/H$765</f>
        <v>0.82791650626566926</v>
      </c>
      <c r="I82" s="12">
        <f>(INDEX(Proj[],MATCH(Std[[#This Row],[Player]],Proj[Player],0),16)-I$764)/I$765</f>
        <v>1.4095802989924495</v>
      </c>
      <c r="J82" s="12">
        <f>(INDEX(Proj[],MATCH(Std[[#This Row],[Player]],Proj[Player],0),17)-J$764)/J$765</f>
        <v>2.182577062097395</v>
      </c>
      <c r="K82" s="12">
        <f>(INDEX(Proj[],MATCH(Std[[#This Row],[Player]],Proj[Player],0),18)-K$764)/K$765</f>
        <v>0.47409490196720849</v>
      </c>
      <c r="L82" s="12">
        <f>(INDEX(Proj[],MATCH(Std[[#This Row],[Player]],Proj[Player],0),19)-L$764)/L$765</f>
        <v>1.1408194704803067</v>
      </c>
      <c r="M82" s="12">
        <f>(INDEX(Proj[],MATCH(Std[[#This Row],[Player]],Proj[Player],0),20)-M$764)/M$765</f>
        <v>1.3378904761343182</v>
      </c>
      <c r="N82" s="12">
        <f>(INDEX(Proj[],MATCH(Std[[#This Row],[Player]],Proj[Player],0),21)-N$764)/N$765</f>
        <v>-0.45992855912014524</v>
      </c>
      <c r="O82" s="12">
        <f>(INDEX(Proj[],MATCH(Std[[#This Row],[Player]],Proj[Player],0),22)-O$764)/O$765</f>
        <v>-0.31223218265707492</v>
      </c>
      <c r="P82" s="12">
        <f>((INDEX(Proj[],MATCH(Std[[#This Row],[Player]],Proj[Player],0),23)-P$764)/P$765)*IF('League Inputs'!$C$23 = "Yes",-1, 1)</f>
        <v>-2.3115781936270764E-2</v>
      </c>
      <c r="Q82" s="12">
        <f>(INDEX(Proj[],MATCH(Std[[#This Row],[Player]],Proj[Player],0),24)-Q$764)/Q$765</f>
        <v>3.5864482145192098</v>
      </c>
      <c r="R82" s="12">
        <f>(INDEX(Proj[],MATCH(Std[[#This Row],[Player]],Proj[Player],0),25)-R$764)/R$765</f>
        <v>3.0748616682463945</v>
      </c>
      <c r="S82" s="12">
        <f>(INDEX(Proj[],MATCH(Std[[#This Row],[Player]],Proj[Player],0),26)-S$764)/S$765</f>
        <v>1.7334454230356819</v>
      </c>
      <c r="T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988.12948521424835</v>
      </c>
      <c r="U82" s="11"/>
      <c r="W82" t="str">
        <v>Bo Horvat</v>
      </c>
      <c r="AA82" t="str">
        <v>Bo Horvat</v>
      </c>
      <c r="AB82" t="str">
        <v>Bo Horvat</v>
      </c>
    </row>
    <row r="83" spans="1:28" x14ac:dyDescent="0.25">
      <c r="A83" t="s">
        <v>1213</v>
      </c>
      <c r="B83">
        <f>INDEX(Proj[],MATCH(Std[[#This Row],[Player]],Proj[Player],0),2)</f>
        <v>20</v>
      </c>
      <c r="C83" t="s">
        <v>74</v>
      </c>
      <c r="D83" s="75" t="s">
        <v>103</v>
      </c>
      <c r="E83" s="56"/>
      <c r="F83" t="s">
        <v>20</v>
      </c>
      <c r="G83" s="12">
        <f>(INDEX(Proj[],MATCH(Std[[#This Row],[Player]],Proj[Player],0),14)-G$764)/G$765</f>
        <v>1.5558259875315945</v>
      </c>
      <c r="H83" s="12">
        <f>(INDEX(Proj[],MATCH(Std[[#This Row],[Player]],Proj[Player],0),15)-H$764)/H$765</f>
        <v>1.1260335742187302</v>
      </c>
      <c r="I83" s="12">
        <f>(INDEX(Proj[],MATCH(Std[[#This Row],[Player]],Proj[Player],0),16)-I$764)/I$765</f>
        <v>1.4095802989924495</v>
      </c>
      <c r="J83" s="12">
        <f>(INDEX(Proj[],MATCH(Std[[#This Row],[Player]],Proj[Player],0),17)-J$764)/J$765</f>
        <v>0.71076062597419631</v>
      </c>
      <c r="K83" s="12">
        <f>(INDEX(Proj[],MATCH(Std[[#This Row],[Player]],Proj[Player],0),18)-K$764)/K$765</f>
        <v>1.0904386832590593</v>
      </c>
      <c r="L83" s="12">
        <f>(INDEX(Proj[],MATCH(Std[[#This Row],[Player]],Proj[Player],0),19)-L$764)/L$765</f>
        <v>1.0320808389675393</v>
      </c>
      <c r="M83" s="12">
        <f>(INDEX(Proj[],MATCH(Std[[#This Row],[Player]],Proj[Player],0),20)-M$764)/M$765</f>
        <v>-0.71308883245737775</v>
      </c>
      <c r="N83" s="12">
        <f>(INDEX(Proj[],MATCH(Std[[#This Row],[Player]],Proj[Player],0),21)-N$764)/N$765</f>
        <v>-0.82814349273876797</v>
      </c>
      <c r="O83" s="12">
        <f>(INDEX(Proj[],MATCH(Std[[#This Row],[Player]],Proj[Player],0),22)-O$764)/O$765</f>
        <v>-0.56760821938811779</v>
      </c>
      <c r="P83" s="12">
        <f>((INDEX(Proj[],MATCH(Std[[#This Row],[Player]],Proj[Player],0),23)-P$764)/P$765)*IF('League Inputs'!$C$23 = "Yes",-1, 1)</f>
        <v>2.3423992362087698E-2</v>
      </c>
      <c r="Q83" s="12">
        <f>(INDEX(Proj[],MATCH(Std[[#This Row],[Player]],Proj[Player],0),24)-Q$764)/Q$765</f>
        <v>-0.28876759587319722</v>
      </c>
      <c r="R83" s="12">
        <f>(INDEX(Proj[],MATCH(Std[[#This Row],[Player]],Proj[Player],0),25)-R$764)/R$765</f>
        <v>-0.25643265409887239</v>
      </c>
      <c r="S83" s="12">
        <f>(INDEX(Proj[],MATCH(Std[[#This Row],[Player]],Proj[Player],0),26)-S$764)/S$765</f>
        <v>0.98738549860475477</v>
      </c>
      <c r="T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444.98108826770738</v>
      </c>
      <c r="U83" s="11"/>
      <c r="W83" t="str">
        <v>Matvei Michkov</v>
      </c>
      <c r="AA83" t="str">
        <v>Matvei Michkov</v>
      </c>
      <c r="AB83" t="str">
        <v>Matvei Michkov</v>
      </c>
    </row>
    <row r="84" spans="1:28" x14ac:dyDescent="0.25">
      <c r="A84" t="s">
        <v>546</v>
      </c>
      <c r="B84">
        <f>INDEX(Proj[],MATCH(Std[[#This Row],[Player]],Proj[Player],0),2)</f>
        <v>22</v>
      </c>
      <c r="C84" t="s">
        <v>103</v>
      </c>
      <c r="D84" s="75"/>
      <c r="E84" s="57"/>
      <c r="F84" t="s">
        <v>9</v>
      </c>
      <c r="G84" s="12">
        <f>(INDEX(Proj[],MATCH(Std[[#This Row],[Player]],Proj[Player],0),14)-G$764)/G$765</f>
        <v>1.5558259875315945</v>
      </c>
      <c r="H84" s="12">
        <f>(INDEX(Proj[],MATCH(Std[[#This Row],[Player]],Proj[Player],0),15)-H$764)/H$765</f>
        <v>1.0515043072304648</v>
      </c>
      <c r="I84" s="12">
        <f>(INDEX(Proj[],MATCH(Std[[#This Row],[Player]],Proj[Player],0),16)-I$764)/I$765</f>
        <v>1.3623377400303465</v>
      </c>
      <c r="J84" s="12">
        <f>(INDEX(Proj[],MATCH(Std[[#This Row],[Player]],Proj[Player],0),17)-J$764)/J$765</f>
        <v>2.182577062097395</v>
      </c>
      <c r="K84" s="12">
        <f>(INDEX(Proj[],MATCH(Std[[#This Row],[Player]],Proj[Player],0),18)-K$764)/K$765</f>
        <v>0.62818084729017121</v>
      </c>
      <c r="L84" s="12">
        <f>(INDEX(Proj[],MATCH(Std[[#This Row],[Player]],Proj[Player],0),19)-L$764)/L$765</f>
        <v>1.2495581019930744</v>
      </c>
      <c r="M84" s="12">
        <f>(INDEX(Proj[],MATCH(Std[[#This Row],[Player]],Proj[Player],0),20)-M$764)/M$765</f>
        <v>2.3633801304301665</v>
      </c>
      <c r="N84" s="12">
        <f>(INDEX(Proj[],MATCH(Std[[#This Row],[Player]],Proj[Player],0),21)-N$764)/N$765</f>
        <v>0.19898237472370597</v>
      </c>
      <c r="O84" s="12">
        <f>(INDEX(Proj[],MATCH(Std[[#This Row],[Player]],Proj[Player],0),22)-O$764)/O$765</f>
        <v>-0.28901617931788925</v>
      </c>
      <c r="P84" s="12">
        <f>((INDEX(Proj[],MATCH(Std[[#This Row],[Player]],Proj[Player],0),23)-P$764)/P$765)*IF('League Inputs'!$C$23 = "Yes",-1, 1)</f>
        <v>-0.76775217071000623</v>
      </c>
      <c r="Q84" s="12">
        <f>(INDEX(Proj[],MATCH(Std[[#This Row],[Player]],Proj[Player],0),24)-Q$764)/Q$765</f>
        <v>1.5066381007638005E-2</v>
      </c>
      <c r="R84" s="12">
        <f>(INDEX(Proj[],MATCH(Std[[#This Row],[Player]],Proj[Player],0),25)-R$764)/R$765</f>
        <v>0.15785096690829026</v>
      </c>
      <c r="S84" s="12">
        <f>(INDEX(Proj[],MATCH(Std[[#This Row],[Player]],Proj[Player],0),26)-S$764)/S$765</f>
        <v>1.0198228866234909</v>
      </c>
      <c r="T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539.63294291124191</v>
      </c>
      <c r="U84" s="11"/>
      <c r="W84" t="str">
        <v>Seth Jarvis</v>
      </c>
      <c r="AA84" t="str">
        <v>Seth Jarvis</v>
      </c>
      <c r="AB84" t="str">
        <v>Seth Jarvis</v>
      </c>
    </row>
    <row r="85" spans="1:28" x14ac:dyDescent="0.25">
      <c r="A85" t="s">
        <v>382</v>
      </c>
      <c r="B85">
        <f>INDEX(Proj[],MATCH(Std[[#This Row],[Player]],Proj[Player],0),2)</f>
        <v>32</v>
      </c>
      <c r="C85" t="s">
        <v>74</v>
      </c>
      <c r="D85" s="75" t="s">
        <v>102</v>
      </c>
      <c r="E85" s="57" t="s">
        <v>103</v>
      </c>
      <c r="F85" t="s">
        <v>153</v>
      </c>
      <c r="G85" s="12">
        <f>(INDEX(Proj[],MATCH(Std[[#This Row],[Player]],Proj[Player],0),14)-G$764)/G$765</f>
        <v>1.8727275938048915</v>
      </c>
      <c r="H85" s="12">
        <f>(INDEX(Proj[],MATCH(Std[[#This Row],[Player]],Proj[Player],0),15)-H$764)/H$765</f>
        <v>0.82791650626566926</v>
      </c>
      <c r="I85" s="12">
        <f>(INDEX(Proj[],MATCH(Std[[#This Row],[Player]],Proj[Player],0),16)-I$764)/I$765</f>
        <v>1.3623377400303465</v>
      </c>
      <c r="J85" s="12">
        <f>(INDEX(Proj[],MATCH(Std[[#This Row],[Player]],Proj[Player],0),17)-J$764)/J$765</f>
        <v>2.182577062097395</v>
      </c>
      <c r="K85" s="12">
        <f>(INDEX(Proj[],MATCH(Std[[#This Row],[Player]],Proj[Player],0),18)-K$764)/K$765</f>
        <v>0.93635273793609664</v>
      </c>
      <c r="L85" s="12">
        <f>(INDEX(Proj[],MATCH(Std[[#This Row],[Player]],Proj[Player],0),19)-L$764)/L$765</f>
        <v>1.4670353650186094</v>
      </c>
      <c r="M85" s="12">
        <f>(INDEX(Proj[],MATCH(Std[[#This Row],[Player]],Proj[Player],0),20)-M$764)/M$765</f>
        <v>0.31240082183847029</v>
      </c>
      <c r="N85" s="12">
        <f>(INDEX(Proj[],MATCH(Std[[#This Row],[Player]],Proj[Player],0),21)-N$764)/N$765</f>
        <v>-0.38240962572675097</v>
      </c>
      <c r="O85" s="12">
        <f>(INDEX(Proj[],MATCH(Std[[#This Row],[Player]],Proj[Player],0),22)-O$764)/O$765</f>
        <v>-1.031928286171832</v>
      </c>
      <c r="P85" s="12">
        <f>((INDEX(Proj[],MATCH(Std[[#This Row],[Player]],Proj[Player],0),23)-P$764)/P$765)*IF('League Inputs'!$C$23 = "Yes",-1, 1)</f>
        <v>-0.81429194500836466</v>
      </c>
      <c r="Q85" s="12">
        <f>(INDEX(Proj[],MATCH(Std[[#This Row],[Player]],Proj[Player],0),24)-Q$764)/Q$765</f>
        <v>-0.41669769140196994</v>
      </c>
      <c r="R85" s="12">
        <f>(INDEX(Proj[],MATCH(Std[[#This Row],[Player]],Proj[Player],0),25)-R$764)/R$765</f>
        <v>-0.38696037030660857</v>
      </c>
      <c r="S85" s="12">
        <f>(INDEX(Proj[],MATCH(Std[[#This Row],[Player]],Proj[Player],0),26)-S$764)/S$765</f>
        <v>1.83075758709189</v>
      </c>
      <c r="T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471.54472439024886</v>
      </c>
      <c r="U85" s="11"/>
      <c r="W85" t="str">
        <v>Tyler Toffoli</v>
      </c>
      <c r="AA85" t="str">
        <v>Tyler Toffoli</v>
      </c>
      <c r="AB85" t="str">
        <v>Tyler Toffoli</v>
      </c>
    </row>
    <row r="86" spans="1:28" x14ac:dyDescent="0.25">
      <c r="A86" t="s">
        <v>280</v>
      </c>
      <c r="B86">
        <f>INDEX(Proj[],MATCH(Std[[#This Row],[Player]],Proj[Player],0),2)</f>
        <v>24</v>
      </c>
      <c r="C86" t="s">
        <v>74</v>
      </c>
      <c r="D86" s="75" t="s">
        <v>102</v>
      </c>
      <c r="E86" s="57"/>
      <c r="F86" t="s">
        <v>17</v>
      </c>
      <c r="G86" s="12">
        <f>(INDEX(Proj[],MATCH(Std[[#This Row],[Player]],Proj[Player],0),14)-G$764)/G$765</f>
        <v>0.28821956243840696</v>
      </c>
      <c r="H86" s="12">
        <f>(INDEX(Proj[],MATCH(Std[[#This Row],[Player]],Proj[Player],0),15)-H$764)/H$765</f>
        <v>1.8713262441013823</v>
      </c>
      <c r="I86" s="12">
        <f>(INDEX(Proj[],MATCH(Std[[#This Row],[Player]],Proj[Player],0),16)-I$764)/I$765</f>
        <v>1.3150951810682432</v>
      </c>
      <c r="J86" s="12">
        <f>(INDEX(Proj[],MATCH(Std[[#This Row],[Player]],Proj[Player],0),17)-J$764)/J$765</f>
        <v>0.41639733874955659</v>
      </c>
      <c r="K86" s="12">
        <f>(INDEX(Proj[],MATCH(Std[[#This Row],[Player]],Proj[Player],0),18)-K$764)/K$765</f>
        <v>2.1690403005197982</v>
      </c>
      <c r="L86" s="12">
        <f>(INDEX(Proj[],MATCH(Std[[#This Row],[Player]],Proj[Player],0),19)-L$764)/L$765</f>
        <v>1.6845126280441445</v>
      </c>
      <c r="M86" s="12">
        <f>(INDEX(Proj[],MATCH(Std[[#This Row],[Player]],Proj[Player],0),20)-M$764)/M$765</f>
        <v>-0.71308883245737775</v>
      </c>
      <c r="N86" s="12">
        <f>(INDEX(Proj[],MATCH(Std[[#This Row],[Player]],Proj[Player],0),21)-N$764)/N$765</f>
        <v>1.264867708882877</v>
      </c>
      <c r="O86" s="12">
        <f>(INDEX(Proj[],MATCH(Std[[#This Row],[Player]],Proj[Player],0),22)-O$764)/O$765</f>
        <v>1.8700721312263819</v>
      </c>
      <c r="P86" s="12">
        <f>((INDEX(Proj[],MATCH(Std[[#This Row],[Player]],Proj[Player],0),23)-P$764)/P$765)*IF('League Inputs'!$C$23 = "Yes",-1, 1)</f>
        <v>1.8850149642964262</v>
      </c>
      <c r="Q86" s="12">
        <f>(INDEX(Proj[],MATCH(Std[[#This Row],[Player]],Proj[Player],0),24)-Q$764)/Q$765</f>
        <v>-0.5766103108129359</v>
      </c>
      <c r="R86" s="12">
        <f>(INDEX(Proj[],MATCH(Std[[#This Row],[Player]],Proj[Player],0),25)-R$764)/R$765</f>
        <v>-0.62531533033812681</v>
      </c>
      <c r="S86" s="12">
        <f>(INDEX(Proj[],MATCH(Std[[#This Row],[Player]],Proj[Player],0),26)-S$764)/S$765</f>
        <v>1.3604154608202184</v>
      </c>
      <c r="T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1096.2913570065143</v>
      </c>
      <c r="U86" s="11"/>
      <c r="W86" t="str">
        <v>Rasmus Dahlin</v>
      </c>
      <c r="AA86" t="str">
        <v>Rasmus Dahlin</v>
      </c>
      <c r="AB86" t="str">
        <v>Rasmus Dahlin</v>
      </c>
    </row>
    <row r="87" spans="1:28" x14ac:dyDescent="0.25">
      <c r="A87" t="s">
        <v>241</v>
      </c>
      <c r="B87">
        <f>INDEX(Proj[],MATCH(Std[[#This Row],[Player]],Proj[Player],0),2)</f>
        <v>34</v>
      </c>
      <c r="C87" t="s">
        <v>74</v>
      </c>
      <c r="D87" s="75"/>
      <c r="E87" s="57"/>
      <c r="F87" t="s">
        <v>12</v>
      </c>
      <c r="G87" s="12">
        <f>(INDEX(Proj[],MATCH(Std[[#This Row],[Player]],Proj[Player],0),14)-G$764)/G$765</f>
        <v>-0.13431591259265557</v>
      </c>
      <c r="H87" s="12">
        <f>(INDEX(Proj[],MATCH(Std[[#This Row],[Player]],Proj[Player],0),15)-H$764)/H$765</f>
        <v>2.169443312054443</v>
      </c>
      <c r="I87" s="12">
        <f>(INDEX(Proj[],MATCH(Std[[#This Row],[Player]],Proj[Player],0),16)-I$764)/I$765</f>
        <v>1.3150951810682432</v>
      </c>
      <c r="J87" s="12">
        <f>(INDEX(Proj[],MATCH(Std[[#This Row],[Player]],Proj[Player],0),17)-J$764)/J$765</f>
        <v>0.12203405152491688</v>
      </c>
      <c r="K87" s="12">
        <f>(INDEX(Proj[],MATCH(Std[[#This Row],[Player]],Proj[Player],0),18)-K$764)/K$765</f>
        <v>2.4772121911657239</v>
      </c>
      <c r="L87" s="12">
        <f>(INDEX(Proj[],MATCH(Std[[#This Row],[Player]],Proj[Player],0),19)-L$764)/L$765</f>
        <v>1.7932512595569121</v>
      </c>
      <c r="M87" s="12">
        <f>(INDEX(Proj[],MATCH(Std[[#This Row],[Player]],Proj[Player],0),20)-M$764)/M$765</f>
        <v>0.31240082183847029</v>
      </c>
      <c r="N87" s="12">
        <f>(INDEX(Proj[],MATCH(Std[[#This Row],[Player]],Proj[Player],0),21)-N$764)/N$765</f>
        <v>-0.42116909242344813</v>
      </c>
      <c r="O87" s="12">
        <f>(INDEX(Proj[],MATCH(Std[[#This Row],[Player]],Proj[Player],0),22)-O$764)/O$765</f>
        <v>1.2432400410683677</v>
      </c>
      <c r="P87" s="12">
        <f>((INDEX(Proj[],MATCH(Std[[#This Row],[Player]],Proj[Player],0),23)-P$764)/P$765)*IF('League Inputs'!$C$23 = "Yes",-1, 1)</f>
        <v>0.53536150964403084</v>
      </c>
      <c r="Q87" s="12">
        <f>(INDEX(Proj[],MATCH(Std[[#This Row],[Player]],Proj[Player],0),24)-Q$764)/Q$765</f>
        <v>-0.5766103108129359</v>
      </c>
      <c r="R87" s="12">
        <f>(INDEX(Proj[],MATCH(Std[[#This Row],[Player]],Proj[Player],0),25)-R$764)/R$765</f>
        <v>-0.62531533033812681</v>
      </c>
      <c r="S87" s="12">
        <f>(INDEX(Proj[],MATCH(Std[[#This Row],[Player]],Proj[Player],0),26)-S$764)/S$765</f>
        <v>0.63057423039865923</v>
      </c>
      <c r="T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655.48702179616157</v>
      </c>
      <c r="U87" s="11"/>
      <c r="W87" t="str">
        <v>Victor Hedman</v>
      </c>
      <c r="AA87" t="str">
        <v>Victor Hedman</v>
      </c>
      <c r="AB87" t="str">
        <v>Victor Hedman</v>
      </c>
    </row>
    <row r="88" spans="1:28" x14ac:dyDescent="0.25">
      <c r="A88" t="s">
        <v>386</v>
      </c>
      <c r="B88">
        <f>INDEX(Proj[],MATCH(Std[[#This Row],[Player]],Proj[Player],0),2)</f>
        <v>28</v>
      </c>
      <c r="C88" t="s">
        <v>102</v>
      </c>
      <c r="D88" s="75" t="s">
        <v>103</v>
      </c>
      <c r="E88" s="56"/>
      <c r="F88" t="s">
        <v>8</v>
      </c>
      <c r="G88" s="12">
        <f>(INDEX(Proj[],MATCH(Std[[#This Row],[Player]],Proj[Player],0),14)-G$764)/G$765</f>
        <v>1.4501921187738289</v>
      </c>
      <c r="H88" s="12">
        <f>(INDEX(Proj[],MATCH(Std[[#This Row],[Player]],Proj[Player],0),15)-H$764)/H$765</f>
        <v>1.0515043072304648</v>
      </c>
      <c r="I88" s="12">
        <f>(INDEX(Proj[],MATCH(Std[[#This Row],[Player]],Proj[Player],0),16)-I$764)/I$765</f>
        <v>1.3150951810682432</v>
      </c>
      <c r="J88" s="12">
        <f>(INDEX(Proj[],MATCH(Std[[#This Row],[Player]],Proj[Player],0),17)-J$764)/J$765</f>
        <v>0.41639733874955659</v>
      </c>
      <c r="K88" s="12">
        <f>(INDEX(Proj[],MATCH(Std[[#This Row],[Player]],Proj[Player],0),18)-K$764)/K$765</f>
        <v>0.32000895664424578</v>
      </c>
      <c r="L88" s="12">
        <f>(INDEX(Proj[],MATCH(Std[[#This Row],[Player]],Proj[Player],0),19)-L$764)/L$765</f>
        <v>0.37964904989093406</v>
      </c>
      <c r="M88" s="12">
        <f>(INDEX(Proj[],MATCH(Std[[#This Row],[Player]],Proj[Player],0),20)-M$764)/M$765</f>
        <v>1.3378904761343182</v>
      </c>
      <c r="N88" s="12">
        <f>(INDEX(Proj[],MATCH(Std[[#This Row],[Player]],Proj[Player],0),21)-N$764)/N$765</f>
        <v>-0.45992855912014524</v>
      </c>
      <c r="O88" s="12">
        <f>(INDEX(Proj[],MATCH(Std[[#This Row],[Player]],Proj[Player],0),22)-O$764)/O$765</f>
        <v>0.24495189748338211</v>
      </c>
      <c r="P88" s="12">
        <f>((INDEX(Proj[],MATCH(Std[[#This Row],[Player]],Proj[Player],0),23)-P$764)/P$765)*IF('League Inputs'!$C$23 = "Yes",-1, 1)</f>
        <v>-6.9655556234629226E-2</v>
      </c>
      <c r="Q88" s="12">
        <f>(INDEX(Proj[],MATCH(Std[[#This Row],[Player]],Proj[Player],0),24)-Q$764)/Q$765</f>
        <v>-0.35806306428461582</v>
      </c>
      <c r="R88" s="12">
        <f>(INDEX(Proj[],MATCH(Std[[#This Row],[Player]],Proj[Player],0),25)-R$764)/R$765</f>
        <v>-0.29048336267480357</v>
      </c>
      <c r="S88" s="12">
        <f>(INDEX(Proj[],MATCH(Std[[#This Row],[Player]],Proj[Player],0),26)-S$764)/S$765</f>
        <v>1.3441967668108505</v>
      </c>
      <c r="T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489.79421416183141</v>
      </c>
      <c r="U88" s="11"/>
      <c r="W88" t="str">
        <v>Alex Tuch</v>
      </c>
      <c r="AA88" t="str">
        <v>Alex Tuch</v>
      </c>
      <c r="AB88" t="str">
        <v>Alex Tuch</v>
      </c>
    </row>
    <row r="89" spans="1:28" x14ac:dyDescent="0.25">
      <c r="A89" t="s">
        <v>475</v>
      </c>
      <c r="B89">
        <f>INDEX(Proj[],MATCH(Std[[#This Row],[Player]],Proj[Player],0),2)</f>
        <v>24</v>
      </c>
      <c r="C89" t="s">
        <v>74</v>
      </c>
      <c r="D89" s="75" t="s">
        <v>102</v>
      </c>
      <c r="E89" s="57"/>
      <c r="F89" t="s">
        <v>15</v>
      </c>
      <c r="G89" s="12">
        <f>(INDEX(Proj[],MATCH(Std[[#This Row],[Player]],Proj[Player],0),14)-G$764)/G$765</f>
        <v>2.1896292000781883</v>
      </c>
      <c r="H89" s="12">
        <f>(INDEX(Proj[],MATCH(Std[[#This Row],[Player]],Proj[Player],0),15)-H$764)/H$765</f>
        <v>0.52979943831260845</v>
      </c>
      <c r="I89" s="12">
        <f>(INDEX(Proj[],MATCH(Std[[#This Row],[Player]],Proj[Player],0),16)-I$764)/I$765</f>
        <v>1.3150951810682432</v>
      </c>
      <c r="J89" s="12">
        <f>(INDEX(Proj[],MATCH(Std[[#This Row],[Player]],Proj[Player],0),17)-J$764)/J$765</f>
        <v>2.182577062097395</v>
      </c>
      <c r="K89" s="12">
        <f>(INDEX(Proj[],MATCH(Std[[#This Row],[Player]],Proj[Player],0),18)-K$764)/K$765</f>
        <v>0.93635273793609664</v>
      </c>
      <c r="L89" s="12">
        <f>(INDEX(Proj[],MATCH(Std[[#This Row],[Player]],Proj[Player],0),19)-L$764)/L$765</f>
        <v>1.4670353650186094</v>
      </c>
      <c r="M89" s="12">
        <f>(INDEX(Proj[],MATCH(Std[[#This Row],[Player]],Proj[Player],0),20)-M$764)/M$765</f>
        <v>-0.71308883245737775</v>
      </c>
      <c r="N89" s="12">
        <f>(INDEX(Proj[],MATCH(Std[[#This Row],[Player]],Proj[Player],0),21)-N$764)/N$765</f>
        <v>-0.84752322608711661</v>
      </c>
      <c r="O89" s="12">
        <f>(INDEX(Proj[],MATCH(Std[[#This Row],[Player]],Proj[Player],0),22)-O$764)/O$765</f>
        <v>-1.0087122828326462</v>
      </c>
      <c r="P89" s="12">
        <f>((INDEX(Proj[],MATCH(Std[[#This Row],[Player]],Proj[Player],0),23)-P$764)/P$765)*IF('League Inputs'!$C$23 = "Yes",-1, 1)</f>
        <v>-1.0935305907985153</v>
      </c>
      <c r="Q89" s="12">
        <f>(INDEX(Proj[],MATCH(Std[[#This Row],[Player]],Proj[Player],0),24)-Q$764)/Q$765</f>
        <v>-0.51797568369558167</v>
      </c>
      <c r="R89" s="12">
        <f>(INDEX(Proj[],MATCH(Std[[#This Row],[Player]],Proj[Player],0),25)-R$764)/R$765</f>
        <v>-0.55153879509027592</v>
      </c>
      <c r="S89" s="12">
        <f>(INDEX(Proj[],MATCH(Std[[#This Row],[Player]],Proj[Player],0),26)-S$764)/S$765</f>
        <v>2.5281614294947135</v>
      </c>
      <c r="T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456.19788305585018</v>
      </c>
      <c r="U89" s="11"/>
      <c r="W89" t="str">
        <v>Cole Caufield</v>
      </c>
      <c r="AA89" t="str">
        <v>Cole Caufield</v>
      </c>
      <c r="AB89" t="str">
        <v>Cole Caufield</v>
      </c>
    </row>
    <row r="90" spans="1:28" x14ac:dyDescent="0.25">
      <c r="A90" t="s">
        <v>292</v>
      </c>
      <c r="B90">
        <f>INDEX(Proj[],MATCH(Std[[#This Row],[Player]],Proj[Player],0),2)</f>
        <v>32</v>
      </c>
      <c r="C90" t="s">
        <v>74</v>
      </c>
      <c r="D90" s="75"/>
      <c r="E90" s="56"/>
      <c r="F90" t="s">
        <v>7</v>
      </c>
      <c r="G90" s="12">
        <f>(INDEX(Proj[],MATCH(Std[[#This Row],[Player]],Proj[Player],0),14)-G$764)/G$765</f>
        <v>1.7670937250471259</v>
      </c>
      <c r="H90" s="12">
        <f>(INDEX(Proj[],MATCH(Std[[#This Row],[Player]],Proj[Player],0),15)-H$764)/H$765</f>
        <v>0.82791650626566926</v>
      </c>
      <c r="I90" s="12">
        <f>(INDEX(Proj[],MATCH(Std[[#This Row],[Player]],Proj[Player],0),16)-I$764)/I$765</f>
        <v>1.3150951810682432</v>
      </c>
      <c r="J90" s="12">
        <f>(INDEX(Proj[],MATCH(Std[[#This Row],[Player]],Proj[Player],0),17)-J$764)/J$765</f>
        <v>0.71076062597419631</v>
      </c>
      <c r="K90" s="12">
        <f>(INDEX(Proj[],MATCH(Std[[#This Row],[Player]],Proj[Player],0),18)-K$764)/K$765</f>
        <v>0.47409490196720849</v>
      </c>
      <c r="L90" s="12">
        <f>(INDEX(Proj[],MATCH(Std[[#This Row],[Player]],Proj[Player],0),19)-L$764)/L$765</f>
        <v>0.59712631291646912</v>
      </c>
      <c r="M90" s="12">
        <f>(INDEX(Proj[],MATCH(Std[[#This Row],[Player]],Proj[Player],0),20)-M$764)/M$765</f>
        <v>1.3378904761343182</v>
      </c>
      <c r="N90" s="12">
        <f>(INDEX(Proj[],MATCH(Std[[#This Row],[Player]],Proj[Player],0),21)-N$764)/N$765</f>
        <v>-0.53744749251353952</v>
      </c>
      <c r="O90" s="12">
        <f>(INDEX(Proj[],MATCH(Std[[#This Row],[Player]],Proj[Player],0),22)-O$764)/O$765</f>
        <v>-0.1961521659611464</v>
      </c>
      <c r="P90" s="12">
        <f>((INDEX(Proj[],MATCH(Std[[#This Row],[Player]],Proj[Player],0),23)-P$764)/P$765)*IF('League Inputs'!$C$23 = "Yes",-1, 1)</f>
        <v>-0.48851352491985539</v>
      </c>
      <c r="Q90" s="12">
        <f>(INDEX(Proj[],MATCH(Std[[#This Row],[Player]],Proj[Player],0),24)-Q$764)/Q$765</f>
        <v>-0.52863652498964608</v>
      </c>
      <c r="R90" s="12">
        <f>(INDEX(Proj[],MATCH(Std[[#This Row],[Player]],Proj[Player],0),25)-R$764)/R$765</f>
        <v>-0.55153879509027592</v>
      </c>
      <c r="S90" s="12">
        <f>(INDEX(Proj[],MATCH(Std[[#This Row],[Player]],Proj[Player],0),26)-S$764)/S$765</f>
        <v>1.5550397889326342</v>
      </c>
      <c r="T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431.15218058459544</v>
      </c>
      <c r="U90" s="11"/>
      <c r="W90" t="str">
        <v>Bryan Rust</v>
      </c>
      <c r="AA90" t="str">
        <v>Bryan Rust</v>
      </c>
      <c r="AB90" t="str">
        <v>Bryan Rust</v>
      </c>
    </row>
    <row r="91" spans="1:28" x14ac:dyDescent="0.25">
      <c r="A91" t="s">
        <v>407</v>
      </c>
      <c r="B91">
        <f>INDEX(Proj[],MATCH(Std[[#This Row],[Player]],Proj[Player],0),2)</f>
        <v>27</v>
      </c>
      <c r="C91" t="s">
        <v>74</v>
      </c>
      <c r="D91" s="75" t="s">
        <v>102</v>
      </c>
      <c r="E91" s="56"/>
      <c r="F91" t="s">
        <v>87</v>
      </c>
      <c r="G91" s="12">
        <f>(INDEX(Proj[],MATCH(Std[[#This Row],[Player]],Proj[Player],0),14)-G$764)/G$765</f>
        <v>1.8727275938048915</v>
      </c>
      <c r="H91" s="12">
        <f>(INDEX(Proj[],MATCH(Std[[#This Row],[Player]],Proj[Player],0),15)-H$764)/H$765</f>
        <v>0.75338723927740403</v>
      </c>
      <c r="I91" s="12">
        <f>(INDEX(Proj[],MATCH(Std[[#This Row],[Player]],Proj[Player],0),16)-I$764)/I$765</f>
        <v>1.3150951810682432</v>
      </c>
      <c r="J91" s="12">
        <f>(INDEX(Proj[],MATCH(Std[[#This Row],[Player]],Proj[Player],0),17)-J$764)/J$765</f>
        <v>3.0656669237713139</v>
      </c>
      <c r="K91" s="12">
        <f>(INDEX(Proj[],MATCH(Std[[#This Row],[Player]],Proj[Player],0),18)-K$764)/K$765</f>
        <v>0.78226679261313392</v>
      </c>
      <c r="L91" s="12">
        <f>(INDEX(Proj[],MATCH(Std[[#This Row],[Player]],Proj[Player],0),19)-L$764)/L$765</f>
        <v>1.6845126280441445</v>
      </c>
      <c r="M91" s="12">
        <f>(INDEX(Proj[],MATCH(Std[[#This Row],[Player]],Proj[Player],0),20)-M$764)/M$765</f>
        <v>-0.71308883245737775</v>
      </c>
      <c r="N91" s="12">
        <f>(INDEX(Proj[],MATCH(Std[[#This Row],[Player]],Proj[Player],0),21)-N$764)/N$765</f>
        <v>-0.73124482599702512</v>
      </c>
      <c r="O91" s="12">
        <f>(INDEX(Proj[],MATCH(Std[[#This Row],[Player]],Proj[Player],0),22)-O$764)/O$765</f>
        <v>-0.73012024276241771</v>
      </c>
      <c r="P91" s="12">
        <f>((INDEX(Proj[],MATCH(Std[[#This Row],[Player]],Proj[Player],0),23)-P$764)/P$765)*IF('League Inputs'!$C$23 = "Yes",-1, 1)</f>
        <v>-0.67467262211328927</v>
      </c>
      <c r="Q91" s="12">
        <f>(INDEX(Proj[],MATCH(Std[[#This Row],[Player]],Proj[Player],0),24)-Q$764)/Q$765</f>
        <v>-0.46467147722525975</v>
      </c>
      <c r="R91" s="12">
        <f>(INDEX(Proj[],MATCH(Std[[#This Row],[Player]],Proj[Player],0),25)-R$764)/R$765</f>
        <v>-0.50046273222637916</v>
      </c>
      <c r="S91" s="12">
        <f>(INDEX(Proj[],MATCH(Std[[#This Row],[Player]],Proj[Player],0),26)-S$764)/S$765</f>
        <v>1.2468846027546425</v>
      </c>
      <c r="T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427.18980768513342</v>
      </c>
      <c r="U91" s="11"/>
      <c r="W91" t="str">
        <v>Brock Boeser</v>
      </c>
      <c r="AA91" t="str">
        <v>Brock Boeser</v>
      </c>
      <c r="AB91" t="str">
        <v>Brock Boeser</v>
      </c>
    </row>
    <row r="92" spans="1:28" x14ac:dyDescent="0.25">
      <c r="A92" t="s">
        <v>250</v>
      </c>
      <c r="B92">
        <f>INDEX(Proj[],MATCH(Std[[#This Row],[Player]],Proj[Player],0),2)</f>
        <v>28</v>
      </c>
      <c r="C92" t="s">
        <v>102</v>
      </c>
      <c r="D92" s="75"/>
      <c r="E92" s="56"/>
      <c r="F92" t="s">
        <v>14</v>
      </c>
      <c r="G92" s="12">
        <f>(INDEX(Proj[],MATCH(Std[[#This Row],[Player]],Proj[Player],0),14)-G$764)/G$765</f>
        <v>1.8727275938048915</v>
      </c>
      <c r="H92" s="12">
        <f>(INDEX(Proj[],MATCH(Std[[#This Row],[Player]],Proj[Player],0),15)-H$764)/H$765</f>
        <v>0.67885797228913891</v>
      </c>
      <c r="I92" s="12">
        <f>(INDEX(Proj[],MATCH(Std[[#This Row],[Player]],Proj[Player],0),16)-I$764)/I$765</f>
        <v>1.2678526221061399</v>
      </c>
      <c r="J92" s="12">
        <f>(INDEX(Proj[],MATCH(Std[[#This Row],[Player]],Proj[Player],0),17)-J$764)/J$765</f>
        <v>2.182577062097395</v>
      </c>
      <c r="K92" s="12">
        <f>(INDEX(Proj[],MATCH(Std[[#This Row],[Player]],Proj[Player],0),18)-K$764)/K$765</f>
        <v>0.62818084729017121</v>
      </c>
      <c r="L92" s="12">
        <f>(INDEX(Proj[],MATCH(Std[[#This Row],[Player]],Proj[Player],0),19)-L$764)/L$765</f>
        <v>1.2495581019930744</v>
      </c>
      <c r="M92" s="12">
        <f>(INDEX(Proj[],MATCH(Std[[#This Row],[Player]],Proj[Player],0),20)-M$764)/M$765</f>
        <v>-0.71308883245737775</v>
      </c>
      <c r="N92" s="12">
        <f>(INDEX(Proj[],MATCH(Std[[#This Row],[Player]],Proj[Player],0),21)-N$764)/N$765</f>
        <v>0.72223517512911728</v>
      </c>
      <c r="O92" s="12">
        <f>(INDEX(Proj[],MATCH(Std[[#This Row],[Player]],Proj[Player],0),22)-O$764)/O$765</f>
        <v>-0.38188019267463208</v>
      </c>
      <c r="P92" s="12">
        <f>((INDEX(Proj[],MATCH(Std[[#This Row],[Player]],Proj[Player],0),23)-P$764)/P$765)*IF('League Inputs'!$C$23 = "Yes",-1, 1)</f>
        <v>0.53536150964403084</v>
      </c>
      <c r="Q92" s="12">
        <f>(INDEX(Proj[],MATCH(Std[[#This Row],[Player]],Proj[Player],0),24)-Q$764)/Q$765</f>
        <v>-0.34207180234351919</v>
      </c>
      <c r="R92" s="12">
        <f>(INDEX(Proj[],MATCH(Std[[#This Row],[Player]],Proj[Player],0),25)-R$764)/R$765</f>
        <v>-0.36425989792265445</v>
      </c>
      <c r="S92" s="12">
        <f>(INDEX(Proj[],MATCH(Std[[#This Row],[Player]],Proj[Player],0),26)-S$764)/S$765</f>
        <v>2.1551314672792499</v>
      </c>
      <c r="T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775.77724472274906</v>
      </c>
      <c r="U92" s="11"/>
      <c r="W92" t="str">
        <v>Timo Meier</v>
      </c>
      <c r="AA92" t="str">
        <v>Timo Meier</v>
      </c>
      <c r="AB92" t="str">
        <v>Timo Meier</v>
      </c>
    </row>
    <row r="93" spans="1:28" x14ac:dyDescent="0.25">
      <c r="A93" t="s">
        <v>967</v>
      </c>
      <c r="B93">
        <f>INDEX(Proj[],MATCH(Std[[#This Row],[Player]],Proj[Player],0),2)</f>
        <v>21</v>
      </c>
      <c r="C93" t="s">
        <v>74</v>
      </c>
      <c r="D93" s="75"/>
      <c r="E93" s="56"/>
      <c r="F93" t="s">
        <v>28</v>
      </c>
      <c r="G93" s="12">
        <f>(INDEX(Proj[],MATCH(Std[[#This Row],[Player]],Proj[Player],0),14)-G$764)/G$765</f>
        <v>1.9783614625626571</v>
      </c>
      <c r="H93" s="12">
        <f>(INDEX(Proj[],MATCH(Std[[#This Row],[Player]],Proj[Player],0),15)-H$764)/H$765</f>
        <v>0.60432870530087368</v>
      </c>
      <c r="I93" s="12">
        <f>(INDEX(Proj[],MATCH(Std[[#This Row],[Player]],Proj[Player],0),16)-I$764)/I$765</f>
        <v>1.2678526221061399</v>
      </c>
      <c r="J93" s="12">
        <f>(INDEX(Proj[],MATCH(Std[[#This Row],[Player]],Proj[Player],0),17)-J$764)/J$765</f>
        <v>0.71076062597419631</v>
      </c>
      <c r="K93" s="12">
        <f>(INDEX(Proj[],MATCH(Std[[#This Row],[Player]],Proj[Player],0),18)-K$764)/K$765</f>
        <v>0.47409490196720849</v>
      </c>
      <c r="L93" s="12">
        <f>(INDEX(Proj[],MATCH(Std[[#This Row],[Player]],Proj[Player],0),19)-L$764)/L$765</f>
        <v>0.59712631291646912</v>
      </c>
      <c r="M93" s="12">
        <f>(INDEX(Proj[],MATCH(Std[[#This Row],[Player]],Proj[Player],0),20)-M$764)/M$765</f>
        <v>0.31240082183847029</v>
      </c>
      <c r="N93" s="12">
        <f>(INDEX(Proj[],MATCH(Std[[#This Row],[Player]],Proj[Player],0),21)-N$764)/N$765</f>
        <v>-0.69248535930032806</v>
      </c>
      <c r="O93" s="12">
        <f>(INDEX(Proj[],MATCH(Std[[#This Row],[Player]],Proj[Player],0),22)-O$764)/O$765</f>
        <v>-0.42831219935300352</v>
      </c>
      <c r="P93" s="12">
        <f>((INDEX(Proj[],MATCH(Std[[#This Row],[Player]],Proj[Player],0),23)-P$764)/P$765)*IF('League Inputs'!$C$23 = "Yes",-1, 1)</f>
        <v>-6.9655556234629226E-2</v>
      </c>
      <c r="Q93" s="12">
        <f>(INDEX(Proj[],MATCH(Std[[#This Row],[Player]],Proj[Player],0),24)-Q$764)/Q$765</f>
        <v>1.0171854626496912</v>
      </c>
      <c r="R93" s="12">
        <f>(INDEX(Proj[],MATCH(Std[[#This Row],[Player]],Proj[Player],0),25)-R$764)/R$765</f>
        <v>1.0999205708423863</v>
      </c>
      <c r="S93" s="12">
        <f>(INDEX(Proj[],MATCH(Std[[#This Row],[Player]],Proj[Player],0),26)-S$764)/S$765</f>
        <v>1.6199145649701061</v>
      </c>
      <c r="T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589.43160156179772</v>
      </c>
      <c r="U93" s="11"/>
      <c r="W93" t="str">
        <v>Wyatt Johnston</v>
      </c>
      <c r="AA93" t="str">
        <v>Wyatt Johnston</v>
      </c>
      <c r="AB93" t="str">
        <v>Wyatt Johnston</v>
      </c>
    </row>
    <row r="94" spans="1:28" x14ac:dyDescent="0.25">
      <c r="A94" t="s">
        <v>909</v>
      </c>
      <c r="B94">
        <f>INDEX(Proj[],MATCH(Std[[#This Row],[Player]],Proj[Player],0),2)</f>
        <v>28</v>
      </c>
      <c r="C94" t="s">
        <v>102</v>
      </c>
      <c r="D94" s="75" t="s">
        <v>103</v>
      </c>
      <c r="E94" s="57"/>
      <c r="F94" t="s">
        <v>153</v>
      </c>
      <c r="G94" s="12">
        <f>(INDEX(Proj[],MATCH(Std[[#This Row],[Player]],Proj[Player],0),14)-G$764)/G$765</f>
        <v>1.7670937250471259</v>
      </c>
      <c r="H94" s="12">
        <f>(INDEX(Proj[],MATCH(Std[[#This Row],[Player]],Proj[Player],0),15)-H$764)/H$765</f>
        <v>0.75338723927740403</v>
      </c>
      <c r="I94" s="12">
        <f>(INDEX(Proj[],MATCH(Std[[#This Row],[Player]],Proj[Player],0),16)-I$764)/I$765</f>
        <v>1.2678526221061399</v>
      </c>
      <c r="J94" s="12">
        <f>(INDEX(Proj[],MATCH(Std[[#This Row],[Player]],Proj[Player],0),17)-J$764)/J$765</f>
        <v>1.2994872004234757</v>
      </c>
      <c r="K94" s="12">
        <f>(INDEX(Proj[],MATCH(Std[[#This Row],[Player]],Proj[Player],0),18)-K$764)/K$765</f>
        <v>1.244524628582022</v>
      </c>
      <c r="L94" s="12">
        <f>(INDEX(Proj[],MATCH(Std[[#This Row],[Player]],Proj[Player],0),19)-L$764)/L$765</f>
        <v>1.3582967335058418</v>
      </c>
      <c r="M94" s="12">
        <f>(INDEX(Proj[],MATCH(Std[[#This Row],[Player]],Proj[Player],0),20)-M$764)/M$765</f>
        <v>2.3633801304301665</v>
      </c>
      <c r="N94" s="12">
        <f>(INDEX(Proj[],MATCH(Std[[#This Row],[Player]],Proj[Player],0),21)-N$764)/N$765</f>
        <v>-0.69248535930032806</v>
      </c>
      <c r="O94" s="12">
        <f>(INDEX(Proj[],MATCH(Std[[#This Row],[Player]],Proj[Player],0),22)-O$764)/O$765</f>
        <v>-0.73012024276241771</v>
      </c>
      <c r="P94" s="12">
        <f>((INDEX(Proj[],MATCH(Std[[#This Row],[Player]],Proj[Player],0),23)-P$764)/P$765)*IF('League Inputs'!$C$23 = "Yes",-1, 1)</f>
        <v>-0.44197375062149696</v>
      </c>
      <c r="Q94" s="12">
        <f>(INDEX(Proj[],MATCH(Std[[#This Row],[Player]],Proj[Player],0),24)-Q$764)/Q$765</f>
        <v>0.16964857977157172</v>
      </c>
      <c r="R94" s="12">
        <f>(INDEX(Proj[],MATCH(Std[[#This Row],[Player]],Proj[Player],0),25)-R$764)/R$765</f>
        <v>0.31107915549998055</v>
      </c>
      <c r="S94" s="12">
        <f>(INDEX(Proj[],MATCH(Std[[#This Row],[Player]],Proj[Player],0),26)-S$764)/S$765</f>
        <v>1.3441967668108505</v>
      </c>
      <c r="T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479.58963138346917</v>
      </c>
      <c r="U94" s="11"/>
      <c r="W94" t="str">
        <v>Jared McCann</v>
      </c>
      <c r="AA94" t="str">
        <v>Jared McCann</v>
      </c>
      <c r="AB94" t="str">
        <v>Jared McCann</v>
      </c>
    </row>
    <row r="95" spans="1:28" x14ac:dyDescent="0.25">
      <c r="A95" t="s">
        <v>329</v>
      </c>
      <c r="B95">
        <f>INDEX(Proj[],MATCH(Std[[#This Row],[Player]],Proj[Player],0),2)</f>
        <v>25</v>
      </c>
      <c r="C95" t="s">
        <v>103</v>
      </c>
      <c r="D95" s="75"/>
      <c r="E95" s="57"/>
      <c r="F95" t="s">
        <v>34</v>
      </c>
      <c r="G95" s="12">
        <f>(INDEX(Proj[],MATCH(Std[[#This Row],[Player]],Proj[Player],0),14)-G$764)/G$765</f>
        <v>-0.13431591259265557</v>
      </c>
      <c r="H95" s="12">
        <f>(INDEX(Proj[],MATCH(Std[[#This Row],[Player]],Proj[Player],0),15)-H$764)/H$765</f>
        <v>2.0203847780779127</v>
      </c>
      <c r="I95" s="12">
        <f>(INDEX(Proj[],MATCH(Std[[#This Row],[Player]],Proj[Player],0),16)-I$764)/I$765</f>
        <v>1.2206100631440366</v>
      </c>
      <c r="J95" s="12">
        <f>(INDEX(Proj[],MATCH(Std[[#This Row],[Player]],Proj[Player],0),17)-J$764)/J$765</f>
        <v>0.12203405152491688</v>
      </c>
      <c r="K95" s="12">
        <f>(INDEX(Proj[],MATCH(Std[[#This Row],[Player]],Proj[Player],0),18)-K$764)/K$765</f>
        <v>2.1690403005197982</v>
      </c>
      <c r="L95" s="12">
        <f>(INDEX(Proj[],MATCH(Std[[#This Row],[Player]],Proj[Player],0),19)-L$764)/L$765</f>
        <v>1.5757739965313768</v>
      </c>
      <c r="M95" s="12">
        <f>(INDEX(Proj[],MATCH(Std[[#This Row],[Player]],Proj[Player],0),20)-M$764)/M$765</f>
        <v>-0.71308883245737775</v>
      </c>
      <c r="N95" s="12">
        <f>(INDEX(Proj[],MATCH(Std[[#This Row],[Player]],Proj[Player],0),21)-N$764)/N$765</f>
        <v>-0.22737175893996248</v>
      </c>
      <c r="O95" s="12">
        <f>(INDEX(Proj[],MATCH(Std[[#This Row],[Player]],Proj[Player],0),22)-O$764)/O$765</f>
        <v>2.3808242046884676</v>
      </c>
      <c r="P95" s="12">
        <f>((INDEX(Proj[],MATCH(Std[[#This Row],[Player]],Proj[Player],0),23)-P$764)/P$765)*IF('League Inputs'!$C$23 = "Yes",-1, 1)</f>
        <v>-0.30235442772642157</v>
      </c>
      <c r="Q95" s="12">
        <f>(INDEX(Proj[],MATCH(Std[[#This Row],[Player]],Proj[Player],0),24)-Q$764)/Q$765</f>
        <v>-0.5766103108129359</v>
      </c>
      <c r="R95" s="12">
        <f>(INDEX(Proj[],MATCH(Std[[#This Row],[Player]],Proj[Player],0),25)-R$764)/R$765</f>
        <v>-0.62531533033812681</v>
      </c>
      <c r="S95" s="12">
        <f>(INDEX(Proj[],MATCH(Std[[#This Row],[Player]],Proj[Player],0),26)-S$764)/S$765</f>
        <v>1.1495724386984347</v>
      </c>
      <c r="T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710.65130710682536</v>
      </c>
      <c r="U95" s="11"/>
      <c r="W95" t="str">
        <v>Noah Dobson</v>
      </c>
      <c r="AA95" t="str">
        <v>Noah Dobson</v>
      </c>
      <c r="AB95" t="str">
        <v>Noah Dobson</v>
      </c>
    </row>
    <row r="96" spans="1:28" x14ac:dyDescent="0.25">
      <c r="A96" t="s">
        <v>256</v>
      </c>
      <c r="B96">
        <f>INDEX(Proj[],MATCH(Std[[#This Row],[Player]],Proj[Player],0),2)</f>
        <v>35</v>
      </c>
      <c r="C96" t="s">
        <v>103</v>
      </c>
      <c r="D96" s="75"/>
      <c r="E96" s="56"/>
      <c r="F96" t="s">
        <v>10</v>
      </c>
      <c r="G96" s="12">
        <f>(INDEX(Proj[],MATCH(Std[[#This Row],[Player]],Proj[Player],0),14)-G$764)/G$765</f>
        <v>7.6951824922875695E-2</v>
      </c>
      <c r="H96" s="12">
        <f>(INDEX(Proj[],MATCH(Std[[#This Row],[Player]],Proj[Player],0),15)-H$764)/H$765</f>
        <v>1.7967969771131171</v>
      </c>
      <c r="I96" s="12">
        <f>(INDEX(Proj[],MATCH(Std[[#This Row],[Player]],Proj[Player],0),16)-I$764)/I$765</f>
        <v>1.1733675041819334</v>
      </c>
      <c r="J96" s="12">
        <f>(INDEX(Proj[],MATCH(Std[[#This Row],[Player]],Proj[Player],0),17)-J$764)/J$765</f>
        <v>1.0051239131988361</v>
      </c>
      <c r="K96" s="12">
        <f>(INDEX(Proj[],MATCH(Std[[#This Row],[Player]],Proj[Player],0),18)-K$764)/K$765</f>
        <v>1.7067824645509102</v>
      </c>
      <c r="L96" s="12">
        <f>(INDEX(Proj[],MATCH(Std[[#This Row],[Player]],Proj[Player],0),19)-L$764)/L$765</f>
        <v>1.5757739965313768</v>
      </c>
      <c r="M96" s="12">
        <f>(INDEX(Proj[],MATCH(Std[[#This Row],[Player]],Proj[Player],0),20)-M$764)/M$765</f>
        <v>0.31240082183847029</v>
      </c>
      <c r="N96" s="12">
        <f>(INDEX(Proj[],MATCH(Std[[#This Row],[Player]],Proj[Player],0),21)-N$764)/N$765</f>
        <v>-0.32427042568170528</v>
      </c>
      <c r="O96" s="12">
        <f>(INDEX(Proj[],MATCH(Std[[#This Row],[Player]],Proj[Player],0),22)-O$764)/O$765</f>
        <v>2.7058482514370676</v>
      </c>
      <c r="P96" s="12">
        <f>((INDEX(Proj[],MATCH(Std[[#This Row],[Player]],Proj[Player],0),23)-P$764)/P$765)*IF('League Inputs'!$C$23 = "Yes",-1, 1)</f>
        <v>-0.20927487912970463</v>
      </c>
      <c r="Q96" s="12">
        <f>(INDEX(Proj[],MATCH(Std[[#This Row],[Player]],Proj[Player],0),24)-Q$764)/Q$765</f>
        <v>-0.5766103108129359</v>
      </c>
      <c r="R96" s="12">
        <f>(INDEX(Proj[],MATCH(Std[[#This Row],[Player]],Proj[Player],0),25)-R$764)/R$765</f>
        <v>-0.62531533033812681</v>
      </c>
      <c r="S96" s="12">
        <f>(INDEX(Proj[],MATCH(Std[[#This Row],[Player]],Proj[Player],0),26)-S$764)/S$765</f>
        <v>1.1982285207265386</v>
      </c>
      <c r="T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741.68114592885627</v>
      </c>
      <c r="U96" s="11"/>
      <c r="W96" t="str">
        <v>John Carlson</v>
      </c>
      <c r="AA96" t="str">
        <v>John Carlson</v>
      </c>
      <c r="AB96" t="str">
        <v>John Carlson</v>
      </c>
    </row>
    <row r="97" spans="1:28" x14ac:dyDescent="0.25">
      <c r="A97" t="s">
        <v>862</v>
      </c>
      <c r="B97">
        <f>INDEX(Proj[],MATCH(Std[[#This Row],[Player]],Proj[Player],0),2)</f>
        <v>20</v>
      </c>
      <c r="C97" t="s">
        <v>102</v>
      </c>
      <c r="D97" s="75" t="s">
        <v>103</v>
      </c>
      <c r="E97" s="57"/>
      <c r="F97" t="s">
        <v>18</v>
      </c>
      <c r="G97" s="12">
        <f>(INDEX(Proj[],MATCH(Std[[#This Row],[Player]],Proj[Player],0),14)-G$764)/G$765</f>
        <v>1.2389243812582977</v>
      </c>
      <c r="H97" s="12">
        <f>(INDEX(Proj[],MATCH(Std[[#This Row],[Player]],Proj[Player],0),15)-H$764)/H$765</f>
        <v>0.97697504024219972</v>
      </c>
      <c r="I97" s="12">
        <f>(INDEX(Proj[],MATCH(Std[[#This Row],[Player]],Proj[Player],0),16)-I$764)/I$765</f>
        <v>1.1733675041819334</v>
      </c>
      <c r="J97" s="12">
        <f>(INDEX(Proj[],MATCH(Std[[#This Row],[Player]],Proj[Player],0),17)-J$764)/J$765</f>
        <v>0.71076062597419631</v>
      </c>
      <c r="K97" s="12">
        <f>(INDEX(Proj[],MATCH(Std[[#This Row],[Player]],Proj[Player],0),18)-K$764)/K$765</f>
        <v>0.78226679261313392</v>
      </c>
      <c r="L97" s="12">
        <f>(INDEX(Proj[],MATCH(Std[[#This Row],[Player]],Proj[Player],0),19)-L$764)/L$765</f>
        <v>0.81460357594200417</v>
      </c>
      <c r="M97" s="12">
        <f>(INDEX(Proj[],MATCH(Std[[#This Row],[Player]],Proj[Player],0),20)-M$764)/M$765</f>
        <v>-0.71308883245737775</v>
      </c>
      <c r="N97" s="12">
        <f>(INDEX(Proj[],MATCH(Std[[#This Row],[Player]],Proj[Player],0),21)-N$764)/N$765</f>
        <v>1.2454879755345285</v>
      </c>
      <c r="O97" s="12">
        <f>(INDEX(Proj[],MATCH(Std[[#This Row],[Player]],Proj[Player],0),22)-O$764)/O$765</f>
        <v>0.15208788412663926</v>
      </c>
      <c r="P97" s="12">
        <f>((INDEX(Proj[],MATCH(Std[[#This Row],[Player]],Proj[Player],0),23)-P$764)/P$765)*IF('League Inputs'!$C$23 = "Yes",-1, 1)</f>
        <v>1.3730774470144831</v>
      </c>
      <c r="Q97" s="12">
        <f>(INDEX(Proj[],MATCH(Std[[#This Row],[Player]],Proj[Player],0),24)-Q$764)/Q$765</f>
        <v>-0.43268895334306656</v>
      </c>
      <c r="R97" s="12">
        <f>(INDEX(Proj[],MATCH(Std[[#This Row],[Player]],Proj[Player],0),25)-R$764)/R$765</f>
        <v>-0.47776225984242504</v>
      </c>
      <c r="S97" s="12">
        <f>(INDEX(Proj[],MATCH(Std[[#This Row],[Player]],Proj[Player],0),26)-S$764)/S$765</f>
        <v>0.69544900643613117</v>
      </c>
      <c r="T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723.72838613931503</v>
      </c>
      <c r="U97" s="11"/>
      <c r="W97" t="str">
        <v>Juraj Slafkovsky</v>
      </c>
      <c r="AA97" t="str">
        <v>Juraj Slafkovsky</v>
      </c>
      <c r="AB97" t="str">
        <v>Juraj Slafkovsky</v>
      </c>
    </row>
    <row r="98" spans="1:28" x14ac:dyDescent="0.25">
      <c r="A98" t="s">
        <v>355</v>
      </c>
      <c r="B98">
        <f>INDEX(Proj[],MATCH(Std[[#This Row],[Player]],Proj[Player],0),2)</f>
        <v>22</v>
      </c>
      <c r="C98" t="s">
        <v>74</v>
      </c>
      <c r="D98" s="75"/>
      <c r="E98" s="56"/>
      <c r="F98" t="s">
        <v>154</v>
      </c>
      <c r="G98" s="12">
        <f>(INDEX(Proj[],MATCH(Std[[#This Row],[Player]],Proj[Player],0),14)-G$764)/G$765</f>
        <v>1.2389243812582977</v>
      </c>
      <c r="H98" s="12">
        <f>(INDEX(Proj[],MATCH(Std[[#This Row],[Player]],Proj[Player],0),15)-H$764)/H$765</f>
        <v>0.97697504024219972</v>
      </c>
      <c r="I98" s="12">
        <f>(INDEX(Proj[],MATCH(Std[[#This Row],[Player]],Proj[Player],0),16)-I$764)/I$765</f>
        <v>1.1733675041819334</v>
      </c>
      <c r="J98" s="12">
        <f>(INDEX(Proj[],MATCH(Std[[#This Row],[Player]],Proj[Player],0),17)-J$764)/J$765</f>
        <v>1.0051239131988361</v>
      </c>
      <c r="K98" s="12">
        <f>(INDEX(Proj[],MATCH(Std[[#This Row],[Player]],Proj[Player],0),18)-K$764)/K$765</f>
        <v>1.0904386832590593</v>
      </c>
      <c r="L98" s="12">
        <f>(INDEX(Proj[],MATCH(Std[[#This Row],[Player]],Proj[Player],0),19)-L$764)/L$765</f>
        <v>1.1408194704803067</v>
      </c>
      <c r="M98" s="12">
        <f>(INDEX(Proj[],MATCH(Std[[#This Row],[Player]],Proj[Player],0),20)-M$764)/M$765</f>
        <v>-0.71308883245737775</v>
      </c>
      <c r="N98" s="12">
        <f>(INDEX(Proj[],MATCH(Std[[#This Row],[Player]],Proj[Player],0),21)-N$764)/N$765</f>
        <v>-0.53744749251353952</v>
      </c>
      <c r="O98" s="12">
        <f>(INDEX(Proj[],MATCH(Std[[#This Row],[Player]],Proj[Player],0),22)-O$764)/O$765</f>
        <v>-0.84620025945834632</v>
      </c>
      <c r="P98" s="12">
        <f>((INDEX(Proj[],MATCH(Std[[#This Row],[Player]],Proj[Player],0),23)-P$764)/P$765)*IF('League Inputs'!$C$23 = "Yes",-1, 1)</f>
        <v>-0.53505329921821387</v>
      </c>
      <c r="Q98" s="12">
        <f>(INDEX(Proj[],MATCH(Std[[#This Row],[Player]],Proj[Player],0),24)-Q$764)/Q$765</f>
        <v>-0.52330610434261393</v>
      </c>
      <c r="R98" s="12">
        <f>(INDEX(Proj[],MATCH(Std[[#This Row],[Player]],Proj[Player],0),25)-R$764)/R$765</f>
        <v>-0.55153879509027592</v>
      </c>
      <c r="S98" s="12">
        <f>(INDEX(Proj[],MATCH(Std[[#This Row],[Player]],Proj[Player],0),26)-S$764)/S$765</f>
        <v>0.69544900643613117</v>
      </c>
      <c r="T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278.35282470661554</v>
      </c>
      <c r="U98" s="11"/>
      <c r="W98" t="str">
        <v>Lucas Raymond</v>
      </c>
      <c r="AA98" t="str">
        <v>Lucas Raymond</v>
      </c>
      <c r="AB98" t="str">
        <v>Lucas Raymond</v>
      </c>
    </row>
    <row r="99" spans="1:28" x14ac:dyDescent="0.25">
      <c r="A99" t="s">
        <v>313</v>
      </c>
      <c r="B99">
        <f>INDEX(Proj[],MATCH(Std[[#This Row],[Player]],Proj[Player],0),2)</f>
        <v>35</v>
      </c>
      <c r="C99" t="s">
        <v>74</v>
      </c>
      <c r="D99" s="75"/>
      <c r="E99" s="57"/>
      <c r="F99" t="s">
        <v>10</v>
      </c>
      <c r="G99" s="12">
        <f>(INDEX(Proj[],MATCH(Std[[#This Row],[Player]],Proj[Player],0),14)-G$764)/G$765</f>
        <v>0.92202277498500074</v>
      </c>
      <c r="H99" s="12">
        <f>(INDEX(Proj[],MATCH(Std[[#This Row],[Player]],Proj[Player],0),15)-H$764)/H$765</f>
        <v>1.1260335742187302</v>
      </c>
      <c r="I99" s="12">
        <f>(INDEX(Proj[],MATCH(Std[[#This Row],[Player]],Proj[Player],0),16)-I$764)/I$765</f>
        <v>1.1261249452198303</v>
      </c>
      <c r="J99" s="12">
        <f>(INDEX(Proj[],MATCH(Std[[#This Row],[Player]],Proj[Player],0),17)-J$764)/J$765</f>
        <v>1.2994872004234757</v>
      </c>
      <c r="K99" s="12">
        <f>(INDEX(Proj[],MATCH(Std[[#This Row],[Player]],Proj[Player],0),18)-K$764)/K$765</f>
        <v>1.244524628582022</v>
      </c>
      <c r="L99" s="12">
        <f>(INDEX(Proj[],MATCH(Std[[#This Row],[Player]],Proj[Player],0),19)-L$764)/L$765</f>
        <v>1.3582967335058418</v>
      </c>
      <c r="M99" s="12">
        <f>(INDEX(Proj[],MATCH(Std[[#This Row],[Player]],Proj[Player],0),20)-M$764)/M$765</f>
        <v>1.3378904761343182</v>
      </c>
      <c r="N99" s="12">
        <f>(INDEX(Proj[],MATCH(Std[[#This Row],[Player]],Proj[Player],0),21)-N$764)/N$765</f>
        <v>0.31526077481379738</v>
      </c>
      <c r="O99" s="12">
        <f>(INDEX(Proj[],MATCH(Std[[#This Row],[Player]],Proj[Player],0),22)-O$764)/O$765</f>
        <v>-0.33544818599626064</v>
      </c>
      <c r="P99" s="12">
        <f>((INDEX(Proj[],MATCH(Std[[#This Row],[Player]],Proj[Player],0),23)-P$764)/P$765)*IF('League Inputs'!$C$23 = "Yes",-1, 1)</f>
        <v>0.58190128394238927</v>
      </c>
      <c r="Q99" s="12">
        <f>(INDEX(Proj[],MATCH(Std[[#This Row],[Player]],Proj[Player],0),24)-Q$764)/Q$765</f>
        <v>1.7474530912931021</v>
      </c>
      <c r="R99" s="12">
        <f>(INDEX(Proj[],MATCH(Std[[#This Row],[Player]],Proj[Player],0),25)-R$764)/R$765</f>
        <v>1.0147937994025582</v>
      </c>
      <c r="S99" s="12">
        <f>(INDEX(Proj[],MATCH(Std[[#This Row],[Player]],Proj[Player],0),26)-S$764)/S$765</f>
        <v>0.69544900643613117</v>
      </c>
      <c r="T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753.70939984185611</v>
      </c>
      <c r="U99" s="11"/>
      <c r="W99" t="str">
        <v>Jamie Benn</v>
      </c>
      <c r="AA99" t="str">
        <v>Jamie Benn</v>
      </c>
      <c r="AB99" t="str">
        <v>Jamie Benn</v>
      </c>
    </row>
    <row r="100" spans="1:28" x14ac:dyDescent="0.25">
      <c r="A100" t="s">
        <v>293</v>
      </c>
      <c r="B100">
        <f>INDEX(Proj[],MATCH(Std[[#This Row],[Player]],Proj[Player],0),2)</f>
        <v>30</v>
      </c>
      <c r="C100" t="s">
        <v>74</v>
      </c>
      <c r="D100" s="75"/>
      <c r="E100" s="57"/>
      <c r="F100" t="s">
        <v>87</v>
      </c>
      <c r="G100" s="12">
        <f>(INDEX(Proj[],MATCH(Std[[#This Row],[Player]],Proj[Player],0),14)-G$764)/G$765</f>
        <v>1.0276566437427663</v>
      </c>
      <c r="H100" s="12">
        <f>(INDEX(Proj[],MATCH(Std[[#This Row],[Player]],Proj[Player],0),15)-H$764)/H$765</f>
        <v>1.0515043072304648</v>
      </c>
      <c r="I100" s="12">
        <f>(INDEX(Proj[],MATCH(Std[[#This Row],[Player]],Proj[Player],0),16)-I$764)/I$765</f>
        <v>1.1261249452198303</v>
      </c>
      <c r="J100" s="12">
        <f>(INDEX(Proj[],MATCH(Std[[#This Row],[Player]],Proj[Player],0),17)-J$764)/J$765</f>
        <v>1.5938504876481154</v>
      </c>
      <c r="K100" s="12">
        <f>(INDEX(Proj[],MATCH(Std[[#This Row],[Player]],Proj[Player],0),18)-K$764)/K$765</f>
        <v>0.62818084729017121</v>
      </c>
      <c r="L100" s="12">
        <f>(INDEX(Proj[],MATCH(Std[[#This Row],[Player]],Proj[Player],0),19)-L$764)/L$765</f>
        <v>1.0320808389675393</v>
      </c>
      <c r="M100" s="12">
        <f>(INDEX(Proj[],MATCH(Std[[#This Row],[Player]],Proj[Player],0),20)-M$764)/M$765</f>
        <v>2.3633801304301665</v>
      </c>
      <c r="N100" s="12">
        <f>(INDEX(Proj[],MATCH(Std[[#This Row],[Player]],Proj[Player],0),21)-N$764)/N$765</f>
        <v>-5.2954158804825381E-2</v>
      </c>
      <c r="O100" s="12">
        <f>(INDEX(Proj[],MATCH(Std[[#This Row],[Player]],Proj[Player],0),22)-O$764)/O$765</f>
        <v>-8.0072149265217829E-2</v>
      </c>
      <c r="P100" s="12">
        <f>((INDEX(Proj[],MATCH(Std[[#This Row],[Player]],Proj[Player],0),23)-P$764)/P$765)*IF('League Inputs'!$C$23 = "Yes",-1, 1)</f>
        <v>-0.67467262211328927</v>
      </c>
      <c r="Q100" s="12">
        <f>(INDEX(Proj[],MATCH(Std[[#This Row],[Player]],Proj[Player],0),24)-Q$764)/Q$765</f>
        <v>3.5544656906370169</v>
      </c>
      <c r="R100" s="12">
        <f>(INDEX(Proj[],MATCH(Std[[#This Row],[Player]],Proj[Player],0),25)-R$764)/R$765</f>
        <v>2.8819076529827843</v>
      </c>
      <c r="S100" s="12">
        <f>(INDEX(Proj[],MATCH(Std[[#This Row],[Player]],Proj[Player],0),26)-S$764)/S$765</f>
        <v>1.0522602746422267</v>
      </c>
      <c r="T1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803.63937702565113</v>
      </c>
      <c r="U100" s="11"/>
      <c r="W100" t="str">
        <v>Elias Lindholm</v>
      </c>
      <c r="AA100" t="str">
        <v>Elias Lindholm</v>
      </c>
      <c r="AB100" t="str">
        <v>Elias Lindholm</v>
      </c>
    </row>
    <row r="101" spans="1:28" x14ac:dyDescent="0.25">
      <c r="A101" t="s">
        <v>315</v>
      </c>
      <c r="B101">
        <f>INDEX(Proj[],MATCH(Std[[#This Row],[Player]],Proj[Player],0),2)</f>
        <v>29</v>
      </c>
      <c r="C101" t="s">
        <v>74</v>
      </c>
      <c r="D101" s="75" t="s">
        <v>102</v>
      </c>
      <c r="E101" s="56" t="s">
        <v>103</v>
      </c>
      <c r="F101" t="s">
        <v>12</v>
      </c>
      <c r="G101" s="12">
        <f>(INDEX(Proj[],MATCH(Std[[#This Row],[Player]],Proj[Player],0),14)-G$764)/G$765</f>
        <v>-0.34558365010818687</v>
      </c>
      <c r="H101" s="12">
        <f>(INDEX(Proj[],MATCH(Std[[#This Row],[Player]],Proj[Player],0),15)-H$764)/H$765</f>
        <v>2.0203847780779127</v>
      </c>
      <c r="I101" s="12">
        <f>(INDEX(Proj[],MATCH(Std[[#This Row],[Player]],Proj[Player],0),16)-I$764)/I$765</f>
        <v>1.1261249452198303</v>
      </c>
      <c r="J101" s="12">
        <f>(INDEX(Proj[],MATCH(Std[[#This Row],[Player]],Proj[Player],0),17)-J$764)/J$765</f>
        <v>-0.17232923569972286</v>
      </c>
      <c r="K101" s="12">
        <f>(INDEX(Proj[],MATCH(Std[[#This Row],[Player]],Proj[Player],0),18)-K$764)/K$765</f>
        <v>1.8608684098738728</v>
      </c>
      <c r="L101" s="12">
        <f>(INDEX(Proj[],MATCH(Std[[#This Row],[Player]],Proj[Player],0),19)-L$764)/L$765</f>
        <v>1.2495581019930744</v>
      </c>
      <c r="M101" s="12">
        <f>(INDEX(Proj[],MATCH(Std[[#This Row],[Player]],Proj[Player],0),20)-M$764)/M$765</f>
        <v>-0.71308883245737775</v>
      </c>
      <c r="N101" s="12">
        <f>(INDEX(Proj[],MATCH(Std[[#This Row],[Player]],Proj[Player],0),21)-N$764)/N$765</f>
        <v>-1.2351178930540878</v>
      </c>
      <c r="O101" s="12">
        <f>(INDEX(Proj[],MATCH(Std[[#This Row],[Player]],Proj[Player],0),22)-O$764)/O$765</f>
        <v>1.2896720477467392</v>
      </c>
      <c r="P101" s="12">
        <f>((INDEX(Proj[],MATCH(Std[[#This Row],[Player]],Proj[Player],0),23)-P$764)/P$765)*IF('League Inputs'!$C$23 = "Yes",-1, 1)</f>
        <v>-0.86083171930672309</v>
      </c>
      <c r="Q101" s="12">
        <f>(INDEX(Proj[],MATCH(Std[[#This Row],[Player]],Proj[Player],0),24)-Q$764)/Q$765</f>
        <v>-0.5766103108129359</v>
      </c>
      <c r="R101" s="12">
        <f>(INDEX(Proj[],MATCH(Std[[#This Row],[Player]],Proj[Player],0),25)-R$764)/R$765</f>
        <v>-0.62531533033812681</v>
      </c>
      <c r="S101" s="12">
        <f>(INDEX(Proj[],MATCH(Std[[#This Row],[Player]],Proj[Player],0),26)-S$764)/S$765</f>
        <v>0.72788639445486714</v>
      </c>
      <c r="T1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339.54826942104887</v>
      </c>
      <c r="U101" s="11"/>
      <c r="W101" t="str">
        <v>Shea Theodore</v>
      </c>
      <c r="AA101" t="str">
        <v>Shea Theodore</v>
      </c>
      <c r="AB101" t="str">
        <v>Shea Theodore</v>
      </c>
    </row>
    <row r="102" spans="1:28" x14ac:dyDescent="0.25">
      <c r="A102" t="s">
        <v>467</v>
      </c>
      <c r="B102">
        <f>INDEX(Proj[],MATCH(Std[[#This Row],[Player]],Proj[Player],0),2)</f>
        <v>26</v>
      </c>
      <c r="C102" t="s">
        <v>102</v>
      </c>
      <c r="D102" s="75" t="s">
        <v>103</v>
      </c>
      <c r="E102" s="57"/>
      <c r="F102" t="s">
        <v>22</v>
      </c>
      <c r="G102" s="12">
        <f>(INDEX(Proj[],MATCH(Std[[#This Row],[Player]],Proj[Player],0),14)-G$764)/G$765</f>
        <v>1.1332905125005321</v>
      </c>
      <c r="H102" s="12">
        <f>(INDEX(Proj[],MATCH(Std[[#This Row],[Player]],Proj[Player],0),15)-H$764)/H$765</f>
        <v>0.97697504024219972</v>
      </c>
      <c r="I102" s="12">
        <f>(INDEX(Proj[],MATCH(Std[[#This Row],[Player]],Proj[Player],0),16)-I$764)/I$765</f>
        <v>1.1261249452198303</v>
      </c>
      <c r="J102" s="12">
        <f>(INDEX(Proj[],MATCH(Std[[#This Row],[Player]],Proj[Player],0),17)-J$764)/J$765</f>
        <v>1.0051239131988361</v>
      </c>
      <c r="K102" s="12">
        <f>(INDEX(Proj[],MATCH(Std[[#This Row],[Player]],Proj[Player],0),18)-K$764)/K$765</f>
        <v>0.47409490196720849</v>
      </c>
      <c r="L102" s="12">
        <f>(INDEX(Proj[],MATCH(Std[[#This Row],[Player]],Proj[Player],0),19)-L$764)/L$765</f>
        <v>0.70586494442923664</v>
      </c>
      <c r="M102" s="12">
        <f>(INDEX(Proj[],MATCH(Std[[#This Row],[Player]],Proj[Player],0),20)-M$764)/M$765</f>
        <v>0.31240082183847029</v>
      </c>
      <c r="N102" s="12">
        <f>(INDEX(Proj[],MATCH(Std[[#This Row],[Player]],Proj[Player],0),21)-N$764)/N$765</f>
        <v>-0.36302989237840244</v>
      </c>
      <c r="O102" s="12">
        <f>(INDEX(Proj[],MATCH(Std[[#This Row],[Player]],Proj[Player],0),22)-O$764)/O$765</f>
        <v>-0.77655224944078916</v>
      </c>
      <c r="P102" s="12">
        <f>((INDEX(Proj[],MATCH(Std[[#This Row],[Player]],Proj[Player],0),23)-P$764)/P$765)*IF('League Inputs'!$C$23 = "Yes",-1, 1)</f>
        <v>0.11650354095880462</v>
      </c>
      <c r="Q102" s="12">
        <f>(INDEX(Proj[],MATCH(Std[[#This Row],[Player]],Proj[Player],0),24)-Q$764)/Q$765</f>
        <v>-0.17682876228552108</v>
      </c>
      <c r="R102" s="12">
        <f>(INDEX(Proj[],MATCH(Std[[#This Row],[Player]],Proj[Player],0),25)-R$764)/R$765</f>
        <v>2.1648132604565547E-2</v>
      </c>
      <c r="S102" s="12">
        <f>(INDEX(Proj[],MATCH(Std[[#This Row],[Player]],Proj[Player],0),26)-S$764)/S$765</f>
        <v>1.66857064699821</v>
      </c>
      <c r="T1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441.09187262441003</v>
      </c>
      <c r="U102" s="11"/>
      <c r="W102" t="str">
        <v>Martin Necas</v>
      </c>
      <c r="AA102" t="str">
        <v>Martin Necas</v>
      </c>
      <c r="AB102" t="str">
        <v>Martin Necas</v>
      </c>
    </row>
    <row r="103" spans="1:28" x14ac:dyDescent="0.25">
      <c r="A103" t="s">
        <v>1220</v>
      </c>
      <c r="B103">
        <f>INDEX(Proj[],MATCH(Std[[#This Row],[Player]],Proj[Player],0),2)</f>
        <v>18</v>
      </c>
      <c r="C103" t="s">
        <v>74</v>
      </c>
      <c r="D103" s="75" t="s">
        <v>103</v>
      </c>
      <c r="E103" s="56"/>
      <c r="F103" t="s">
        <v>10</v>
      </c>
      <c r="G103" s="12">
        <f>(INDEX(Proj[],MATCH(Std[[#This Row],[Player]],Proj[Player],0),14)-G$764)/G$765</f>
        <v>1.2389243812582977</v>
      </c>
      <c r="H103" s="12">
        <f>(INDEX(Proj[],MATCH(Std[[#This Row],[Player]],Proj[Player],0),15)-H$764)/H$765</f>
        <v>0.90244577325393449</v>
      </c>
      <c r="I103" s="12">
        <f>(INDEX(Proj[],MATCH(Std[[#This Row],[Player]],Proj[Player],0),16)-I$764)/I$765</f>
        <v>1.1261249452198303</v>
      </c>
      <c r="J103" s="12">
        <f>(INDEX(Proj[],MATCH(Std[[#This Row],[Player]],Proj[Player],0),17)-J$764)/J$765</f>
        <v>0.71076062597419631</v>
      </c>
      <c r="K103" s="12">
        <f>(INDEX(Proj[],MATCH(Std[[#This Row],[Player]],Proj[Player],0),18)-K$764)/K$765</f>
        <v>1.0904386832590593</v>
      </c>
      <c r="L103" s="12">
        <f>(INDEX(Proj[],MATCH(Std[[#This Row],[Player]],Proj[Player],0),19)-L$764)/L$765</f>
        <v>1.0320808389675393</v>
      </c>
      <c r="M103" s="12">
        <f>(INDEX(Proj[],MATCH(Std[[#This Row],[Player]],Proj[Player],0),20)-M$764)/M$765</f>
        <v>-0.71308883245737775</v>
      </c>
      <c r="N103" s="12">
        <f>(INDEX(Proj[],MATCH(Std[[#This Row],[Player]],Proj[Player],0),21)-N$764)/N$765</f>
        <v>8.2703974633614577E-2</v>
      </c>
      <c r="O103" s="12">
        <f>(INDEX(Proj[],MATCH(Std[[#This Row],[Player]],Proj[Player],0),22)-O$764)/O$765</f>
        <v>-0.52117621270974634</v>
      </c>
      <c r="P103" s="12">
        <f>((INDEX(Proj[],MATCH(Std[[#This Row],[Player]],Proj[Player],0),23)-P$764)/P$765)*IF('League Inputs'!$C$23 = "Yes",-1, 1)</f>
        <v>0.6284410582407477</v>
      </c>
      <c r="Q103" s="12">
        <f>(INDEX(Proj[],MATCH(Std[[#This Row],[Player]],Proj[Player],0),24)-Q$764)/Q$765</f>
        <v>1.0491679865318844</v>
      </c>
      <c r="R103" s="12">
        <f>(INDEX(Proj[],MATCH(Std[[#This Row],[Player]],Proj[Player],0),25)-R$764)/R$765</f>
        <v>1.1680219879942486</v>
      </c>
      <c r="S103" s="12">
        <f>(INDEX(Proj[],MATCH(Std[[#This Row],[Player]],Proj[Player],0),26)-S$764)/S$765</f>
        <v>1.684789341007578</v>
      </c>
      <c r="T1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722.35020864036801</v>
      </c>
      <c r="U103" s="11"/>
      <c r="W103" t="str">
        <v>Macklin Celebrini</v>
      </c>
      <c r="AA103" t="str">
        <v>Macklin Celebrini</v>
      </c>
      <c r="AB103" t="str">
        <v>Macklin Celebrini</v>
      </c>
    </row>
    <row r="104" spans="1:28" x14ac:dyDescent="0.25">
      <c r="A104" t="s">
        <v>364</v>
      </c>
      <c r="B104">
        <f>INDEX(Proj[],MATCH(Std[[#This Row],[Player]],Proj[Player],0),2)</f>
        <v>34</v>
      </c>
      <c r="C104" t="s">
        <v>103</v>
      </c>
      <c r="D104" s="75"/>
      <c r="E104" s="56"/>
      <c r="F104" t="s">
        <v>8</v>
      </c>
      <c r="G104" s="12">
        <f>(INDEX(Proj[],MATCH(Std[[#This Row],[Player]],Proj[Player],0),14)-G$764)/G$765</f>
        <v>1.2389243812582977</v>
      </c>
      <c r="H104" s="12">
        <f>(INDEX(Proj[],MATCH(Std[[#This Row],[Player]],Proj[Player],0),15)-H$764)/H$765</f>
        <v>0.90244577325393449</v>
      </c>
      <c r="I104" s="12">
        <f>(INDEX(Proj[],MATCH(Std[[#This Row],[Player]],Proj[Player],0),16)-I$764)/I$765</f>
        <v>1.1261249452198303</v>
      </c>
      <c r="J104" s="12">
        <f>(INDEX(Proj[],MATCH(Std[[#This Row],[Player]],Proj[Player],0),17)-J$764)/J$765</f>
        <v>1.0051239131988361</v>
      </c>
      <c r="K104" s="12">
        <f>(INDEX(Proj[],MATCH(Std[[#This Row],[Player]],Proj[Player],0),18)-K$764)/K$765</f>
        <v>0.47409490196720849</v>
      </c>
      <c r="L104" s="12">
        <f>(INDEX(Proj[],MATCH(Std[[#This Row],[Player]],Proj[Player],0),19)-L$764)/L$765</f>
        <v>0.70586494442923664</v>
      </c>
      <c r="M104" s="12">
        <f>(INDEX(Proj[],MATCH(Std[[#This Row],[Player]],Proj[Player],0),20)-M$764)/M$765</f>
        <v>-0.71308883245737775</v>
      </c>
      <c r="N104" s="12">
        <f>(INDEX(Proj[],MATCH(Std[[#This Row],[Player]],Proj[Player],0),21)-N$764)/N$765</f>
        <v>-1.0994597596156479</v>
      </c>
      <c r="O104" s="12">
        <f>(INDEX(Proj[],MATCH(Std[[#This Row],[Player]],Proj[Player],0),22)-O$764)/O$765</f>
        <v>-0.49796020937056062</v>
      </c>
      <c r="P104" s="12">
        <f>((INDEX(Proj[],MATCH(Std[[#This Row],[Player]],Proj[Player],0),23)-P$764)/P$765)*IF('League Inputs'!$C$23 = "Yes",-1, 1)</f>
        <v>-0.44197375062149696</v>
      </c>
      <c r="Q104" s="12">
        <f>(INDEX(Proj[],MATCH(Std[[#This Row],[Player]],Proj[Player],0),24)-Q$764)/Q$765</f>
        <v>0.958550835532337</v>
      </c>
      <c r="R104" s="12">
        <f>(INDEX(Proj[],MATCH(Std[[#This Row],[Player]],Proj[Player],0),25)-R$764)/R$765</f>
        <v>0.6856369498352235</v>
      </c>
      <c r="S104" s="12">
        <f>(INDEX(Proj[],MATCH(Std[[#This Row],[Player]],Proj[Player],0),26)-S$764)/S$765</f>
        <v>0.7116677004454991</v>
      </c>
      <c r="T1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360.418486053143</v>
      </c>
      <c r="U104" s="11"/>
      <c r="W104" t="str">
        <v>Matt Duchene</v>
      </c>
      <c r="AA104" t="str">
        <v>Matt Duchene</v>
      </c>
      <c r="AB104" t="str">
        <v>Matt Duchene</v>
      </c>
    </row>
    <row r="105" spans="1:28" x14ac:dyDescent="0.25">
      <c r="A105" t="s">
        <v>466</v>
      </c>
      <c r="B105">
        <f>INDEX(Proj[],MATCH(Std[[#This Row],[Player]],Proj[Player],0),2)</f>
        <v>33</v>
      </c>
      <c r="C105" t="s">
        <v>3</v>
      </c>
      <c r="D105" s="75"/>
      <c r="E105" s="57"/>
      <c r="F105" t="s">
        <v>32</v>
      </c>
      <c r="G105" s="12">
        <f>(INDEX(Proj[],MATCH(Std[[#This Row],[Player]],Proj[Player],0),14)-G$764)/G$765</f>
        <v>1.1332905125005321</v>
      </c>
      <c r="H105" s="12">
        <f>(INDEX(Proj[],MATCH(Std[[#This Row],[Player]],Proj[Player],0),15)-H$764)/H$765</f>
        <v>0.97697504024219972</v>
      </c>
      <c r="I105" s="12">
        <f>(INDEX(Proj[],MATCH(Std[[#This Row],[Player]],Proj[Player],0),16)-I$764)/I$765</f>
        <v>1.1261249452198303</v>
      </c>
      <c r="J105" s="12">
        <f>(INDEX(Proj[],MATCH(Std[[#This Row],[Player]],Proj[Player],0),17)-J$764)/J$765</f>
        <v>1.5938504876481154</v>
      </c>
      <c r="K105" s="12">
        <f>(INDEX(Proj[],MATCH(Std[[#This Row],[Player]],Proj[Player],0),18)-K$764)/K$765</f>
        <v>0.62818084729017121</v>
      </c>
      <c r="L105" s="12">
        <f>(INDEX(Proj[],MATCH(Std[[#This Row],[Player]],Proj[Player],0),19)-L$764)/L$765</f>
        <v>1.0320808389675393</v>
      </c>
      <c r="M105" s="12">
        <f>(INDEX(Proj[],MATCH(Std[[#This Row],[Player]],Proj[Player],0),20)-M$764)/M$765</f>
        <v>0.31240082183847029</v>
      </c>
      <c r="N105" s="12">
        <f>(INDEX(Proj[],MATCH(Std[[#This Row],[Player]],Proj[Player],0),21)-N$764)/N$765</f>
        <v>-1.1963584263573908</v>
      </c>
      <c r="O105" s="12">
        <f>(INDEX(Proj[],MATCH(Std[[#This Row],[Player]],Proj[Player],0),22)-O$764)/O$765</f>
        <v>-0.35866418933544636</v>
      </c>
      <c r="P105" s="12">
        <f>((INDEX(Proj[],MATCH(Std[[#This Row],[Player]],Proj[Player],0),23)-P$764)/P$765)*IF('League Inputs'!$C$23 = "Yes",-1, 1)</f>
        <v>-0.76775217071000623</v>
      </c>
      <c r="Q105" s="12">
        <f>(INDEX(Proj[],MATCH(Std[[#This Row],[Player]],Proj[Player],0),24)-Q$764)/Q$765</f>
        <v>3.5491352699899843</v>
      </c>
      <c r="R105" s="12">
        <f>(INDEX(Proj[],MATCH(Std[[#This Row],[Player]],Proj[Player],0),25)-R$764)/R$765</f>
        <v>3.0521611958624404</v>
      </c>
      <c r="S105" s="12">
        <f>(INDEX(Proj[],MATCH(Std[[#This Row],[Player]],Proj[Player],0),26)-S$764)/S$765</f>
        <v>0.64679292440802716</v>
      </c>
      <c r="T1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614.16247449252705</v>
      </c>
      <c r="U105" s="11"/>
      <c r="W105" t="str">
        <v>Ryan O'Reilly</v>
      </c>
      <c r="AA105" t="str">
        <v>Ryan O'Reilly</v>
      </c>
      <c r="AB105" t="str">
        <v>Ryan O'Reilly</v>
      </c>
    </row>
    <row r="106" spans="1:28" x14ac:dyDescent="0.25">
      <c r="A106" t="s">
        <v>311</v>
      </c>
      <c r="B106">
        <f>INDEX(Proj[],MATCH(Std[[#This Row],[Player]],Proj[Player],0),2)</f>
        <v>33</v>
      </c>
      <c r="C106" t="s">
        <v>103</v>
      </c>
      <c r="D106" s="75"/>
      <c r="E106" s="56"/>
      <c r="F106" t="s">
        <v>7</v>
      </c>
      <c r="G106" s="12">
        <f>(INDEX(Proj[],MATCH(Std[[#This Row],[Player]],Proj[Player],0),14)-G$764)/G$765</f>
        <v>1.1332905125005321</v>
      </c>
      <c r="H106" s="12">
        <f>(INDEX(Proj[],MATCH(Std[[#This Row],[Player]],Proj[Player],0),15)-H$764)/H$765</f>
        <v>0.97697504024219972</v>
      </c>
      <c r="I106" s="12">
        <f>(INDEX(Proj[],MATCH(Std[[#This Row],[Player]],Proj[Player],0),16)-I$764)/I$765</f>
        <v>1.1261249452198303</v>
      </c>
      <c r="J106" s="12">
        <f>(INDEX(Proj[],MATCH(Std[[#This Row],[Player]],Proj[Player],0),17)-J$764)/J$765</f>
        <v>0.41639733874955659</v>
      </c>
      <c r="K106" s="12">
        <f>(INDEX(Proj[],MATCH(Std[[#This Row],[Player]],Proj[Player],0),18)-K$764)/K$765</f>
        <v>0.62818084729017121</v>
      </c>
      <c r="L106" s="12">
        <f>(INDEX(Proj[],MATCH(Std[[#This Row],[Player]],Proj[Player],0),19)-L$764)/L$765</f>
        <v>0.59712631291646912</v>
      </c>
      <c r="M106" s="12">
        <f>(INDEX(Proj[],MATCH(Std[[#This Row],[Player]],Proj[Player],0),20)-M$764)/M$765</f>
        <v>-0.71308883245737775</v>
      </c>
      <c r="N106" s="12">
        <f>(INDEX(Proj[],MATCH(Std[[#This Row],[Player]],Proj[Player],0),21)-N$764)/N$765</f>
        <v>-7.2333892153173943E-2</v>
      </c>
      <c r="O106" s="12">
        <f>(INDEX(Proj[],MATCH(Std[[#This Row],[Player]],Proj[Player],0),22)-O$764)/O$765</f>
        <v>-0.49796020937056062</v>
      </c>
      <c r="P106" s="12">
        <f>((INDEX(Proj[],MATCH(Std[[#This Row],[Player]],Proj[Player],0),23)-P$764)/P$765)*IF('League Inputs'!$C$23 = "Yes",-1, 1)</f>
        <v>-0.76775217071000623</v>
      </c>
      <c r="Q106" s="12">
        <f>(INDEX(Proj[],MATCH(Std[[#This Row],[Player]],Proj[Player],0),24)-Q$764)/Q$765</f>
        <v>-0.53396694563667835</v>
      </c>
      <c r="R106" s="12">
        <f>(INDEX(Proj[],MATCH(Std[[#This Row],[Player]],Proj[Player],0),25)-R$764)/R$765</f>
        <v>-0.57991438557021857</v>
      </c>
      <c r="S106" s="12">
        <f>(INDEX(Proj[],MATCH(Std[[#This Row],[Player]],Proj[Player],0),26)-S$764)/S$765</f>
        <v>0.84141725252044297</v>
      </c>
      <c r="T1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280.29208455290541</v>
      </c>
      <c r="U106" s="11"/>
      <c r="W106" t="str">
        <v>Vladimir Tarasenko</v>
      </c>
      <c r="AA106" t="str">
        <v>Vladimir Tarasenko</v>
      </c>
      <c r="AB106" t="str">
        <v>Vladimir Tarasenko</v>
      </c>
    </row>
    <row r="107" spans="1:28" x14ac:dyDescent="0.25">
      <c r="A107" t="s">
        <v>698</v>
      </c>
      <c r="B107">
        <f>INDEX(Proj[],MATCH(Std[[#This Row],[Player]],Proj[Player],0),2)</f>
        <v>28</v>
      </c>
      <c r="C107" t="s">
        <v>102</v>
      </c>
      <c r="D107" s="75" t="s">
        <v>103</v>
      </c>
      <c r="E107" s="56"/>
      <c r="F107" t="s">
        <v>18</v>
      </c>
      <c r="G107" s="12">
        <f>(INDEX(Proj[],MATCH(Std[[#This Row],[Player]],Proj[Player],0),14)-G$764)/G$765</f>
        <v>1.4501921187738289</v>
      </c>
      <c r="H107" s="12">
        <f>(INDEX(Proj[],MATCH(Std[[#This Row],[Player]],Proj[Player],0),15)-H$764)/H$765</f>
        <v>0.75338723927740403</v>
      </c>
      <c r="I107" s="12">
        <f>(INDEX(Proj[],MATCH(Std[[#This Row],[Player]],Proj[Player],0),16)-I$764)/I$765</f>
        <v>1.1261249452198303</v>
      </c>
      <c r="J107" s="12">
        <f>(INDEX(Proj[],MATCH(Std[[#This Row],[Player]],Proj[Player],0),17)-J$764)/J$765</f>
        <v>1.8882137748727552</v>
      </c>
      <c r="K107" s="12">
        <f>(INDEX(Proj[],MATCH(Std[[#This Row],[Player]],Proj[Player],0),18)-K$764)/K$765</f>
        <v>0.93635273793609664</v>
      </c>
      <c r="L107" s="12">
        <f>(INDEX(Proj[],MATCH(Std[[#This Row],[Player]],Proj[Player],0),19)-L$764)/L$765</f>
        <v>1.3582967335058418</v>
      </c>
      <c r="M107" s="12">
        <f>(INDEX(Proj[],MATCH(Std[[#This Row],[Player]],Proj[Player],0),20)-M$764)/M$765</f>
        <v>-0.71308883245737775</v>
      </c>
      <c r="N107" s="12">
        <f>(INDEX(Proj[],MATCH(Std[[#This Row],[Player]],Proj[Player],0),21)-N$764)/N$765</f>
        <v>-1.3513962931441792</v>
      </c>
      <c r="O107" s="12">
        <f>(INDEX(Proj[],MATCH(Std[[#This Row],[Player]],Proj[Player],0),22)-O$764)/O$765</f>
        <v>-0.96228027615427481</v>
      </c>
      <c r="P107" s="12">
        <f>((INDEX(Proj[],MATCH(Std[[#This Row],[Player]],Proj[Player],0),23)-P$764)/P$765)*IF('League Inputs'!$C$23 = "Yes",-1, 1)</f>
        <v>-1.0935305907985153</v>
      </c>
      <c r="Q107" s="12">
        <f>(INDEX(Proj[],MATCH(Std[[#This Row],[Player]],Proj[Player],0),24)-Q$764)/Q$765</f>
        <v>-0.51797568369558167</v>
      </c>
      <c r="R107" s="12">
        <f>(INDEX(Proj[],MATCH(Std[[#This Row],[Player]],Proj[Player],0),25)-R$764)/R$765</f>
        <v>-0.56856414937824151</v>
      </c>
      <c r="S107" s="12">
        <f>(INDEX(Proj[],MATCH(Std[[#This Row],[Player]],Proj[Player],0),26)-S$764)/S$765</f>
        <v>0.24132557417382763</v>
      </c>
      <c r="T1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100.41437671581815</v>
      </c>
      <c r="U107" s="11"/>
      <c r="W107" t="str">
        <v>Andrei Kuzmenko</v>
      </c>
      <c r="AA107" t="str">
        <v>Andrei Kuzmenko</v>
      </c>
      <c r="AB107" t="str">
        <v>Andrei Kuzmenko</v>
      </c>
    </row>
    <row r="108" spans="1:28" x14ac:dyDescent="0.25">
      <c r="A108" t="s">
        <v>393</v>
      </c>
      <c r="B108">
        <f>INDEX(Proj[],MATCH(Std[[#This Row],[Player]],Proj[Player],0),2)</f>
        <v>28</v>
      </c>
      <c r="C108" t="s">
        <v>102</v>
      </c>
      <c r="D108" s="75" t="s">
        <v>103</v>
      </c>
      <c r="E108" s="57"/>
      <c r="F108" t="s">
        <v>28</v>
      </c>
      <c r="G108" s="12">
        <f>(INDEX(Proj[],MATCH(Std[[#This Row],[Player]],Proj[Player],0),14)-G$764)/G$765</f>
        <v>-0.13431591259265557</v>
      </c>
      <c r="H108" s="12">
        <f>(INDEX(Proj[],MATCH(Std[[#This Row],[Player]],Proj[Player],0),15)-H$764)/H$765</f>
        <v>1.7967969771131171</v>
      </c>
      <c r="I108" s="12">
        <f>(INDEX(Proj[],MATCH(Std[[#This Row],[Player]],Proj[Player],0),16)-I$764)/I$765</f>
        <v>1.078882386257727</v>
      </c>
      <c r="J108" s="12">
        <f>(INDEX(Proj[],MATCH(Std[[#This Row],[Player]],Proj[Player],0),17)-J$764)/J$765</f>
        <v>-0.17232923569972286</v>
      </c>
      <c r="K108" s="12">
        <f>(INDEX(Proj[],MATCH(Std[[#This Row],[Player]],Proj[Player],0),18)-K$764)/K$765</f>
        <v>1.7067824645509102</v>
      </c>
      <c r="L108" s="12">
        <f>(INDEX(Proj[],MATCH(Std[[#This Row],[Player]],Proj[Player],0),19)-L$764)/L$765</f>
        <v>1.1408194704803067</v>
      </c>
      <c r="M108" s="12">
        <f>(INDEX(Proj[],MATCH(Std[[#This Row],[Player]],Proj[Player],0),20)-M$764)/M$765</f>
        <v>0.31240082183847029</v>
      </c>
      <c r="N108" s="12">
        <f>(INDEX(Proj[],MATCH(Std[[#This Row],[Player]],Proj[Player],0),21)-N$764)/N$765</f>
        <v>-0.44054882577179671</v>
      </c>
      <c r="O108" s="12">
        <f>(INDEX(Proj[],MATCH(Std[[#This Row],[Player]],Proj[Player],0),22)-O$764)/O$765</f>
        <v>0.70927196426709627</v>
      </c>
      <c r="P108" s="12">
        <f>((INDEX(Proj[],MATCH(Std[[#This Row],[Player]],Proj[Player],0),23)-P$764)/P$765)*IF('League Inputs'!$C$23 = "Yes",-1, 1)</f>
        <v>1.8384751899980678</v>
      </c>
      <c r="Q108" s="12">
        <f>(INDEX(Proj[],MATCH(Std[[#This Row],[Player]],Proj[Player],0),24)-Q$764)/Q$765</f>
        <v>-0.5766103108129359</v>
      </c>
      <c r="R108" s="12">
        <f>(INDEX(Proj[],MATCH(Std[[#This Row],[Player]],Proj[Player],0),25)-R$764)/R$765</f>
        <v>-0.62531533033812681</v>
      </c>
      <c r="S108" s="12">
        <f>(INDEX(Proj[],MATCH(Std[[#This Row],[Player]],Proj[Player],0),26)-S$764)/S$765</f>
        <v>0.4521685962956114</v>
      </c>
      <c r="T1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586.49395352345391</v>
      </c>
      <c r="U108" s="11"/>
      <c r="W108" t="str">
        <v>Vince Dunn</v>
      </c>
      <c r="AA108" t="str">
        <v>Vince Dunn</v>
      </c>
      <c r="AB108" t="str">
        <v>Vince Dunn</v>
      </c>
    </row>
    <row r="109" spans="1:28" x14ac:dyDescent="0.25">
      <c r="A109" t="s">
        <v>275</v>
      </c>
      <c r="B109">
        <f>INDEX(Proj[],MATCH(Std[[#This Row],[Player]],Proj[Player],0),2)</f>
        <v>30</v>
      </c>
      <c r="C109" t="s">
        <v>74</v>
      </c>
      <c r="D109" s="75"/>
      <c r="E109" s="56"/>
      <c r="F109" t="s">
        <v>87</v>
      </c>
      <c r="G109" s="12">
        <f>(INDEX(Proj[],MATCH(Std[[#This Row],[Player]],Proj[Player],0),14)-G$764)/G$765</f>
        <v>-0.45121751886595246</v>
      </c>
      <c r="H109" s="12">
        <f>(INDEX(Proj[],MATCH(Std[[#This Row],[Player]],Proj[Player],0),15)-H$764)/H$765</f>
        <v>2.0203847780779127</v>
      </c>
      <c r="I109" s="12">
        <f>(INDEX(Proj[],MATCH(Std[[#This Row],[Player]],Proj[Player],0),16)-I$764)/I$765</f>
        <v>1.078882386257727</v>
      </c>
      <c r="J109" s="12">
        <f>(INDEX(Proj[],MATCH(Std[[#This Row],[Player]],Proj[Player],0),17)-J$764)/J$765</f>
        <v>-0.17232923569972286</v>
      </c>
      <c r="K109" s="12">
        <f>(INDEX(Proj[],MATCH(Std[[#This Row],[Player]],Proj[Player],0),18)-K$764)/K$765</f>
        <v>2.0149543551968354</v>
      </c>
      <c r="L109" s="12">
        <f>(INDEX(Proj[],MATCH(Std[[#This Row],[Player]],Proj[Player],0),19)-L$764)/L$765</f>
        <v>1.3582967335058418</v>
      </c>
      <c r="M109" s="12">
        <f>(INDEX(Proj[],MATCH(Std[[#This Row],[Player]],Proj[Player],0),20)-M$764)/M$765</f>
        <v>-0.71308883245737775</v>
      </c>
      <c r="N109" s="12">
        <f>(INDEX(Proj[],MATCH(Std[[#This Row],[Player]],Proj[Player],0),21)-N$764)/N$765</f>
        <v>-5.2954158804825381E-2</v>
      </c>
      <c r="O109" s="12">
        <f>(INDEX(Proj[],MATCH(Std[[#This Row],[Player]],Proj[Player],0),22)-O$764)/O$765</f>
        <v>1.452184071121039</v>
      </c>
      <c r="P109" s="12">
        <f>((INDEX(Proj[],MATCH(Std[[#This Row],[Player]],Proj[Player],0),23)-P$764)/P$765)*IF('League Inputs'!$C$23 = "Yes",-1, 1)</f>
        <v>-0.25581465342806309</v>
      </c>
      <c r="Q109" s="12">
        <f>(INDEX(Proj[],MATCH(Std[[#This Row],[Player]],Proj[Player],0),24)-Q$764)/Q$765</f>
        <v>-0.5766103108129359</v>
      </c>
      <c r="R109" s="12">
        <f>(INDEX(Proj[],MATCH(Std[[#This Row],[Player]],Proj[Player],0),25)-R$764)/R$765</f>
        <v>-0.62531533033812681</v>
      </c>
      <c r="S109" s="12">
        <f>(INDEX(Proj[],MATCH(Std[[#This Row],[Player]],Proj[Player],0),26)-S$764)/S$765</f>
        <v>0.79276117049233907</v>
      </c>
      <c r="T1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536.59124975430825</v>
      </c>
      <c r="U109" s="11"/>
      <c r="W109" t="str">
        <v>Morgan Rielly</v>
      </c>
      <c r="AA109" t="str">
        <v>Morgan Rielly</v>
      </c>
      <c r="AB109" t="str">
        <v>Morgan Rielly</v>
      </c>
    </row>
    <row r="110" spans="1:28" x14ac:dyDescent="0.25">
      <c r="A110" t="s">
        <v>307</v>
      </c>
      <c r="B110">
        <f>INDEX(Proj[],MATCH(Std[[#This Row],[Player]],Proj[Player],0),2)</f>
        <v>31</v>
      </c>
      <c r="C110" t="s">
        <v>103</v>
      </c>
      <c r="D110" s="75"/>
      <c r="E110" s="57"/>
      <c r="F110" t="s">
        <v>25</v>
      </c>
      <c r="G110" s="12">
        <f>(INDEX(Proj[],MATCH(Std[[#This Row],[Player]],Proj[Player],0),14)-G$764)/G$765</f>
        <v>1.1332905125005321</v>
      </c>
      <c r="H110" s="12">
        <f>(INDEX(Proj[],MATCH(Std[[#This Row],[Player]],Proj[Player],0),15)-H$764)/H$765</f>
        <v>0.90244577325393449</v>
      </c>
      <c r="I110" s="12">
        <f>(INDEX(Proj[],MATCH(Std[[#This Row],[Player]],Proj[Player],0),16)-I$764)/I$765</f>
        <v>1.078882386257727</v>
      </c>
      <c r="J110" s="12">
        <f>(INDEX(Proj[],MATCH(Std[[#This Row],[Player]],Proj[Player],0),17)-J$764)/J$765</f>
        <v>1.2994872004234757</v>
      </c>
      <c r="K110" s="12">
        <f>(INDEX(Proj[],MATCH(Std[[#This Row],[Player]],Proj[Player],0),18)-K$764)/K$765</f>
        <v>0.78226679261313392</v>
      </c>
      <c r="L110" s="12">
        <f>(INDEX(Proj[],MATCH(Std[[#This Row],[Player]],Proj[Player],0),19)-L$764)/L$765</f>
        <v>1.0320808389675393</v>
      </c>
      <c r="M110" s="12">
        <f>(INDEX(Proj[],MATCH(Std[[#This Row],[Player]],Proj[Player],0),20)-M$764)/M$765</f>
        <v>0.31240082183847029</v>
      </c>
      <c r="N110" s="12">
        <f>(INDEX(Proj[],MATCH(Std[[#This Row],[Player]],Proj[Player],0),21)-N$764)/N$765</f>
        <v>-0.16923255889491676</v>
      </c>
      <c r="O110" s="12">
        <f>(INDEX(Proj[],MATCH(Std[[#This Row],[Player]],Proj[Player],0),22)-O$764)/O$765</f>
        <v>-1.0424139247660705E-2</v>
      </c>
      <c r="P110" s="12">
        <f>((INDEX(Proj[],MATCH(Std[[#This Row],[Player]],Proj[Player],0),23)-P$764)/P$765)*IF('League Inputs'!$C$23 = "Yes",-1, 1)</f>
        <v>-0.34889420202478</v>
      </c>
      <c r="Q110" s="12">
        <f>(INDEX(Proj[],MATCH(Std[[#This Row],[Player]],Proj[Player],0),24)-Q$764)/Q$765</f>
        <v>3.4905006428726302</v>
      </c>
      <c r="R110" s="12">
        <f>(INDEX(Proj[],MATCH(Std[[#This Row],[Player]],Proj[Player],0),25)-R$764)/R$765</f>
        <v>2.7627301729670255</v>
      </c>
      <c r="S110" s="12">
        <f>(INDEX(Proj[],MATCH(Std[[#This Row],[Player]],Proj[Player],0),26)-S$764)/S$765</f>
        <v>0.85763594652981101</v>
      </c>
      <c r="T1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796.62852002148168</v>
      </c>
      <c r="U110" s="11"/>
      <c r="W110" t="str">
        <v>Tomas Hertl</v>
      </c>
      <c r="AA110" t="str">
        <v>Tomas Hertl</v>
      </c>
      <c r="AB110" t="str">
        <v>Tomas Hertl</v>
      </c>
    </row>
    <row r="111" spans="1:28" x14ac:dyDescent="0.25">
      <c r="A111" t="s">
        <v>564</v>
      </c>
      <c r="B111">
        <f>INDEX(Proj[],MATCH(Std[[#This Row],[Player]],Proj[Player],0),2)</f>
        <v>27</v>
      </c>
      <c r="C111" t="s">
        <v>74</v>
      </c>
      <c r="D111" s="75" t="s">
        <v>103</v>
      </c>
      <c r="E111" s="56"/>
      <c r="F111" t="s">
        <v>156</v>
      </c>
      <c r="G111" s="12">
        <f>(INDEX(Proj[],MATCH(Std[[#This Row],[Player]],Proj[Player],0),14)-G$764)/G$765</f>
        <v>0.92202277498500074</v>
      </c>
      <c r="H111" s="12">
        <f>(INDEX(Proj[],MATCH(Std[[#This Row],[Player]],Proj[Player],0),15)-H$764)/H$765</f>
        <v>1.0515043072304648</v>
      </c>
      <c r="I111" s="12">
        <f>(INDEX(Proj[],MATCH(Std[[#This Row],[Player]],Proj[Player],0),16)-I$764)/I$765</f>
        <v>1.078882386257727</v>
      </c>
      <c r="J111" s="12">
        <f>(INDEX(Proj[],MATCH(Std[[#This Row],[Player]],Proj[Player],0),17)-J$764)/J$765</f>
        <v>1.0051239131988361</v>
      </c>
      <c r="K111" s="12">
        <f>(INDEX(Proj[],MATCH(Std[[#This Row],[Player]],Proj[Player],0),18)-K$764)/K$765</f>
        <v>0.78226679261313392</v>
      </c>
      <c r="L111" s="12">
        <f>(INDEX(Proj[],MATCH(Std[[#This Row],[Player]],Proj[Player],0),19)-L$764)/L$765</f>
        <v>0.92334220745477169</v>
      </c>
      <c r="M111" s="12">
        <f>(INDEX(Proj[],MATCH(Std[[#This Row],[Player]],Proj[Player],0),20)-M$764)/M$765</f>
        <v>0.31240082183847029</v>
      </c>
      <c r="N111" s="12">
        <f>(INDEX(Proj[],MATCH(Std[[#This Row],[Player]],Proj[Player],0),21)-N$764)/N$765</f>
        <v>0.12146344133031171</v>
      </c>
      <c r="O111" s="12">
        <f>(INDEX(Proj[],MATCH(Std[[#This Row],[Player]],Proj[Player],0),22)-O$764)/O$765</f>
        <v>-0.75333624610160344</v>
      </c>
      <c r="P111" s="12">
        <f>((INDEX(Proj[],MATCH(Std[[#This Row],[Player]],Proj[Player],0),23)-P$764)/P$765)*IF('League Inputs'!$C$23 = "Yes",-1, 1)</f>
        <v>-0.67467262211328927</v>
      </c>
      <c r="Q111" s="12">
        <f>(INDEX(Proj[],MATCH(Std[[#This Row],[Player]],Proj[Player],0),24)-Q$764)/Q$765</f>
        <v>1.9126961313511002</v>
      </c>
      <c r="R111" s="12">
        <f>(INDEX(Proj[],MATCH(Std[[#This Row],[Player]],Proj[Player],0),25)-R$764)/R$765</f>
        <v>1.6504070261532735</v>
      </c>
      <c r="S111" s="12">
        <f>(INDEX(Proj[],MATCH(Std[[#This Row],[Player]],Proj[Player],0),26)-S$764)/S$765</f>
        <v>0.43594990228624342</v>
      </c>
      <c r="T1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501.78522826807273</v>
      </c>
      <c r="U111" s="11"/>
      <c r="W111" t="str">
        <v>Pavel Zacha</v>
      </c>
      <c r="AA111" t="str">
        <v>Pavel Zacha</v>
      </c>
      <c r="AB111" t="str">
        <v>Pavel Zacha</v>
      </c>
    </row>
    <row r="112" spans="1:28" x14ac:dyDescent="0.25">
      <c r="A112" t="s">
        <v>598</v>
      </c>
      <c r="B112">
        <f>INDEX(Proj[],MATCH(Std[[#This Row],[Player]],Proj[Player],0),2)</f>
        <v>27</v>
      </c>
      <c r="C112" t="s">
        <v>102</v>
      </c>
      <c r="D112" s="75" t="s">
        <v>103</v>
      </c>
      <c r="E112" s="57"/>
      <c r="F112" t="s">
        <v>17</v>
      </c>
      <c r="G112" s="12">
        <f>(INDEX(Proj[],MATCH(Std[[#This Row],[Player]],Proj[Player],0),14)-G$764)/G$765</f>
        <v>1.2389243812582977</v>
      </c>
      <c r="H112" s="12">
        <f>(INDEX(Proj[],MATCH(Std[[#This Row],[Player]],Proj[Player],0),15)-H$764)/H$765</f>
        <v>0.82791650626566926</v>
      </c>
      <c r="I112" s="12">
        <f>(INDEX(Proj[],MATCH(Std[[#This Row],[Player]],Proj[Player],0),16)-I$764)/I$765</f>
        <v>1.078882386257727</v>
      </c>
      <c r="J112" s="12">
        <f>(INDEX(Proj[],MATCH(Std[[#This Row],[Player]],Proj[Player],0),17)-J$764)/J$765</f>
        <v>0.71076062597419631</v>
      </c>
      <c r="K112" s="12">
        <f>(INDEX(Proj[],MATCH(Std[[#This Row],[Player]],Proj[Player],0),18)-K$764)/K$765</f>
        <v>0.32000895664424578</v>
      </c>
      <c r="L112" s="12">
        <f>(INDEX(Proj[],MATCH(Std[[#This Row],[Player]],Proj[Player],0),19)-L$764)/L$765</f>
        <v>0.48838768140370159</v>
      </c>
      <c r="M112" s="12">
        <f>(INDEX(Proj[],MATCH(Std[[#This Row],[Player]],Proj[Player],0),20)-M$764)/M$765</f>
        <v>-0.71308883245737775</v>
      </c>
      <c r="N112" s="12">
        <f>(INDEX(Proj[],MATCH(Std[[#This Row],[Player]],Proj[Player],0),21)-N$764)/N$765</f>
        <v>-1.3320165597958307</v>
      </c>
      <c r="O112" s="12">
        <f>(INDEX(Proj[],MATCH(Std[[#This Row],[Player]],Proj[Player],0),22)-O$764)/O$765</f>
        <v>-0.73012024276241771</v>
      </c>
      <c r="P112" s="12">
        <f>((INDEX(Proj[],MATCH(Std[[#This Row],[Player]],Proj[Player],0),23)-P$764)/P$765)*IF('League Inputs'!$C$23 = "Yes",-1, 1)</f>
        <v>-0.53505329921821387</v>
      </c>
      <c r="Q112" s="12">
        <f>(INDEX(Proj[],MATCH(Std[[#This Row],[Player]],Proj[Player],0),24)-Q$764)/Q$765</f>
        <v>-0.5019844217544851</v>
      </c>
      <c r="R112" s="12">
        <f>(INDEX(Proj[],MATCH(Std[[#This Row],[Player]],Proj[Player],0),25)-R$764)/R$765</f>
        <v>-0.52316320461033328</v>
      </c>
      <c r="S112" s="12">
        <f>(INDEX(Proj[],MATCH(Std[[#This Row],[Player]],Proj[Player],0),26)-S$764)/S$765</f>
        <v>0.97116680459538685</v>
      </c>
      <c r="T1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150.61032362498366</v>
      </c>
      <c r="U112" s="11"/>
      <c r="W112" t="str">
        <v>Troy Terry</v>
      </c>
      <c r="AA112" t="str">
        <v>Troy Terry</v>
      </c>
      <c r="AB112" t="str">
        <v>Troy Terry</v>
      </c>
    </row>
    <row r="113" spans="1:28" x14ac:dyDescent="0.25">
      <c r="A113" t="s">
        <v>507</v>
      </c>
      <c r="B113">
        <f>INDEX(Proj[],MATCH(Std[[#This Row],[Player]],Proj[Player],0),2)</f>
        <v>35</v>
      </c>
      <c r="C113" t="s">
        <v>74</v>
      </c>
      <c r="D113" s="75" t="s">
        <v>102</v>
      </c>
      <c r="E113" s="57" t="s">
        <v>103</v>
      </c>
      <c r="F113" t="s">
        <v>28</v>
      </c>
      <c r="G113" s="12">
        <f>(INDEX(Proj[],MATCH(Std[[#This Row],[Player]],Proj[Player],0),14)-G$764)/G$765</f>
        <v>0.60512116871170385</v>
      </c>
      <c r="H113" s="12">
        <f>(INDEX(Proj[],MATCH(Std[[#This Row],[Player]],Proj[Player],0),15)-H$764)/H$765</f>
        <v>1.2750921081952606</v>
      </c>
      <c r="I113" s="12">
        <f>(INDEX(Proj[],MATCH(Std[[#This Row],[Player]],Proj[Player],0),16)-I$764)/I$765</f>
        <v>1.078882386257727</v>
      </c>
      <c r="J113" s="12">
        <f>(INDEX(Proj[],MATCH(Std[[#This Row],[Player]],Proj[Player],0),17)-J$764)/J$765</f>
        <v>0.12203405152491688</v>
      </c>
      <c r="K113" s="12">
        <f>(INDEX(Proj[],MATCH(Std[[#This Row],[Player]],Proj[Player],0),18)-K$764)/K$765</f>
        <v>1.0904386832590593</v>
      </c>
      <c r="L113" s="12">
        <f>(INDEX(Proj[],MATCH(Std[[#This Row],[Player]],Proj[Player],0),19)-L$764)/L$765</f>
        <v>0.81460357594200417</v>
      </c>
      <c r="M113" s="12">
        <f>(INDEX(Proj[],MATCH(Std[[#This Row],[Player]],Proj[Player],0),20)-M$764)/M$765</f>
        <v>1.3378904761343182</v>
      </c>
      <c r="N113" s="12">
        <f>(INDEX(Proj[],MATCH(Std[[#This Row],[Player]],Proj[Player],0),21)-N$764)/N$765</f>
        <v>-0.96380162617720799</v>
      </c>
      <c r="O113" s="12">
        <f>(INDEX(Proj[],MATCH(Std[[#This Row],[Player]],Proj[Player],0),22)-O$764)/O$765</f>
        <v>-0.4747442060313749</v>
      </c>
      <c r="P113" s="12">
        <f>((INDEX(Proj[],MATCH(Std[[#This Row],[Player]],Proj[Player],0),23)-P$764)/P$765)*IF('League Inputs'!$C$23 = "Yes",-1, 1)</f>
        <v>-0.72121239641164769</v>
      </c>
      <c r="Q113" s="12">
        <f>(INDEX(Proj[],MATCH(Std[[#This Row],[Player]],Proj[Player],0),24)-Q$764)/Q$765</f>
        <v>-0.47000189787229196</v>
      </c>
      <c r="R113" s="12">
        <f>(INDEX(Proj[],MATCH(Std[[#This Row],[Player]],Proj[Player],0),25)-R$764)/R$765</f>
        <v>-0.46641202365044798</v>
      </c>
      <c r="S113" s="12">
        <f>(INDEX(Proj[],MATCH(Std[[#This Row],[Player]],Proj[Player],0),26)-S$764)/S$765</f>
        <v>0.22510688016445965</v>
      </c>
      <c r="T1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136.90459927786333</v>
      </c>
      <c r="U113" s="11"/>
      <c r="W113" t="str">
        <v>Gustav Nyquist</v>
      </c>
      <c r="AA113" t="str">
        <v>Gustav Nyquist</v>
      </c>
      <c r="AB113" t="str">
        <v>Gustav Nyquist</v>
      </c>
    </row>
    <row r="114" spans="1:28" x14ac:dyDescent="0.25">
      <c r="A114" t="s">
        <v>875</v>
      </c>
      <c r="B114">
        <f>INDEX(Proj[],MATCH(Std[[#This Row],[Player]],Proj[Player],0),2)</f>
        <v>27</v>
      </c>
      <c r="C114" t="s">
        <v>74</v>
      </c>
      <c r="D114" s="75" t="s">
        <v>102</v>
      </c>
      <c r="E114" s="57"/>
      <c r="F114" t="s">
        <v>32</v>
      </c>
      <c r="G114" s="12">
        <f>(INDEX(Proj[],MATCH(Std[[#This Row],[Player]],Proj[Player],0),14)-G$764)/G$765</f>
        <v>-0.23994978135042122</v>
      </c>
      <c r="H114" s="12">
        <f>(INDEX(Proj[],MATCH(Std[[#This Row],[Player]],Proj[Player],0),15)-H$764)/H$765</f>
        <v>1.7967969771131171</v>
      </c>
      <c r="I114" s="12">
        <f>(INDEX(Proj[],MATCH(Std[[#This Row],[Player]],Proj[Player],0),16)-I$764)/I$765</f>
        <v>1.0316398272956238</v>
      </c>
      <c r="J114" s="12">
        <f>(INDEX(Proj[],MATCH(Std[[#This Row],[Player]],Proj[Player],0),17)-J$764)/J$765</f>
        <v>-0.17232923569972286</v>
      </c>
      <c r="K114" s="12">
        <f>(INDEX(Proj[],MATCH(Std[[#This Row],[Player]],Proj[Player],0),18)-K$764)/K$765</f>
        <v>2.0149543551968354</v>
      </c>
      <c r="L114" s="12">
        <f>(INDEX(Proj[],MATCH(Std[[#This Row],[Player]],Proj[Player],0),19)-L$764)/L$765</f>
        <v>1.3582967335058418</v>
      </c>
      <c r="M114" s="12">
        <f>(INDEX(Proj[],MATCH(Std[[#This Row],[Player]],Proj[Player],0),20)-M$764)/M$765</f>
        <v>-0.71308883245737775</v>
      </c>
      <c r="N114" s="12">
        <f>(INDEX(Proj[],MATCH(Std[[#This Row],[Player]],Proj[Player],0),21)-N$764)/N$765</f>
        <v>1.0516906420510428</v>
      </c>
      <c r="O114" s="12">
        <f>(INDEX(Proj[],MATCH(Std[[#This Row],[Player]],Proj[Player],0),22)-O$764)/O$765</f>
        <v>2.2183121813141673</v>
      </c>
      <c r="P114" s="12">
        <f>((INDEX(Proj[],MATCH(Std[[#This Row],[Player]],Proj[Player],0),23)-P$764)/P$765)*IF('League Inputs'!$C$23 = "Yes",-1, 1)</f>
        <v>1.4196172213128415</v>
      </c>
      <c r="Q114" s="12">
        <f>(INDEX(Proj[],MATCH(Std[[#This Row],[Player]],Proj[Player],0),24)-Q$764)/Q$765</f>
        <v>-0.5766103108129359</v>
      </c>
      <c r="R114" s="12">
        <f>(INDEX(Proj[],MATCH(Std[[#This Row],[Player]],Proj[Player],0),25)-R$764)/R$765</f>
        <v>-0.62531533033812681</v>
      </c>
      <c r="S114" s="12">
        <f>(INDEX(Proj[],MATCH(Std[[#This Row],[Player]],Proj[Player],0),26)-S$764)/S$765</f>
        <v>0.1764507981363557</v>
      </c>
      <c r="T1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823.62442885656333</v>
      </c>
      <c r="U114" s="11"/>
      <c r="W114" t="str">
        <v>Charlie McAvoy</v>
      </c>
      <c r="AA114" t="str">
        <v>Charlie McAvoy</v>
      </c>
      <c r="AB114" t="str">
        <v>Charlie McAvoy</v>
      </c>
    </row>
    <row r="115" spans="1:28" x14ac:dyDescent="0.25">
      <c r="A115" t="s">
        <v>1212</v>
      </c>
      <c r="B115">
        <f>INDEX(Proj[],MATCH(Std[[#This Row],[Player]],Proj[Player],0),2)</f>
        <v>21</v>
      </c>
      <c r="C115" t="s">
        <v>102</v>
      </c>
      <c r="D115" s="75" t="s">
        <v>103</v>
      </c>
      <c r="E115" s="56"/>
      <c r="F115" t="s">
        <v>22</v>
      </c>
      <c r="G115" s="12">
        <f>(INDEX(Proj[],MATCH(Std[[#This Row],[Player]],Proj[Player],0),14)-G$764)/G$765</f>
        <v>-0.45121751886595246</v>
      </c>
      <c r="H115" s="12">
        <f>(INDEX(Proj[],MATCH(Std[[#This Row],[Player]],Proj[Player],0),15)-H$764)/H$765</f>
        <v>1.9458555110896474</v>
      </c>
      <c r="I115" s="12">
        <f>(INDEX(Proj[],MATCH(Std[[#This Row],[Player]],Proj[Player],0),16)-I$764)/I$765</f>
        <v>1.0316398272956238</v>
      </c>
      <c r="J115" s="12">
        <f>(INDEX(Proj[],MATCH(Std[[#This Row],[Player]],Proj[Player],0),17)-J$764)/J$765</f>
        <v>-0.17232923569972286</v>
      </c>
      <c r="K115" s="12">
        <f>(INDEX(Proj[],MATCH(Std[[#This Row],[Player]],Proj[Player],0),18)-K$764)/K$765</f>
        <v>2.1690403005197982</v>
      </c>
      <c r="L115" s="12">
        <f>(INDEX(Proj[],MATCH(Std[[#This Row],[Player]],Proj[Player],0),19)-L$764)/L$765</f>
        <v>1.4670353650186094</v>
      </c>
      <c r="M115" s="12">
        <f>(INDEX(Proj[],MATCH(Std[[#This Row],[Player]],Proj[Player],0),20)-M$764)/M$765</f>
        <v>-0.71308883245737775</v>
      </c>
      <c r="N115" s="12">
        <f>(INDEX(Proj[],MATCH(Std[[#This Row],[Player]],Proj[Player],0),21)-N$764)/N$765</f>
        <v>-0.6537258926036309</v>
      </c>
      <c r="O115" s="12">
        <f>(INDEX(Proj[],MATCH(Std[[#This Row],[Player]],Proj[Player],0),22)-O$764)/O$765</f>
        <v>-0.1961521659611464</v>
      </c>
      <c r="P115" s="12">
        <f>((INDEX(Proj[],MATCH(Std[[#This Row],[Player]],Proj[Player],0),23)-P$764)/P$765)*IF('League Inputs'!$C$23 = "Yes",-1, 1)</f>
        <v>0.20958308955552155</v>
      </c>
      <c r="Q115" s="12">
        <f>(INDEX(Proj[],MATCH(Std[[#This Row],[Player]],Proj[Player],0),24)-Q$764)/Q$765</f>
        <v>-0.5766103108129359</v>
      </c>
      <c r="R115" s="12">
        <f>(INDEX(Proj[],MATCH(Std[[#This Row],[Player]],Proj[Player],0),25)-R$764)/R$765</f>
        <v>-0.62531533033812681</v>
      </c>
      <c r="S115" s="12">
        <f>(INDEX(Proj[],MATCH(Std[[#This Row],[Player]],Proj[Player],0),26)-S$764)/S$765</f>
        <v>0.59813684237992326</v>
      </c>
      <c r="T1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337.45447470956594</v>
      </c>
      <c r="U115" s="11"/>
      <c r="W115" t="str">
        <v>Lane Hutson</v>
      </c>
      <c r="AA115" t="str">
        <v>Lane Hutson</v>
      </c>
      <c r="AB115" t="str">
        <v>Lane Hutson</v>
      </c>
    </row>
    <row r="116" spans="1:28" x14ac:dyDescent="0.25">
      <c r="A116" t="s">
        <v>592</v>
      </c>
      <c r="B116">
        <f>INDEX(Proj[],MATCH(Std[[#This Row],[Player]],Proj[Player],0),2)</f>
        <v>29</v>
      </c>
      <c r="C116" t="s">
        <v>102</v>
      </c>
      <c r="D116" s="75"/>
      <c r="E116" s="56"/>
      <c r="F116" t="s">
        <v>9</v>
      </c>
      <c r="G116" s="12">
        <f>(INDEX(Proj[],MATCH(Std[[#This Row],[Player]],Proj[Player],0),14)-G$764)/G$765</f>
        <v>1.3445582500160633</v>
      </c>
      <c r="H116" s="12">
        <f>(INDEX(Proj[],MATCH(Std[[#This Row],[Player]],Proj[Player],0),15)-H$764)/H$765</f>
        <v>0.67885797228913891</v>
      </c>
      <c r="I116" s="12">
        <f>(INDEX(Proj[],MATCH(Std[[#This Row],[Player]],Proj[Player],0),16)-I$764)/I$765</f>
        <v>1.0316398272956238</v>
      </c>
      <c r="J116" s="12">
        <f>(INDEX(Proj[],MATCH(Std[[#This Row],[Player]],Proj[Player],0),17)-J$764)/J$765</f>
        <v>1.8882137748727552</v>
      </c>
      <c r="K116" s="12">
        <f>(INDEX(Proj[],MATCH(Std[[#This Row],[Player]],Proj[Player],0),18)-K$764)/K$765</f>
        <v>0.47409490196720849</v>
      </c>
      <c r="L116" s="12">
        <f>(INDEX(Proj[],MATCH(Std[[#This Row],[Player]],Proj[Player],0),19)-L$764)/L$765</f>
        <v>1.0320808389675393</v>
      </c>
      <c r="M116" s="12">
        <f>(INDEX(Proj[],MATCH(Std[[#This Row],[Player]],Proj[Player],0),20)-M$764)/M$765</f>
        <v>0.31240082183847029</v>
      </c>
      <c r="N116" s="12">
        <f>(INDEX(Proj[],MATCH(Std[[#This Row],[Player]],Proj[Player],0),21)-N$764)/N$765</f>
        <v>-9.1713625501522511E-2</v>
      </c>
      <c r="O116" s="12">
        <f>(INDEX(Proj[],MATCH(Std[[#This Row],[Player]],Proj[Player],0),22)-O$764)/O$765</f>
        <v>-0.49796020937056062</v>
      </c>
      <c r="P116" s="12">
        <f>((INDEX(Proj[],MATCH(Std[[#This Row],[Player]],Proj[Player],0),23)-P$764)/P$765)*IF('League Inputs'!$C$23 = "Yes",-1, 1)</f>
        <v>-0.34889420202478</v>
      </c>
      <c r="Q116" s="12">
        <f>(INDEX(Proj[],MATCH(Std[[#This Row],[Player]],Proj[Player],0),24)-Q$764)/Q$765</f>
        <v>-0.47533231851932412</v>
      </c>
      <c r="R116" s="12">
        <f>(INDEX(Proj[],MATCH(Std[[#This Row],[Player]],Proj[Player],0),25)-R$764)/R$765</f>
        <v>-0.37561013411463151</v>
      </c>
      <c r="S116" s="12">
        <f>(INDEX(Proj[],MATCH(Std[[#This Row],[Player]],Proj[Player],0),26)-S$764)/S$765</f>
        <v>0.90629202855791491</v>
      </c>
      <c r="T1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357.95285617100927</v>
      </c>
      <c r="U116" s="11"/>
      <c r="W116" t="str">
        <v>Artturi Lehkonen</v>
      </c>
      <c r="AA116" t="str">
        <v>Artturi Lehkonen</v>
      </c>
      <c r="AB116" t="str">
        <v>Artturi Lehkonen</v>
      </c>
    </row>
    <row r="117" spans="1:28" x14ac:dyDescent="0.25">
      <c r="A117" t="s">
        <v>396</v>
      </c>
      <c r="B117">
        <f>INDEX(Proj[],MATCH(Std[[#This Row],[Player]],Proj[Player],0),2)</f>
        <v>30</v>
      </c>
      <c r="C117" t="s">
        <v>74</v>
      </c>
      <c r="D117" s="75"/>
      <c r="E117" s="57"/>
      <c r="F117" t="s">
        <v>30</v>
      </c>
      <c r="G117" s="12">
        <f>(INDEX(Proj[],MATCH(Std[[#This Row],[Player]],Proj[Player],0),14)-G$764)/G$765</f>
        <v>0.71075503746946955</v>
      </c>
      <c r="H117" s="12">
        <f>(INDEX(Proj[],MATCH(Std[[#This Row],[Player]],Proj[Player],0),15)-H$764)/H$765</f>
        <v>1.1260335742187302</v>
      </c>
      <c r="I117" s="12">
        <f>(INDEX(Proj[],MATCH(Std[[#This Row],[Player]],Proj[Player],0),16)-I$764)/I$765</f>
        <v>1.0316398272956238</v>
      </c>
      <c r="J117" s="12">
        <f>(INDEX(Proj[],MATCH(Std[[#This Row],[Player]],Proj[Player],0),17)-J$764)/J$765</f>
        <v>1.2994872004234757</v>
      </c>
      <c r="K117" s="12">
        <f>(INDEX(Proj[],MATCH(Std[[#This Row],[Player]],Proj[Player],0),18)-K$764)/K$765</f>
        <v>1.0904386832590593</v>
      </c>
      <c r="L117" s="12">
        <f>(INDEX(Proj[],MATCH(Std[[#This Row],[Player]],Proj[Player],0),19)-L$764)/L$765</f>
        <v>1.2495581019930744</v>
      </c>
      <c r="M117" s="12">
        <f>(INDEX(Proj[],MATCH(Std[[#This Row],[Player]],Proj[Player],0),20)-M$764)/M$765</f>
        <v>2.3633801304301665</v>
      </c>
      <c r="N117" s="12">
        <f>(INDEX(Proj[],MATCH(Std[[#This Row],[Player]],Proj[Player],0),21)-N$764)/N$765</f>
        <v>-1.3126368264474821</v>
      </c>
      <c r="O117" s="12">
        <f>(INDEX(Proj[],MATCH(Std[[#This Row],[Player]],Proj[Player],0),22)-O$764)/O$765</f>
        <v>-0.73012024276241771</v>
      </c>
      <c r="P117" s="12">
        <f>((INDEX(Proj[],MATCH(Std[[#This Row],[Player]],Proj[Player],0),23)-P$764)/P$765)*IF('League Inputs'!$C$23 = "Yes",-1, 1)</f>
        <v>-0.76775217071000623</v>
      </c>
      <c r="Q117" s="12">
        <f>(INDEX(Proj[],MATCH(Std[[#This Row],[Player]],Proj[Player],0),24)-Q$764)/Q$765</f>
        <v>-0.21414170681474648</v>
      </c>
      <c r="R117" s="12">
        <f>(INDEX(Proj[],MATCH(Std[[#This Row],[Player]],Proj[Player],0),25)-R$764)/R$765</f>
        <v>-0.21103170933096416</v>
      </c>
      <c r="S117" s="12">
        <f>(INDEX(Proj[],MATCH(Std[[#This Row],[Player]],Proj[Player],0),26)-S$764)/S$765</f>
        <v>0.69544900643613117</v>
      </c>
      <c r="T1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178.87846006783761</v>
      </c>
      <c r="U117" s="11"/>
      <c r="W117" t="str">
        <v>Teuvo Teravainen</v>
      </c>
      <c r="AA117" t="str">
        <v>Teuvo Teravainen</v>
      </c>
      <c r="AB117" t="str">
        <v>Teuvo Teravainen</v>
      </c>
    </row>
    <row r="118" spans="1:28" x14ac:dyDescent="0.25">
      <c r="A118" t="s">
        <v>402</v>
      </c>
      <c r="B118">
        <f>INDEX(Proj[],MATCH(Std[[#This Row],[Player]],Proj[Player],0),2)</f>
        <v>32</v>
      </c>
      <c r="C118" t="s">
        <v>102</v>
      </c>
      <c r="D118" s="75" t="s">
        <v>103</v>
      </c>
      <c r="E118" s="57"/>
      <c r="F118" t="s">
        <v>11</v>
      </c>
      <c r="G118" s="12">
        <f>(INDEX(Proj[],MATCH(Std[[#This Row],[Player]],Proj[Player],0),14)-G$764)/G$765</f>
        <v>0.71075503746946955</v>
      </c>
      <c r="H118" s="12">
        <f>(INDEX(Proj[],MATCH(Std[[#This Row],[Player]],Proj[Player],0),15)-H$764)/H$765</f>
        <v>1.1260335742187302</v>
      </c>
      <c r="I118" s="12">
        <f>(INDEX(Proj[],MATCH(Std[[#This Row],[Player]],Proj[Player],0),16)-I$764)/I$765</f>
        <v>1.0316398272956238</v>
      </c>
      <c r="J118" s="12">
        <f>(INDEX(Proj[],MATCH(Std[[#This Row],[Player]],Proj[Player],0),17)-J$764)/J$765</f>
        <v>1.0051239131988361</v>
      </c>
      <c r="K118" s="12">
        <f>(INDEX(Proj[],MATCH(Std[[#This Row],[Player]],Proj[Player],0),18)-K$764)/K$765</f>
        <v>0.62818084729017121</v>
      </c>
      <c r="L118" s="12">
        <f>(INDEX(Proj[],MATCH(Std[[#This Row],[Player]],Proj[Player],0),19)-L$764)/L$765</f>
        <v>0.81460357594200417</v>
      </c>
      <c r="M118" s="12">
        <f>(INDEX(Proj[],MATCH(Std[[#This Row],[Player]],Proj[Player],0),20)-M$764)/M$765</f>
        <v>2.3633801304301665</v>
      </c>
      <c r="N118" s="12">
        <f>(INDEX(Proj[],MATCH(Std[[#This Row],[Player]],Proj[Player],0),21)-N$764)/N$765</f>
        <v>-0.96380162617720799</v>
      </c>
      <c r="O118" s="12">
        <f>(INDEX(Proj[],MATCH(Std[[#This Row],[Player]],Proj[Player],0),22)-O$764)/O$765</f>
        <v>-0.4747442060313749</v>
      </c>
      <c r="P118" s="12">
        <f>((INDEX(Proj[],MATCH(Std[[#This Row],[Player]],Proj[Player],0),23)-P$764)/P$765)*IF('League Inputs'!$C$23 = "Yes",-1, 1)</f>
        <v>-0.86083171930672309</v>
      </c>
      <c r="Q118" s="12">
        <f>(INDEX(Proj[],MATCH(Std[[#This Row],[Player]],Proj[Player],0),24)-Q$764)/Q$765</f>
        <v>-0.52330610434261393</v>
      </c>
      <c r="R118" s="12">
        <f>(INDEX(Proj[],MATCH(Std[[#This Row],[Player]],Proj[Player],0),25)-R$764)/R$765</f>
        <v>-0.53451344080231034</v>
      </c>
      <c r="S118" s="12">
        <f>(INDEX(Proj[],MATCH(Std[[#This Row],[Player]],Proj[Player],0),26)-S$764)/S$765</f>
        <v>0.24132557417382763</v>
      </c>
      <c r="T1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110.16739332417353</v>
      </c>
      <c r="U118" s="11"/>
      <c r="W118" t="str">
        <v>Mark Stone</v>
      </c>
      <c r="AA118" t="str">
        <v>Mark Stone</v>
      </c>
      <c r="AB118" t="str">
        <v>Mark Stone</v>
      </c>
    </row>
    <row r="119" spans="1:28" x14ac:dyDescent="0.25">
      <c r="A119" t="s">
        <v>340</v>
      </c>
      <c r="B119">
        <f>INDEX(Proj[],MATCH(Std[[#This Row],[Player]],Proj[Player],0),2)</f>
        <v>33</v>
      </c>
      <c r="C119" t="s">
        <v>102</v>
      </c>
      <c r="D119" s="75" t="s">
        <v>103</v>
      </c>
      <c r="E119" s="56"/>
      <c r="F119" t="s">
        <v>34</v>
      </c>
      <c r="G119" s="12">
        <f>(INDEX(Proj[],MATCH(Std[[#This Row],[Player]],Proj[Player],0),14)-G$764)/G$765</f>
        <v>1.0276566437427663</v>
      </c>
      <c r="H119" s="12">
        <f>(INDEX(Proj[],MATCH(Std[[#This Row],[Player]],Proj[Player],0),15)-H$764)/H$765</f>
        <v>0.82791650626566926</v>
      </c>
      <c r="I119" s="12">
        <f>(INDEX(Proj[],MATCH(Std[[#This Row],[Player]],Proj[Player],0),16)-I$764)/I$765</f>
        <v>0.98439726833352059</v>
      </c>
      <c r="J119" s="12">
        <f>(INDEX(Proj[],MATCH(Std[[#This Row],[Player]],Proj[Player],0),17)-J$764)/J$765</f>
        <v>1.0051239131988361</v>
      </c>
      <c r="K119" s="12">
        <f>(INDEX(Proj[],MATCH(Std[[#This Row],[Player]],Proj[Player],0),18)-K$764)/K$765</f>
        <v>0.47409490196720849</v>
      </c>
      <c r="L119" s="12">
        <f>(INDEX(Proj[],MATCH(Std[[#This Row],[Player]],Proj[Player],0),19)-L$764)/L$765</f>
        <v>0.70586494442923664</v>
      </c>
      <c r="M119" s="12">
        <f>(INDEX(Proj[],MATCH(Std[[#This Row],[Player]],Proj[Player],0),20)-M$764)/M$765</f>
        <v>0.31240082183847029</v>
      </c>
      <c r="N119" s="12">
        <f>(INDEX(Proj[],MATCH(Std[[#This Row],[Player]],Proj[Player],0),21)-N$764)/N$765</f>
        <v>1.2067285088378314</v>
      </c>
      <c r="O119" s="12">
        <f>(INDEX(Proj[],MATCH(Std[[#This Row],[Player]],Proj[Player],0),22)-O$764)/O$765</f>
        <v>-0.45152820269218918</v>
      </c>
      <c r="P119" s="12">
        <f>((INDEX(Proj[],MATCH(Std[[#This Row],[Player]],Proj[Player],0),23)-P$764)/P$765)*IF('League Inputs'!$C$23 = "Yes",-1, 1)</f>
        <v>0.48882173534567236</v>
      </c>
      <c r="Q119" s="12">
        <f>(INDEX(Proj[],MATCH(Std[[#This Row],[Player]],Proj[Player],0),24)-Q$764)/Q$765</f>
        <v>1.7261314087049733</v>
      </c>
      <c r="R119" s="12">
        <f>(INDEX(Proj[],MATCH(Std[[#This Row],[Player]],Proj[Player],0),25)-R$764)/R$765</f>
        <v>1.9682136395286312</v>
      </c>
      <c r="S119" s="12">
        <f>(INDEX(Proj[],MATCH(Std[[#This Row],[Player]],Proj[Player],0),26)-S$764)/S$765</f>
        <v>0.48460598431434737</v>
      </c>
      <c r="T1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700.05947972818285</v>
      </c>
      <c r="U119" s="11"/>
      <c r="W119" t="str">
        <v>Brayden Schenn</v>
      </c>
      <c r="AA119" t="str">
        <v>Brayden Schenn</v>
      </c>
      <c r="AB119" t="str">
        <v>Brayden Schenn</v>
      </c>
    </row>
    <row r="120" spans="1:28" x14ac:dyDescent="0.25">
      <c r="A120" t="s">
        <v>326</v>
      </c>
      <c r="B120">
        <f>INDEX(Proj[],MATCH(Std[[#This Row],[Player]],Proj[Player],0),2)</f>
        <v>27</v>
      </c>
      <c r="C120" t="s">
        <v>74</v>
      </c>
      <c r="D120" s="75"/>
      <c r="E120" s="57"/>
      <c r="F120" t="s">
        <v>22</v>
      </c>
      <c r="G120" s="12">
        <f>(INDEX(Proj[],MATCH(Std[[#This Row],[Player]],Proj[Player],0),14)-G$764)/G$765</f>
        <v>7.6951824922875695E-2</v>
      </c>
      <c r="H120" s="12">
        <f>(INDEX(Proj[],MATCH(Std[[#This Row],[Player]],Proj[Player],0),15)-H$764)/H$765</f>
        <v>1.4986799091600562</v>
      </c>
      <c r="I120" s="12">
        <f>(INDEX(Proj[],MATCH(Std[[#This Row],[Player]],Proj[Player],0),16)-I$764)/I$765</f>
        <v>0.98439726833352059</v>
      </c>
      <c r="J120" s="12">
        <f>(INDEX(Proj[],MATCH(Std[[#This Row],[Player]],Proj[Player],0),17)-J$764)/J$765</f>
        <v>-0.17232923569972286</v>
      </c>
      <c r="K120" s="12">
        <f>(INDEX(Proj[],MATCH(Std[[#This Row],[Player]],Proj[Player],0),18)-K$764)/K$765</f>
        <v>0.93635273793609664</v>
      </c>
      <c r="L120" s="12">
        <f>(INDEX(Proj[],MATCH(Std[[#This Row],[Player]],Proj[Player],0),19)-L$764)/L$765</f>
        <v>0.59712631291646912</v>
      </c>
      <c r="M120" s="12">
        <f>(INDEX(Proj[],MATCH(Std[[#This Row],[Player]],Proj[Player],0),20)-M$764)/M$765</f>
        <v>-0.71308883245737775</v>
      </c>
      <c r="N120" s="12">
        <f>(INDEX(Proj[],MATCH(Std[[#This Row],[Player]],Proj[Player],0),21)-N$764)/N$765</f>
        <v>-1.0607002929189508</v>
      </c>
      <c r="O120" s="12">
        <f>(INDEX(Proj[],MATCH(Std[[#This Row],[Player]],Proj[Player],0),22)-O$764)/O$765</f>
        <v>1.9397201412439389</v>
      </c>
      <c r="P120" s="12">
        <f>((INDEX(Proj[],MATCH(Std[[#This Row],[Player]],Proj[Player],0),23)-P$764)/P$765)*IF('League Inputs'!$C$23 = "Yes",-1, 1)</f>
        <v>-0.76775217071000623</v>
      </c>
      <c r="Q120" s="12">
        <f>(INDEX(Proj[],MATCH(Std[[#This Row],[Player]],Proj[Player],0),24)-Q$764)/Q$765</f>
        <v>-0.5766103108129359</v>
      </c>
      <c r="R120" s="12">
        <f>(INDEX(Proj[],MATCH(Std[[#This Row],[Player]],Proj[Player],0),25)-R$764)/R$765</f>
        <v>-0.62531533033812681</v>
      </c>
      <c r="S120" s="12">
        <f>(INDEX(Proj[],MATCH(Std[[#This Row],[Player]],Proj[Player],0),26)-S$764)/S$765</f>
        <v>1.7010080350169461</v>
      </c>
      <c r="T1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439.28207171519136</v>
      </c>
      <c r="U120" s="11"/>
      <c r="W120" t="str">
        <v>Zach Werenski</v>
      </c>
      <c r="AA120" t="str">
        <v>Zach Werenski</v>
      </c>
      <c r="AB120" t="str">
        <v>Zach Werenski</v>
      </c>
    </row>
    <row r="121" spans="1:28" x14ac:dyDescent="0.25">
      <c r="A121" t="s">
        <v>423</v>
      </c>
      <c r="B121">
        <f>INDEX(Proj[],MATCH(Std[[#This Row],[Player]],Proj[Player],0),2)</f>
        <v>29</v>
      </c>
      <c r="C121" t="s">
        <v>103</v>
      </c>
      <c r="D121" s="75"/>
      <c r="E121" s="56"/>
      <c r="F121" t="s">
        <v>2</v>
      </c>
      <c r="G121" s="12">
        <f>(INDEX(Proj[],MATCH(Std[[#This Row],[Player]],Proj[Player],0),14)-G$764)/G$765</f>
        <v>1.0276566437427663</v>
      </c>
      <c r="H121" s="12">
        <f>(INDEX(Proj[],MATCH(Std[[#This Row],[Player]],Proj[Player],0),15)-H$764)/H$765</f>
        <v>0.82791650626566926</v>
      </c>
      <c r="I121" s="12">
        <f>(INDEX(Proj[],MATCH(Std[[#This Row],[Player]],Proj[Player],0),16)-I$764)/I$765</f>
        <v>0.98439726833352059</v>
      </c>
      <c r="J121" s="12">
        <f>(INDEX(Proj[],MATCH(Std[[#This Row],[Player]],Proj[Player],0),17)-J$764)/J$765</f>
        <v>1.2994872004234757</v>
      </c>
      <c r="K121" s="12">
        <f>(INDEX(Proj[],MATCH(Std[[#This Row],[Player]],Proj[Player],0),18)-K$764)/K$765</f>
        <v>0.62818084729017121</v>
      </c>
      <c r="L121" s="12">
        <f>(INDEX(Proj[],MATCH(Std[[#This Row],[Player]],Proj[Player],0),19)-L$764)/L$765</f>
        <v>0.92334220745477169</v>
      </c>
      <c r="M121" s="12">
        <f>(INDEX(Proj[],MATCH(Std[[#This Row],[Player]],Proj[Player],0),20)-M$764)/M$765</f>
        <v>-0.71308883245737775</v>
      </c>
      <c r="N121" s="12">
        <f>(INDEX(Proj[],MATCH(Std[[#This Row],[Player]],Proj[Player],0),21)-N$764)/N$765</f>
        <v>-0.49868802581684241</v>
      </c>
      <c r="O121" s="12">
        <f>(INDEX(Proj[],MATCH(Std[[#This Row],[Player]],Proj[Player],0),22)-O$764)/O$765</f>
        <v>-0.96228027615427481</v>
      </c>
      <c r="P121" s="12">
        <f>((INDEX(Proj[],MATCH(Std[[#This Row],[Player]],Proj[Player],0),23)-P$764)/P$765)*IF('League Inputs'!$C$23 = "Yes",-1, 1)</f>
        <v>1.7919354156997094</v>
      </c>
      <c r="Q121" s="12">
        <f>(INDEX(Proj[],MATCH(Std[[#This Row],[Player]],Proj[Player],0),24)-Q$764)/Q$765</f>
        <v>-0.51797568369558167</v>
      </c>
      <c r="R121" s="12">
        <f>(INDEX(Proj[],MATCH(Std[[#This Row],[Player]],Proj[Player],0),25)-R$764)/R$765</f>
        <v>-0.52883832270632181</v>
      </c>
      <c r="S121" s="12">
        <f>(INDEX(Proj[],MATCH(Std[[#This Row],[Player]],Proj[Player],0),26)-S$764)/S$765</f>
        <v>0.74410508846423506</v>
      </c>
      <c r="T1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432.04091442939739</v>
      </c>
      <c r="U121" s="11"/>
      <c r="W121" t="str">
        <v>Michael Bunting</v>
      </c>
      <c r="AA121" t="str">
        <v>Michael Bunting</v>
      </c>
      <c r="AB121" t="str">
        <v>Michael Bunting</v>
      </c>
    </row>
    <row r="122" spans="1:28" x14ac:dyDescent="0.25">
      <c r="A122" t="s">
        <v>501</v>
      </c>
      <c r="B122">
        <f>INDEX(Proj[],MATCH(Std[[#This Row],[Player]],Proj[Player],0),2)</f>
        <v>29</v>
      </c>
      <c r="C122" t="s">
        <v>103</v>
      </c>
      <c r="D122" s="75"/>
      <c r="E122" s="57"/>
      <c r="F122" t="s">
        <v>10</v>
      </c>
      <c r="G122" s="12">
        <f>(INDEX(Proj[],MATCH(Std[[#This Row],[Player]],Proj[Player],0),14)-G$764)/G$765</f>
        <v>1.5558259875315945</v>
      </c>
      <c r="H122" s="12">
        <f>(INDEX(Proj[],MATCH(Std[[#This Row],[Player]],Proj[Player],0),15)-H$764)/H$765</f>
        <v>0.45527017132434322</v>
      </c>
      <c r="I122" s="12">
        <f>(INDEX(Proj[],MATCH(Std[[#This Row],[Player]],Proj[Player],0),16)-I$764)/I$765</f>
        <v>0.98439726833352059</v>
      </c>
      <c r="J122" s="12">
        <f>(INDEX(Proj[],MATCH(Std[[#This Row],[Player]],Proj[Player],0),17)-J$764)/J$765</f>
        <v>3.0656669237713139</v>
      </c>
      <c r="K122" s="12">
        <f>(INDEX(Proj[],MATCH(Std[[#This Row],[Player]],Proj[Player],0),18)-K$764)/K$765</f>
        <v>1.1837065998320361E-2</v>
      </c>
      <c r="L122" s="12">
        <f>(INDEX(Proj[],MATCH(Std[[#This Row],[Player]],Proj[Player],0),19)-L$764)/L$765</f>
        <v>1.1408194704803067</v>
      </c>
      <c r="M122" s="12">
        <f>(INDEX(Proj[],MATCH(Std[[#This Row],[Player]],Proj[Player],0),20)-M$764)/M$765</f>
        <v>1.3378904761343182</v>
      </c>
      <c r="N122" s="12">
        <f>(INDEX(Proj[],MATCH(Std[[#This Row],[Player]],Proj[Player],0),21)-N$764)/N$765</f>
        <v>-0.16923255889491676</v>
      </c>
      <c r="O122" s="12">
        <f>(INDEX(Proj[],MATCH(Std[[#This Row],[Player]],Proj[Player],0),22)-O$764)/O$765</f>
        <v>-0.63725622940567483</v>
      </c>
      <c r="P122" s="12">
        <f>((INDEX(Proj[],MATCH(Std[[#This Row],[Player]],Proj[Player],0),23)-P$764)/P$765)*IF('League Inputs'!$C$23 = "Yes",-1, 1)</f>
        <v>-0.90737149360508162</v>
      </c>
      <c r="Q122" s="12">
        <f>(INDEX(Proj[],MATCH(Std[[#This Row],[Player]],Proj[Player],0),24)-Q$764)/Q$765</f>
        <v>-0.53396694563667835</v>
      </c>
      <c r="R122" s="12">
        <f>(INDEX(Proj[],MATCH(Std[[#This Row],[Player]],Proj[Player],0),25)-R$764)/R$765</f>
        <v>-0.55721391318626445</v>
      </c>
      <c r="S122" s="12">
        <f>(INDEX(Proj[],MATCH(Std[[#This Row],[Player]],Proj[Player],0),26)-S$764)/S$765</f>
        <v>1.0198228866234909</v>
      </c>
      <c r="T1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290.83085567509033</v>
      </c>
      <c r="U122" s="11"/>
      <c r="W122" t="str">
        <v>Valeri Nichushkin</v>
      </c>
      <c r="AA122" t="str">
        <v>Valeri Nichushkin</v>
      </c>
      <c r="AB122" t="str">
        <v>Valeri Nichushkin</v>
      </c>
    </row>
    <row r="123" spans="1:28" x14ac:dyDescent="0.25">
      <c r="A123" t="s">
        <v>518</v>
      </c>
      <c r="B123">
        <f>INDEX(Proj[],MATCH(Std[[#This Row],[Player]],Proj[Player],0),2)</f>
        <v>32</v>
      </c>
      <c r="C123" t="s">
        <v>102</v>
      </c>
      <c r="D123" s="75"/>
      <c r="E123" s="56"/>
      <c r="F123" t="s">
        <v>15</v>
      </c>
      <c r="G123" s="12">
        <f>(INDEX(Proj[],MATCH(Std[[#This Row],[Player]],Proj[Player],0),14)-G$764)/G$765</f>
        <v>1.6614598562893603</v>
      </c>
      <c r="H123" s="12">
        <f>(INDEX(Proj[],MATCH(Std[[#This Row],[Player]],Proj[Player],0),15)-H$764)/H$765</f>
        <v>0.38074090433607805</v>
      </c>
      <c r="I123" s="12">
        <f>(INDEX(Proj[],MATCH(Std[[#This Row],[Player]],Proj[Player],0),16)-I$764)/I$765</f>
        <v>0.98439726833352059</v>
      </c>
      <c r="J123" s="12">
        <f>(INDEX(Proj[],MATCH(Std[[#This Row],[Player]],Proj[Player],0),17)-J$764)/J$765</f>
        <v>1.2994872004234757</v>
      </c>
      <c r="K123" s="12">
        <f>(INDEX(Proj[],MATCH(Std[[#This Row],[Player]],Proj[Player],0),18)-K$764)/K$765</f>
        <v>1.1837065998320361E-2</v>
      </c>
      <c r="L123" s="12">
        <f>(INDEX(Proj[],MATCH(Std[[#This Row],[Player]],Proj[Player],0),19)-L$764)/L$765</f>
        <v>0.48838768140370159</v>
      </c>
      <c r="M123" s="12">
        <f>(INDEX(Proj[],MATCH(Std[[#This Row],[Player]],Proj[Player],0),20)-M$764)/M$765</f>
        <v>-0.71308883245737775</v>
      </c>
      <c r="N123" s="12">
        <f>(INDEX(Proj[],MATCH(Std[[#This Row],[Player]],Proj[Player],0),21)-N$764)/N$765</f>
        <v>-1.1769786930090422</v>
      </c>
      <c r="O123" s="12">
        <f>(INDEX(Proj[],MATCH(Std[[#This Row],[Player]],Proj[Player],0),22)-O$764)/O$765</f>
        <v>-1.0783602928502034</v>
      </c>
      <c r="P123" s="12">
        <f>((INDEX(Proj[],MATCH(Std[[#This Row],[Player]],Proj[Player],0),23)-P$764)/P$765)*IF('League Inputs'!$C$23 = "Yes",-1, 1)</f>
        <v>-2.3115781936270764E-2</v>
      </c>
      <c r="Q123" s="12">
        <f>(INDEX(Proj[],MATCH(Std[[#This Row],[Player]],Proj[Player],0),24)-Q$764)/Q$765</f>
        <v>-0.20348086552068209</v>
      </c>
      <c r="R123" s="12">
        <f>(INDEX(Proj[],MATCH(Std[[#This Row],[Player]],Proj[Player],0),25)-R$764)/R$765</f>
        <v>-9.7529347411193582E-2</v>
      </c>
      <c r="S123" s="12">
        <f>(INDEX(Proj[],MATCH(Std[[#This Row],[Player]],Proj[Player],0),26)-S$764)/S$765</f>
        <v>1.6361332589794741</v>
      </c>
      <c r="T1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266.91833360259363</v>
      </c>
      <c r="U123" s="11"/>
      <c r="W123" t="str">
        <v>Jeff Skinner</v>
      </c>
      <c r="AA123" t="str">
        <v>Jeff Skinner</v>
      </c>
      <c r="AB123" t="str">
        <v>Jeff Skinner</v>
      </c>
    </row>
    <row r="124" spans="1:28" x14ac:dyDescent="0.25">
      <c r="A124" t="s">
        <v>328</v>
      </c>
      <c r="B124">
        <f>INDEX(Proj[],MATCH(Std[[#This Row],[Player]],Proj[Player],0),2)</f>
        <v>25</v>
      </c>
      <c r="C124" t="s">
        <v>102</v>
      </c>
      <c r="D124" s="75" t="s">
        <v>103</v>
      </c>
      <c r="E124" s="57"/>
      <c r="F124" t="s">
        <v>4</v>
      </c>
      <c r="G124" s="12">
        <f>(INDEX(Proj[],MATCH(Std[[#This Row],[Player]],Proj[Player],0),14)-G$764)/G$765</f>
        <v>1.4501921187738289</v>
      </c>
      <c r="H124" s="12">
        <f>(INDEX(Proj[],MATCH(Std[[#This Row],[Player]],Proj[Player],0),15)-H$764)/H$765</f>
        <v>0.45527017132434322</v>
      </c>
      <c r="I124" s="12">
        <f>(INDEX(Proj[],MATCH(Std[[#This Row],[Player]],Proj[Player],0),16)-I$764)/I$765</f>
        <v>0.93715470937141732</v>
      </c>
      <c r="J124" s="12">
        <f>(INDEX(Proj[],MATCH(Std[[#This Row],[Player]],Proj[Player],0),17)-J$764)/J$765</f>
        <v>1.8882137748727552</v>
      </c>
      <c r="K124" s="12">
        <f>(INDEX(Proj[],MATCH(Std[[#This Row],[Player]],Proj[Player],0),18)-K$764)/K$765</f>
        <v>1.0904386832590593</v>
      </c>
      <c r="L124" s="12">
        <f>(INDEX(Proj[],MATCH(Std[[#This Row],[Player]],Proj[Player],0),19)-L$764)/L$765</f>
        <v>1.4670353650186094</v>
      </c>
      <c r="M124" s="12">
        <f>(INDEX(Proj[],MATCH(Std[[#This Row],[Player]],Proj[Player],0),20)-M$764)/M$765</f>
        <v>0.31240082183847029</v>
      </c>
      <c r="N124" s="12">
        <f>(INDEX(Proj[],MATCH(Std[[#This Row],[Player]],Proj[Player],0),21)-N$764)/N$765</f>
        <v>0.48967837494893446</v>
      </c>
      <c r="O124" s="12">
        <f>(INDEX(Proj[],MATCH(Std[[#This Row],[Player]],Proj[Player],0),22)-O$764)/O$765</f>
        <v>-0.31223218265707492</v>
      </c>
      <c r="P124" s="12">
        <f>((INDEX(Proj[],MATCH(Std[[#This Row],[Player]],Proj[Player],0),23)-P$764)/P$765)*IF('League Inputs'!$C$23 = "Yes",-1, 1)</f>
        <v>-0.25581465342806309</v>
      </c>
      <c r="Q124" s="12">
        <f>(INDEX(Proj[],MATCH(Std[[#This Row],[Player]],Proj[Player],0),24)-Q$764)/Q$765</f>
        <v>2.1898780049967743</v>
      </c>
      <c r="R124" s="12">
        <f>(INDEX(Proj[],MATCH(Std[[#This Row],[Player]],Proj[Player],0),25)-R$764)/R$765</f>
        <v>2.0873911195443902</v>
      </c>
      <c r="S124" s="12">
        <f>(INDEX(Proj[],MATCH(Std[[#This Row],[Player]],Proj[Player],0),26)-S$764)/S$765</f>
        <v>0.97116680459538685</v>
      </c>
      <c r="T1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739.23287129441565</v>
      </c>
      <c r="U124" s="11"/>
      <c r="W124" t="str">
        <v>Josh Norris</v>
      </c>
      <c r="AA124" t="str">
        <v>Josh Norris</v>
      </c>
      <c r="AB124" t="str">
        <v>Josh Norris</v>
      </c>
    </row>
    <row r="125" spans="1:28" x14ac:dyDescent="0.25">
      <c r="A125" t="s">
        <v>1000</v>
      </c>
      <c r="B125">
        <f>INDEX(Proj[],MATCH(Std[[#This Row],[Player]],Proj[Player],0),2)</f>
        <v>21</v>
      </c>
      <c r="C125" t="s">
        <v>74</v>
      </c>
      <c r="D125" s="75" t="s">
        <v>102</v>
      </c>
      <c r="E125" s="57"/>
      <c r="F125" t="s">
        <v>28</v>
      </c>
      <c r="G125" s="12">
        <f>(INDEX(Proj[],MATCH(Std[[#This Row],[Player]],Proj[Player],0),14)-G$764)/G$765</f>
        <v>1.2389243812582977</v>
      </c>
      <c r="H125" s="12">
        <f>(INDEX(Proj[],MATCH(Std[[#This Row],[Player]],Proj[Player],0),15)-H$764)/H$765</f>
        <v>0.67885797228913891</v>
      </c>
      <c r="I125" s="12">
        <f>(INDEX(Proj[],MATCH(Std[[#This Row],[Player]],Proj[Player],0),16)-I$764)/I$765</f>
        <v>0.98439726833352059</v>
      </c>
      <c r="J125" s="12">
        <f>(INDEX(Proj[],MATCH(Std[[#This Row],[Player]],Proj[Player],0),17)-J$764)/J$765</f>
        <v>2.4769403493220348</v>
      </c>
      <c r="K125" s="12">
        <f>(INDEX(Proj[],MATCH(Std[[#This Row],[Player]],Proj[Player],0),18)-K$764)/K$765</f>
        <v>0.62818084729017121</v>
      </c>
      <c r="L125" s="12">
        <f>(INDEX(Proj[],MATCH(Std[[#This Row],[Player]],Proj[Player],0),19)-L$764)/L$765</f>
        <v>1.3582967335058418</v>
      </c>
      <c r="M125" s="12">
        <f>(INDEX(Proj[],MATCH(Std[[#This Row],[Player]],Proj[Player],0),20)-M$764)/M$765</f>
        <v>0.31240082183847029</v>
      </c>
      <c r="N125" s="12">
        <f>(INDEX(Proj[],MATCH(Std[[#This Row],[Player]],Proj[Player],0),21)-N$764)/N$765</f>
        <v>-0.38240962572675097</v>
      </c>
      <c r="O125" s="12">
        <f>(INDEX(Proj[],MATCH(Std[[#This Row],[Player]],Proj[Player],0),22)-O$764)/O$765</f>
        <v>-0.42831219935300352</v>
      </c>
      <c r="P125" s="12">
        <f>((INDEX(Proj[],MATCH(Std[[#This Row],[Player]],Proj[Player],0),23)-P$764)/P$765)*IF('League Inputs'!$C$23 = "Yes",-1, 1)</f>
        <v>-0.16273510483134615</v>
      </c>
      <c r="Q125" s="12">
        <f>(INDEX(Proj[],MATCH(Std[[#This Row],[Player]],Proj[Player],0),24)-Q$764)/Q$765</f>
        <v>-0.39004558816680895</v>
      </c>
      <c r="R125" s="12">
        <f>(INDEX(Proj[],MATCH(Std[[#This Row],[Player]],Proj[Player],0),25)-R$764)/R$765</f>
        <v>-0.30183359886678063</v>
      </c>
      <c r="S125" s="12">
        <f>(INDEX(Proj[],MATCH(Std[[#This Row],[Player]],Proj[Player],0),26)-S$764)/S$765</f>
        <v>1.4415089308670583</v>
      </c>
      <c r="T1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433.84827681759469</v>
      </c>
      <c r="U125" s="11"/>
      <c r="W125" t="str">
        <v>Dylan Guenther</v>
      </c>
      <c r="AA125" t="str">
        <v>Dylan Guenther</v>
      </c>
      <c r="AB125" t="str">
        <v>Dylan Guenther</v>
      </c>
    </row>
    <row r="126" spans="1:28" x14ac:dyDescent="0.25">
      <c r="A126" t="s">
        <v>593</v>
      </c>
      <c r="B126">
        <f>INDEX(Proj[],MATCH(Std[[#This Row],[Player]],Proj[Player],0),2)</f>
        <v>26</v>
      </c>
      <c r="C126" t="s">
        <v>74</v>
      </c>
      <c r="D126" s="75"/>
      <c r="E126" s="56"/>
      <c r="F126" t="s">
        <v>17</v>
      </c>
      <c r="G126" s="12">
        <f>(INDEX(Proj[],MATCH(Std[[#This Row],[Player]],Proj[Player],0),14)-G$764)/G$765</f>
        <v>1.3445582500160633</v>
      </c>
      <c r="H126" s="12">
        <f>(INDEX(Proj[],MATCH(Std[[#This Row],[Player]],Proj[Player],0),15)-H$764)/H$765</f>
        <v>0.52979943831260845</v>
      </c>
      <c r="I126" s="12">
        <f>(INDEX(Proj[],MATCH(Std[[#This Row],[Player]],Proj[Player],0),16)-I$764)/I$765</f>
        <v>0.93715470937141732</v>
      </c>
      <c r="J126" s="12">
        <f>(INDEX(Proj[],MATCH(Std[[#This Row],[Player]],Proj[Player],0),17)-J$764)/J$765</f>
        <v>1.0051239131988361</v>
      </c>
      <c r="K126" s="12">
        <f>(INDEX(Proj[],MATCH(Std[[#This Row],[Player]],Proj[Player],0),18)-K$764)/K$765</f>
        <v>0.62818084729017121</v>
      </c>
      <c r="L126" s="12">
        <f>(INDEX(Proj[],MATCH(Std[[#This Row],[Player]],Proj[Player],0),19)-L$764)/L$765</f>
        <v>0.81460357594200417</v>
      </c>
      <c r="M126" s="12">
        <f>(INDEX(Proj[],MATCH(Std[[#This Row],[Player]],Proj[Player],0),20)-M$764)/M$765</f>
        <v>3.3888697847260145</v>
      </c>
      <c r="N126" s="12">
        <f>(INDEX(Proj[],MATCH(Std[[#This Row],[Player]],Proj[Player],0),21)-N$764)/N$765</f>
        <v>-1.3320165597958307</v>
      </c>
      <c r="O126" s="12">
        <f>(INDEX(Proj[],MATCH(Std[[#This Row],[Player]],Proj[Player],0),22)-O$764)/O$765</f>
        <v>-0.45152820269218918</v>
      </c>
      <c r="P126" s="12">
        <f>((INDEX(Proj[],MATCH(Std[[#This Row],[Player]],Proj[Player],0),23)-P$764)/P$765)*IF('League Inputs'!$C$23 = "Yes",-1, 1)</f>
        <v>-0.81429194500836466</v>
      </c>
      <c r="Q126" s="12">
        <f>(INDEX(Proj[],MATCH(Std[[#This Row],[Player]],Proj[Player],0),24)-Q$764)/Q$765</f>
        <v>5.7709746183895586E-2</v>
      </c>
      <c r="R126" s="12">
        <f>(INDEX(Proj[],MATCH(Std[[#This Row],[Player]],Proj[Player],0),25)-R$764)/R$765</f>
        <v>0.41323128122777408</v>
      </c>
      <c r="S126" s="12">
        <f>(INDEX(Proj[],MATCH(Std[[#This Row],[Player]],Proj[Player],0),26)-S$764)/S$765</f>
        <v>0.89007333454854698</v>
      </c>
      <c r="T1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197.60623468781512</v>
      </c>
      <c r="U126" s="11"/>
      <c r="W126" t="str">
        <v>Yegor Sharangovich</v>
      </c>
      <c r="AA126" t="str">
        <v>Yegor Sharangovich</v>
      </c>
      <c r="AB126" t="str">
        <v>Yegor Sharangovich</v>
      </c>
    </row>
    <row r="127" spans="1:28" x14ac:dyDescent="0.25">
      <c r="A127" t="s">
        <v>1147</v>
      </c>
      <c r="B127">
        <f>INDEX(Proj[],MATCH(Std[[#This Row],[Player]],Proj[Player],0),2)</f>
        <v>21</v>
      </c>
      <c r="C127" t="s">
        <v>102</v>
      </c>
      <c r="D127" s="75" t="s">
        <v>103</v>
      </c>
      <c r="E127" s="56"/>
      <c r="F127" t="s">
        <v>22</v>
      </c>
      <c r="G127" s="12">
        <f>(INDEX(Proj[],MATCH(Std[[#This Row],[Player]],Proj[Player],0),14)-G$764)/G$765</f>
        <v>1.1332905125005321</v>
      </c>
      <c r="H127" s="12">
        <f>(INDEX(Proj[],MATCH(Std[[#This Row],[Player]],Proj[Player],0),15)-H$764)/H$765</f>
        <v>0.67885797228913891</v>
      </c>
      <c r="I127" s="12">
        <f>(INDEX(Proj[],MATCH(Std[[#This Row],[Player]],Proj[Player],0),16)-I$764)/I$765</f>
        <v>0.93715470937141732</v>
      </c>
      <c r="J127" s="12">
        <f>(INDEX(Proj[],MATCH(Std[[#This Row],[Player]],Proj[Player],0),17)-J$764)/J$765</f>
        <v>1.0051239131988361</v>
      </c>
      <c r="K127" s="12">
        <f>(INDEX(Proj[],MATCH(Std[[#This Row],[Player]],Proj[Player],0),18)-K$764)/K$765</f>
        <v>0.32000895664424578</v>
      </c>
      <c r="L127" s="12">
        <f>(INDEX(Proj[],MATCH(Std[[#This Row],[Player]],Proj[Player],0),19)-L$764)/L$765</f>
        <v>0.59712631291646912</v>
      </c>
      <c r="M127" s="12">
        <f>(INDEX(Proj[],MATCH(Std[[#This Row],[Player]],Proj[Player],0),20)-M$764)/M$765</f>
        <v>-0.71308883245737775</v>
      </c>
      <c r="N127" s="12">
        <f>(INDEX(Proj[],MATCH(Std[[#This Row],[Player]],Proj[Player],0),21)-N$764)/N$765</f>
        <v>-0.11109335884987108</v>
      </c>
      <c r="O127" s="12">
        <f>(INDEX(Proj[],MATCH(Std[[#This Row],[Player]],Proj[Player],0),22)-O$764)/O$765</f>
        <v>-0.56760821938811779</v>
      </c>
      <c r="P127" s="12">
        <f>((INDEX(Proj[],MATCH(Std[[#This Row],[Player]],Proj[Player],0),23)-P$764)/P$765)*IF('League Inputs'!$C$23 = "Yes",-1, 1)</f>
        <v>-0.44197375062149696</v>
      </c>
      <c r="Q127" s="12">
        <f>(INDEX(Proj[],MATCH(Std[[#This Row],[Player]],Proj[Player],0),24)-Q$764)/Q$765</f>
        <v>-9.687245258003814E-2</v>
      </c>
      <c r="R127" s="12">
        <f>(INDEX(Proj[],MATCH(Std[[#This Row],[Player]],Proj[Player],0),25)-R$764)/R$765</f>
        <v>-0.1996814731389871</v>
      </c>
      <c r="S127" s="12">
        <f>(INDEX(Proj[],MATCH(Std[[#This Row],[Player]],Proj[Player],0),26)-S$764)/S$765</f>
        <v>1.0684789686515948</v>
      </c>
      <c r="T1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319.73606942896288</v>
      </c>
      <c r="U127" s="11"/>
      <c r="W127" t="str">
        <v>Logan Stankoven</v>
      </c>
      <c r="AA127" t="str">
        <v>Logan Stankoven</v>
      </c>
      <c r="AB127" t="str">
        <v>Logan Stankoven</v>
      </c>
    </row>
    <row r="128" spans="1:28" x14ac:dyDescent="0.25">
      <c r="A128" t="s">
        <v>274</v>
      </c>
      <c r="B128">
        <f>INDEX(Proj[],MATCH(Std[[#This Row],[Player]],Proj[Player],0),2)</f>
        <v>35</v>
      </c>
      <c r="C128" t="s">
        <v>103</v>
      </c>
      <c r="D128" s="75"/>
      <c r="E128" s="57"/>
      <c r="F128" t="s">
        <v>87</v>
      </c>
      <c r="G128" s="12">
        <f>(INDEX(Proj[],MATCH(Std[[#This Row],[Player]],Proj[Player],0),14)-G$764)/G$765</f>
        <v>-0.13431591259265557</v>
      </c>
      <c r="H128" s="12">
        <f>(INDEX(Proj[],MATCH(Std[[#This Row],[Player]],Proj[Player],0),15)-H$764)/H$765</f>
        <v>1.4986799091600562</v>
      </c>
      <c r="I128" s="12">
        <f>(INDEX(Proj[],MATCH(Std[[#This Row],[Player]],Proj[Player],0),16)-I$764)/I$765</f>
        <v>0.88991215040931404</v>
      </c>
      <c r="J128" s="12">
        <f>(INDEX(Proj[],MATCH(Std[[#This Row],[Player]],Proj[Player],0),17)-J$764)/J$765</f>
        <v>0.71076062597419631</v>
      </c>
      <c r="K128" s="12">
        <f>(INDEX(Proj[],MATCH(Std[[#This Row],[Player]],Proj[Player],0),18)-K$764)/K$765</f>
        <v>2.0149543551968354</v>
      </c>
      <c r="L128" s="12">
        <f>(INDEX(Proj[],MATCH(Std[[#This Row],[Player]],Proj[Player],0),19)-L$764)/L$765</f>
        <v>1.6845126280441445</v>
      </c>
      <c r="M128" s="12">
        <f>(INDEX(Proj[],MATCH(Std[[#This Row],[Player]],Proj[Player],0),20)-M$764)/M$765</f>
        <v>-0.71308883245737775</v>
      </c>
      <c r="N128" s="12">
        <f>(INDEX(Proj[],MATCH(Std[[#This Row],[Player]],Proj[Player],0),21)-N$764)/N$765</f>
        <v>0.33464050816214591</v>
      </c>
      <c r="O128" s="12">
        <f>(INDEX(Proj[],MATCH(Std[[#This Row],[Player]],Proj[Player],0),22)-O$764)/O$765</f>
        <v>1.5682640878169676</v>
      </c>
      <c r="P128" s="12">
        <f>((INDEX(Proj[],MATCH(Std[[#This Row],[Player]],Proj[Player],0),23)-P$764)/P$765)*IF('League Inputs'!$C$23 = "Yes",-1, 1)</f>
        <v>0.53536150964403084</v>
      </c>
      <c r="Q128" s="12">
        <f>(INDEX(Proj[],MATCH(Std[[#This Row],[Player]],Proj[Player],0),24)-Q$764)/Q$765</f>
        <v>-0.5766103108129359</v>
      </c>
      <c r="R128" s="12">
        <f>(INDEX(Proj[],MATCH(Std[[#This Row],[Player]],Proj[Player],0),25)-R$764)/R$765</f>
        <v>-0.62531533033812681</v>
      </c>
      <c r="S128" s="12">
        <f>(INDEX(Proj[],MATCH(Std[[#This Row],[Player]],Proj[Player],0),26)-S$764)/S$765</f>
        <v>0.37107512624877148</v>
      </c>
      <c r="T1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617.15196960798392</v>
      </c>
      <c r="U128" s="11"/>
      <c r="W128" t="str">
        <v>Drew Doughty</v>
      </c>
      <c r="AA128" t="str">
        <v>Drew Doughty</v>
      </c>
      <c r="AB128" t="str">
        <v>Drew Doughty</v>
      </c>
    </row>
    <row r="129" spans="1:28" x14ac:dyDescent="0.25">
      <c r="A129" t="s">
        <v>447</v>
      </c>
      <c r="B129">
        <f>INDEX(Proj[],MATCH(Std[[#This Row],[Player]],Proj[Player],0),2)</f>
        <v>32</v>
      </c>
      <c r="C129" t="s">
        <v>102</v>
      </c>
      <c r="D129" s="75" t="s">
        <v>103</v>
      </c>
      <c r="E129" s="56"/>
      <c r="F129" t="s">
        <v>87</v>
      </c>
      <c r="G129" s="12">
        <f>(INDEX(Proj[],MATCH(Std[[#This Row],[Player]],Proj[Player],0),14)-G$764)/G$765</f>
        <v>7.6951824922875695E-2</v>
      </c>
      <c r="H129" s="12">
        <f>(INDEX(Proj[],MATCH(Std[[#This Row],[Player]],Proj[Player],0),15)-H$764)/H$765</f>
        <v>1.3496213751835258</v>
      </c>
      <c r="I129" s="12">
        <f>(INDEX(Proj[],MATCH(Std[[#This Row],[Player]],Proj[Player],0),16)-I$764)/I$765</f>
        <v>0.88991215040931404</v>
      </c>
      <c r="J129" s="12">
        <f>(INDEX(Proj[],MATCH(Std[[#This Row],[Player]],Proj[Player],0),17)-J$764)/J$765</f>
        <v>-0.17232923569972286</v>
      </c>
      <c r="K129" s="12">
        <f>(INDEX(Proj[],MATCH(Std[[#This Row],[Player]],Proj[Player],0),18)-K$764)/K$765</f>
        <v>1.7067824645509102</v>
      </c>
      <c r="L129" s="12">
        <f>(INDEX(Proj[],MATCH(Std[[#This Row],[Player]],Proj[Player],0),19)-L$764)/L$765</f>
        <v>1.1408194704803067</v>
      </c>
      <c r="M129" s="12">
        <f>(INDEX(Proj[],MATCH(Std[[#This Row],[Player]],Proj[Player],0),20)-M$764)/M$765</f>
        <v>0.31240082183847029</v>
      </c>
      <c r="N129" s="12">
        <f>(INDEX(Proj[],MATCH(Std[[#This Row],[Player]],Proj[Player],0),21)-N$764)/N$765</f>
        <v>-0.42116909242344813</v>
      </c>
      <c r="O129" s="12">
        <f>(INDEX(Proj[],MATCH(Std[[#This Row],[Player]],Proj[Player],0),22)-O$764)/O$765</f>
        <v>-8.0072149265217829E-2</v>
      </c>
      <c r="P129" s="12">
        <f>((INDEX(Proj[],MATCH(Std[[#This Row],[Player]],Proj[Player],0),23)-P$764)/P$765)*IF('League Inputs'!$C$23 = "Yes",-1, 1)</f>
        <v>-0.30235442772642157</v>
      </c>
      <c r="Q129" s="12">
        <f>(INDEX(Proj[],MATCH(Std[[#This Row],[Player]],Proj[Player],0),24)-Q$764)/Q$765</f>
        <v>1.934017813939229</v>
      </c>
      <c r="R129" s="12">
        <f>(INDEX(Proj[],MATCH(Std[[#This Row],[Player]],Proj[Player],0),25)-R$764)/R$765</f>
        <v>2.5130249767435302</v>
      </c>
      <c r="S129" s="12">
        <f>(INDEX(Proj[],MATCH(Std[[#This Row],[Player]],Proj[Player],0),26)-S$764)/S$765</f>
        <v>0.11157602209888376</v>
      </c>
      <c r="T1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469.93029876190474</v>
      </c>
      <c r="U129" s="11"/>
      <c r="W129" t="str">
        <v>Mikael Granlund</v>
      </c>
      <c r="AA129" t="str">
        <v>Mikael Granlund</v>
      </c>
      <c r="AB129" t="str">
        <v>Mikael Granlund</v>
      </c>
    </row>
    <row r="130" spans="1:28" x14ac:dyDescent="0.25">
      <c r="A130" t="s">
        <v>310</v>
      </c>
      <c r="B130">
        <f>INDEX(Proj[],MATCH(Std[[#This Row],[Player]],Proj[Player],0),2)</f>
        <v>29</v>
      </c>
      <c r="C130" t="s">
        <v>103</v>
      </c>
      <c r="D130" s="75"/>
      <c r="E130" s="57"/>
      <c r="F130" t="s">
        <v>87</v>
      </c>
      <c r="G130" s="12">
        <f>(INDEX(Proj[],MATCH(Std[[#This Row],[Player]],Proj[Player],0),14)-G$764)/G$765</f>
        <v>1.1332905125005321</v>
      </c>
      <c r="H130" s="12">
        <f>(INDEX(Proj[],MATCH(Std[[#This Row],[Player]],Proj[Player],0),15)-H$764)/H$765</f>
        <v>0.60432870530087368</v>
      </c>
      <c r="I130" s="12">
        <f>(INDEX(Proj[],MATCH(Std[[#This Row],[Player]],Proj[Player],0),16)-I$764)/I$765</f>
        <v>0.88991215040931404</v>
      </c>
      <c r="J130" s="12">
        <f>(INDEX(Proj[],MATCH(Std[[#This Row],[Player]],Proj[Player],0),17)-J$764)/J$765</f>
        <v>1.5938504876481154</v>
      </c>
      <c r="K130" s="12">
        <f>(INDEX(Proj[],MATCH(Std[[#This Row],[Player]],Proj[Player],0),18)-K$764)/K$765</f>
        <v>0.16592301132128306</v>
      </c>
      <c r="L130" s="12">
        <f>(INDEX(Proj[],MATCH(Std[[#This Row],[Player]],Proj[Player],0),19)-L$764)/L$765</f>
        <v>0.70586494442923664</v>
      </c>
      <c r="M130" s="12">
        <f>(INDEX(Proj[],MATCH(Std[[#This Row],[Player]],Proj[Player],0),20)-M$764)/M$765</f>
        <v>-0.71308883245737775</v>
      </c>
      <c r="N130" s="12">
        <f>(INDEX(Proj[],MATCH(Std[[#This Row],[Player]],Proj[Player],0),21)-N$764)/N$765</f>
        <v>0.12146344133031171</v>
      </c>
      <c r="O130" s="12">
        <f>(INDEX(Proj[],MATCH(Std[[#This Row],[Player]],Proj[Player],0),22)-O$764)/O$765</f>
        <v>-0.4747442060313749</v>
      </c>
      <c r="P130" s="12">
        <f>((INDEX(Proj[],MATCH(Std[[#This Row],[Player]],Proj[Player],0),23)-P$764)/P$765)*IF('League Inputs'!$C$23 = "Yes",-1, 1)</f>
        <v>0.90767970403089848</v>
      </c>
      <c r="Q130" s="12">
        <f>(INDEX(Proj[],MATCH(Std[[#This Row],[Player]],Proj[Player],0),24)-Q$764)/Q$765</f>
        <v>-0.52330610434261393</v>
      </c>
      <c r="R130" s="12">
        <f>(INDEX(Proj[],MATCH(Std[[#This Row],[Player]],Proj[Player],0),25)-R$764)/R$765</f>
        <v>-0.52316320461033328</v>
      </c>
      <c r="S130" s="12">
        <f>(INDEX(Proj[],MATCH(Std[[#This Row],[Player]],Proj[Player],0),26)-S$764)/S$765</f>
        <v>0.89007333454854698</v>
      </c>
      <c r="T1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425.45624821757252</v>
      </c>
      <c r="U130" s="11"/>
      <c r="W130" t="str">
        <v>Tyler Bertuzzi</v>
      </c>
      <c r="AA130" t="str">
        <v>Tyler Bertuzzi</v>
      </c>
      <c r="AB130" t="str">
        <v>Tyler Bertuzzi</v>
      </c>
    </row>
    <row r="131" spans="1:28" x14ac:dyDescent="0.25">
      <c r="A131" t="s">
        <v>580</v>
      </c>
      <c r="B131">
        <f>INDEX(Proj[],MATCH(Std[[#This Row],[Player]],Proj[Player],0),2)</f>
        <v>29</v>
      </c>
      <c r="C131" t="s">
        <v>74</v>
      </c>
      <c r="D131" s="75" t="s">
        <v>103</v>
      </c>
      <c r="E131" s="57"/>
      <c r="F131" t="s">
        <v>17</v>
      </c>
      <c r="G131" s="12">
        <f>(INDEX(Proj[],MATCH(Std[[#This Row],[Player]],Proj[Player],0),14)-G$764)/G$765</f>
        <v>-2.8682043834889943E-2</v>
      </c>
      <c r="H131" s="12">
        <f>(INDEX(Proj[],MATCH(Std[[#This Row],[Player]],Proj[Player],0),15)-H$764)/H$765</f>
        <v>1.4241506421717909</v>
      </c>
      <c r="I131" s="12">
        <f>(INDEX(Proj[],MATCH(Std[[#This Row],[Player]],Proj[Player],0),16)-I$764)/I$765</f>
        <v>0.88991215040931404</v>
      </c>
      <c r="J131" s="12">
        <f>(INDEX(Proj[],MATCH(Std[[#This Row],[Player]],Proj[Player],0),17)-J$764)/J$765</f>
        <v>0.12203405152491688</v>
      </c>
      <c r="K131" s="12">
        <f>(INDEX(Proj[],MATCH(Std[[#This Row],[Player]],Proj[Player],0),18)-K$764)/K$765</f>
        <v>1.7067824645509102</v>
      </c>
      <c r="L131" s="12">
        <f>(INDEX(Proj[],MATCH(Std[[#This Row],[Player]],Proj[Player],0),19)-L$764)/L$765</f>
        <v>1.2495581019930744</v>
      </c>
      <c r="M131" s="12">
        <f>(INDEX(Proj[],MATCH(Std[[#This Row],[Player]],Proj[Player],0),20)-M$764)/M$765</f>
        <v>-0.71308883245737775</v>
      </c>
      <c r="N131" s="12">
        <f>(INDEX(Proj[],MATCH(Std[[#This Row],[Player]],Proj[Player],0),21)-N$764)/N$765</f>
        <v>-0.82814349273876797</v>
      </c>
      <c r="O131" s="12">
        <f>(INDEX(Proj[],MATCH(Std[[#This Row],[Player]],Proj[Player],0),22)-O$764)/O$765</f>
        <v>-0.73012024276241771</v>
      </c>
      <c r="P131" s="12">
        <f>((INDEX(Proj[],MATCH(Std[[#This Row],[Player]],Proj[Player],0),23)-P$764)/P$765)*IF('League Inputs'!$C$23 = "Yes",-1, 1)</f>
        <v>6.9963766660446167E-2</v>
      </c>
      <c r="Q131" s="12">
        <f>(INDEX(Proj[],MATCH(Std[[#This Row],[Player]],Proj[Player],0),24)-Q$764)/Q$765</f>
        <v>-0.1714983416384889</v>
      </c>
      <c r="R131" s="12">
        <f>(INDEX(Proj[],MATCH(Std[[#This Row],[Player]],Proj[Player],0),25)-R$764)/R$765</f>
        <v>-0.17698100075503298</v>
      </c>
      <c r="S131" s="12">
        <f>(INDEX(Proj[],MATCH(Std[[#This Row],[Player]],Proj[Player],0),26)-S$764)/S$765</f>
        <v>-3.4392223985428086E-2</v>
      </c>
      <c r="T1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184.07483162746331</v>
      </c>
      <c r="U131" s="11"/>
      <c r="W131" t="str">
        <v>Jonathan Drouin</v>
      </c>
      <c r="AA131" t="str">
        <v>Jonathan Drouin</v>
      </c>
      <c r="AB131" t="str">
        <v>Jonathan Drouin</v>
      </c>
    </row>
    <row r="132" spans="1:28" x14ac:dyDescent="0.25">
      <c r="A132" t="s">
        <v>681</v>
      </c>
      <c r="B132">
        <f>INDEX(Proj[],MATCH(Std[[#This Row],[Player]],Proj[Player],0),2)</f>
        <v>26</v>
      </c>
      <c r="C132" t="s">
        <v>74</v>
      </c>
      <c r="D132" s="75" t="s">
        <v>103</v>
      </c>
      <c r="E132" s="57"/>
      <c r="F132" t="s">
        <v>18</v>
      </c>
      <c r="G132" s="12">
        <f>(INDEX(Proj[],MATCH(Std[[#This Row],[Player]],Proj[Player],0),14)-G$764)/G$765</f>
        <v>0.39385343119617261</v>
      </c>
      <c r="H132" s="12">
        <f>(INDEX(Proj[],MATCH(Std[[#This Row],[Player]],Proj[Player],0),15)-H$764)/H$765</f>
        <v>1.1260335742187302</v>
      </c>
      <c r="I132" s="12">
        <f>(INDEX(Proj[],MATCH(Std[[#This Row],[Player]],Proj[Player],0),16)-I$764)/I$765</f>
        <v>0.88991215040931404</v>
      </c>
      <c r="J132" s="12">
        <f>(INDEX(Proj[],MATCH(Std[[#This Row],[Player]],Proj[Player],0),17)-J$764)/J$765</f>
        <v>0.12203405152491688</v>
      </c>
      <c r="K132" s="12">
        <f>(INDEX(Proj[],MATCH(Std[[#This Row],[Player]],Proj[Player],0),18)-K$764)/K$765</f>
        <v>0.47409490196720849</v>
      </c>
      <c r="L132" s="12">
        <f>(INDEX(Proj[],MATCH(Std[[#This Row],[Player]],Proj[Player],0),19)-L$764)/L$765</f>
        <v>0.37964904989093406</v>
      </c>
      <c r="M132" s="12">
        <f>(INDEX(Proj[],MATCH(Std[[#This Row],[Player]],Proj[Player],0),20)-M$764)/M$765</f>
        <v>0.31240082183847029</v>
      </c>
      <c r="N132" s="12">
        <f>(INDEX(Proj[],MATCH(Std[[#This Row],[Player]],Proj[Player],0),21)-N$764)/N$765</f>
        <v>-1.1188394929639964</v>
      </c>
      <c r="O132" s="12">
        <f>(INDEX(Proj[],MATCH(Std[[#This Row],[Player]],Proj[Player],0),22)-O$764)/O$765</f>
        <v>-0.77655224944078916</v>
      </c>
      <c r="P132" s="12">
        <f>((INDEX(Proj[],MATCH(Std[[#This Row],[Player]],Proj[Player],0),23)-P$764)/P$765)*IF('League Inputs'!$C$23 = "Yes",-1, 1)</f>
        <v>-0.5815930735165723</v>
      </c>
      <c r="Q132" s="12">
        <f>(INDEX(Proj[],MATCH(Std[[#This Row],[Player]],Proj[Player],0),24)-Q$764)/Q$765</f>
        <v>2.0033132823506477</v>
      </c>
      <c r="R132" s="12">
        <f>(INDEX(Proj[],MATCH(Std[[#This Row],[Player]],Proj[Player],0),25)-R$764)/R$765</f>
        <v>2.5584259215114384</v>
      </c>
      <c r="S132" s="12">
        <f>(INDEX(Proj[],MATCH(Std[[#This Row],[Player]],Proj[Player],0),26)-S$764)/S$765</f>
        <v>0.28998165620193156</v>
      </c>
      <c r="T1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260.5758328346372</v>
      </c>
      <c r="U132" s="11"/>
      <c r="W132" t="str">
        <v>Casey Mittelstadt</v>
      </c>
      <c r="AA132" t="str">
        <v>Casey Mittelstadt</v>
      </c>
      <c r="AB132" t="str">
        <v>Casey Mittelstadt</v>
      </c>
    </row>
    <row r="133" spans="1:28" x14ac:dyDescent="0.25">
      <c r="A133" t="s">
        <v>244</v>
      </c>
      <c r="B133">
        <f>INDEX(Proj[],MATCH(Std[[#This Row],[Player]],Proj[Player],0),2)</f>
        <v>37</v>
      </c>
      <c r="C133" t="s">
        <v>102</v>
      </c>
      <c r="D133" s="75" t="s">
        <v>103</v>
      </c>
      <c r="E133" s="56"/>
      <c r="F133" t="s">
        <v>13</v>
      </c>
      <c r="G133" s="12">
        <f>(INDEX(Proj[],MATCH(Std[[#This Row],[Player]],Proj[Player],0),14)-G$764)/G$765</f>
        <v>-0.34558365010818687</v>
      </c>
      <c r="H133" s="12">
        <f>(INDEX(Proj[],MATCH(Std[[#This Row],[Player]],Proj[Player],0),15)-H$764)/H$765</f>
        <v>1.5732091761483213</v>
      </c>
      <c r="I133" s="12">
        <f>(INDEX(Proj[],MATCH(Std[[#This Row],[Player]],Proj[Player],0),16)-I$764)/I$765</f>
        <v>0.84266959144721088</v>
      </c>
      <c r="J133" s="12">
        <f>(INDEX(Proj[],MATCH(Std[[#This Row],[Player]],Proj[Player],0),17)-J$764)/J$765</f>
        <v>-0.17232923569972286</v>
      </c>
      <c r="K133" s="12">
        <f>(INDEX(Proj[],MATCH(Std[[#This Row],[Player]],Proj[Player],0),18)-K$764)/K$765</f>
        <v>0.78226679261313392</v>
      </c>
      <c r="L133" s="12">
        <f>(INDEX(Proj[],MATCH(Std[[#This Row],[Player]],Proj[Player],0),19)-L$764)/L$765</f>
        <v>0.48838768140370159</v>
      </c>
      <c r="M133" s="12">
        <f>(INDEX(Proj[],MATCH(Std[[#This Row],[Player]],Proj[Player],0),20)-M$764)/M$765</f>
        <v>1.3378904761343182</v>
      </c>
      <c r="N133" s="12">
        <f>(INDEX(Proj[],MATCH(Std[[#This Row],[Player]],Proj[Player],0),21)-N$764)/N$765</f>
        <v>0.99355144200599721</v>
      </c>
      <c r="O133" s="12">
        <f>(INDEX(Proj[],MATCH(Std[[#This Row],[Player]],Proj[Player],0),22)-O$764)/O$765</f>
        <v>1.7539921145304533</v>
      </c>
      <c r="P133" s="12">
        <f>((INDEX(Proj[],MATCH(Std[[#This Row],[Player]],Proj[Player],0),23)-P$764)/P$765)*IF('League Inputs'!$C$23 = "Yes",-1, 1)</f>
        <v>0.6284410582407477</v>
      </c>
      <c r="Q133" s="12">
        <f>(INDEX(Proj[],MATCH(Std[[#This Row],[Player]],Proj[Player],0),24)-Q$764)/Q$765</f>
        <v>-0.5766103108129359</v>
      </c>
      <c r="R133" s="12">
        <f>(INDEX(Proj[],MATCH(Std[[#This Row],[Player]],Proj[Player],0),25)-R$764)/R$765</f>
        <v>-0.62531533033812681</v>
      </c>
      <c r="S133" s="12">
        <f>(INDEX(Proj[],MATCH(Std[[#This Row],[Player]],Proj[Player],0),26)-S$764)/S$765</f>
        <v>0.77654247648297103</v>
      </c>
      <c r="T1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613.45995793382804</v>
      </c>
      <c r="U133" s="11"/>
      <c r="W133" t="str">
        <v>Kris Letang</v>
      </c>
      <c r="AA133" t="str">
        <v>Kris Letang</v>
      </c>
      <c r="AB133" t="str">
        <v>Kris Letang</v>
      </c>
    </row>
    <row r="134" spans="1:28" x14ac:dyDescent="0.25">
      <c r="A134" t="s">
        <v>314</v>
      </c>
      <c r="B134">
        <f>INDEX(Proj[],MATCH(Std[[#This Row],[Player]],Proj[Player],0),2)</f>
        <v>28</v>
      </c>
      <c r="C134" t="s">
        <v>102</v>
      </c>
      <c r="D134" s="75"/>
      <c r="E134" s="57"/>
      <c r="F134" t="s">
        <v>156</v>
      </c>
      <c r="G134" s="12">
        <f>(INDEX(Proj[],MATCH(Std[[#This Row],[Player]],Proj[Player],0),14)-G$764)/G$765</f>
        <v>1.2389243812582977</v>
      </c>
      <c r="H134" s="12">
        <f>(INDEX(Proj[],MATCH(Std[[#This Row],[Player]],Proj[Player],0),15)-H$764)/H$765</f>
        <v>0.45527017132434322</v>
      </c>
      <c r="I134" s="12">
        <f>(INDEX(Proj[],MATCH(Std[[#This Row],[Player]],Proj[Player],0),16)-I$764)/I$765</f>
        <v>0.84266959144721088</v>
      </c>
      <c r="J134" s="12">
        <f>(INDEX(Proj[],MATCH(Std[[#This Row],[Player]],Proj[Player],0),17)-J$764)/J$765</f>
        <v>1.0051239131988361</v>
      </c>
      <c r="K134" s="12">
        <f>(INDEX(Proj[],MATCH(Std[[#This Row],[Player]],Proj[Player],0),18)-K$764)/K$765</f>
        <v>0.47409490196720849</v>
      </c>
      <c r="L134" s="12">
        <f>(INDEX(Proj[],MATCH(Std[[#This Row],[Player]],Proj[Player],0),19)-L$764)/L$765</f>
        <v>0.70586494442923664</v>
      </c>
      <c r="M134" s="12">
        <f>(INDEX(Proj[],MATCH(Std[[#This Row],[Player]],Proj[Player],0),20)-M$764)/M$765</f>
        <v>0.31240082183847029</v>
      </c>
      <c r="N134" s="12">
        <f>(INDEX(Proj[],MATCH(Std[[#This Row],[Player]],Proj[Player],0),21)-N$764)/N$765</f>
        <v>1.5361839757597571</v>
      </c>
      <c r="O134" s="12">
        <f>(INDEX(Proj[],MATCH(Std[[#This Row],[Player]],Proj[Player],0),22)-O$764)/O$765</f>
        <v>-0.42831219935300352</v>
      </c>
      <c r="P134" s="12">
        <f>((INDEX(Proj[],MATCH(Std[[#This Row],[Player]],Proj[Player],0),23)-P$764)/P$765)*IF('League Inputs'!$C$23 = "Yes",-1, 1)</f>
        <v>2.0246342871915015</v>
      </c>
      <c r="Q134" s="12">
        <f>(INDEX(Proj[],MATCH(Std[[#This Row],[Player]],Proj[Player],0),24)-Q$764)/Q$765</f>
        <v>1.7741051945282631</v>
      </c>
      <c r="R134" s="12">
        <f>(INDEX(Proj[],MATCH(Std[[#This Row],[Player]],Proj[Player],0),25)-R$764)/R$765</f>
        <v>2.3654719062478282</v>
      </c>
      <c r="S134" s="12">
        <f>(INDEX(Proj[],MATCH(Std[[#This Row],[Player]],Proj[Player],0),26)-S$764)/S$765</f>
        <v>1.4901650128951622</v>
      </c>
      <c r="T1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963.95053594807689</v>
      </c>
      <c r="U134" s="11"/>
      <c r="W134" t="str">
        <v>Sam Bennett</v>
      </c>
      <c r="AA134" t="str">
        <v>Sam Bennett</v>
      </c>
      <c r="AB134" t="str">
        <v>Sam Bennett</v>
      </c>
    </row>
    <row r="135" spans="1:28" x14ac:dyDescent="0.25">
      <c r="A135" t="s">
        <v>352</v>
      </c>
      <c r="B135">
        <f>INDEX(Proj[],MATCH(Std[[#This Row],[Player]],Proj[Player],0),2)</f>
        <v>33</v>
      </c>
      <c r="C135" t="s">
        <v>74</v>
      </c>
      <c r="D135" s="75" t="s">
        <v>103</v>
      </c>
      <c r="E135" s="57"/>
      <c r="F135" t="s">
        <v>29</v>
      </c>
      <c r="G135" s="12">
        <f>(INDEX(Proj[],MATCH(Std[[#This Row],[Player]],Proj[Player],0),14)-G$764)/G$765</f>
        <v>1.1332905125005321</v>
      </c>
      <c r="H135" s="12">
        <f>(INDEX(Proj[],MATCH(Std[[#This Row],[Player]],Proj[Player],0),15)-H$764)/H$765</f>
        <v>0.52979943831260845</v>
      </c>
      <c r="I135" s="12">
        <f>(INDEX(Proj[],MATCH(Std[[#This Row],[Player]],Proj[Player],0),16)-I$764)/I$765</f>
        <v>0.84266959144721088</v>
      </c>
      <c r="J135" s="12">
        <f>(INDEX(Proj[],MATCH(Std[[#This Row],[Player]],Proj[Player],0),17)-J$764)/J$765</f>
        <v>0.41639733874955659</v>
      </c>
      <c r="K135" s="12">
        <f>(INDEX(Proj[],MATCH(Std[[#This Row],[Player]],Proj[Player],0),18)-K$764)/K$765</f>
        <v>1.1837065998320361E-2</v>
      </c>
      <c r="L135" s="12">
        <f>(INDEX(Proj[],MATCH(Std[[#This Row],[Player]],Proj[Player],0),19)-L$764)/L$765</f>
        <v>0.16217178686539899</v>
      </c>
      <c r="M135" s="12">
        <f>(INDEX(Proj[],MATCH(Std[[#This Row],[Player]],Proj[Player],0),20)-M$764)/M$765</f>
        <v>1.3378904761343182</v>
      </c>
      <c r="N135" s="12">
        <f>(INDEX(Proj[],MATCH(Std[[#This Row],[Player]],Proj[Player],0),21)-N$764)/N$765</f>
        <v>-0.30489069233335675</v>
      </c>
      <c r="O135" s="12">
        <f>(INDEX(Proj[],MATCH(Std[[#This Row],[Player]],Proj[Player],0),22)-O$764)/O$765</f>
        <v>-0.8229842561191606</v>
      </c>
      <c r="P135" s="12">
        <f>((INDEX(Proj[],MATCH(Std[[#This Row],[Player]],Proj[Player],0),23)-P$764)/P$765)*IF('League Inputs'!$C$23 = "Yes",-1, 1)</f>
        <v>-0.44197375062149696</v>
      </c>
      <c r="Q135" s="12">
        <f>(INDEX(Proj[],MATCH(Std[[#This Row],[Player]],Proj[Player],0),24)-Q$764)/Q$765</f>
        <v>1.5768796305880719</v>
      </c>
      <c r="R135" s="12">
        <f>(INDEX(Proj[],MATCH(Std[[#This Row],[Player]],Proj[Player],0),25)-R$764)/R$765</f>
        <v>1.1793722241862257</v>
      </c>
      <c r="S135" s="12">
        <f>(INDEX(Proj[],MATCH(Std[[#This Row],[Player]],Proj[Player],0),26)-S$764)/S$765</f>
        <v>0.87385464053917894</v>
      </c>
      <c r="T1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354.88169011789876</v>
      </c>
      <c r="U135" s="11"/>
      <c r="W135" t="str">
        <v>Tyler Seguin</v>
      </c>
      <c r="AA135" t="str">
        <v>Tyler Seguin</v>
      </c>
      <c r="AB135" t="str">
        <v>Tyler Seguin</v>
      </c>
    </row>
    <row r="136" spans="1:28" x14ac:dyDescent="0.25">
      <c r="A136" t="s">
        <v>412</v>
      </c>
      <c r="B136">
        <f>INDEX(Proj[],MATCH(Std[[#This Row],[Player]],Proj[Player],0),2)</f>
        <v>35</v>
      </c>
      <c r="C136" t="s">
        <v>74</v>
      </c>
      <c r="D136" s="75" t="s">
        <v>102</v>
      </c>
      <c r="E136" s="56"/>
      <c r="F136" t="s">
        <v>28</v>
      </c>
      <c r="G136" s="12">
        <f>(INDEX(Proj[],MATCH(Std[[#This Row],[Player]],Proj[Player],0),14)-G$764)/G$765</f>
        <v>0.92202277498500074</v>
      </c>
      <c r="H136" s="12">
        <f>(INDEX(Proj[],MATCH(Std[[#This Row],[Player]],Proj[Player],0),15)-H$764)/H$765</f>
        <v>0.67885797228913891</v>
      </c>
      <c r="I136" s="12">
        <f>(INDEX(Proj[],MATCH(Std[[#This Row],[Player]],Proj[Player],0),16)-I$764)/I$765</f>
        <v>0.84266959144721088</v>
      </c>
      <c r="J136" s="12">
        <f>(INDEX(Proj[],MATCH(Std[[#This Row],[Player]],Proj[Player],0),17)-J$764)/J$765</f>
        <v>1.0051239131988361</v>
      </c>
      <c r="K136" s="12">
        <f>(INDEX(Proj[],MATCH(Std[[#This Row],[Player]],Proj[Player],0),18)-K$764)/K$765</f>
        <v>0.93635273793609664</v>
      </c>
      <c r="L136" s="12">
        <f>(INDEX(Proj[],MATCH(Std[[#This Row],[Player]],Proj[Player],0),19)-L$764)/L$765</f>
        <v>1.0320808389675393</v>
      </c>
      <c r="M136" s="12">
        <f>(INDEX(Proj[],MATCH(Std[[#This Row],[Player]],Proj[Player],0),20)-M$764)/M$765</f>
        <v>0.31240082183847029</v>
      </c>
      <c r="N136" s="12">
        <f>(INDEX(Proj[],MATCH(Std[[#This Row],[Player]],Proj[Player],0),21)-N$764)/N$765</f>
        <v>0.17960264137535742</v>
      </c>
      <c r="O136" s="12">
        <f>(INDEX(Proj[],MATCH(Std[[#This Row],[Player]],Proj[Player],0),22)-O$764)/O$765</f>
        <v>-0.10328815260440355</v>
      </c>
      <c r="P136" s="12">
        <f>((INDEX(Proj[],MATCH(Std[[#This Row],[Player]],Proj[Player],0),23)-P$764)/P$765)*IF('League Inputs'!$C$23 = "Yes",-1, 1)</f>
        <v>-0.86083171930672309</v>
      </c>
      <c r="Q136" s="12">
        <f>(INDEX(Proj[],MATCH(Std[[#This Row],[Player]],Proj[Player],0),24)-Q$764)/Q$765</f>
        <v>2.2804951559963218</v>
      </c>
      <c r="R136" s="12">
        <f>(INDEX(Proj[],MATCH(Std[[#This Row],[Player]],Proj[Player],0),25)-R$764)/R$765</f>
        <v>2.4108728510157365</v>
      </c>
      <c r="S136" s="12">
        <f>(INDEX(Proj[],MATCH(Std[[#This Row],[Player]],Proj[Player],0),26)-S$764)/S$765</f>
        <v>0.64679292440802716</v>
      </c>
      <c r="T1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561.84020275574699</v>
      </c>
      <c r="U136" s="11"/>
      <c r="W136" t="str">
        <v>Logan Couture</v>
      </c>
      <c r="AA136" t="str">
        <v>Logan Couture</v>
      </c>
      <c r="AB136" t="str">
        <v>Logan Couture</v>
      </c>
    </row>
    <row r="137" spans="1:28" x14ac:dyDescent="0.25">
      <c r="A137" t="s">
        <v>807</v>
      </c>
      <c r="B137">
        <f>INDEX(Proj[],MATCH(Std[[#This Row],[Player]],Proj[Player],0),2)</f>
        <v>25</v>
      </c>
      <c r="C137" t="s">
        <v>74</v>
      </c>
      <c r="D137" s="75"/>
      <c r="E137" s="57"/>
      <c r="F137" t="s">
        <v>9</v>
      </c>
      <c r="G137" s="12">
        <f>(INDEX(Proj[],MATCH(Std[[#This Row],[Player]],Proj[Player],0),14)-G$764)/G$765</f>
        <v>1.8727275938048915</v>
      </c>
      <c r="H137" s="12">
        <f>(INDEX(Proj[],MATCH(Std[[#This Row],[Player]],Proj[Player],0),15)-H$764)/H$765</f>
        <v>8.0945693947519649E-3</v>
      </c>
      <c r="I137" s="12">
        <f>(INDEX(Proj[],MATCH(Std[[#This Row],[Player]],Proj[Player],0),16)-I$764)/I$765</f>
        <v>0.84266959144721088</v>
      </c>
      <c r="J137" s="12">
        <f>(INDEX(Proj[],MATCH(Std[[#This Row],[Player]],Proj[Player],0),17)-J$764)/J$765</f>
        <v>2.4769403493220348</v>
      </c>
      <c r="K137" s="12">
        <f>(INDEX(Proj[],MATCH(Std[[#This Row],[Player]],Proj[Player],0),18)-K$764)/K$765</f>
        <v>0.16592301132128306</v>
      </c>
      <c r="L137" s="12">
        <f>(INDEX(Proj[],MATCH(Std[[#This Row],[Player]],Proj[Player],0),19)-L$764)/L$765</f>
        <v>1.0320808389675393</v>
      </c>
      <c r="M137" s="12">
        <f>(INDEX(Proj[],MATCH(Std[[#This Row],[Player]],Proj[Player],0),20)-M$764)/M$765</f>
        <v>-0.71308883245737775</v>
      </c>
      <c r="N137" s="12">
        <f>(INDEX(Proj[],MATCH(Std[[#This Row],[Player]],Proj[Player],0),21)-N$764)/N$765</f>
        <v>-1.0800800262672994</v>
      </c>
      <c r="O137" s="12">
        <f>(INDEX(Proj[],MATCH(Std[[#This Row],[Player]],Proj[Player],0),22)-O$764)/O$765</f>
        <v>-0.54439221604893206</v>
      </c>
      <c r="P137" s="12">
        <f>((INDEX(Proj[],MATCH(Std[[#This Row],[Player]],Proj[Player],0),23)-P$764)/P$765)*IF('League Inputs'!$C$23 = "Yes",-1, 1)</f>
        <v>-0.53505329921821387</v>
      </c>
      <c r="Q137" s="12">
        <f>(INDEX(Proj[],MATCH(Std[[#This Row],[Player]],Proj[Player],0),24)-Q$764)/Q$765</f>
        <v>-0.17682876228552108</v>
      </c>
      <c r="R137" s="12">
        <f>(INDEX(Proj[],MATCH(Std[[#This Row],[Player]],Proj[Player],0),25)-R$764)/R$765</f>
        <v>-0.10320446550718211</v>
      </c>
      <c r="S137" s="12">
        <f>(INDEX(Proj[],MATCH(Std[[#This Row],[Player]],Proj[Player],0),26)-S$764)/S$765</f>
        <v>0.87385464053917894</v>
      </c>
      <c r="T1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229.30729303336071</v>
      </c>
      <c r="U137" s="11"/>
      <c r="W137" t="str">
        <v>Gabriel Vilardi</v>
      </c>
      <c r="AA137" t="str">
        <v>Gabriel Vilardi</v>
      </c>
      <c r="AB137" t="str">
        <v>Gabriel Vilardi</v>
      </c>
    </row>
    <row r="138" spans="1:28" x14ac:dyDescent="0.25">
      <c r="A138" t="s">
        <v>331</v>
      </c>
      <c r="B138">
        <f>INDEX(Proj[],MATCH(Std[[#This Row],[Player]],Proj[Player],0),2)</f>
        <v>29</v>
      </c>
      <c r="C138" t="s">
        <v>74</v>
      </c>
      <c r="D138" s="75" t="s">
        <v>103</v>
      </c>
      <c r="E138" s="56"/>
      <c r="F138" t="s">
        <v>2</v>
      </c>
      <c r="G138" s="12">
        <f>(INDEX(Proj[],MATCH(Std[[#This Row],[Player]],Proj[Player],0),14)-G$764)/G$765</f>
        <v>0.81638890622723514</v>
      </c>
      <c r="H138" s="12">
        <f>(INDEX(Proj[],MATCH(Std[[#This Row],[Player]],Proj[Player],0),15)-H$764)/H$765</f>
        <v>0.75338723927740403</v>
      </c>
      <c r="I138" s="12">
        <f>(INDEX(Proj[],MATCH(Std[[#This Row],[Player]],Proj[Player],0),16)-I$764)/I$765</f>
        <v>0.84266959144721088</v>
      </c>
      <c r="J138" s="12">
        <f>(INDEX(Proj[],MATCH(Std[[#This Row],[Player]],Proj[Player],0),17)-J$764)/J$765</f>
        <v>1.0051239131988361</v>
      </c>
      <c r="K138" s="12">
        <f>(INDEX(Proj[],MATCH(Std[[#This Row],[Player]],Proj[Player],0),18)-K$764)/K$765</f>
        <v>0.78226679261313392</v>
      </c>
      <c r="L138" s="12">
        <f>(INDEX(Proj[],MATCH(Std[[#This Row],[Player]],Proj[Player],0),19)-L$764)/L$765</f>
        <v>0.92334220745477169</v>
      </c>
      <c r="M138" s="12">
        <f>(INDEX(Proj[],MATCH(Std[[#This Row],[Player]],Proj[Player],0),20)-M$764)/M$765</f>
        <v>-0.71308883245737775</v>
      </c>
      <c r="N138" s="12">
        <f>(INDEX(Proj[],MATCH(Std[[#This Row],[Player]],Proj[Player],0),21)-N$764)/N$765</f>
        <v>-0.42116909242344813</v>
      </c>
      <c r="O138" s="12">
        <f>(INDEX(Proj[],MATCH(Std[[#This Row],[Player]],Proj[Player],0),22)-O$764)/O$765</f>
        <v>-0.70690423942323199</v>
      </c>
      <c r="P138" s="12">
        <f>((INDEX(Proj[],MATCH(Std[[#This Row],[Player]],Proj[Player],0),23)-P$764)/P$765)*IF('League Inputs'!$C$23 = "Yes",-1, 1)</f>
        <v>-0.95391126790344005</v>
      </c>
      <c r="Q138" s="12">
        <f>(INDEX(Proj[],MATCH(Std[[#This Row],[Player]],Proj[Player],0),24)-Q$764)/Q$765</f>
        <v>-0.49665400110745295</v>
      </c>
      <c r="R138" s="12">
        <f>(INDEX(Proj[],MATCH(Std[[#This Row],[Player]],Proj[Player],0),25)-R$764)/R$765</f>
        <v>-0.48343737793841357</v>
      </c>
      <c r="S138" s="12">
        <f>(INDEX(Proj[],MATCH(Std[[#This Row],[Player]],Proj[Player],0),26)-S$764)/S$765</f>
        <v>1.0684789686515948</v>
      </c>
      <c r="T1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182.56283122006417</v>
      </c>
      <c r="U138" s="11"/>
      <c r="W138" t="str">
        <v>Oliver Bjorkstrand</v>
      </c>
      <c r="AA138" t="str">
        <v>Oliver Bjorkstrand</v>
      </c>
      <c r="AB138" t="str">
        <v>Oliver Bjorkstrand</v>
      </c>
    </row>
    <row r="139" spans="1:28" x14ac:dyDescent="0.25">
      <c r="A139" t="s">
        <v>1007</v>
      </c>
      <c r="B139">
        <f>INDEX(Proj[],MATCH(Std[[#This Row],[Player]],Proj[Player],0),2)</f>
        <v>23</v>
      </c>
      <c r="C139" t="s">
        <v>103</v>
      </c>
      <c r="D139" s="75"/>
      <c r="E139" s="56"/>
      <c r="F139" t="s">
        <v>7</v>
      </c>
      <c r="G139" s="12">
        <f>(INDEX(Proj[],MATCH(Std[[#This Row],[Player]],Proj[Player],0),14)-G$764)/G$765</f>
        <v>1.2389243812582977</v>
      </c>
      <c r="H139" s="12">
        <f>(INDEX(Proj[],MATCH(Std[[#This Row],[Player]],Proj[Player],0),15)-H$764)/H$765</f>
        <v>0.45527017132434322</v>
      </c>
      <c r="I139" s="12">
        <f>(INDEX(Proj[],MATCH(Std[[#This Row],[Player]],Proj[Player],0),16)-I$764)/I$765</f>
        <v>0.84266959144721088</v>
      </c>
      <c r="J139" s="12">
        <f>(INDEX(Proj[],MATCH(Std[[#This Row],[Player]],Proj[Player],0),17)-J$764)/J$765</f>
        <v>0.71076062597419631</v>
      </c>
      <c r="K139" s="12">
        <f>(INDEX(Proj[],MATCH(Std[[#This Row],[Player]],Proj[Player],0),18)-K$764)/K$765</f>
        <v>0.47409490196720849</v>
      </c>
      <c r="L139" s="12">
        <f>(INDEX(Proj[],MATCH(Std[[#This Row],[Player]],Proj[Player],0),19)-L$764)/L$765</f>
        <v>0.59712631291646912</v>
      </c>
      <c r="M139" s="12">
        <f>(INDEX(Proj[],MATCH(Std[[#This Row],[Player]],Proj[Player],0),20)-M$764)/M$765</f>
        <v>-0.71308883245737775</v>
      </c>
      <c r="N139" s="12">
        <f>(INDEX(Proj[],MATCH(Std[[#This Row],[Player]],Proj[Player],0),21)-N$764)/N$765</f>
        <v>-1.0994597596156479</v>
      </c>
      <c r="O139" s="12">
        <f>(INDEX(Proj[],MATCH(Std[[#This Row],[Player]],Proj[Player],0),22)-O$764)/O$765</f>
        <v>-1.031928286171832</v>
      </c>
      <c r="P139" s="12">
        <f>((INDEX(Proj[],MATCH(Std[[#This Row],[Player]],Proj[Player],0),23)-P$764)/P$765)*IF('League Inputs'!$C$23 = "Yes",-1, 1)</f>
        <v>-0.25581465342806309</v>
      </c>
      <c r="Q139" s="12">
        <f>(INDEX(Proj[],MATCH(Std[[#This Row],[Player]],Proj[Player],0),24)-Q$764)/Q$765</f>
        <v>-0.49132358046042074</v>
      </c>
      <c r="R139" s="12">
        <f>(INDEX(Proj[],MATCH(Std[[#This Row],[Player]],Proj[Player],0),25)-R$764)/R$765</f>
        <v>-0.50613785032236769</v>
      </c>
      <c r="S139" s="12">
        <f>(INDEX(Proj[],MATCH(Std[[#This Row],[Player]],Proj[Player],0),26)-S$764)/S$765</f>
        <v>1.4090715428483225</v>
      </c>
      <c r="T1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166.45357201186798</v>
      </c>
      <c r="U139" s="11"/>
      <c r="W139" t="str">
        <v>JJ Peterka</v>
      </c>
      <c r="AA139" t="str">
        <v>JJ Peterka</v>
      </c>
      <c r="AB139" t="str">
        <v>JJ Peterka</v>
      </c>
    </row>
    <row r="140" spans="1:28" x14ac:dyDescent="0.25">
      <c r="A140" t="s">
        <v>499</v>
      </c>
      <c r="B140">
        <f>INDEX(Proj[],MATCH(Std[[#This Row],[Player]],Proj[Player],0),2)</f>
        <v>32</v>
      </c>
      <c r="C140" t="s">
        <v>74</v>
      </c>
      <c r="D140" s="75"/>
      <c r="E140" s="57"/>
      <c r="F140" t="s">
        <v>23</v>
      </c>
      <c r="G140" s="12">
        <f>(INDEX(Proj[],MATCH(Std[[#This Row],[Player]],Proj[Player],0),14)-G$764)/G$765</f>
        <v>0.92202277498500074</v>
      </c>
      <c r="H140" s="12">
        <f>(INDEX(Proj[],MATCH(Std[[#This Row],[Player]],Proj[Player],0),15)-H$764)/H$765</f>
        <v>0.67885797228913891</v>
      </c>
      <c r="I140" s="12">
        <f>(INDEX(Proj[],MATCH(Std[[#This Row],[Player]],Proj[Player],0),16)-I$764)/I$765</f>
        <v>0.84266959144721088</v>
      </c>
      <c r="J140" s="12">
        <f>(INDEX(Proj[],MATCH(Std[[#This Row],[Player]],Proj[Player],0),17)-J$764)/J$765</f>
        <v>0.71076062597419631</v>
      </c>
      <c r="K140" s="12">
        <f>(INDEX(Proj[],MATCH(Std[[#This Row],[Player]],Proj[Player],0),18)-K$764)/K$765</f>
        <v>0.16592301132128306</v>
      </c>
      <c r="L140" s="12">
        <f>(INDEX(Proj[],MATCH(Std[[#This Row],[Player]],Proj[Player],0),19)-L$764)/L$765</f>
        <v>0.37964904989093406</v>
      </c>
      <c r="M140" s="12">
        <f>(INDEX(Proj[],MATCH(Std[[#This Row],[Player]],Proj[Player],0),20)-M$764)/M$765</f>
        <v>2.3633801304301665</v>
      </c>
      <c r="N140" s="12">
        <f>(INDEX(Proj[],MATCH(Std[[#This Row],[Player]],Proj[Player],0),21)-N$764)/N$765</f>
        <v>-0.77000429269372228</v>
      </c>
      <c r="O140" s="12">
        <f>(INDEX(Proj[],MATCH(Std[[#This Row],[Player]],Proj[Player],0),22)-O$764)/O$765</f>
        <v>-0.31223218265707492</v>
      </c>
      <c r="P140" s="12">
        <f>((INDEX(Proj[],MATCH(Std[[#This Row],[Player]],Proj[Player],0),23)-P$764)/P$765)*IF('League Inputs'!$C$23 = "Yes",-1, 1)</f>
        <v>-0.90737149360508162</v>
      </c>
      <c r="Q140" s="12">
        <f>(INDEX(Proj[],MATCH(Std[[#This Row],[Player]],Proj[Player],0),24)-Q$764)/Q$765</f>
        <v>2.504372823171674</v>
      </c>
      <c r="R140" s="12">
        <f>(INDEX(Proj[],MATCH(Std[[#This Row],[Player]],Proj[Player],0),25)-R$764)/R$765</f>
        <v>2.0192897023925278</v>
      </c>
      <c r="S140" s="12">
        <f>(INDEX(Proj[],MATCH(Std[[#This Row],[Player]],Proj[Player],0),26)-S$764)/S$765</f>
        <v>0.7603237824736031</v>
      </c>
      <c r="T1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409.82880253016828</v>
      </c>
      <c r="U140" s="11"/>
      <c r="W140" t="str">
        <v>William Karlsson</v>
      </c>
      <c r="AA140" t="str">
        <v>William Karlsson</v>
      </c>
      <c r="AB140" t="str">
        <v>William Karlsson</v>
      </c>
    </row>
    <row r="141" spans="1:28" x14ac:dyDescent="0.25">
      <c r="A141" t="s">
        <v>442</v>
      </c>
      <c r="B141">
        <f>INDEX(Proj[],MATCH(Std[[#This Row],[Player]],Proj[Player],0),2)</f>
        <v>23</v>
      </c>
      <c r="C141" t="s">
        <v>102</v>
      </c>
      <c r="D141" s="75" t="s">
        <v>103</v>
      </c>
      <c r="E141" s="57"/>
      <c r="F141" t="s">
        <v>155</v>
      </c>
      <c r="G141" s="12">
        <f>(INDEX(Proj[],MATCH(Std[[#This Row],[Player]],Proj[Player],0),14)-G$764)/G$765</f>
        <v>0.81638890622723514</v>
      </c>
      <c r="H141" s="12">
        <f>(INDEX(Proj[],MATCH(Std[[#This Row],[Player]],Proj[Player],0),15)-H$764)/H$765</f>
        <v>0.75338723927740403</v>
      </c>
      <c r="I141" s="12">
        <f>(INDEX(Proj[],MATCH(Std[[#This Row],[Player]],Proj[Player],0),16)-I$764)/I$765</f>
        <v>0.84266959144721088</v>
      </c>
      <c r="J141" s="12">
        <f>(INDEX(Proj[],MATCH(Std[[#This Row],[Player]],Proj[Player],0),17)-J$764)/J$765</f>
        <v>0.71076062597419631</v>
      </c>
      <c r="K141" s="12">
        <f>(INDEX(Proj[],MATCH(Std[[#This Row],[Player]],Proj[Player],0),18)-K$764)/K$765</f>
        <v>1.1837065998320361E-2</v>
      </c>
      <c r="L141" s="12">
        <f>(INDEX(Proj[],MATCH(Std[[#This Row],[Player]],Proj[Player],0),19)-L$764)/L$765</f>
        <v>0.27091041837816654</v>
      </c>
      <c r="M141" s="12">
        <f>(INDEX(Proj[],MATCH(Std[[#This Row],[Player]],Proj[Player],0),20)-M$764)/M$765</f>
        <v>-0.71308883245737775</v>
      </c>
      <c r="N141" s="12">
        <f>(INDEX(Proj[],MATCH(Std[[#This Row],[Player]],Proj[Player],0),21)-N$764)/N$765</f>
        <v>-0.78938402604207092</v>
      </c>
      <c r="O141" s="12">
        <f>(INDEX(Proj[],MATCH(Std[[#This Row],[Player]],Proj[Player],0),22)-O$764)/O$765</f>
        <v>-0.66047223274486055</v>
      </c>
      <c r="P141" s="12">
        <f>((INDEX(Proj[],MATCH(Std[[#This Row],[Player]],Proj[Player],0),23)-P$764)/P$765)*IF('League Inputs'!$C$23 = "Yes",-1, 1)</f>
        <v>1.3730774470144831</v>
      </c>
      <c r="Q141" s="12">
        <f>(INDEX(Proj[],MATCH(Std[[#This Row],[Player]],Proj[Player],0),24)-Q$764)/Q$765</f>
        <v>0.26559615141815129</v>
      </c>
      <c r="R141" s="12">
        <f>(INDEX(Proj[],MATCH(Std[[#This Row],[Player]],Proj[Player],0),25)-R$764)/R$765</f>
        <v>0.75373836698708585</v>
      </c>
      <c r="S141" s="12">
        <f>(INDEX(Proj[],MATCH(Std[[#This Row],[Player]],Proj[Player],0),26)-S$764)/S$765</f>
        <v>1.0360415806328587</v>
      </c>
      <c r="T1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390.82150756085781</v>
      </c>
      <c r="U141" s="11"/>
      <c r="W141" t="str">
        <v>Trevor Zegras</v>
      </c>
      <c r="AA141" t="str">
        <v>Trevor Zegras</v>
      </c>
      <c r="AB141" t="str">
        <v>Trevor Zegras</v>
      </c>
    </row>
    <row r="142" spans="1:28" x14ac:dyDescent="0.25">
      <c r="A142" t="s">
        <v>435</v>
      </c>
      <c r="B142">
        <f>INDEX(Proj[],MATCH(Std[[#This Row],[Player]],Proj[Player],0),2)</f>
        <v>30</v>
      </c>
      <c r="C142" t="s">
        <v>102</v>
      </c>
      <c r="D142" s="75"/>
      <c r="E142" s="57"/>
      <c r="F142" t="s">
        <v>12</v>
      </c>
      <c r="G142" s="12">
        <f>(INDEX(Proj[],MATCH(Std[[#This Row],[Player]],Proj[Player],0),14)-G$764)/G$765</f>
        <v>0.28821956243840696</v>
      </c>
      <c r="H142" s="12">
        <f>(INDEX(Proj[],MATCH(Std[[#This Row],[Player]],Proj[Player],0),15)-H$764)/H$765</f>
        <v>1.1260335742187302</v>
      </c>
      <c r="I142" s="12">
        <f>(INDEX(Proj[],MATCH(Std[[#This Row],[Player]],Proj[Player],0),16)-I$764)/I$765</f>
        <v>0.84266959144721088</v>
      </c>
      <c r="J142" s="12">
        <f>(INDEX(Proj[],MATCH(Std[[#This Row],[Player]],Proj[Player],0),17)-J$764)/J$765</f>
        <v>0.71076062597419631</v>
      </c>
      <c r="K142" s="12">
        <f>(INDEX(Proj[],MATCH(Std[[#This Row],[Player]],Proj[Player],0),18)-K$764)/K$765</f>
        <v>0.62818084729017121</v>
      </c>
      <c r="L142" s="12">
        <f>(INDEX(Proj[],MATCH(Std[[#This Row],[Player]],Proj[Player],0),19)-L$764)/L$765</f>
        <v>0.70586494442923664</v>
      </c>
      <c r="M142" s="12">
        <f>(INDEX(Proj[],MATCH(Std[[#This Row],[Player]],Proj[Player],0),20)-M$764)/M$765</f>
        <v>1.3378904761343182</v>
      </c>
      <c r="N142" s="12">
        <f>(INDEX(Proj[],MATCH(Std[[#This Row],[Player]],Proj[Player],0),21)-N$764)/N$765</f>
        <v>-0.71186509264867659</v>
      </c>
      <c r="O142" s="12">
        <f>(INDEX(Proj[],MATCH(Std[[#This Row],[Player]],Proj[Player],0),22)-O$764)/O$765</f>
        <v>-0.38188019267463208</v>
      </c>
      <c r="P142" s="12">
        <f>((INDEX(Proj[],MATCH(Std[[#This Row],[Player]],Proj[Player],0),23)-P$764)/P$765)*IF('League Inputs'!$C$23 = "Yes",-1, 1)</f>
        <v>-0.44197375062149696</v>
      </c>
      <c r="Q142" s="12">
        <f>(INDEX(Proj[],MATCH(Std[[#This Row],[Player]],Proj[Player],0),24)-Q$764)/Q$765</f>
        <v>2.4777207199365132</v>
      </c>
      <c r="R142" s="12">
        <f>(INDEX(Proj[],MATCH(Std[[#This Row],[Player]],Proj[Player],0),25)-R$764)/R$765</f>
        <v>2.2973704890959659</v>
      </c>
      <c r="S142" s="12">
        <f>(INDEX(Proj[],MATCH(Std[[#This Row],[Player]],Proj[Player],0),26)-S$764)/S$765</f>
        <v>-0.31011002214468381</v>
      </c>
      <c r="T1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359.46793343806081</v>
      </c>
      <c r="U142" s="11"/>
      <c r="W142" t="str">
        <v>Chandler Stephenson</v>
      </c>
      <c r="AA142" t="str">
        <v>Chandler Stephenson</v>
      </c>
      <c r="AB142" t="str">
        <v>Chandler Stephenson</v>
      </c>
    </row>
    <row r="143" spans="1:28" x14ac:dyDescent="0.25">
      <c r="A143" t="s">
        <v>297</v>
      </c>
      <c r="B143">
        <f>INDEX(Proj[],MATCH(Std[[#This Row],[Player]],Proj[Player],0),2)</f>
        <v>26</v>
      </c>
      <c r="C143" t="s">
        <v>74</v>
      </c>
      <c r="D143" s="75" t="s">
        <v>102</v>
      </c>
      <c r="E143" s="57"/>
      <c r="F143" t="s">
        <v>18</v>
      </c>
      <c r="G143" s="12">
        <f>(INDEX(Proj[],MATCH(Std[[#This Row],[Player]],Proj[Player],0),14)-G$764)/G$765</f>
        <v>-0.55685138762371811</v>
      </c>
      <c r="H143" s="12">
        <f>(INDEX(Proj[],MATCH(Std[[#This Row],[Player]],Proj[Player],0),15)-H$764)/H$765</f>
        <v>1.6477384431365867</v>
      </c>
      <c r="I143" s="12">
        <f>(INDEX(Proj[],MATCH(Std[[#This Row],[Player]],Proj[Player],0),16)-I$764)/I$765</f>
        <v>0.7954270324851076</v>
      </c>
      <c r="J143" s="12">
        <f>(INDEX(Proj[],MATCH(Std[[#This Row],[Player]],Proj[Player],0),17)-J$764)/J$765</f>
        <v>-0.46669252292436259</v>
      </c>
      <c r="K143" s="12">
        <f>(INDEX(Proj[],MATCH(Std[[#This Row],[Player]],Proj[Player],0),18)-K$764)/K$765</f>
        <v>1.8608684098738728</v>
      </c>
      <c r="L143" s="12">
        <f>(INDEX(Proj[],MATCH(Std[[#This Row],[Player]],Proj[Player],0),19)-L$764)/L$765</f>
        <v>1.1408194704803067</v>
      </c>
      <c r="M143" s="12">
        <f>(INDEX(Proj[],MATCH(Std[[#This Row],[Player]],Proj[Player],0),20)-M$764)/M$765</f>
        <v>0.31240082183847029</v>
      </c>
      <c r="N143" s="12">
        <f>(INDEX(Proj[],MATCH(Std[[#This Row],[Player]],Proj[Player],0),21)-N$764)/N$765</f>
        <v>8.2703974633614577E-2</v>
      </c>
      <c r="O143" s="12">
        <f>(INDEX(Proj[],MATCH(Std[[#This Row],[Player]],Proj[Player],0),22)-O$764)/O$765</f>
        <v>2.1950961779749818</v>
      </c>
      <c r="P143" s="12">
        <f>((INDEX(Proj[],MATCH(Std[[#This Row],[Player]],Proj[Player],0),23)-P$764)/P$765)*IF('League Inputs'!$C$23 = "Yes",-1, 1)</f>
        <v>0.6284410582407477</v>
      </c>
      <c r="Q143" s="12">
        <f>(INDEX(Proj[],MATCH(Std[[#This Row],[Player]],Proj[Player],0),24)-Q$764)/Q$765</f>
        <v>-0.5766103108129359</v>
      </c>
      <c r="R143" s="12">
        <f>(INDEX(Proj[],MATCH(Std[[#This Row],[Player]],Proj[Player],0),25)-R$764)/R$765</f>
        <v>-0.62531533033812681</v>
      </c>
      <c r="S143" s="12">
        <f>(INDEX(Proj[],MATCH(Std[[#This Row],[Player]],Proj[Player],0),26)-S$764)/S$765</f>
        <v>0.19266949214572368</v>
      </c>
      <c r="T1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554.94339506604149</v>
      </c>
      <c r="U143" s="11"/>
      <c r="W143" t="str">
        <v>Mikhail Sergachev</v>
      </c>
      <c r="AA143" t="str">
        <v>Mikhail Sergachev</v>
      </c>
      <c r="AB143" t="str">
        <v>Mikhail Sergachev</v>
      </c>
    </row>
    <row r="144" spans="1:28" x14ac:dyDescent="0.25">
      <c r="A144" t="s">
        <v>391</v>
      </c>
      <c r="B144">
        <f>INDEX(Proj[],MATCH(Std[[#This Row],[Player]],Proj[Player],0),2)</f>
        <v>28</v>
      </c>
      <c r="C144" t="s">
        <v>74</v>
      </c>
      <c r="D144" s="75" t="s">
        <v>102</v>
      </c>
      <c r="E144" s="57"/>
      <c r="F144" t="s">
        <v>156</v>
      </c>
      <c r="G144" s="12">
        <f>(INDEX(Proj[],MATCH(Std[[#This Row],[Player]],Proj[Player],0),14)-G$764)/G$765</f>
        <v>-0.13431591259265557</v>
      </c>
      <c r="H144" s="12">
        <f>(INDEX(Proj[],MATCH(Std[[#This Row],[Player]],Proj[Player],0),15)-H$764)/H$765</f>
        <v>1.3496213751835258</v>
      </c>
      <c r="I144" s="12">
        <f>(INDEX(Proj[],MATCH(Std[[#This Row],[Player]],Proj[Player],0),16)-I$764)/I$765</f>
        <v>0.7954270324851076</v>
      </c>
      <c r="J144" s="12">
        <f>(INDEX(Proj[],MATCH(Std[[#This Row],[Player]],Proj[Player],0),17)-J$764)/J$765</f>
        <v>0.12203405152491688</v>
      </c>
      <c r="K144" s="12">
        <f>(INDEX(Proj[],MATCH(Std[[#This Row],[Player]],Proj[Player],0),18)-K$764)/K$765</f>
        <v>1.244524628582022</v>
      </c>
      <c r="L144" s="12">
        <f>(INDEX(Proj[],MATCH(Std[[#This Row],[Player]],Proj[Player],0),19)-L$764)/L$765</f>
        <v>0.92334220745477169</v>
      </c>
      <c r="M144" s="12">
        <f>(INDEX(Proj[],MATCH(Std[[#This Row],[Player]],Proj[Player],0),20)-M$764)/M$765</f>
        <v>2.3633801304301665</v>
      </c>
      <c r="N144" s="12">
        <f>(INDEX(Proj[],MATCH(Std[[#This Row],[Player]],Proj[Player],0),21)-N$764)/N$765</f>
        <v>-0.47930829246849382</v>
      </c>
      <c r="O144" s="12">
        <f>(INDEX(Proj[],MATCH(Std[[#This Row],[Player]],Proj[Player],0),22)-O$764)/O$765</f>
        <v>1.5218320811385961</v>
      </c>
      <c r="P144" s="12">
        <f>((INDEX(Proj[],MATCH(Std[[#This Row],[Player]],Proj[Player],0),23)-P$764)/P$765)*IF('League Inputs'!$C$23 = "Yes",-1, 1)</f>
        <v>-0.34889420202478</v>
      </c>
      <c r="Q144" s="12">
        <f>(INDEX(Proj[],MATCH(Std[[#This Row],[Player]],Proj[Player],0),24)-Q$764)/Q$765</f>
        <v>-0.5766103108129359</v>
      </c>
      <c r="R144" s="12">
        <f>(INDEX(Proj[],MATCH(Std[[#This Row],[Player]],Proj[Player],0),25)-R$764)/R$765</f>
        <v>-0.62531533033812681</v>
      </c>
      <c r="S144" s="12">
        <f>(INDEX(Proj[],MATCH(Std[[#This Row],[Player]],Proj[Player],0),26)-S$764)/S$765</f>
        <v>0.95494811058601881</v>
      </c>
      <c r="T1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400.60420889491547</v>
      </c>
      <c r="U144" s="11"/>
      <c r="W144" t="str">
        <v>Noah Hanifin</v>
      </c>
      <c r="AA144" t="str">
        <v>Noah Hanifin</v>
      </c>
      <c r="AB144" t="str">
        <v>Noah Hanifin</v>
      </c>
    </row>
    <row r="145" spans="1:28" x14ac:dyDescent="0.25">
      <c r="A145" t="s">
        <v>634</v>
      </c>
      <c r="B145">
        <f>INDEX(Proj[],MATCH(Std[[#This Row],[Player]],Proj[Player],0),2)</f>
        <v>23</v>
      </c>
      <c r="C145" t="s">
        <v>74</v>
      </c>
      <c r="D145" s="75"/>
      <c r="E145" s="57"/>
      <c r="F145" t="s">
        <v>20</v>
      </c>
      <c r="G145" s="12">
        <f>(INDEX(Proj[],MATCH(Std[[#This Row],[Player]],Proj[Player],0),14)-G$764)/G$765</f>
        <v>1.0276566437427663</v>
      </c>
      <c r="H145" s="12">
        <f>(INDEX(Proj[],MATCH(Std[[#This Row],[Player]],Proj[Player],0),15)-H$764)/H$765</f>
        <v>0.52979943831260845</v>
      </c>
      <c r="I145" s="12">
        <f>(INDEX(Proj[],MATCH(Std[[#This Row],[Player]],Proj[Player],0),16)-I$764)/I$765</f>
        <v>0.7954270324851076</v>
      </c>
      <c r="J145" s="12">
        <f>(INDEX(Proj[],MATCH(Std[[#This Row],[Player]],Proj[Player],0),17)-J$764)/J$765</f>
        <v>0.41639733874955659</v>
      </c>
      <c r="K145" s="12">
        <f>(INDEX(Proj[],MATCH(Std[[#This Row],[Player]],Proj[Player],0),18)-K$764)/K$765</f>
        <v>0.32000895664424578</v>
      </c>
      <c r="L145" s="12">
        <f>(INDEX(Proj[],MATCH(Std[[#This Row],[Player]],Proj[Player],0),19)-L$764)/L$765</f>
        <v>0.37964904989093406</v>
      </c>
      <c r="M145" s="12">
        <f>(INDEX(Proj[],MATCH(Std[[#This Row],[Player]],Proj[Player],0),20)-M$764)/M$765</f>
        <v>2.3633801304301665</v>
      </c>
      <c r="N145" s="12">
        <f>(INDEX(Proj[],MATCH(Std[[#This Row],[Player]],Proj[Player],0),21)-N$764)/N$765</f>
        <v>-0.11109335884987108</v>
      </c>
      <c r="O145" s="12">
        <f>(INDEX(Proj[],MATCH(Std[[#This Row],[Player]],Proj[Player],0),22)-O$764)/O$765</f>
        <v>-0.77655224944078916</v>
      </c>
      <c r="P145" s="12">
        <f>((INDEX(Proj[],MATCH(Std[[#This Row],[Player]],Proj[Player],0),23)-P$764)/P$765)*IF('League Inputs'!$C$23 = "Yes",-1, 1)</f>
        <v>0.39574218674895539</v>
      </c>
      <c r="Q145" s="12">
        <f>(INDEX(Proj[],MATCH(Std[[#This Row],[Player]],Proj[Player],0),24)-Q$764)/Q$765</f>
        <v>2.0779391714090982</v>
      </c>
      <c r="R145" s="12">
        <f>(INDEX(Proj[],MATCH(Std[[#This Row],[Player]],Proj[Player],0),25)-R$764)/R$765</f>
        <v>2.7116541101031286</v>
      </c>
      <c r="S145" s="12">
        <f>(INDEX(Proj[],MATCH(Std[[#This Row],[Player]],Proj[Player],0),26)-S$764)/S$765</f>
        <v>1.2306659087452745</v>
      </c>
      <c r="T1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554.92338230440851</v>
      </c>
      <c r="U145" s="11"/>
      <c r="W145" t="str">
        <v>Dylan Cozens</v>
      </c>
      <c r="AA145" t="str">
        <v>Dylan Cozens</v>
      </c>
      <c r="AB145" t="str">
        <v>Dylan Cozens</v>
      </c>
    </row>
    <row r="146" spans="1:28" x14ac:dyDescent="0.25">
      <c r="A146" t="s">
        <v>854</v>
      </c>
      <c r="B146">
        <f>INDEX(Proj[],MATCH(Std[[#This Row],[Player]],Proj[Player],0),2)</f>
        <v>23</v>
      </c>
      <c r="C146" t="s">
        <v>102</v>
      </c>
      <c r="D146" s="75" t="s">
        <v>103</v>
      </c>
      <c r="E146" s="57"/>
      <c r="F146" t="s">
        <v>12</v>
      </c>
      <c r="G146" s="12">
        <f>(INDEX(Proj[],MATCH(Std[[#This Row],[Player]],Proj[Player],0),14)-G$764)/G$765</f>
        <v>1.3445582500160633</v>
      </c>
      <c r="H146" s="12">
        <f>(INDEX(Proj[],MATCH(Std[[#This Row],[Player]],Proj[Player],0),15)-H$764)/H$765</f>
        <v>0.30621163734781282</v>
      </c>
      <c r="I146" s="12">
        <f>(INDEX(Proj[],MATCH(Std[[#This Row],[Player]],Proj[Player],0),16)-I$764)/I$765</f>
        <v>0.7954270324851076</v>
      </c>
      <c r="J146" s="12">
        <f>(INDEX(Proj[],MATCH(Std[[#This Row],[Player]],Proj[Player],0),17)-J$764)/J$765</f>
        <v>0.71076062597419631</v>
      </c>
      <c r="K146" s="12">
        <f>(INDEX(Proj[],MATCH(Std[[#This Row],[Player]],Proj[Player],0),18)-K$764)/K$765</f>
        <v>0.16592301132128306</v>
      </c>
      <c r="L146" s="12">
        <f>(INDEX(Proj[],MATCH(Std[[#This Row],[Player]],Proj[Player],0),19)-L$764)/L$765</f>
        <v>0.37964904989093406</v>
      </c>
      <c r="M146" s="12">
        <f>(INDEX(Proj[],MATCH(Std[[#This Row],[Player]],Proj[Player],0),20)-M$764)/M$765</f>
        <v>-0.71308883245737775</v>
      </c>
      <c r="N146" s="12">
        <f>(INDEX(Proj[],MATCH(Std[[#This Row],[Player]],Proj[Player],0),21)-N$764)/N$765</f>
        <v>-0.94442189282885936</v>
      </c>
      <c r="O146" s="12">
        <f>(INDEX(Proj[],MATCH(Std[[#This Row],[Player]],Proj[Player],0),22)-O$764)/O$765</f>
        <v>-0.56760821938811779</v>
      </c>
      <c r="P146" s="12">
        <f>((INDEX(Proj[],MATCH(Std[[#This Row],[Player]],Proj[Player],0),23)-P$764)/P$765)*IF('League Inputs'!$C$23 = "Yes",-1, 1)</f>
        <v>0.30266263815223848</v>
      </c>
      <c r="Q146" s="12">
        <f>(INDEX(Proj[],MATCH(Std[[#This Row],[Player]],Proj[Player],0),24)-Q$764)/Q$765</f>
        <v>1.2410631298250434</v>
      </c>
      <c r="R146" s="12">
        <f>(INDEX(Proj[],MATCH(Std[[#This Row],[Player]],Proj[Player],0),25)-R$764)/R$765</f>
        <v>1.5198793099455374</v>
      </c>
      <c r="S146" s="12">
        <f>(INDEX(Proj[],MATCH(Std[[#This Row],[Player]],Proj[Player],0),26)-S$764)/S$765</f>
        <v>0.32241904422066753</v>
      </c>
      <c r="T1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317.99606697208895</v>
      </c>
      <c r="U146" s="11"/>
      <c r="W146" t="str">
        <v>Marco Rossi</v>
      </c>
      <c r="AA146" t="str">
        <v>Marco Rossi</v>
      </c>
      <c r="AB146" t="str">
        <v>Marco Rossi</v>
      </c>
    </row>
    <row r="147" spans="1:28" x14ac:dyDescent="0.25">
      <c r="A147" t="s">
        <v>271</v>
      </c>
      <c r="B147">
        <f>INDEX(Proj[],MATCH(Std[[#This Row],[Player]],Proj[Player],0),2)</f>
        <v>39</v>
      </c>
      <c r="C147" t="s">
        <v>103</v>
      </c>
      <c r="D147" s="75"/>
      <c r="E147" s="57"/>
      <c r="F147" t="s">
        <v>29</v>
      </c>
      <c r="G147" s="12">
        <f>(INDEX(Proj[],MATCH(Std[[#This Row],[Player]],Proj[Player],0),14)-G$764)/G$765</f>
        <v>-0.23994978135042122</v>
      </c>
      <c r="H147" s="12">
        <f>(INDEX(Proj[],MATCH(Std[[#This Row],[Player]],Proj[Player],0),15)-H$764)/H$765</f>
        <v>1.3496213751835258</v>
      </c>
      <c r="I147" s="12">
        <f>(INDEX(Proj[],MATCH(Std[[#This Row],[Player]],Proj[Player],0),16)-I$764)/I$765</f>
        <v>0.74818447352300443</v>
      </c>
      <c r="J147" s="12">
        <f>(INDEX(Proj[],MATCH(Std[[#This Row],[Player]],Proj[Player],0),17)-J$764)/J$765</f>
        <v>0.41639733874955659</v>
      </c>
      <c r="K147" s="12">
        <f>(INDEX(Proj[],MATCH(Std[[#This Row],[Player]],Proj[Player],0),18)-K$764)/K$765</f>
        <v>2.0149543551968354</v>
      </c>
      <c r="L147" s="12">
        <f>(INDEX(Proj[],MATCH(Std[[#This Row],[Player]],Proj[Player],0),19)-L$764)/L$765</f>
        <v>1.5757739965313768</v>
      </c>
      <c r="M147" s="12">
        <f>(INDEX(Proj[],MATCH(Std[[#This Row],[Player]],Proj[Player],0),20)-M$764)/M$765</f>
        <v>0.31240082183847029</v>
      </c>
      <c r="N147" s="12">
        <f>(INDEX(Proj[],MATCH(Std[[#This Row],[Player]],Proj[Player],0),21)-N$764)/N$765</f>
        <v>-0.9056624261321623</v>
      </c>
      <c r="O147" s="12">
        <f>(INDEX(Proj[],MATCH(Std[[#This Row],[Player]],Proj[Player],0),22)-O$764)/O$765</f>
        <v>0.91821599431976775</v>
      </c>
      <c r="P147" s="12">
        <f>((INDEX(Proj[],MATCH(Std[[#This Row],[Player]],Proj[Player],0),23)-P$764)/P$765)*IF('League Inputs'!$C$23 = "Yes",-1, 1)</f>
        <v>-0.20927487912970463</v>
      </c>
      <c r="Q147" s="12">
        <f>(INDEX(Proj[],MATCH(Std[[#This Row],[Player]],Proj[Player],0),24)-Q$764)/Q$765</f>
        <v>-0.5766103108129359</v>
      </c>
      <c r="R147" s="12">
        <f>(INDEX(Proj[],MATCH(Std[[#This Row],[Player]],Proj[Player],0),25)-R$764)/R$765</f>
        <v>-0.62531533033812681</v>
      </c>
      <c r="S147" s="12">
        <f>(INDEX(Proj[],MATCH(Std[[#This Row],[Player]],Proj[Player],0),26)-S$764)/S$765</f>
        <v>1.1333537446890667</v>
      </c>
      <c r="T1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379.36521868215181</v>
      </c>
      <c r="U147" s="11"/>
      <c r="W147" t="str">
        <v>Brent Burns</v>
      </c>
      <c r="AA147" t="str">
        <v>Brent Burns</v>
      </c>
      <c r="AB147" t="str">
        <v>Brent Burns</v>
      </c>
    </row>
    <row r="148" spans="1:28" x14ac:dyDescent="0.25">
      <c r="A148" t="s">
        <v>373</v>
      </c>
      <c r="B148">
        <f>INDEX(Proj[],MATCH(Std[[#This Row],[Player]],Proj[Player],0),2)</f>
        <v>33</v>
      </c>
      <c r="C148" t="s">
        <v>102</v>
      </c>
      <c r="D148" s="75"/>
      <c r="E148" s="57"/>
      <c r="F148" t="s">
        <v>6</v>
      </c>
      <c r="G148" s="12">
        <f>(INDEX(Proj[],MATCH(Std[[#This Row],[Player]],Proj[Player],0),14)-G$764)/G$765</f>
        <v>1.2389243812582977</v>
      </c>
      <c r="H148" s="12">
        <f>(INDEX(Proj[],MATCH(Std[[#This Row],[Player]],Proj[Player],0),15)-H$764)/H$765</f>
        <v>0.30621163734781282</v>
      </c>
      <c r="I148" s="12">
        <f>(INDEX(Proj[],MATCH(Std[[#This Row],[Player]],Proj[Player],0),16)-I$764)/I$765</f>
        <v>0.74818447352300443</v>
      </c>
      <c r="J148" s="12">
        <f>(INDEX(Proj[],MATCH(Std[[#This Row],[Player]],Proj[Player],0),17)-J$764)/J$765</f>
        <v>0.12203405152491688</v>
      </c>
      <c r="K148" s="12">
        <f>(INDEX(Proj[],MATCH(Std[[#This Row],[Player]],Proj[Player],0),18)-K$764)/K$765</f>
        <v>-0.45042076997056774</v>
      </c>
      <c r="L148" s="12">
        <f>(INDEX(Proj[],MATCH(Std[[#This Row],[Player]],Proj[Player],0),19)-L$764)/L$765</f>
        <v>-0.27278273918567114</v>
      </c>
      <c r="M148" s="12">
        <f>(INDEX(Proj[],MATCH(Std[[#This Row],[Player]],Proj[Player],0),20)-M$764)/M$765</f>
        <v>3.3888697847260145</v>
      </c>
      <c r="N148" s="12">
        <f>(INDEX(Proj[],MATCH(Std[[#This Row],[Player]],Proj[Player],0),21)-N$764)/N$765</f>
        <v>0.76099464182581433</v>
      </c>
      <c r="O148" s="12">
        <f>(INDEX(Proj[],MATCH(Std[[#This Row],[Player]],Proj[Player],0),22)-O$764)/O$765</f>
        <v>-0.24258417263951781</v>
      </c>
      <c r="P148" s="12">
        <f>((INDEX(Proj[],MATCH(Std[[#This Row],[Player]],Proj[Player],0),23)-P$764)/P$765)*IF('League Inputs'!$C$23 = "Yes",-1, 1)</f>
        <v>1.2334581241194078</v>
      </c>
      <c r="Q148" s="12">
        <f>(INDEX(Proj[],MATCH(Std[[#This Row],[Player]],Proj[Player],0),24)-Q$764)/Q$765</f>
        <v>-0.39537600881384116</v>
      </c>
      <c r="R148" s="12">
        <f>(INDEX(Proj[],MATCH(Std[[#This Row],[Player]],Proj[Player],0),25)-R$764)/R$765</f>
        <v>-0.3926354884025971</v>
      </c>
      <c r="S148" s="12">
        <f>(INDEX(Proj[],MATCH(Std[[#This Row],[Player]],Proj[Player],0),26)-S$764)/S$765</f>
        <v>1.3117593787921145</v>
      </c>
      <c r="T1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468.87897162274214</v>
      </c>
      <c r="U148" s="11"/>
      <c r="W148" t="str">
        <v>Blake Coleman</v>
      </c>
      <c r="AA148" t="str">
        <v>Blake Coleman</v>
      </c>
      <c r="AB148" t="str">
        <v>Blake Coleman</v>
      </c>
    </row>
    <row r="149" spans="1:28" x14ac:dyDescent="0.25">
      <c r="A149" t="s">
        <v>262</v>
      </c>
      <c r="B149">
        <f>INDEX(Proj[],MATCH(Std[[#This Row],[Player]],Proj[Player],0),2)</f>
        <v>32</v>
      </c>
      <c r="C149" t="s">
        <v>74</v>
      </c>
      <c r="D149" s="75"/>
      <c r="E149" s="57"/>
      <c r="F149" t="s">
        <v>29</v>
      </c>
      <c r="G149" s="12">
        <f>(INDEX(Proj[],MATCH(Std[[#This Row],[Player]],Proj[Player],0),14)-G$764)/G$765</f>
        <v>1.1332905125005321</v>
      </c>
      <c r="H149" s="12">
        <f>(INDEX(Proj[],MATCH(Std[[#This Row],[Player]],Proj[Player],0),15)-H$764)/H$765</f>
        <v>0.38074090433607805</v>
      </c>
      <c r="I149" s="12">
        <f>(INDEX(Proj[],MATCH(Std[[#This Row],[Player]],Proj[Player],0),16)-I$764)/I$765</f>
        <v>0.74818447352300443</v>
      </c>
      <c r="J149" s="12">
        <f>(INDEX(Proj[],MATCH(Std[[#This Row],[Player]],Proj[Player],0),17)-J$764)/J$765</f>
        <v>1.2994872004234757</v>
      </c>
      <c r="K149" s="12">
        <f>(INDEX(Proj[],MATCH(Std[[#This Row],[Player]],Proj[Player],0),18)-K$764)/K$765</f>
        <v>0.47409490196720849</v>
      </c>
      <c r="L149" s="12">
        <f>(INDEX(Proj[],MATCH(Std[[#This Row],[Player]],Proj[Player],0),19)-L$764)/L$765</f>
        <v>0.81460357594200417</v>
      </c>
      <c r="M149" s="12">
        <f>(INDEX(Proj[],MATCH(Std[[#This Row],[Player]],Proj[Player],0),20)-M$764)/M$765</f>
        <v>-0.71308883245737775</v>
      </c>
      <c r="N149" s="12">
        <f>(INDEX(Proj[],MATCH(Std[[#This Row],[Player]],Proj[Player],0),21)-N$764)/N$765</f>
        <v>0.17960264137535742</v>
      </c>
      <c r="O149" s="12">
        <f>(INDEX(Proj[],MATCH(Std[[#This Row],[Player]],Proj[Player],0),22)-O$764)/O$765</f>
        <v>-0.63725622940567483</v>
      </c>
      <c r="P149" s="12">
        <f>((INDEX(Proj[],MATCH(Std[[#This Row],[Player]],Proj[Player],0),23)-P$764)/P$765)*IF('League Inputs'!$C$23 = "Yes",-1, 1)</f>
        <v>0.72152060683746466</v>
      </c>
      <c r="Q149" s="12">
        <f>(INDEX(Proj[],MATCH(Std[[#This Row],[Player]],Proj[Player],0),24)-Q$764)/Q$765</f>
        <v>0.68669938253369489</v>
      </c>
      <c r="R149" s="12">
        <f>(INDEX(Proj[],MATCH(Std[[#This Row],[Player]],Proj[Player],0),25)-R$764)/R$765</f>
        <v>0.52673364314754467</v>
      </c>
      <c r="S149" s="12">
        <f>(INDEX(Proj[],MATCH(Std[[#This Row],[Player]],Proj[Player],0),26)-S$764)/S$765</f>
        <v>0.63057423039865923</v>
      </c>
      <c r="T1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465.79600980411209</v>
      </c>
      <c r="U149" s="11"/>
      <c r="W149" t="str">
        <v>Gabriel Landeskog</v>
      </c>
      <c r="AA149" t="str">
        <v>Gabriel Landeskog</v>
      </c>
      <c r="AB149" t="str">
        <v>Gabriel Landeskog</v>
      </c>
    </row>
    <row r="150" spans="1:28" x14ac:dyDescent="0.25">
      <c r="A150" t="s">
        <v>346</v>
      </c>
      <c r="B150">
        <f>INDEX(Proj[],MATCH(Std[[#This Row],[Player]],Proj[Player],0),2)</f>
        <v>30</v>
      </c>
      <c r="C150" t="s">
        <v>102</v>
      </c>
      <c r="D150" s="75" t="s">
        <v>103</v>
      </c>
      <c r="E150" s="57"/>
      <c r="F150" t="s">
        <v>21</v>
      </c>
      <c r="G150" s="12">
        <f>(INDEX(Proj[],MATCH(Std[[#This Row],[Player]],Proj[Player],0),14)-G$764)/G$765</f>
        <v>-0.23994978135042122</v>
      </c>
      <c r="H150" s="12">
        <f>(INDEX(Proj[],MATCH(Std[[#This Row],[Player]],Proj[Player],0),15)-H$764)/H$765</f>
        <v>1.3496213751835258</v>
      </c>
      <c r="I150" s="12">
        <f>(INDEX(Proj[],MATCH(Std[[#This Row],[Player]],Proj[Player],0),16)-I$764)/I$765</f>
        <v>0.74818447352300443</v>
      </c>
      <c r="J150" s="12">
        <f>(INDEX(Proj[],MATCH(Std[[#This Row],[Player]],Proj[Player],0),17)-J$764)/J$765</f>
        <v>-0.46669252292436259</v>
      </c>
      <c r="K150" s="12">
        <f>(INDEX(Proj[],MATCH(Std[[#This Row],[Player]],Proj[Player],0),18)-K$764)/K$765</f>
        <v>1.1837065998320361E-2</v>
      </c>
      <c r="L150" s="12">
        <f>(INDEX(Proj[],MATCH(Std[[#This Row],[Player]],Proj[Player],0),19)-L$764)/L$765</f>
        <v>-0.16404410767290362</v>
      </c>
      <c r="M150" s="12">
        <f>(INDEX(Proj[],MATCH(Std[[#This Row],[Player]],Proj[Player],0),20)-M$764)/M$765</f>
        <v>0.31240082183847029</v>
      </c>
      <c r="N150" s="12">
        <f>(INDEX(Proj[],MATCH(Std[[#This Row],[Player]],Proj[Player],0),21)-N$764)/N$765</f>
        <v>-0.30489069233335675</v>
      </c>
      <c r="O150" s="12">
        <f>(INDEX(Proj[],MATCH(Std[[#This Row],[Player]],Proj[Player],0),22)-O$764)/O$765</f>
        <v>1.3593200577642963</v>
      </c>
      <c r="P150" s="12">
        <f>((INDEX(Proj[],MATCH(Std[[#This Row],[Player]],Proj[Player],0),23)-P$764)/P$765)*IF('League Inputs'!$C$23 = "Yes",-1, 1)</f>
        <v>-0.5815930735165723</v>
      </c>
      <c r="Q150" s="12">
        <f>(INDEX(Proj[],MATCH(Std[[#This Row],[Player]],Proj[Player],0),24)-Q$764)/Q$765</f>
        <v>-0.5766103108129359</v>
      </c>
      <c r="R150" s="12">
        <f>(INDEX(Proj[],MATCH(Std[[#This Row],[Player]],Proj[Player],0),25)-R$764)/R$765</f>
        <v>-0.62531533033812681</v>
      </c>
      <c r="S150" s="12">
        <f>(INDEX(Proj[],MATCH(Std[[#This Row],[Player]],Proj[Player],0),26)-S$764)/S$765</f>
        <v>0.56569945436118729</v>
      </c>
      <c r="T1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215.57373951458243</v>
      </c>
      <c r="U150" s="11"/>
      <c r="W150" t="str">
        <v>Devon Toews</v>
      </c>
      <c r="AA150" t="str">
        <v>Devon Toews</v>
      </c>
      <c r="AB150" t="str">
        <v>Devon Toews</v>
      </c>
    </row>
    <row r="151" spans="1:28" x14ac:dyDescent="0.25">
      <c r="A151" t="s">
        <v>504</v>
      </c>
      <c r="B151">
        <f>INDEX(Proj[],MATCH(Std[[#This Row],[Player]],Proj[Player],0),2)</f>
        <v>33</v>
      </c>
      <c r="C151" t="s">
        <v>74</v>
      </c>
      <c r="D151" s="75"/>
      <c r="E151" s="57"/>
      <c r="F151" t="s">
        <v>29</v>
      </c>
      <c r="G151" s="12">
        <f>(INDEX(Proj[],MATCH(Std[[#This Row],[Player]],Proj[Player],0),14)-G$764)/G$765</f>
        <v>1.4501921187738289</v>
      </c>
      <c r="H151" s="12">
        <f>(INDEX(Proj[],MATCH(Std[[#This Row],[Player]],Proj[Player],0),15)-H$764)/H$765</f>
        <v>0.15715310337128238</v>
      </c>
      <c r="I151" s="12">
        <f>(INDEX(Proj[],MATCH(Std[[#This Row],[Player]],Proj[Player],0),16)-I$764)/I$765</f>
        <v>0.74818447352300443</v>
      </c>
      <c r="J151" s="12">
        <f>(INDEX(Proj[],MATCH(Std[[#This Row],[Player]],Proj[Player],0),17)-J$764)/J$765</f>
        <v>1.5938504876481154</v>
      </c>
      <c r="K151" s="12">
        <f>(INDEX(Proj[],MATCH(Std[[#This Row],[Player]],Proj[Player],0),18)-K$764)/K$765</f>
        <v>0.16592301132128306</v>
      </c>
      <c r="L151" s="12">
        <f>(INDEX(Proj[],MATCH(Std[[#This Row],[Player]],Proj[Player],0),19)-L$764)/L$765</f>
        <v>0.70586494442923664</v>
      </c>
      <c r="M151" s="12">
        <f>(INDEX(Proj[],MATCH(Std[[#This Row],[Player]],Proj[Player],0),20)-M$764)/M$765</f>
        <v>-0.71308883245737775</v>
      </c>
      <c r="N151" s="12">
        <f>(INDEX(Proj[],MATCH(Std[[#This Row],[Player]],Proj[Player],0),21)-N$764)/N$765</f>
        <v>-3.3574425456476813E-2</v>
      </c>
      <c r="O151" s="12">
        <f>(INDEX(Proj[],MATCH(Std[[#This Row],[Player]],Proj[Player],0),22)-O$764)/O$765</f>
        <v>-0.68368823608404627</v>
      </c>
      <c r="P151" s="12">
        <f>((INDEX(Proj[],MATCH(Std[[#This Row],[Player]],Proj[Player],0),23)-P$764)/P$765)*IF('League Inputs'!$C$23 = "Yes",-1, 1)</f>
        <v>0.30266263815223848</v>
      </c>
      <c r="Q151" s="12">
        <f>(INDEX(Proj[],MATCH(Std[[#This Row],[Player]],Proj[Player],0),24)-Q$764)/Q$765</f>
        <v>-0.47000189787229196</v>
      </c>
      <c r="R151" s="12">
        <f>(INDEX(Proj[],MATCH(Std[[#This Row],[Player]],Proj[Player],0),25)-R$764)/R$765</f>
        <v>-0.44938666936248239</v>
      </c>
      <c r="S151" s="12">
        <f>(INDEX(Proj[],MATCH(Std[[#This Row],[Player]],Proj[Player],0),26)-S$764)/S$765</f>
        <v>1.1495724386984347</v>
      </c>
      <c r="T1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332.636515753521</v>
      </c>
      <c r="U151" s="11"/>
      <c r="W151" t="str">
        <v>Kyle Palmieri</v>
      </c>
      <c r="AA151" t="str">
        <v>Kyle Palmieri</v>
      </c>
      <c r="AB151" t="str">
        <v>Kyle Palmieri</v>
      </c>
    </row>
    <row r="152" spans="1:28" x14ac:dyDescent="0.25">
      <c r="A152" t="s">
        <v>547</v>
      </c>
      <c r="B152">
        <f>INDEX(Proj[],MATCH(Std[[#This Row],[Player]],Proj[Player],0),2)</f>
        <v>29</v>
      </c>
      <c r="C152" s="59"/>
      <c r="D152" s="75"/>
      <c r="E152" s="57"/>
      <c r="G152" s="12">
        <f>(INDEX(Proj[],MATCH(Std[[#This Row],[Player]],Proj[Player],0),14)-G$764)/G$765</f>
        <v>1.2389243812582977</v>
      </c>
      <c r="H152" s="12">
        <f>(INDEX(Proj[],MATCH(Std[[#This Row],[Player]],Proj[Player],0),15)-H$764)/H$765</f>
        <v>0.30621163734781282</v>
      </c>
      <c r="I152" s="12">
        <f>(INDEX(Proj[],MATCH(Std[[#This Row],[Player]],Proj[Player],0),16)-I$764)/I$765</f>
        <v>0.74818447352300443</v>
      </c>
      <c r="J152" s="12">
        <f>(INDEX(Proj[],MATCH(Std[[#This Row],[Player]],Proj[Player],0),17)-J$764)/J$765</f>
        <v>0.12203405152491688</v>
      </c>
      <c r="K152" s="12">
        <f>(INDEX(Proj[],MATCH(Std[[#This Row],[Player]],Proj[Player],0),18)-K$764)/K$765</f>
        <v>-0.29633482464760502</v>
      </c>
      <c r="L152" s="12">
        <f>(INDEX(Proj[],MATCH(Std[[#This Row],[Player]],Proj[Player],0),19)-L$764)/L$765</f>
        <v>-0.16404410767290362</v>
      </c>
      <c r="M152" s="12">
        <f>(INDEX(Proj[],MATCH(Std[[#This Row],[Player]],Proj[Player],0),20)-M$764)/M$765</f>
        <v>2.3633801304301665</v>
      </c>
      <c r="N152" s="12">
        <f>(INDEX(Proj[],MATCH(Std[[#This Row],[Player]],Proj[Player],0),21)-N$764)/N$765</f>
        <v>5.1850412402203189E-3</v>
      </c>
      <c r="O152" s="12">
        <f>(INDEX(Proj[],MATCH(Std[[#This Row],[Player]],Proj[Player],0),22)-O$764)/O$765</f>
        <v>-0.33544818599626064</v>
      </c>
      <c r="P152" s="12">
        <f>((INDEX(Proj[],MATCH(Std[[#This Row],[Player]],Proj[Player],0),23)-P$764)/P$765)*IF('League Inputs'!$C$23 = "Yes",-1, 1)</f>
        <v>-0.5815930735165723</v>
      </c>
      <c r="Q152" s="12">
        <f>(INDEX(Proj[],MATCH(Std[[#This Row],[Player]],Proj[Player],0),24)-Q$764)/Q$765</f>
        <v>-0.45401063593119534</v>
      </c>
      <c r="R152" s="12">
        <f>(INDEX(Proj[],MATCH(Std[[#This Row],[Player]],Proj[Player],0),25)-R$764)/R$765</f>
        <v>-0.38696037030660857</v>
      </c>
      <c r="S152" s="12">
        <f>(INDEX(Proj[],MATCH(Std[[#This Row],[Player]],Proj[Player],0),26)-S$764)/S$765</f>
        <v>1.7821015050637861</v>
      </c>
      <c r="T152" s="9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254.55110353161891</v>
      </c>
      <c r="U152" s="91"/>
      <c r="W152" t="str">
        <v>Trevor Moore</v>
      </c>
      <c r="AA152" t="str">
        <v>Trevor Moore</v>
      </c>
      <c r="AB152" t="str">
        <v>Trevor Moore</v>
      </c>
    </row>
    <row r="153" spans="1:28" x14ac:dyDescent="0.25">
      <c r="A153" t="s">
        <v>482</v>
      </c>
      <c r="B153">
        <f>INDEX(Proj[],MATCH(Std[[#This Row],[Player]],Proj[Player],0),2)</f>
        <v>31</v>
      </c>
      <c r="C153" t="s">
        <v>74</v>
      </c>
      <c r="D153" s="75" t="s">
        <v>102</v>
      </c>
      <c r="E153" s="57" t="s">
        <v>103</v>
      </c>
      <c r="F153" t="s">
        <v>155</v>
      </c>
      <c r="G153" s="12">
        <f>(INDEX(Proj[],MATCH(Std[[#This Row],[Player]],Proj[Player],0),14)-G$764)/G$765</f>
        <v>0.71075503746946955</v>
      </c>
      <c r="H153" s="12">
        <f>(INDEX(Proj[],MATCH(Std[[#This Row],[Player]],Proj[Player],0),15)-H$764)/H$765</f>
        <v>0.67885797228913891</v>
      </c>
      <c r="I153" s="12">
        <f>(INDEX(Proj[],MATCH(Std[[#This Row],[Player]],Proj[Player],0),16)-I$764)/I$765</f>
        <v>0.74818447352300443</v>
      </c>
      <c r="J153" s="12">
        <f>(INDEX(Proj[],MATCH(Std[[#This Row],[Player]],Proj[Player],0),17)-J$764)/J$765</f>
        <v>-0.17232923569972286</v>
      </c>
      <c r="K153" s="12">
        <f>(INDEX(Proj[],MATCH(Std[[#This Row],[Player]],Proj[Player],0),18)-K$764)/K$765</f>
        <v>0.16592301132128306</v>
      </c>
      <c r="L153" s="12">
        <f>(INDEX(Proj[],MATCH(Std[[#This Row],[Player]],Proj[Player],0),19)-L$764)/L$765</f>
        <v>5.3433155352631455E-2</v>
      </c>
      <c r="M153" s="12">
        <f>(INDEX(Proj[],MATCH(Std[[#This Row],[Player]],Proj[Player],0),20)-M$764)/M$765</f>
        <v>2.3633801304301665</v>
      </c>
      <c r="N153" s="12">
        <f>(INDEX(Proj[],MATCH(Std[[#This Row],[Player]],Proj[Player],0),21)-N$764)/N$765</f>
        <v>-0.22737175893996248</v>
      </c>
      <c r="O153" s="12">
        <f>(INDEX(Proj[],MATCH(Std[[#This Row],[Player]],Proj[Player],0),22)-O$764)/O$765</f>
        <v>3.6007867430710716E-2</v>
      </c>
      <c r="P153" s="12">
        <f>((INDEX(Proj[],MATCH(Std[[#This Row],[Player]],Proj[Player],0),23)-P$764)/P$765)*IF('League Inputs'!$C$23 = "Yes",-1, 1)</f>
        <v>-2.3115781936270764E-2</v>
      </c>
      <c r="Q153" s="12">
        <f>(INDEX(Proj[],MATCH(Std[[#This Row],[Player]],Proj[Player],0),24)-Q$764)/Q$765</f>
        <v>2.6962679664648332</v>
      </c>
      <c r="R153" s="12">
        <f>(INDEX(Proj[],MATCH(Std[[#This Row],[Player]],Proj[Player],0),25)-R$764)/R$765</f>
        <v>2.5924766300873694</v>
      </c>
      <c r="S153" s="12">
        <f>(INDEX(Proj[],MATCH(Std[[#This Row],[Player]],Proj[Player],0),26)-S$764)/S$765</f>
        <v>0.64679292440802716</v>
      </c>
      <c r="T1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531.98118560615819</v>
      </c>
      <c r="U153" s="11"/>
      <c r="W153" t="str">
        <v>Phillip Danault</v>
      </c>
      <c r="AA153" t="str">
        <v>Phillip Danault</v>
      </c>
      <c r="AB153" t="str">
        <v>Phillip Danault</v>
      </c>
    </row>
    <row r="154" spans="1:28" x14ac:dyDescent="0.25">
      <c r="A154" t="s">
        <v>1098</v>
      </c>
      <c r="B154">
        <f>INDEX(Proj[],MATCH(Std[[#This Row],[Player]],Proj[Player],0),2)</f>
        <v>20</v>
      </c>
      <c r="C154" t="s">
        <v>102</v>
      </c>
      <c r="D154" s="75"/>
      <c r="E154" s="56"/>
      <c r="F154" t="s">
        <v>28</v>
      </c>
      <c r="G154" s="12">
        <f>(INDEX(Proj[],MATCH(Std[[#This Row],[Player]],Proj[Player],0),14)-G$764)/G$765</f>
        <v>1.1332905125005321</v>
      </c>
      <c r="H154" s="12">
        <f>(INDEX(Proj[],MATCH(Std[[#This Row],[Player]],Proj[Player],0),15)-H$764)/H$765</f>
        <v>0.38074090433607805</v>
      </c>
      <c r="I154" s="12">
        <f>(INDEX(Proj[],MATCH(Std[[#This Row],[Player]],Proj[Player],0),16)-I$764)/I$765</f>
        <v>0.74818447352300443</v>
      </c>
      <c r="J154" s="12">
        <f>(INDEX(Proj[],MATCH(Std[[#This Row],[Player]],Proj[Player],0),17)-J$764)/J$765</f>
        <v>0.71076062597419631</v>
      </c>
      <c r="K154" s="12">
        <f>(INDEX(Proj[],MATCH(Std[[#This Row],[Player]],Proj[Player],0),18)-K$764)/K$765</f>
        <v>0.32000895664424578</v>
      </c>
      <c r="L154" s="12">
        <f>(INDEX(Proj[],MATCH(Std[[#This Row],[Player]],Proj[Player],0),19)-L$764)/L$765</f>
        <v>0.48838768140370159</v>
      </c>
      <c r="M154" s="12">
        <f>(INDEX(Proj[],MATCH(Std[[#This Row],[Player]],Proj[Player],0),20)-M$764)/M$765</f>
        <v>-0.71308883245737775</v>
      </c>
      <c r="N154" s="12">
        <f>(INDEX(Proj[],MATCH(Std[[#This Row],[Player]],Proj[Player],0),21)-N$764)/N$765</f>
        <v>2.4564774588568886E-2</v>
      </c>
      <c r="O154" s="12">
        <f>(INDEX(Proj[],MATCH(Std[[#This Row],[Player]],Proj[Player],0),22)-O$764)/O$765</f>
        <v>-0.49796020937056062</v>
      </c>
      <c r="P154" s="12">
        <f>((INDEX(Proj[],MATCH(Std[[#This Row],[Player]],Proj[Player],0),23)-P$764)/P$765)*IF('League Inputs'!$C$23 = "Yes",-1, 1)</f>
        <v>-0.1161953305329877</v>
      </c>
      <c r="Q154" s="12">
        <f>(INDEX(Proj[],MATCH(Std[[#This Row],[Player]],Proj[Player],0),24)-Q$764)/Q$765</f>
        <v>0.9212378910031116</v>
      </c>
      <c r="R154" s="12">
        <f>(INDEX(Proj[],MATCH(Std[[#This Row],[Player]],Proj[Player],0),25)-R$764)/R$765</f>
        <v>1.3496257670658816</v>
      </c>
      <c r="S154" s="12">
        <f>(INDEX(Proj[],MATCH(Std[[#This Row],[Player]],Proj[Player],0),26)-S$764)/S$765</f>
        <v>1.3441967668108505</v>
      </c>
      <c r="T1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442.64474642622991</v>
      </c>
      <c r="U154" s="11"/>
      <c r="W154" t="str">
        <v>Adam Fantilli</v>
      </c>
      <c r="AA154" t="str">
        <v>Adam Fantilli</v>
      </c>
      <c r="AB154" t="str">
        <v>Adam Fantilli</v>
      </c>
    </row>
    <row r="155" spans="1:28" x14ac:dyDescent="0.25">
      <c r="A155" t="s">
        <v>615</v>
      </c>
      <c r="B155">
        <f>INDEX(Proj[],MATCH(Std[[#This Row],[Player]],Proj[Player],0),2)</f>
        <v>30</v>
      </c>
      <c r="C155" t="s">
        <v>102</v>
      </c>
      <c r="D155" s="75" t="s">
        <v>103</v>
      </c>
      <c r="E155" s="56"/>
      <c r="F155" t="s">
        <v>6</v>
      </c>
      <c r="G155" s="12">
        <f>(INDEX(Proj[],MATCH(Std[[#This Row],[Player]],Proj[Player],0),14)-G$764)/G$765</f>
        <v>0.81638890622723514</v>
      </c>
      <c r="H155" s="12">
        <f>(INDEX(Proj[],MATCH(Std[[#This Row],[Player]],Proj[Player],0),15)-H$764)/H$765</f>
        <v>0.60432870530087368</v>
      </c>
      <c r="I155" s="12">
        <f>(INDEX(Proj[],MATCH(Std[[#This Row],[Player]],Proj[Player],0),16)-I$764)/I$765</f>
        <v>0.74818447352300443</v>
      </c>
      <c r="J155" s="12">
        <f>(INDEX(Proj[],MATCH(Std[[#This Row],[Player]],Proj[Player],0),17)-J$764)/J$765</f>
        <v>1.2994872004234757</v>
      </c>
      <c r="K155" s="12">
        <f>(INDEX(Proj[],MATCH(Std[[#This Row],[Player]],Proj[Player],0),18)-K$764)/K$765</f>
        <v>0.78226679261313392</v>
      </c>
      <c r="L155" s="12">
        <f>(INDEX(Proj[],MATCH(Std[[#This Row],[Player]],Proj[Player],0),19)-L$764)/L$765</f>
        <v>1.0320808389675393</v>
      </c>
      <c r="M155" s="12">
        <f>(INDEX(Proj[],MATCH(Std[[#This Row],[Player]],Proj[Player],0),20)-M$764)/M$765</f>
        <v>0.31240082183847029</v>
      </c>
      <c r="N155" s="12">
        <f>(INDEX(Proj[],MATCH(Std[[#This Row],[Player]],Proj[Player],0),21)-N$764)/N$765</f>
        <v>-0.98318135952555652</v>
      </c>
      <c r="O155" s="12">
        <f>(INDEX(Proj[],MATCH(Std[[#This Row],[Player]],Proj[Player],0),22)-O$764)/O$765</f>
        <v>-0.56760821938811779</v>
      </c>
      <c r="P155" s="12">
        <f>((INDEX(Proj[],MATCH(Std[[#This Row],[Player]],Proj[Player],0),23)-P$764)/P$765)*IF('League Inputs'!$C$23 = "Yes",-1, 1)</f>
        <v>-0.67467262211328927</v>
      </c>
      <c r="Q155" s="12">
        <f>(INDEX(Proj[],MATCH(Std[[#This Row],[Player]],Proj[Player],0),24)-Q$764)/Q$765</f>
        <v>2.6856071251707689</v>
      </c>
      <c r="R155" s="12">
        <f>(INDEX(Proj[],MATCH(Std[[#This Row],[Player]],Proj[Player],0),25)-R$764)/R$765</f>
        <v>2.2689948986160231</v>
      </c>
      <c r="S155" s="12">
        <f>(INDEX(Proj[],MATCH(Std[[#This Row],[Player]],Proj[Player],0),26)-S$764)/S$765</f>
        <v>0.61435553638929119</v>
      </c>
      <c r="T1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427.54833845517493</v>
      </c>
      <c r="U155" s="11"/>
      <c r="W155" t="str">
        <v>Sean Monahan</v>
      </c>
      <c r="AA155" t="str">
        <v>Sean Monahan</v>
      </c>
      <c r="AB155" t="str">
        <v>Sean Monahan</v>
      </c>
    </row>
    <row r="156" spans="1:28" x14ac:dyDescent="0.25">
      <c r="A156" t="s">
        <v>1106</v>
      </c>
      <c r="B156">
        <f>INDEX(Proj[],MATCH(Std[[#This Row],[Player]],Proj[Player],0),2)</f>
        <v>20</v>
      </c>
      <c r="C156" t="s">
        <v>74</v>
      </c>
      <c r="D156" s="75" t="s">
        <v>102</v>
      </c>
      <c r="E156" s="57" t="s">
        <v>103</v>
      </c>
      <c r="F156" t="s">
        <v>17</v>
      </c>
      <c r="G156" s="12">
        <f>(INDEX(Proj[],MATCH(Std[[#This Row],[Player]],Proj[Player],0),14)-G$764)/G$765</f>
        <v>1.0276566437427663</v>
      </c>
      <c r="H156" s="12">
        <f>(INDEX(Proj[],MATCH(Std[[#This Row],[Player]],Proj[Player],0),15)-H$764)/H$765</f>
        <v>0.45527017132434322</v>
      </c>
      <c r="I156" s="12">
        <f>(INDEX(Proj[],MATCH(Std[[#This Row],[Player]],Proj[Player],0),16)-I$764)/I$765</f>
        <v>0.74818447352300443</v>
      </c>
      <c r="J156" s="12">
        <f>(INDEX(Proj[],MATCH(Std[[#This Row],[Player]],Proj[Player],0),17)-J$764)/J$765</f>
        <v>0.41639733874955659</v>
      </c>
      <c r="K156" s="12">
        <f>(INDEX(Proj[],MATCH(Std[[#This Row],[Player]],Proj[Player],0),18)-K$764)/K$765</f>
        <v>0.47409490196720849</v>
      </c>
      <c r="L156" s="12">
        <f>(INDEX(Proj[],MATCH(Std[[#This Row],[Player]],Proj[Player],0),19)-L$764)/L$765</f>
        <v>0.48838768140370159</v>
      </c>
      <c r="M156" s="12">
        <f>(INDEX(Proj[],MATCH(Std[[#This Row],[Player]],Proj[Player],0),20)-M$764)/M$765</f>
        <v>0.31240082183847029</v>
      </c>
      <c r="N156" s="12">
        <f>(INDEX(Proj[],MATCH(Std[[#This Row],[Player]],Proj[Player],0),21)-N$764)/N$765</f>
        <v>-0.57620695921023668</v>
      </c>
      <c r="O156" s="12">
        <f>(INDEX(Proj[],MATCH(Std[[#This Row],[Player]],Proj[Player],0),22)-O$764)/O$765</f>
        <v>-0.70690423942323199</v>
      </c>
      <c r="P156" s="12">
        <f>((INDEX(Proj[],MATCH(Std[[#This Row],[Player]],Proj[Player],0),23)-P$764)/P$765)*IF('League Inputs'!$C$23 = "Yes",-1, 1)</f>
        <v>-0.48851352491985539</v>
      </c>
      <c r="Q156" s="12">
        <f>(INDEX(Proj[],MATCH(Std[[#This Row],[Player]],Proj[Player],0),24)-Q$764)/Q$765</f>
        <v>1.0225158832967234</v>
      </c>
      <c r="R156" s="12">
        <f>(INDEX(Proj[],MATCH(Std[[#This Row],[Player]],Proj[Player],0),25)-R$764)/R$765</f>
        <v>1.8093103328409523</v>
      </c>
      <c r="S156" s="12">
        <f>(INDEX(Proj[],MATCH(Std[[#This Row],[Player]],Proj[Player],0),26)-S$764)/S$765</f>
        <v>0.72788639445486714</v>
      </c>
      <c r="T1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269.82765241920828</v>
      </c>
      <c r="U156" s="11"/>
      <c r="W156" t="str">
        <v>Logan Cooley</v>
      </c>
      <c r="AA156" t="str">
        <v>Logan Cooley</v>
      </c>
      <c r="AB156" t="str">
        <v>Logan Cooley</v>
      </c>
    </row>
    <row r="157" spans="1:28" x14ac:dyDescent="0.25">
      <c r="A157" t="s">
        <v>817</v>
      </c>
      <c r="B157">
        <f>INDEX(Proj[],MATCH(Std[[#This Row],[Player]],Proj[Player],0),2)</f>
        <v>24</v>
      </c>
      <c r="C157" t="s">
        <v>102</v>
      </c>
      <c r="D157" s="75" t="s">
        <v>103</v>
      </c>
      <c r="E157" s="56"/>
      <c r="F157" t="s">
        <v>10</v>
      </c>
      <c r="G157" s="12">
        <f>(INDEX(Proj[],MATCH(Std[[#This Row],[Player]],Proj[Player],0),14)-G$764)/G$765</f>
        <v>0.18258569368064134</v>
      </c>
      <c r="H157" s="12">
        <f>(INDEX(Proj[],MATCH(Std[[#This Row],[Player]],Proj[Player],0),15)-H$764)/H$765</f>
        <v>1.0515043072304648</v>
      </c>
      <c r="I157" s="12">
        <f>(INDEX(Proj[],MATCH(Std[[#This Row],[Player]],Proj[Player],0),16)-I$764)/I$765</f>
        <v>0.74818447352300443</v>
      </c>
      <c r="J157" s="12">
        <f>(INDEX(Proj[],MATCH(Std[[#This Row],[Player]],Proj[Player],0),17)-J$764)/J$765</f>
        <v>-0.17232923569972286</v>
      </c>
      <c r="K157" s="12">
        <f>(INDEX(Proj[],MATCH(Std[[#This Row],[Player]],Proj[Player],0),18)-K$764)/K$765</f>
        <v>0.62818084729017121</v>
      </c>
      <c r="L157" s="12">
        <f>(INDEX(Proj[],MATCH(Std[[#This Row],[Player]],Proj[Player],0),19)-L$764)/L$765</f>
        <v>0.37964904989093406</v>
      </c>
      <c r="M157" s="12">
        <f>(INDEX(Proj[],MATCH(Std[[#This Row],[Player]],Proj[Player],0),20)-M$764)/M$765</f>
        <v>-0.71308883245737775</v>
      </c>
      <c r="N157" s="12">
        <f>(INDEX(Proj[],MATCH(Std[[#This Row],[Player]],Proj[Player],0),21)-N$764)/N$765</f>
        <v>-1.0800800262672994</v>
      </c>
      <c r="O157" s="12">
        <f>(INDEX(Proj[],MATCH(Std[[#This Row],[Player]],Proj[Player],0),22)-O$764)/O$765</f>
        <v>-0.79976825277997488</v>
      </c>
      <c r="P157" s="12">
        <f>((INDEX(Proj[],MATCH(Std[[#This Row],[Player]],Proj[Player],0),23)-P$764)/P$765)*IF('League Inputs'!$C$23 = "Yes",-1, 1)</f>
        <v>-0.86083171930672309</v>
      </c>
      <c r="Q157" s="12">
        <f>(INDEX(Proj[],MATCH(Std[[#This Row],[Player]],Proj[Player],0),24)-Q$764)/Q$765</f>
        <v>-0.49665400110745295</v>
      </c>
      <c r="R157" s="12">
        <f>(INDEX(Proj[],MATCH(Std[[#This Row],[Player]],Proj[Player],0),25)-R$764)/R$765</f>
        <v>-0.52883832270632181</v>
      </c>
      <c r="S157" s="12">
        <f>(INDEX(Proj[],MATCH(Std[[#This Row],[Player]],Proj[Player],0),26)-S$764)/S$765</f>
        <v>-3.4392223985428086E-2</v>
      </c>
      <c r="T1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-90.98026991218336</v>
      </c>
      <c r="U157" s="11"/>
      <c r="W157" t="str">
        <v>Matias Maccelli</v>
      </c>
      <c r="AA157" t="str">
        <v>Matias Maccelli</v>
      </c>
      <c r="AB157" t="str">
        <v>Matias Maccelli</v>
      </c>
    </row>
    <row r="158" spans="1:28" x14ac:dyDescent="0.25">
      <c r="A158" t="s">
        <v>409</v>
      </c>
      <c r="B158">
        <f>INDEX(Proj[],MATCH(Std[[#This Row],[Player]],Proj[Player],0),2)</f>
        <v>31</v>
      </c>
      <c r="C158" t="s">
        <v>74</v>
      </c>
      <c r="D158" s="75"/>
      <c r="E158" s="56"/>
      <c r="F158" t="s">
        <v>32</v>
      </c>
      <c r="G158" s="12">
        <f>(INDEX(Proj[],MATCH(Std[[#This Row],[Player]],Proj[Player],0),14)-G$764)/G$765</f>
        <v>1.6614598562893603</v>
      </c>
      <c r="H158" s="12">
        <f>(INDEX(Proj[],MATCH(Std[[#This Row],[Player]],Proj[Player],0),15)-H$764)/H$765</f>
        <v>-6.6434697593513253E-2</v>
      </c>
      <c r="I158" s="12">
        <f>(INDEX(Proj[],MATCH(Std[[#This Row],[Player]],Proj[Player],0),16)-I$764)/I$765</f>
        <v>0.70094191456090116</v>
      </c>
      <c r="J158" s="12">
        <f>(INDEX(Proj[],MATCH(Std[[#This Row],[Player]],Proj[Player],0),17)-J$764)/J$765</f>
        <v>1.2994872004234757</v>
      </c>
      <c r="K158" s="12">
        <f>(INDEX(Proj[],MATCH(Std[[#This Row],[Player]],Proj[Player],0),18)-K$764)/K$765</f>
        <v>-0.29633482464760502</v>
      </c>
      <c r="L158" s="12">
        <f>(INDEX(Proj[],MATCH(Std[[#This Row],[Player]],Proj[Player],0),19)-L$764)/L$765</f>
        <v>0.27091041837816654</v>
      </c>
      <c r="M158" s="12">
        <f>(INDEX(Proj[],MATCH(Std[[#This Row],[Player]],Proj[Player],0),20)-M$764)/M$765</f>
        <v>0.31240082183847029</v>
      </c>
      <c r="N158" s="12">
        <f>(INDEX(Proj[],MATCH(Std[[#This Row],[Player]],Proj[Player],0),21)-N$764)/N$765</f>
        <v>0.91603250861260288</v>
      </c>
      <c r="O158" s="12">
        <f>(INDEX(Proj[],MATCH(Std[[#This Row],[Player]],Proj[Player],0),22)-O$764)/O$765</f>
        <v>0.59319194757116778</v>
      </c>
      <c r="P158" s="12">
        <f>((INDEX(Proj[],MATCH(Std[[#This Row],[Player]],Proj[Player],0),23)-P$764)/P$765)*IF('League Inputs'!$C$23 = "Yes",-1, 1)</f>
        <v>0.25612286385388</v>
      </c>
      <c r="Q158" s="12">
        <f>(INDEX(Proj[],MATCH(Std[[#This Row],[Player]],Proj[Player],0),24)-Q$764)/Q$765</f>
        <v>3.559796111284049</v>
      </c>
      <c r="R158" s="12">
        <f>(INDEX(Proj[],MATCH(Std[[#This Row],[Player]],Proj[Player],0),25)-R$764)/R$765</f>
        <v>3.1202626130143027</v>
      </c>
      <c r="S158" s="12">
        <f>(INDEX(Proj[],MATCH(Std[[#This Row],[Player]],Proj[Player],0),26)-S$764)/S$765</f>
        <v>1.2793219907733786</v>
      </c>
      <c r="T1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917.1342913729992</v>
      </c>
      <c r="U158" s="11"/>
      <c r="W158" t="str">
        <v>Boone Jenner</v>
      </c>
      <c r="AA158" t="str">
        <v>Boone Jenner</v>
      </c>
      <c r="AB158" t="str">
        <v>Boone Jenner</v>
      </c>
    </row>
    <row r="159" spans="1:28" x14ac:dyDescent="0.25">
      <c r="A159" t="s">
        <v>529</v>
      </c>
      <c r="B159">
        <f>INDEX(Proj[],MATCH(Std[[#This Row],[Player]],Proj[Player],0),2)</f>
        <v>35</v>
      </c>
      <c r="C159" t="s">
        <v>74</v>
      </c>
      <c r="D159" s="75"/>
      <c r="E159" s="56"/>
      <c r="F159" t="s">
        <v>22</v>
      </c>
      <c r="G159" s="12">
        <f>(INDEX(Proj[],MATCH(Std[[#This Row],[Player]],Proj[Player],0),14)-G$764)/G$765</f>
        <v>0.71075503746946955</v>
      </c>
      <c r="H159" s="12">
        <f>(INDEX(Proj[],MATCH(Std[[#This Row],[Player]],Proj[Player],0),15)-H$764)/H$765</f>
        <v>0.60432870530087368</v>
      </c>
      <c r="I159" s="12">
        <f>(INDEX(Proj[],MATCH(Std[[#This Row],[Player]],Proj[Player],0),16)-I$764)/I$765</f>
        <v>0.70094191456090116</v>
      </c>
      <c r="J159" s="12">
        <f>(INDEX(Proj[],MATCH(Std[[#This Row],[Player]],Proj[Player],0),17)-J$764)/J$765</f>
        <v>0.12203405152491688</v>
      </c>
      <c r="K159" s="12">
        <f>(INDEX(Proj[],MATCH(Std[[#This Row],[Player]],Proj[Player],0),18)-K$764)/K$765</f>
        <v>-0.14224887932464234</v>
      </c>
      <c r="L159" s="12">
        <f>(INDEX(Proj[],MATCH(Std[[#This Row],[Player]],Proj[Player],0),19)-L$764)/L$765</f>
        <v>-5.5305476160136084E-2</v>
      </c>
      <c r="M159" s="12">
        <f>(INDEX(Proj[],MATCH(Std[[#This Row],[Player]],Proj[Player],0),20)-M$764)/M$765</f>
        <v>3.3888697847260145</v>
      </c>
      <c r="N159" s="12">
        <f>(INDEX(Proj[],MATCH(Std[[#This Row],[Player]],Proj[Player],0),21)-N$764)/N$765</f>
        <v>-0.34365015903005386</v>
      </c>
      <c r="O159" s="12">
        <f>(INDEX(Proj[],MATCH(Std[[#This Row],[Player]],Proj[Player],0),22)-O$764)/O$765</f>
        <v>-0.63725622940567483</v>
      </c>
      <c r="P159" s="12">
        <f>((INDEX(Proj[],MATCH(Std[[#This Row],[Player]],Proj[Player],0),23)-P$764)/P$765)*IF('League Inputs'!$C$23 = "Yes",-1, 1)</f>
        <v>-0.25581465342806309</v>
      </c>
      <c r="Q159" s="12">
        <f>(INDEX(Proj[],MATCH(Std[[#This Row],[Player]],Proj[Player],0),24)-Q$764)/Q$765</f>
        <v>3.2932750789324392</v>
      </c>
      <c r="R159" s="12">
        <f>(INDEX(Proj[],MATCH(Std[[#This Row],[Player]],Proj[Player],0),25)-R$764)/R$765</f>
        <v>3.4664448168696032</v>
      </c>
      <c r="S159" s="12">
        <f>(INDEX(Proj[],MATCH(Std[[#This Row],[Player]],Proj[Player],0),26)-S$764)/S$765</f>
        <v>1.5874771769513703</v>
      </c>
      <c r="T1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560.47513951911264</v>
      </c>
      <c r="U159" s="11"/>
      <c r="W159" t="str">
        <v>Mikael Backlund</v>
      </c>
      <c r="AA159" t="str">
        <v>Mikael Backlund</v>
      </c>
      <c r="AB159" t="str">
        <v>Mikael Backlund</v>
      </c>
    </row>
    <row r="160" spans="1:28" x14ac:dyDescent="0.25">
      <c r="A160" t="s">
        <v>1217</v>
      </c>
      <c r="B160">
        <f>INDEX(Proj[],MATCH(Std[[#This Row],[Player]],Proj[Player],0),2)</f>
        <v>21</v>
      </c>
      <c r="C160" t="s">
        <v>74</v>
      </c>
      <c r="D160" s="75"/>
      <c r="E160" s="57"/>
      <c r="F160" t="s">
        <v>7</v>
      </c>
      <c r="G160" s="12">
        <f>(INDEX(Proj[],MATCH(Std[[#This Row],[Player]],Proj[Player],0),14)-G$764)/G$765</f>
        <v>1.1332905125005321</v>
      </c>
      <c r="H160" s="12">
        <f>(INDEX(Proj[],MATCH(Std[[#This Row],[Player]],Proj[Player],0),15)-H$764)/H$765</f>
        <v>0.30621163734781282</v>
      </c>
      <c r="I160" s="12">
        <f>(INDEX(Proj[],MATCH(Std[[#This Row],[Player]],Proj[Player],0),16)-I$764)/I$765</f>
        <v>0.70094191456090116</v>
      </c>
      <c r="J160" s="12">
        <f>(INDEX(Proj[],MATCH(Std[[#This Row],[Player]],Proj[Player],0),17)-J$764)/J$765</f>
        <v>1.0051239131988361</v>
      </c>
      <c r="K160" s="12">
        <f>(INDEX(Proj[],MATCH(Std[[#This Row],[Player]],Proj[Player],0),18)-K$764)/K$765</f>
        <v>0.32000895664424578</v>
      </c>
      <c r="L160" s="12">
        <f>(INDEX(Proj[],MATCH(Std[[#This Row],[Player]],Proj[Player],0),19)-L$764)/L$765</f>
        <v>0.59712631291646912</v>
      </c>
      <c r="M160" s="12">
        <f>(INDEX(Proj[],MATCH(Std[[#This Row],[Player]],Proj[Player],0),20)-M$764)/M$765</f>
        <v>-0.71308883245737775</v>
      </c>
      <c r="N160" s="12">
        <f>(INDEX(Proj[],MATCH(Std[[#This Row],[Player]],Proj[Player],0),21)-N$764)/N$765</f>
        <v>0.43153917490388877</v>
      </c>
      <c r="O160" s="12">
        <f>(INDEX(Proj[],MATCH(Std[[#This Row],[Player]],Proj[Player],0),22)-O$764)/O$765</f>
        <v>-0.54439221604893206</v>
      </c>
      <c r="P160" s="12">
        <f>((INDEX(Proj[],MATCH(Std[[#This Row],[Player]],Proj[Player],0),23)-P$764)/P$765)*IF('League Inputs'!$C$23 = "Yes",-1, 1)</f>
        <v>0.86113992973254005</v>
      </c>
      <c r="Q160" s="12">
        <f>(INDEX(Proj[],MATCH(Std[[#This Row],[Player]],Proj[Player],0),24)-Q$764)/Q$765</f>
        <v>0.36687414371176302</v>
      </c>
      <c r="R160" s="12">
        <f>(INDEX(Proj[],MATCH(Std[[#This Row],[Player]],Proj[Player],0),25)-R$764)/R$765</f>
        <v>0.40755616313178555</v>
      </c>
      <c r="S160" s="12">
        <f>(INDEX(Proj[],MATCH(Std[[#This Row],[Player]],Proj[Player],0),26)-S$764)/S$765</f>
        <v>1.0198228866234909</v>
      </c>
      <c r="T1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487.25542962484656</v>
      </c>
      <c r="U160" s="11"/>
      <c r="W160" t="str">
        <v>Cutter Gauthier</v>
      </c>
      <c r="AA160" t="str">
        <v>Cutter Gauthier</v>
      </c>
      <c r="AB160" t="str">
        <v>Cutter Gauthier</v>
      </c>
    </row>
    <row r="161" spans="1:28" x14ac:dyDescent="0.25">
      <c r="A161" t="s">
        <v>367</v>
      </c>
      <c r="B161">
        <f>INDEX(Proj[],MATCH(Std[[#This Row],[Player]],Proj[Player],0),2)</f>
        <v>31</v>
      </c>
      <c r="C161" t="s">
        <v>74</v>
      </c>
      <c r="D161" s="75"/>
      <c r="E161" s="56"/>
      <c r="F161" t="s">
        <v>155</v>
      </c>
      <c r="G161" s="12">
        <f>(INDEX(Proj[],MATCH(Std[[#This Row],[Player]],Proj[Player],0),14)-G$764)/G$765</f>
        <v>-0.23994978135042122</v>
      </c>
      <c r="H161" s="12">
        <f>(INDEX(Proj[],MATCH(Std[[#This Row],[Player]],Proj[Player],0),15)-H$764)/H$765</f>
        <v>1.2750921081952606</v>
      </c>
      <c r="I161" s="12">
        <f>(INDEX(Proj[],MATCH(Std[[#This Row],[Player]],Proj[Player],0),16)-I$764)/I$765</f>
        <v>0.70094191456090116</v>
      </c>
      <c r="J161" s="12">
        <f>(INDEX(Proj[],MATCH(Std[[#This Row],[Player]],Proj[Player],0),17)-J$764)/J$765</f>
        <v>0.41639733874955659</v>
      </c>
      <c r="K161" s="12">
        <f>(INDEX(Proj[],MATCH(Std[[#This Row],[Player]],Proj[Player],0),18)-K$764)/K$765</f>
        <v>2.3231262458427611</v>
      </c>
      <c r="L161" s="12">
        <f>(INDEX(Proj[],MATCH(Std[[#This Row],[Player]],Proj[Player],0),19)-L$764)/L$765</f>
        <v>1.7932512595569121</v>
      </c>
      <c r="M161" s="12">
        <f>(INDEX(Proj[],MATCH(Std[[#This Row],[Player]],Proj[Player],0),20)-M$764)/M$765</f>
        <v>-0.71308883245737775</v>
      </c>
      <c r="N161" s="12">
        <f>(INDEX(Proj[],MATCH(Std[[#This Row],[Player]],Proj[Player],0),21)-N$764)/N$765</f>
        <v>-0.94442189282885936</v>
      </c>
      <c r="O161" s="12">
        <f>(INDEX(Proj[],MATCH(Std[[#This Row],[Player]],Proj[Player],0),22)-O$764)/O$765</f>
        <v>0.59319194757116778</v>
      </c>
      <c r="P161" s="12">
        <f>((INDEX(Proj[],MATCH(Std[[#This Row],[Player]],Proj[Player],0),23)-P$764)/P$765)*IF('League Inputs'!$C$23 = "Yes",-1, 1)</f>
        <v>-0.48851352491985539</v>
      </c>
      <c r="Q161" s="12">
        <f>(INDEX(Proj[],MATCH(Std[[#This Row],[Player]],Proj[Player],0),24)-Q$764)/Q$765</f>
        <v>-0.5766103108129359</v>
      </c>
      <c r="R161" s="12">
        <f>(INDEX(Proj[],MATCH(Std[[#This Row],[Player]],Proj[Player],0),25)-R$764)/R$765</f>
        <v>-0.62531533033812681</v>
      </c>
      <c r="S161" s="12">
        <f>(INDEX(Proj[],MATCH(Std[[#This Row],[Player]],Proj[Player],0),26)-S$764)/S$765</f>
        <v>0.28998165620193156</v>
      </c>
      <c r="T1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240.29633761741019</v>
      </c>
      <c r="U161" s="11"/>
      <c r="W161" t="str">
        <v>Shayne Gostisbehere</v>
      </c>
      <c r="AA161" t="str">
        <v>Shayne Gostisbehere</v>
      </c>
      <c r="AB161" t="str">
        <v>Shayne Gostisbehere</v>
      </c>
    </row>
    <row r="162" spans="1:28" x14ac:dyDescent="0.25">
      <c r="A162" t="s">
        <v>596</v>
      </c>
      <c r="B162">
        <f>INDEX(Proj[],MATCH(Std[[#This Row],[Player]],Proj[Player],0),2)</f>
        <v>32</v>
      </c>
      <c r="C162" t="s">
        <v>102</v>
      </c>
      <c r="D162" s="75"/>
      <c r="E162" s="56"/>
      <c r="F162" t="s">
        <v>20</v>
      </c>
      <c r="G162" s="12">
        <f>(INDEX(Proj[],MATCH(Std[[#This Row],[Player]],Proj[Player],0),14)-G$764)/G$765</f>
        <v>0.71075503746946955</v>
      </c>
      <c r="H162" s="12">
        <f>(INDEX(Proj[],MATCH(Std[[#This Row],[Player]],Proj[Player],0),15)-H$764)/H$765</f>
        <v>0.60432870530087368</v>
      </c>
      <c r="I162" s="12">
        <f>(INDEX(Proj[],MATCH(Std[[#This Row],[Player]],Proj[Player],0),16)-I$764)/I$765</f>
        <v>0.70094191456090116</v>
      </c>
      <c r="J162" s="12">
        <f>(INDEX(Proj[],MATCH(Std[[#This Row],[Player]],Proj[Player],0),17)-J$764)/J$765</f>
        <v>0.12203405152491688</v>
      </c>
      <c r="K162" s="12">
        <f>(INDEX(Proj[],MATCH(Std[[#This Row],[Player]],Proj[Player],0),18)-K$764)/K$765</f>
        <v>-0.29633482464760502</v>
      </c>
      <c r="L162" s="12">
        <f>(INDEX(Proj[],MATCH(Std[[#This Row],[Player]],Proj[Player],0),19)-L$764)/L$765</f>
        <v>-0.16404410767290362</v>
      </c>
      <c r="M162" s="12">
        <f>(INDEX(Proj[],MATCH(Std[[#This Row],[Player]],Proj[Player],0),20)-M$764)/M$765</f>
        <v>3.3888697847260145</v>
      </c>
      <c r="N162" s="12">
        <f>(INDEX(Proj[],MATCH(Std[[#This Row],[Player]],Proj[Player],0),21)-N$764)/N$765</f>
        <v>0.33464050816214591</v>
      </c>
      <c r="O162" s="12">
        <f>(INDEX(Proj[],MATCH(Std[[#This Row],[Player]],Proj[Player],0),22)-O$764)/O$765</f>
        <v>-8.0072149265217829E-2</v>
      </c>
      <c r="P162" s="12">
        <f>((INDEX(Proj[],MATCH(Std[[#This Row],[Player]],Proj[Player],0),23)-P$764)/P$765)*IF('League Inputs'!$C$23 = "Yes",-1, 1)</f>
        <v>-2.3115781936270764E-2</v>
      </c>
      <c r="Q162" s="12">
        <f>(INDEX(Proj[],MATCH(Std[[#This Row],[Player]],Proj[Player],0),24)-Q$764)/Q$765</f>
        <v>3.0054323639927003</v>
      </c>
      <c r="R162" s="12">
        <f>(INDEX(Proj[],MATCH(Std[[#This Row],[Player]],Proj[Player],0),25)-R$764)/R$765</f>
        <v>3.0124353691905208</v>
      </c>
      <c r="S162" s="12">
        <f>(INDEX(Proj[],MATCH(Std[[#This Row],[Player]],Proj[Player],0),26)-S$764)/S$765</f>
        <v>0.20888818615509167</v>
      </c>
      <c r="T1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529.775467676679</v>
      </c>
      <c r="U162" s="11"/>
      <c r="W162" t="str">
        <v>Charlie Coyle</v>
      </c>
      <c r="AA162" t="str">
        <v>Charlie Coyle</v>
      </c>
      <c r="AB162" t="str">
        <v>Charlie Coyle</v>
      </c>
    </row>
    <row r="163" spans="1:28" x14ac:dyDescent="0.25">
      <c r="A163" t="s">
        <v>879</v>
      </c>
      <c r="B163">
        <f>INDEX(Proj[],MATCH(Std[[#This Row],[Player]],Proj[Player],0),2)</f>
        <v>28</v>
      </c>
      <c r="C163" t="s">
        <v>103</v>
      </c>
      <c r="D163" s="75"/>
      <c r="E163" s="57"/>
      <c r="F163" t="s">
        <v>6</v>
      </c>
      <c r="G163" s="12">
        <f>(INDEX(Proj[],MATCH(Std[[#This Row],[Player]],Proj[Player],0),14)-G$764)/G$765</f>
        <v>1.3445582500160633</v>
      </c>
      <c r="H163" s="12">
        <f>(INDEX(Proj[],MATCH(Std[[#This Row],[Player]],Proj[Player],0),15)-H$764)/H$765</f>
        <v>0.15715310337128238</v>
      </c>
      <c r="I163" s="12">
        <f>(INDEX(Proj[],MATCH(Std[[#This Row],[Player]],Proj[Player],0),16)-I$764)/I$765</f>
        <v>0.70094191456090116</v>
      </c>
      <c r="J163" s="12">
        <f>(INDEX(Proj[],MATCH(Std[[#This Row],[Player]],Proj[Player],0),17)-J$764)/J$765</f>
        <v>0.41639733874955659</v>
      </c>
      <c r="K163" s="12">
        <f>(INDEX(Proj[],MATCH(Std[[#This Row],[Player]],Proj[Player],0),18)-K$764)/K$765</f>
        <v>0.16592301132128306</v>
      </c>
      <c r="L163" s="12">
        <f>(INDEX(Proj[],MATCH(Std[[#This Row],[Player]],Proj[Player],0),19)-L$764)/L$765</f>
        <v>0.27091041837816654</v>
      </c>
      <c r="M163" s="12">
        <f>(INDEX(Proj[],MATCH(Std[[#This Row],[Player]],Proj[Player],0),20)-M$764)/M$765</f>
        <v>1.3378904761343182</v>
      </c>
      <c r="N163" s="12">
        <f>(INDEX(Proj[],MATCH(Std[[#This Row],[Player]],Proj[Player],0),21)-N$764)/N$765</f>
        <v>8.2703974633614577E-2</v>
      </c>
      <c r="O163" s="12">
        <f>(INDEX(Proj[],MATCH(Std[[#This Row],[Player]],Proj[Player],0),22)-O$764)/O$765</f>
        <v>-0.49796020937056062</v>
      </c>
      <c r="P163" s="12">
        <f>((INDEX(Proj[],MATCH(Std[[#This Row],[Player]],Proj[Player],0),23)-P$764)/P$765)*IF('League Inputs'!$C$23 = "Yes",-1, 1)</f>
        <v>-0.86083171930672309</v>
      </c>
      <c r="Q163" s="12">
        <f>(INDEX(Proj[],MATCH(Std[[#This Row],[Player]],Proj[Player],0),24)-Q$764)/Q$765</f>
        <v>-0.50731484240151736</v>
      </c>
      <c r="R163" s="12">
        <f>(INDEX(Proj[],MATCH(Std[[#This Row],[Player]],Proj[Player],0),25)-R$764)/R$765</f>
        <v>-0.50613785032236769</v>
      </c>
      <c r="S163" s="12">
        <f>(INDEX(Proj[],MATCH(Std[[#This Row],[Player]],Proj[Player],0),26)-S$764)/S$765</f>
        <v>1.1982285207265386</v>
      </c>
      <c r="T1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188.83894106077656</v>
      </c>
      <c r="U163" s="11"/>
      <c r="W163" t="str">
        <v>Jake DeBrusk</v>
      </c>
      <c r="AA163" t="str">
        <v>Jake DeBrusk</v>
      </c>
      <c r="AB163" t="str">
        <v>Jake DeBrusk</v>
      </c>
    </row>
    <row r="164" spans="1:28" x14ac:dyDescent="0.25">
      <c r="A164" t="s">
        <v>636</v>
      </c>
      <c r="B164">
        <f>INDEX(Proj[],MATCH(Std[[#This Row],[Player]],Proj[Player],0),2)</f>
        <v>23</v>
      </c>
      <c r="C164" t="s">
        <v>74</v>
      </c>
      <c r="D164" s="75" t="s">
        <v>102</v>
      </c>
      <c r="E164" s="57"/>
      <c r="F164" t="s">
        <v>5</v>
      </c>
      <c r="G164" s="12">
        <f>(INDEX(Proj[],MATCH(Std[[#This Row],[Player]],Proj[Player],0),14)-G$764)/G$765</f>
        <v>1.2389243812582977</v>
      </c>
      <c r="H164" s="12">
        <f>(INDEX(Proj[],MATCH(Std[[#This Row],[Player]],Proj[Player],0),15)-H$764)/H$765</f>
        <v>0.23168237035954761</v>
      </c>
      <c r="I164" s="12">
        <f>(INDEX(Proj[],MATCH(Std[[#This Row],[Player]],Proj[Player],0),16)-I$764)/I$765</f>
        <v>0.70094191456090116</v>
      </c>
      <c r="J164" s="12">
        <f>(INDEX(Proj[],MATCH(Std[[#This Row],[Player]],Proj[Player],0),17)-J$764)/J$765</f>
        <v>0.12203405152491688</v>
      </c>
      <c r="K164" s="12">
        <f>(INDEX(Proj[],MATCH(Std[[#This Row],[Player]],Proj[Player],0),18)-K$764)/K$765</f>
        <v>-0.29633482464760502</v>
      </c>
      <c r="L164" s="12">
        <f>(INDEX(Proj[],MATCH(Std[[#This Row],[Player]],Proj[Player],0),19)-L$764)/L$765</f>
        <v>-0.16404410767290362</v>
      </c>
      <c r="M164" s="12">
        <f>(INDEX(Proj[],MATCH(Std[[#This Row],[Player]],Proj[Player],0),20)-M$764)/M$765</f>
        <v>-0.71308883245737775</v>
      </c>
      <c r="N164" s="12">
        <f>(INDEX(Proj[],MATCH(Std[[#This Row],[Player]],Proj[Player],0),21)-N$764)/N$765</f>
        <v>-9.1713625501522511E-2</v>
      </c>
      <c r="O164" s="12">
        <f>(INDEX(Proj[],MATCH(Std[[#This Row],[Player]],Proj[Player],0),22)-O$764)/O$765</f>
        <v>-0.8229842561191606</v>
      </c>
      <c r="P164" s="12">
        <f>((INDEX(Proj[],MATCH(Std[[#This Row],[Player]],Proj[Player],0),23)-P$764)/P$765)*IF('League Inputs'!$C$23 = "Yes",-1, 1)</f>
        <v>0.20958308955552155</v>
      </c>
      <c r="Q164" s="12">
        <f>(INDEX(Proj[],MATCH(Std[[#This Row],[Player]],Proj[Player],0),24)-Q$764)/Q$765</f>
        <v>-0.45401063593119534</v>
      </c>
      <c r="R164" s="12">
        <f>(INDEX(Proj[],MATCH(Std[[#This Row],[Player]],Proj[Player],0),25)-R$764)/R$765</f>
        <v>-0.33020918934672328</v>
      </c>
      <c r="S164" s="12">
        <f>(INDEX(Proj[],MATCH(Std[[#This Row],[Player]],Proj[Player],0),26)-S$764)/S$765</f>
        <v>1.0036041926141228</v>
      </c>
      <c r="T1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185.19833231236086</v>
      </c>
      <c r="U164" s="11"/>
      <c r="W164" t="str">
        <v>Alexis Lafreniere</v>
      </c>
      <c r="AA164" t="str">
        <v>Alexis Lafreniere</v>
      </c>
      <c r="AB164" t="str">
        <v>Alexis Lafreniere</v>
      </c>
    </row>
    <row r="165" spans="1:28" x14ac:dyDescent="0.25">
      <c r="A165" t="s">
        <v>353</v>
      </c>
      <c r="B165">
        <f>INDEX(Proj[],MATCH(Std[[#This Row],[Player]],Proj[Player],0),2)</f>
        <v>35</v>
      </c>
      <c r="C165" t="s">
        <v>74</v>
      </c>
      <c r="D165" s="75" t="s">
        <v>102</v>
      </c>
      <c r="E165" s="56" t="s">
        <v>103</v>
      </c>
      <c r="F165" t="s">
        <v>9</v>
      </c>
      <c r="G165" s="12">
        <f>(INDEX(Proj[],MATCH(Std[[#This Row],[Player]],Proj[Player],0),14)-G$764)/G$765</f>
        <v>1.2389243812582977</v>
      </c>
      <c r="H165" s="12">
        <f>(INDEX(Proj[],MATCH(Std[[#This Row],[Player]],Proj[Player],0),15)-H$764)/H$765</f>
        <v>0.23168237035954761</v>
      </c>
      <c r="I165" s="12">
        <f>(INDEX(Proj[],MATCH(Std[[#This Row],[Player]],Proj[Player],0),16)-I$764)/I$765</f>
        <v>0.70094191456090116</v>
      </c>
      <c r="J165" s="12">
        <f>(INDEX(Proj[],MATCH(Std[[#This Row],[Player]],Proj[Player],0),17)-J$764)/J$765</f>
        <v>0.71076062597419631</v>
      </c>
      <c r="K165" s="12">
        <f>(INDEX(Proj[],MATCH(Std[[#This Row],[Player]],Proj[Player],0),18)-K$764)/K$765</f>
        <v>-0.45042076997056774</v>
      </c>
      <c r="L165" s="12">
        <f>(INDEX(Proj[],MATCH(Std[[#This Row],[Player]],Proj[Player],0),19)-L$764)/L$765</f>
        <v>-5.5305476160136084E-2</v>
      </c>
      <c r="M165" s="12">
        <f>(INDEX(Proj[],MATCH(Std[[#This Row],[Player]],Proj[Player],0),20)-M$764)/M$765</f>
        <v>0.31240082183847029</v>
      </c>
      <c r="N165" s="12">
        <f>(INDEX(Proj[],MATCH(Std[[#This Row],[Player]],Proj[Player],0),21)-N$764)/N$765</f>
        <v>-0.1498528255465682</v>
      </c>
      <c r="O165" s="12">
        <f>(INDEX(Proj[],MATCH(Std[[#This Row],[Player]],Proj[Player],0),22)-O$764)/O$765</f>
        <v>-0.73012024276241771</v>
      </c>
      <c r="P165" s="12">
        <f>((INDEX(Proj[],MATCH(Std[[#This Row],[Player]],Proj[Player],0),23)-P$764)/P$765)*IF('League Inputs'!$C$23 = "Yes",-1, 1)</f>
        <v>0.95421947832925702</v>
      </c>
      <c r="Q165" s="12">
        <f>(INDEX(Proj[],MATCH(Std[[#This Row],[Player]],Proj[Player],0),24)-Q$764)/Q$765</f>
        <v>-0.48066273916635632</v>
      </c>
      <c r="R165" s="12">
        <f>(INDEX(Proj[],MATCH(Std[[#This Row],[Player]],Proj[Player],0),25)-R$764)/R$765</f>
        <v>-0.46641202365044798</v>
      </c>
      <c r="S165" s="12">
        <f>(INDEX(Proj[],MATCH(Std[[#This Row],[Player]],Proj[Player],0),26)-S$764)/S$765</f>
        <v>0.56569945436118729</v>
      </c>
      <c r="T1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227.5526315233713</v>
      </c>
      <c r="U165" s="11"/>
      <c r="W165" t="str">
        <v>Alex Killorn</v>
      </c>
      <c r="AA165" t="str">
        <v>Alex Killorn</v>
      </c>
      <c r="AB165" t="str">
        <v>Alex Killorn</v>
      </c>
    </row>
    <row r="166" spans="1:28" x14ac:dyDescent="0.25">
      <c r="A166" t="s">
        <v>404</v>
      </c>
      <c r="B166">
        <f>INDEX(Proj[],MATCH(Std[[#This Row],[Player]],Proj[Player],0),2)</f>
        <v>28</v>
      </c>
      <c r="C166" t="s">
        <v>74</v>
      </c>
      <c r="D166" s="75"/>
      <c r="E166" s="57"/>
      <c r="F166" t="s">
        <v>6</v>
      </c>
      <c r="G166" s="12">
        <f>(INDEX(Proj[],MATCH(Std[[#This Row],[Player]],Proj[Player],0),14)-G$764)/G$765</f>
        <v>0.71075503746946955</v>
      </c>
      <c r="H166" s="12">
        <f>(INDEX(Proj[],MATCH(Std[[#This Row],[Player]],Proj[Player],0),15)-H$764)/H$765</f>
        <v>0.60432870530087368</v>
      </c>
      <c r="I166" s="12">
        <f>(INDEX(Proj[],MATCH(Std[[#This Row],[Player]],Proj[Player],0),16)-I$764)/I$765</f>
        <v>0.70094191456090116</v>
      </c>
      <c r="J166" s="12">
        <f>(INDEX(Proj[],MATCH(Std[[#This Row],[Player]],Proj[Player],0),17)-J$764)/J$765</f>
        <v>-0.17232923569972286</v>
      </c>
      <c r="K166" s="12">
        <f>(INDEX(Proj[],MATCH(Std[[#This Row],[Player]],Proj[Player],0),18)-K$764)/K$765</f>
        <v>0.16592301132128306</v>
      </c>
      <c r="L166" s="12">
        <f>(INDEX(Proj[],MATCH(Std[[#This Row],[Player]],Proj[Player],0),19)-L$764)/L$765</f>
        <v>5.3433155352631455E-2</v>
      </c>
      <c r="M166" s="12">
        <f>(INDEX(Proj[],MATCH(Std[[#This Row],[Player]],Proj[Player],0),20)-M$764)/M$765</f>
        <v>-0.71308883245737775</v>
      </c>
      <c r="N166" s="12">
        <f>(INDEX(Proj[],MATCH(Std[[#This Row],[Player]],Proj[Player],0),21)-N$764)/N$765</f>
        <v>-0.73124482599702512</v>
      </c>
      <c r="O166" s="12">
        <f>(INDEX(Proj[],MATCH(Std[[#This Row],[Player]],Proj[Player],0),22)-O$764)/O$765</f>
        <v>-0.79976825277997488</v>
      </c>
      <c r="P166" s="12">
        <f>((INDEX(Proj[],MATCH(Std[[#This Row],[Player]],Proj[Player],0),23)-P$764)/P$765)*IF('League Inputs'!$C$23 = "Yes",-1, 1)</f>
        <v>-0.16273510483134615</v>
      </c>
      <c r="Q166" s="12">
        <f>(INDEX(Proj[],MATCH(Std[[#This Row],[Player]],Proj[Player],0),24)-Q$764)/Q$765</f>
        <v>-0.5392973662837105</v>
      </c>
      <c r="R166" s="12">
        <f>(INDEX(Proj[],MATCH(Std[[#This Row],[Player]],Proj[Player],0),25)-R$764)/R$765</f>
        <v>-0.55721391318626445</v>
      </c>
      <c r="S166" s="12">
        <f>(INDEX(Proj[],MATCH(Std[[#This Row],[Player]],Proj[Player],0),26)-S$764)/S$765</f>
        <v>1.0846976626609628</v>
      </c>
      <c r="T1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92.111092545278183</v>
      </c>
      <c r="U166" s="11"/>
      <c r="W166" t="str">
        <v>Conor Garland</v>
      </c>
      <c r="AA166" t="str">
        <v>Conor Garland</v>
      </c>
      <c r="AB166" t="str">
        <v>Conor Garland</v>
      </c>
    </row>
    <row r="167" spans="1:28" x14ac:dyDescent="0.25">
      <c r="A167" t="s">
        <v>366</v>
      </c>
      <c r="B167">
        <f>INDEX(Proj[],MATCH(Std[[#This Row],[Player]],Proj[Player],0),2)</f>
        <v>26</v>
      </c>
      <c r="C167" t="s">
        <v>102</v>
      </c>
      <c r="D167" s="75" t="s">
        <v>103</v>
      </c>
      <c r="E167" s="56"/>
      <c r="F167" t="s">
        <v>32</v>
      </c>
      <c r="G167" s="12">
        <f>(INDEX(Proj[],MATCH(Std[[#This Row],[Player]],Proj[Player],0),14)-G$764)/G$765</f>
        <v>1.3445582500160633</v>
      </c>
      <c r="H167" s="12">
        <f>(INDEX(Proj[],MATCH(Std[[#This Row],[Player]],Proj[Player],0),15)-H$764)/H$765</f>
        <v>0.45527017132434322</v>
      </c>
      <c r="I167" s="12">
        <f>(INDEX(Proj[],MATCH(Std[[#This Row],[Player]],Proj[Player],0),16)-I$764)/I$765</f>
        <v>0.88991215040931404</v>
      </c>
      <c r="J167" s="12">
        <f>(INDEX(Proj[],MATCH(Std[[#This Row],[Player]],Proj[Player],0),17)-J$764)/J$765</f>
        <v>1.0051239131988361</v>
      </c>
      <c r="K167" s="12">
        <f>(INDEX(Proj[],MATCH(Std[[#This Row],[Player]],Proj[Player],0),18)-K$764)/K$765</f>
        <v>0.47409490196720849</v>
      </c>
      <c r="L167" s="12">
        <f>(INDEX(Proj[],MATCH(Std[[#This Row],[Player]],Proj[Player],0),19)-L$764)/L$765</f>
        <v>0.70586494442923664</v>
      </c>
      <c r="M167" s="12">
        <f>(INDEX(Proj[],MATCH(Std[[#This Row],[Player]],Proj[Player],0),20)-M$764)/M$765</f>
        <v>-0.71308883245737775</v>
      </c>
      <c r="N167" s="12">
        <f>(INDEX(Proj[],MATCH(Std[[#This Row],[Player]],Proj[Player],0),21)-N$764)/N$765</f>
        <v>-1.0800800262672994</v>
      </c>
      <c r="O167" s="12">
        <f>(INDEX(Proj[],MATCH(Std[[#This Row],[Player]],Proj[Player],0),22)-O$764)/O$765</f>
        <v>-0.4050961960138178</v>
      </c>
      <c r="P167" s="12">
        <f>((INDEX(Proj[],MATCH(Std[[#This Row],[Player]],Proj[Player],0),23)-P$764)/P$765)*IF('League Inputs'!$C$23 = "Yes",-1, 1)</f>
        <v>-0.44197375062149696</v>
      </c>
      <c r="Q167" s="12">
        <f>(INDEX(Proj[],MATCH(Std[[#This Row],[Player]],Proj[Player],0),24)-Q$764)/Q$765</f>
        <v>9.7359603606058092E-3</v>
      </c>
      <c r="R167" s="12">
        <f>(INDEX(Proj[],MATCH(Std[[#This Row],[Player]],Proj[Player],0),25)-R$764)/R$765</f>
        <v>0.40755616313178555</v>
      </c>
      <c r="S167" s="12">
        <f>(INDEX(Proj[],MATCH(Std[[#This Row],[Player]],Proj[Player],0),26)-S$764)/S$765</f>
        <v>1.1333537446890667</v>
      </c>
      <c r="T1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261.15452483260151</v>
      </c>
      <c r="U167" s="11"/>
      <c r="W167" t="str">
        <v>Patrik Laine</v>
      </c>
      <c r="AA167" t="str">
        <v>Patrik Laine</v>
      </c>
      <c r="AB167" t="str">
        <v>Patrik Laine</v>
      </c>
    </row>
    <row r="168" spans="1:28" x14ac:dyDescent="0.25">
      <c r="A168" t="s">
        <v>510</v>
      </c>
      <c r="B168">
        <f>INDEX(Proj[],MATCH(Std[[#This Row],[Player]],Proj[Player],0),2)</f>
        <v>34</v>
      </c>
      <c r="C168" t="s">
        <v>102</v>
      </c>
      <c r="D168" s="75" t="s">
        <v>103</v>
      </c>
      <c r="E168" s="57"/>
      <c r="F168" t="s">
        <v>17</v>
      </c>
      <c r="G168" s="12">
        <f>(INDEX(Proj[],MATCH(Std[[#This Row],[Player]],Proj[Player],0),14)-G$764)/G$765</f>
        <v>0.71075503746946955</v>
      </c>
      <c r="H168" s="12">
        <f>(INDEX(Proj[],MATCH(Std[[#This Row],[Player]],Proj[Player],0),15)-H$764)/H$765</f>
        <v>0.60432870530087368</v>
      </c>
      <c r="I168" s="12">
        <f>(INDEX(Proj[],MATCH(Std[[#This Row],[Player]],Proj[Player],0),16)-I$764)/I$765</f>
        <v>0.70094191456090116</v>
      </c>
      <c r="J168" s="12">
        <f>(INDEX(Proj[],MATCH(Std[[#This Row],[Player]],Proj[Player],0),17)-J$764)/J$765</f>
        <v>0.71076062597419631</v>
      </c>
      <c r="K168" s="12">
        <f>(INDEX(Proj[],MATCH(Std[[#This Row],[Player]],Proj[Player],0),18)-K$764)/K$765</f>
        <v>0.32000895664424578</v>
      </c>
      <c r="L168" s="12">
        <f>(INDEX(Proj[],MATCH(Std[[#This Row],[Player]],Proj[Player],0),19)-L$764)/L$765</f>
        <v>0.48838768140370159</v>
      </c>
      <c r="M168" s="12">
        <f>(INDEX(Proj[],MATCH(Std[[#This Row],[Player]],Proj[Player],0),20)-M$764)/M$765</f>
        <v>-0.71308883245737775</v>
      </c>
      <c r="N168" s="12">
        <f>(INDEX(Proj[],MATCH(Std[[#This Row],[Player]],Proj[Player],0),21)-N$764)/N$765</f>
        <v>-0.98318135952555652</v>
      </c>
      <c r="O168" s="12">
        <f>(INDEX(Proj[],MATCH(Std[[#This Row],[Player]],Proj[Player],0),22)-O$764)/O$765</f>
        <v>-0.79976825277997488</v>
      </c>
      <c r="P168" s="12">
        <f>((INDEX(Proj[],MATCH(Std[[#This Row],[Player]],Proj[Player],0),23)-P$764)/P$765)*IF('League Inputs'!$C$23 = "Yes",-1, 1)</f>
        <v>-0.62813284781493084</v>
      </c>
      <c r="Q168" s="12">
        <f>(INDEX(Proj[],MATCH(Std[[#This Row],[Player]],Proj[Player],0),24)-Q$764)/Q$765</f>
        <v>-0.40603685010790558</v>
      </c>
      <c r="R168" s="12">
        <f>(INDEX(Proj[],MATCH(Std[[#This Row],[Player]],Proj[Player],0),25)-R$764)/R$765</f>
        <v>-0.38696037030660857</v>
      </c>
      <c r="S168" s="12">
        <f>(INDEX(Proj[],MATCH(Std[[#This Row],[Player]],Proj[Player],0),26)-S$764)/S$765</f>
        <v>0.6630116184173952</v>
      </c>
      <c r="T1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35.030564692397348</v>
      </c>
      <c r="U168" s="11"/>
      <c r="W168" t="str">
        <v>Jordan Eberle</v>
      </c>
      <c r="AA168" t="str">
        <v>Jordan Eberle</v>
      </c>
      <c r="AB168" t="str">
        <v>Jordan Eberle</v>
      </c>
    </row>
    <row r="169" spans="1:28" x14ac:dyDescent="0.25">
      <c r="A169" t="s">
        <v>601</v>
      </c>
      <c r="B169">
        <f>INDEX(Proj[],MATCH(Std[[#This Row],[Player]],Proj[Player],0),2)</f>
        <v>30</v>
      </c>
      <c r="C169" t="s">
        <v>74</v>
      </c>
      <c r="D169" s="75" t="s">
        <v>102</v>
      </c>
      <c r="E169" s="57"/>
      <c r="F169" t="s">
        <v>21</v>
      </c>
      <c r="G169" s="12">
        <f>(INDEX(Proj[],MATCH(Std[[#This Row],[Player]],Proj[Player],0),14)-G$764)/G$765</f>
        <v>1.5558259875315945</v>
      </c>
      <c r="H169" s="12">
        <f>(INDEX(Proj[],MATCH(Std[[#This Row],[Player]],Proj[Player],0),15)-H$764)/H$765</f>
        <v>-6.6434697593513253E-2</v>
      </c>
      <c r="I169" s="12">
        <f>(INDEX(Proj[],MATCH(Std[[#This Row],[Player]],Proj[Player],0),16)-I$764)/I$765</f>
        <v>0.65369935559879788</v>
      </c>
      <c r="J169" s="12">
        <f>(INDEX(Proj[],MATCH(Std[[#This Row],[Player]],Proj[Player],0),17)-J$764)/J$765</f>
        <v>1.2994872004234757</v>
      </c>
      <c r="K169" s="12">
        <f>(INDEX(Proj[],MATCH(Std[[#This Row],[Player]],Proj[Player],0),18)-K$764)/K$765</f>
        <v>1.1837065998320361E-2</v>
      </c>
      <c r="L169" s="12">
        <f>(INDEX(Proj[],MATCH(Std[[#This Row],[Player]],Proj[Player],0),19)-L$764)/L$765</f>
        <v>0.48838768140370159</v>
      </c>
      <c r="M169" s="12">
        <f>(INDEX(Proj[],MATCH(Std[[#This Row],[Player]],Proj[Player],0),20)-M$764)/M$765</f>
        <v>0.31240082183847029</v>
      </c>
      <c r="N169" s="12">
        <f>(INDEX(Proj[],MATCH(Std[[#This Row],[Player]],Proj[Player],0),21)-N$764)/N$765</f>
        <v>0.70285544178076864</v>
      </c>
      <c r="O169" s="12">
        <f>(INDEX(Proj[],MATCH(Std[[#This Row],[Player]],Proj[Player],0),22)-O$764)/O$765</f>
        <v>0.15208788412663926</v>
      </c>
      <c r="P169" s="12">
        <f>((INDEX(Proj[],MATCH(Std[[#This Row],[Player]],Proj[Player],0),23)-P$764)/P$765)*IF('League Inputs'!$C$23 = "Yes",-1, 1)</f>
        <v>1.0938388012243323</v>
      </c>
      <c r="Q169" s="12">
        <f>(INDEX(Proj[],MATCH(Std[[#This Row],[Player]],Proj[Player],0),24)-Q$764)/Q$765</f>
        <v>-0.49665400110745295</v>
      </c>
      <c r="R169" s="12">
        <f>(INDEX(Proj[],MATCH(Std[[#This Row],[Player]],Proj[Player],0),25)-R$764)/R$765</f>
        <v>-0.49478761413039063</v>
      </c>
      <c r="S169" s="12">
        <f>(INDEX(Proj[],MATCH(Std[[#This Row],[Player]],Proj[Player],0),26)-S$764)/S$765</f>
        <v>2.0091632211949375</v>
      </c>
      <c r="T1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609.27696741598049</v>
      </c>
      <c r="U169" s="11"/>
      <c r="W169" t="str">
        <v>Frank Vatrano</v>
      </c>
      <c r="AA169" t="str">
        <v>Frank Vatrano</v>
      </c>
      <c r="AB169" t="str">
        <v>Frank Vatrano</v>
      </c>
    </row>
    <row r="170" spans="1:28" x14ac:dyDescent="0.25">
      <c r="A170" t="s">
        <v>387</v>
      </c>
      <c r="B170">
        <f>INDEX(Proj[],MATCH(Std[[#This Row],[Player]],Proj[Player],0),2)</f>
        <v>27</v>
      </c>
      <c r="C170" t="s">
        <v>103</v>
      </c>
      <c r="D170" s="75"/>
      <c r="E170" s="56"/>
      <c r="F170" t="s">
        <v>20</v>
      </c>
      <c r="G170" s="12">
        <f>(INDEX(Proj[],MATCH(Std[[#This Row],[Player]],Proj[Player],0),14)-G$764)/G$765</f>
        <v>-0.55685138762371811</v>
      </c>
      <c r="H170" s="12">
        <f>(INDEX(Proj[],MATCH(Std[[#This Row],[Player]],Proj[Player],0),15)-H$764)/H$765</f>
        <v>1.4241506421717909</v>
      </c>
      <c r="I170" s="12">
        <f>(INDEX(Proj[],MATCH(Std[[#This Row],[Player]],Proj[Player],0),16)-I$764)/I$765</f>
        <v>0.65369935559879788</v>
      </c>
      <c r="J170" s="12">
        <f>(INDEX(Proj[],MATCH(Std[[#This Row],[Player]],Proj[Player],0),17)-J$764)/J$765</f>
        <v>-0.17232923569972286</v>
      </c>
      <c r="K170" s="12">
        <f>(INDEX(Proj[],MATCH(Std[[#This Row],[Player]],Proj[Player],0),18)-K$764)/K$765</f>
        <v>0.78226679261313392</v>
      </c>
      <c r="L170" s="12">
        <f>(INDEX(Proj[],MATCH(Std[[#This Row],[Player]],Proj[Player],0),19)-L$764)/L$765</f>
        <v>0.48838768140370159</v>
      </c>
      <c r="M170" s="12">
        <f>(INDEX(Proj[],MATCH(Std[[#This Row],[Player]],Proj[Player],0),20)-M$764)/M$765</f>
        <v>-0.71308883245737775</v>
      </c>
      <c r="N170" s="12">
        <f>(INDEX(Proj[],MATCH(Std[[#This Row],[Player]],Proj[Player],0),21)-N$764)/N$765</f>
        <v>0.25712157476875169</v>
      </c>
      <c r="O170" s="12">
        <f>(INDEX(Proj[],MATCH(Std[[#This Row],[Player]],Proj[Player],0),22)-O$764)/O$765</f>
        <v>0.68605596092791066</v>
      </c>
      <c r="P170" s="12">
        <f>((INDEX(Proj[],MATCH(Std[[#This Row],[Player]],Proj[Player],0),23)-P$764)/P$765)*IF('League Inputs'!$C$23 = "Yes",-1, 1)</f>
        <v>0.44228196104731388</v>
      </c>
      <c r="Q170" s="12">
        <f>(INDEX(Proj[],MATCH(Std[[#This Row],[Player]],Proj[Player],0),24)-Q$764)/Q$765</f>
        <v>-0.5766103108129359</v>
      </c>
      <c r="R170" s="12">
        <f>(INDEX(Proj[],MATCH(Std[[#This Row],[Player]],Proj[Player],0),25)-R$764)/R$765</f>
        <v>-0.62531533033812681</v>
      </c>
      <c r="S170" s="12">
        <f>(INDEX(Proj[],MATCH(Std[[#This Row],[Player]],Proj[Player],0),26)-S$764)/S$765</f>
        <v>0.33863773823003551</v>
      </c>
      <c r="T1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315.68732157116483</v>
      </c>
      <c r="U170" s="11"/>
      <c r="W170" t="str">
        <v>Filip Hronek</v>
      </c>
      <c r="AA170" t="str">
        <v>Filip Hronek</v>
      </c>
      <c r="AB170" t="str">
        <v>Filip Hronek</v>
      </c>
    </row>
    <row r="171" spans="1:28" x14ac:dyDescent="0.25">
      <c r="A171" t="s">
        <v>587</v>
      </c>
      <c r="B171">
        <f>INDEX(Proj[],MATCH(Std[[#This Row],[Player]],Proj[Player],0),2)</f>
        <v>25</v>
      </c>
      <c r="C171" t="s">
        <v>102</v>
      </c>
      <c r="D171" s="75" t="s">
        <v>103</v>
      </c>
      <c r="E171" s="56"/>
      <c r="F171" t="s">
        <v>2</v>
      </c>
      <c r="G171" s="12">
        <f>(INDEX(Proj[],MATCH(Std[[#This Row],[Player]],Proj[Player],0),14)-G$764)/G$765</f>
        <v>1.4501921187738289</v>
      </c>
      <c r="H171" s="12">
        <f>(INDEX(Proj[],MATCH(Std[[#This Row],[Player]],Proj[Player],0),15)-H$764)/H$765</f>
        <v>8.0945693947519649E-3</v>
      </c>
      <c r="I171" s="12">
        <f>(INDEX(Proj[],MATCH(Std[[#This Row],[Player]],Proj[Player],0),16)-I$764)/I$765</f>
        <v>0.65369935559879788</v>
      </c>
      <c r="J171" s="12">
        <f>(INDEX(Proj[],MATCH(Std[[#This Row],[Player]],Proj[Player],0),17)-J$764)/J$765</f>
        <v>1.0051239131988361</v>
      </c>
      <c r="K171" s="12">
        <f>(INDEX(Proj[],MATCH(Std[[#This Row],[Player]],Proj[Player],0),18)-K$764)/K$765</f>
        <v>-0.14224887932464234</v>
      </c>
      <c r="L171" s="12">
        <f>(INDEX(Proj[],MATCH(Std[[#This Row],[Player]],Proj[Player],0),19)-L$764)/L$765</f>
        <v>0.27091041837816654</v>
      </c>
      <c r="M171" s="12">
        <f>(INDEX(Proj[],MATCH(Std[[#This Row],[Player]],Proj[Player],0),20)-M$764)/M$765</f>
        <v>-0.71308883245737775</v>
      </c>
      <c r="N171" s="12">
        <f>(INDEX(Proj[],MATCH(Std[[#This Row],[Player]],Proj[Player],0),21)-N$764)/N$765</f>
        <v>0.81913384187086002</v>
      </c>
      <c r="O171" s="12">
        <f>(INDEX(Proj[],MATCH(Std[[#This Row],[Player]],Proj[Player],0),22)-O$764)/O$765</f>
        <v>-0.26580017597870353</v>
      </c>
      <c r="P171" s="12">
        <f>((INDEX(Proj[],MATCH(Std[[#This Row],[Player]],Proj[Player],0),23)-P$764)/P$765)*IF('League Inputs'!$C$23 = "Yes",-1, 1)</f>
        <v>-0.86083171930672309</v>
      </c>
      <c r="Q171" s="12">
        <f>(INDEX(Proj[],MATCH(Std[[#This Row],[Player]],Proj[Player],0),24)-Q$764)/Q$765</f>
        <v>-0.43268895334306656</v>
      </c>
      <c r="R171" s="12">
        <f>(INDEX(Proj[],MATCH(Std[[#This Row],[Player]],Proj[Player],0),25)-R$764)/R$765</f>
        <v>-0.42668619697852828</v>
      </c>
      <c r="S171" s="12">
        <f>(INDEX(Proj[],MATCH(Std[[#This Row],[Player]],Proj[Player],0),26)-S$764)/S$765</f>
        <v>2.2524436313354577</v>
      </c>
      <c r="T1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389.51530867233708</v>
      </c>
      <c r="U171" s="11"/>
      <c r="W171" t="str">
        <v>Owen Tippett</v>
      </c>
      <c r="AA171" t="str">
        <v>Owen Tippett</v>
      </c>
      <c r="AB171" t="str">
        <v>Owen Tippett</v>
      </c>
    </row>
    <row r="172" spans="1:28" x14ac:dyDescent="0.25">
      <c r="A172" t="s">
        <v>430</v>
      </c>
      <c r="B172">
        <f>INDEX(Proj[],MATCH(Std[[#This Row],[Player]],Proj[Player],0),2)</f>
        <v>29</v>
      </c>
      <c r="C172" t="s">
        <v>74</v>
      </c>
      <c r="D172" s="75"/>
      <c r="E172" s="56"/>
      <c r="F172" t="s">
        <v>15</v>
      </c>
      <c r="G172" s="12">
        <f>(INDEX(Proj[],MATCH(Std[[#This Row],[Player]],Proj[Player],0),14)-G$764)/G$765</f>
        <v>0.71075503746946955</v>
      </c>
      <c r="H172" s="12">
        <f>(INDEX(Proj[],MATCH(Std[[#This Row],[Player]],Proj[Player],0),15)-H$764)/H$765</f>
        <v>0.52979943831260845</v>
      </c>
      <c r="I172" s="12">
        <f>(INDEX(Proj[],MATCH(Std[[#This Row],[Player]],Proj[Player],0),16)-I$764)/I$765</f>
        <v>0.65369935559879788</v>
      </c>
      <c r="J172" s="12">
        <f>(INDEX(Proj[],MATCH(Std[[#This Row],[Player]],Proj[Player],0),17)-J$764)/J$765</f>
        <v>0.41639733874955659</v>
      </c>
      <c r="K172" s="12">
        <f>(INDEX(Proj[],MATCH(Std[[#This Row],[Player]],Proj[Player],0),18)-K$764)/K$765</f>
        <v>-0.14224887932464234</v>
      </c>
      <c r="L172" s="12">
        <f>(INDEX(Proj[],MATCH(Std[[#This Row],[Player]],Proj[Player],0),19)-L$764)/L$765</f>
        <v>5.3433155352631455E-2</v>
      </c>
      <c r="M172" s="12">
        <f>(INDEX(Proj[],MATCH(Std[[#This Row],[Player]],Proj[Player],0),20)-M$764)/M$765</f>
        <v>-0.71308883245737775</v>
      </c>
      <c r="N172" s="12">
        <f>(INDEX(Proj[],MATCH(Std[[#This Row],[Player]],Proj[Player],0),21)-N$764)/N$765</f>
        <v>0.23774184142040311</v>
      </c>
      <c r="O172" s="12">
        <f>(INDEX(Proj[],MATCH(Std[[#This Row],[Player]],Proj[Player],0),22)-O$764)/O$765</f>
        <v>-0.73012024276241771</v>
      </c>
      <c r="P172" s="12">
        <f>((INDEX(Proj[],MATCH(Std[[#This Row],[Player]],Proj[Player],0),23)-P$764)/P$765)*IF('League Inputs'!$C$23 = "Yes",-1, 1)</f>
        <v>1.745395641401351</v>
      </c>
      <c r="Q172" s="12">
        <f>(INDEX(Proj[],MATCH(Std[[#This Row],[Player]],Proj[Player],0),24)-Q$764)/Q$765</f>
        <v>-0.51797568369558167</v>
      </c>
      <c r="R172" s="12">
        <f>(INDEX(Proj[],MATCH(Std[[#This Row],[Player]],Proj[Player],0),25)-R$764)/R$765</f>
        <v>-0.53451344080231034</v>
      </c>
      <c r="S172" s="12">
        <f>(INDEX(Proj[],MATCH(Std[[#This Row],[Player]],Proj[Player],0),26)-S$764)/S$765</f>
        <v>0.48460598431434737</v>
      </c>
      <c r="T1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316.73345274116099</v>
      </c>
      <c r="U172" s="11"/>
      <c r="W172" t="str">
        <v>Mason Marchment</v>
      </c>
      <c r="AA172" t="str">
        <v>Mason Marchment</v>
      </c>
      <c r="AB172" t="str">
        <v>Mason Marchment</v>
      </c>
    </row>
    <row r="173" spans="1:28" x14ac:dyDescent="0.25">
      <c r="A173" t="s">
        <v>457</v>
      </c>
      <c r="B173">
        <f>INDEX(Proj[],MATCH(Std[[#This Row],[Player]],Proj[Player],0),2)</f>
        <v>29</v>
      </c>
      <c r="C173" t="s">
        <v>74</v>
      </c>
      <c r="D173" s="75" t="s">
        <v>102</v>
      </c>
      <c r="E173" s="56"/>
      <c r="F173" t="s">
        <v>156</v>
      </c>
      <c r="G173" s="12">
        <f>(INDEX(Proj[],MATCH(Std[[#This Row],[Player]],Proj[Player],0),14)-G$764)/G$765</f>
        <v>0.81638890622723514</v>
      </c>
      <c r="H173" s="12">
        <f>(INDEX(Proj[],MATCH(Std[[#This Row],[Player]],Proj[Player],0),15)-H$764)/H$765</f>
        <v>0.45527017132434322</v>
      </c>
      <c r="I173" s="12">
        <f>(INDEX(Proj[],MATCH(Std[[#This Row],[Player]],Proj[Player],0),16)-I$764)/I$765</f>
        <v>0.65369935559879788</v>
      </c>
      <c r="J173" s="12">
        <f>(INDEX(Proj[],MATCH(Std[[#This Row],[Player]],Proj[Player],0),17)-J$764)/J$765</f>
        <v>0.12203405152491688</v>
      </c>
      <c r="K173" s="12">
        <f>(INDEX(Proj[],MATCH(Std[[#This Row],[Player]],Proj[Player],0),18)-K$764)/K$765</f>
        <v>-0.45042076997056774</v>
      </c>
      <c r="L173" s="12">
        <f>(INDEX(Proj[],MATCH(Std[[#This Row],[Player]],Proj[Player],0),19)-L$764)/L$765</f>
        <v>-0.27278273918567114</v>
      </c>
      <c r="M173" s="12">
        <f>(INDEX(Proj[],MATCH(Std[[#This Row],[Player]],Proj[Player],0),20)-M$764)/M$765</f>
        <v>0.31240082183847029</v>
      </c>
      <c r="N173" s="12">
        <f>(INDEX(Proj[],MATCH(Std[[#This Row],[Player]],Proj[Player],0),21)-N$764)/N$765</f>
        <v>1.4586650423663627</v>
      </c>
      <c r="O173" s="12">
        <f>(INDEX(Proj[],MATCH(Std[[#This Row],[Player]],Proj[Player],0),22)-O$764)/O$765</f>
        <v>-0.4050961960138178</v>
      </c>
      <c r="P173" s="12">
        <f>((INDEX(Proj[],MATCH(Std[[#This Row],[Player]],Proj[Player],0),23)-P$764)/P$765)*IF('League Inputs'!$C$23 = "Yes",-1, 1)</f>
        <v>0.25612286385388</v>
      </c>
      <c r="Q173" s="12">
        <f>(INDEX(Proj[],MATCH(Std[[#This Row],[Player]],Proj[Player],0),24)-Q$764)/Q$765</f>
        <v>-0.27810675457913286</v>
      </c>
      <c r="R173" s="12">
        <f>(INDEX(Proj[],MATCH(Std[[#This Row],[Player]],Proj[Player],0),25)-R$764)/R$765</f>
        <v>-0.16563076456305592</v>
      </c>
      <c r="S173" s="12">
        <f>(INDEX(Proj[],MATCH(Std[[#This Row],[Player]],Proj[Player],0),26)-S$764)/S$765</f>
        <v>-3.4392223985428086E-2</v>
      </c>
      <c r="T1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264.97684256065691</v>
      </c>
      <c r="U173" s="11"/>
      <c r="W173" t="str">
        <v>Ivan Barbashev</v>
      </c>
      <c r="AA173" t="str">
        <v>Ivan Barbashev</v>
      </c>
      <c r="AB173" t="str">
        <v>Ivan Barbashev</v>
      </c>
    </row>
    <row r="174" spans="1:28" x14ac:dyDescent="0.25">
      <c r="A174" t="s">
        <v>863</v>
      </c>
      <c r="B174">
        <f>INDEX(Proj[],MATCH(Std[[#This Row],[Player]],Proj[Player],0),2)</f>
        <v>24</v>
      </c>
      <c r="C174" t="s">
        <v>103</v>
      </c>
      <c r="D174" s="75"/>
      <c r="E174" s="57"/>
      <c r="F174" t="s">
        <v>22</v>
      </c>
      <c r="G174" s="12">
        <f>(INDEX(Proj[],MATCH(Std[[#This Row],[Player]],Proj[Player],0),14)-G$764)/G$765</f>
        <v>0.92202277498500074</v>
      </c>
      <c r="H174" s="12">
        <f>(INDEX(Proj[],MATCH(Std[[#This Row],[Player]],Proj[Player],0),15)-H$764)/H$765</f>
        <v>0.38074090433607805</v>
      </c>
      <c r="I174" s="12">
        <f>(INDEX(Proj[],MATCH(Std[[#This Row],[Player]],Proj[Player],0),16)-I$764)/I$765</f>
        <v>0.65369935559879788</v>
      </c>
      <c r="J174" s="12">
        <f>(INDEX(Proj[],MATCH(Std[[#This Row],[Player]],Proj[Player],0),17)-J$764)/J$765</f>
        <v>1.5938504876481154</v>
      </c>
      <c r="K174" s="12">
        <f>(INDEX(Proj[],MATCH(Std[[#This Row],[Player]],Proj[Player],0),18)-K$764)/K$765</f>
        <v>-0.14224887932464234</v>
      </c>
      <c r="L174" s="12">
        <f>(INDEX(Proj[],MATCH(Std[[#This Row],[Player]],Proj[Player],0),19)-L$764)/L$765</f>
        <v>0.48838768140370159</v>
      </c>
      <c r="M174" s="12">
        <f>(INDEX(Proj[],MATCH(Std[[#This Row],[Player]],Proj[Player],0),20)-M$764)/M$765</f>
        <v>-0.71308883245737775</v>
      </c>
      <c r="N174" s="12">
        <f>(INDEX(Proj[],MATCH(Std[[#This Row],[Player]],Proj[Player],0),21)-N$764)/N$765</f>
        <v>-0.22737175893996248</v>
      </c>
      <c r="O174" s="12">
        <f>(INDEX(Proj[],MATCH(Std[[#This Row],[Player]],Proj[Player],0),22)-O$764)/O$765</f>
        <v>-0.1961521659611464</v>
      </c>
      <c r="P174" s="12">
        <f>((INDEX(Proj[],MATCH(Std[[#This Row],[Player]],Proj[Player],0),23)-P$764)/P$765)*IF('League Inputs'!$C$23 = "Yes",-1, 1)</f>
        <v>-0.53505329921821387</v>
      </c>
      <c r="Q174" s="12">
        <f>(INDEX(Proj[],MATCH(Std[[#This Row],[Player]],Proj[Player],0),24)-Q$764)/Q$765</f>
        <v>1.8380702422926496</v>
      </c>
      <c r="R174" s="12">
        <f>(INDEX(Proj[],MATCH(Std[[#This Row],[Player]],Proj[Player],0),25)-R$764)/R$765</f>
        <v>1.8490361595128721</v>
      </c>
      <c r="S174" s="12">
        <f>(INDEX(Proj[],MATCH(Std[[#This Row],[Player]],Proj[Player],0),26)-S$764)/S$765</f>
        <v>1.1333537446890667</v>
      </c>
      <c r="T1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445.76974791859703</v>
      </c>
      <c r="U174" s="11"/>
      <c r="W174" t="str">
        <v>Shane Pinto</v>
      </c>
      <c r="AA174" t="str">
        <v>Shane Pinto</v>
      </c>
      <c r="AB174" t="str">
        <v>Shane Pinto</v>
      </c>
    </row>
    <row r="175" spans="1:28" x14ac:dyDescent="0.25">
      <c r="A175" t="s">
        <v>853</v>
      </c>
      <c r="B175">
        <f>INDEX(Proj[],MATCH(Std[[#This Row],[Player]],Proj[Player],0),2)</f>
        <v>23</v>
      </c>
      <c r="C175" t="s">
        <v>102</v>
      </c>
      <c r="D175" s="75" t="s">
        <v>103</v>
      </c>
      <c r="E175" s="57"/>
      <c r="F175" t="s">
        <v>8</v>
      </c>
      <c r="G175" s="12">
        <f>(INDEX(Proj[],MATCH(Std[[#This Row],[Player]],Proj[Player],0),14)-G$764)/G$765</f>
        <v>1.1332905125005321</v>
      </c>
      <c r="H175" s="12">
        <f>(INDEX(Proj[],MATCH(Std[[#This Row],[Player]],Proj[Player],0),15)-H$764)/H$765</f>
        <v>0.23168237035954761</v>
      </c>
      <c r="I175" s="12">
        <f>(INDEX(Proj[],MATCH(Std[[#This Row],[Player]],Proj[Player],0),16)-I$764)/I$765</f>
        <v>0.65369935559879788</v>
      </c>
      <c r="J175" s="12">
        <f>(INDEX(Proj[],MATCH(Std[[#This Row],[Player]],Proj[Player],0),17)-J$764)/J$765</f>
        <v>0.41639733874955659</v>
      </c>
      <c r="K175" s="12">
        <f>(INDEX(Proj[],MATCH(Std[[#This Row],[Player]],Proj[Player],0),18)-K$764)/K$765</f>
        <v>-0.14224887932464234</v>
      </c>
      <c r="L175" s="12">
        <f>(INDEX(Proj[],MATCH(Std[[#This Row],[Player]],Proj[Player],0),19)-L$764)/L$765</f>
        <v>5.3433155352631455E-2</v>
      </c>
      <c r="M175" s="12">
        <f>(INDEX(Proj[],MATCH(Std[[#This Row],[Player]],Proj[Player],0),20)-M$764)/M$765</f>
        <v>0.31240082183847029</v>
      </c>
      <c r="N175" s="12">
        <f>(INDEX(Proj[],MATCH(Std[[#This Row],[Player]],Proj[Player],0),21)-N$764)/N$765</f>
        <v>-0.18861229224326534</v>
      </c>
      <c r="O175" s="12">
        <f>(INDEX(Proj[],MATCH(Std[[#This Row],[Player]],Proj[Player],0),22)-O$764)/O$765</f>
        <v>-0.68368823608404627</v>
      </c>
      <c r="P175" s="12">
        <f>((INDEX(Proj[],MATCH(Std[[#This Row],[Player]],Proj[Player],0),23)-P$764)/P$765)*IF('League Inputs'!$C$23 = "Yes",-1, 1)</f>
        <v>-0.62813284781493084</v>
      </c>
      <c r="Q175" s="12">
        <f>(INDEX(Proj[],MATCH(Std[[#This Row],[Player]],Proj[Player],0),24)-Q$764)/Q$765</f>
        <v>-0.43268895334306656</v>
      </c>
      <c r="R175" s="12">
        <f>(INDEX(Proj[],MATCH(Std[[#This Row],[Player]],Proj[Player],0),25)-R$764)/R$765</f>
        <v>-0.42101107888253975</v>
      </c>
      <c r="S175" s="12">
        <f>(INDEX(Proj[],MATCH(Std[[#This Row],[Player]],Proj[Player],0),26)-S$764)/S$765</f>
        <v>0.61435553638929119</v>
      </c>
      <c r="T1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75.333860071549125</v>
      </c>
      <c r="U175" s="11"/>
      <c r="W175" t="str">
        <v>Jack Quinn</v>
      </c>
      <c r="AA175" t="str">
        <v>Jack Quinn</v>
      </c>
      <c r="AB175" t="str">
        <v>Jack Quinn</v>
      </c>
    </row>
    <row r="176" spans="1:28" x14ac:dyDescent="0.25">
      <c r="A176" t="s">
        <v>953</v>
      </c>
      <c r="B176">
        <f>INDEX(Proj[],MATCH(Std[[#This Row],[Player]],Proj[Player],0),2)</f>
        <v>22</v>
      </c>
      <c r="C176" t="s">
        <v>103</v>
      </c>
      <c r="D176" s="75"/>
      <c r="E176" s="57"/>
      <c r="F176" t="s">
        <v>29</v>
      </c>
      <c r="G176" s="12">
        <f>(INDEX(Proj[],MATCH(Std[[#This Row],[Player]],Proj[Player],0),14)-G$764)/G$765</f>
        <v>0.81638890622723514</v>
      </c>
      <c r="H176" s="12">
        <f>(INDEX(Proj[],MATCH(Std[[#This Row],[Player]],Proj[Player],0),15)-H$764)/H$765</f>
        <v>0.45527017132434322</v>
      </c>
      <c r="I176" s="12">
        <f>(INDEX(Proj[],MATCH(Std[[#This Row],[Player]],Proj[Player],0),16)-I$764)/I$765</f>
        <v>0.65369935559879788</v>
      </c>
      <c r="J176" s="12">
        <f>(INDEX(Proj[],MATCH(Std[[#This Row],[Player]],Proj[Player],0),17)-J$764)/J$765</f>
        <v>1.0051239131988361</v>
      </c>
      <c r="K176" s="12">
        <f>(INDEX(Proj[],MATCH(Std[[#This Row],[Player]],Proj[Player],0),18)-K$764)/K$765</f>
        <v>0.32000895664424578</v>
      </c>
      <c r="L176" s="12">
        <f>(INDEX(Proj[],MATCH(Std[[#This Row],[Player]],Proj[Player],0),19)-L$764)/L$765</f>
        <v>0.59712631291646912</v>
      </c>
      <c r="M176" s="12">
        <f>(INDEX(Proj[],MATCH(Std[[#This Row],[Player]],Proj[Player],0),20)-M$764)/M$765</f>
        <v>-0.71308883245737775</v>
      </c>
      <c r="N176" s="12">
        <f>(INDEX(Proj[],MATCH(Std[[#This Row],[Player]],Proj[Player],0),21)-N$764)/N$765</f>
        <v>-0.53744749251353952</v>
      </c>
      <c r="O176" s="12">
        <f>(INDEX(Proj[],MATCH(Std[[#This Row],[Player]],Proj[Player],0),22)-O$764)/O$765</f>
        <v>-0.35866418933544636</v>
      </c>
      <c r="P176" s="12">
        <f>((INDEX(Proj[],MATCH(Std[[#This Row],[Player]],Proj[Player],0),23)-P$764)/P$765)*IF('League Inputs'!$C$23 = "Yes",-1, 1)</f>
        <v>-1.0004510422017985</v>
      </c>
      <c r="Q176" s="12">
        <f>(INDEX(Proj[],MATCH(Std[[#This Row],[Player]],Proj[Player],0),24)-Q$764)/Q$765</f>
        <v>2.1205825365853559</v>
      </c>
      <c r="R176" s="12">
        <f>(INDEX(Proj[],MATCH(Std[[#This Row],[Player]],Proj[Player],0),25)-R$764)/R$765</f>
        <v>2.6605780472392317</v>
      </c>
      <c r="S176" s="12">
        <f>(INDEX(Proj[],MATCH(Std[[#This Row],[Player]],Proj[Player],0),26)-S$764)/S$765</f>
        <v>0.4521685962956114</v>
      </c>
      <c r="T1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319.86731548970278</v>
      </c>
      <c r="U176" s="11"/>
      <c r="W176" t="str">
        <v>Matty Beniers</v>
      </c>
      <c r="AA176" t="str">
        <v>Matty Beniers</v>
      </c>
      <c r="AB176" t="str">
        <v>Matty Beniers</v>
      </c>
    </row>
    <row r="177" spans="1:28" x14ac:dyDescent="0.25">
      <c r="A177" t="s">
        <v>298</v>
      </c>
      <c r="B177">
        <f>INDEX(Proj[],MATCH(Std[[#This Row],[Player]],Proj[Player],0),2)</f>
        <v>26</v>
      </c>
      <c r="C177" t="s">
        <v>102</v>
      </c>
      <c r="D177" s="75"/>
      <c r="E177" s="56"/>
      <c r="F177" t="s">
        <v>155</v>
      </c>
      <c r="G177" s="12">
        <f>(INDEX(Proj[],MATCH(Std[[#This Row],[Player]],Proj[Player],0),14)-G$764)/G$765</f>
        <v>0.81638890622723514</v>
      </c>
      <c r="H177" s="12">
        <f>(INDEX(Proj[],MATCH(Std[[#This Row],[Player]],Proj[Player],0),15)-H$764)/H$765</f>
        <v>0.38074090433607805</v>
      </c>
      <c r="I177" s="12">
        <f>(INDEX(Proj[],MATCH(Std[[#This Row],[Player]],Proj[Player],0),16)-I$764)/I$765</f>
        <v>0.60645679663669472</v>
      </c>
      <c r="J177" s="12">
        <f>(INDEX(Proj[],MATCH(Std[[#This Row],[Player]],Proj[Player],0),17)-J$764)/J$765</f>
        <v>1.5938504876481154</v>
      </c>
      <c r="K177" s="12">
        <f>(INDEX(Proj[],MATCH(Std[[#This Row],[Player]],Proj[Player],0),18)-K$764)/K$765</f>
        <v>-0.14224887932464234</v>
      </c>
      <c r="L177" s="12">
        <f>(INDEX(Proj[],MATCH(Std[[#This Row],[Player]],Proj[Player],0),19)-L$764)/L$765</f>
        <v>0.48838768140370159</v>
      </c>
      <c r="M177" s="12">
        <f>(INDEX(Proj[],MATCH(Std[[#This Row],[Player]],Proj[Player],0),20)-M$764)/M$765</f>
        <v>-0.71308883245737775</v>
      </c>
      <c r="N177" s="12">
        <f>(INDEX(Proj[],MATCH(Std[[#This Row],[Player]],Proj[Player],0),21)-N$764)/N$765</f>
        <v>2.4564774588568886E-2</v>
      </c>
      <c r="O177" s="12">
        <f>(INDEX(Proj[],MATCH(Std[[#This Row],[Player]],Proj[Player],0),22)-O$764)/O$765</f>
        <v>-0.52117621270974634</v>
      </c>
      <c r="P177" s="12">
        <f>((INDEX(Proj[],MATCH(Std[[#This Row],[Player]],Proj[Player],0),23)-P$764)/P$765)*IF('League Inputs'!$C$23 = "Yes",-1, 1)</f>
        <v>1.8850149642964262</v>
      </c>
      <c r="Q177" s="12">
        <f>(INDEX(Proj[],MATCH(Std[[#This Row],[Player]],Proj[Player],0),24)-Q$764)/Q$765</f>
        <v>1.7581139325871666</v>
      </c>
      <c r="R177" s="12">
        <f>(INDEX(Proj[],MATCH(Std[[#This Row],[Player]],Proj[Player],0),25)-R$764)/R$765</f>
        <v>1.9909141119125853</v>
      </c>
      <c r="S177" s="12">
        <f>(INDEX(Proj[],MATCH(Std[[#This Row],[Player]],Proj[Player],0),26)-S$764)/S$765</f>
        <v>0.72788639445486714</v>
      </c>
      <c r="T1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616.63781418209919</v>
      </c>
      <c r="U177" s="11"/>
      <c r="W177" t="str">
        <v>Pierre-Luc Dubois</v>
      </c>
      <c r="AA177" t="str">
        <v>Pierre-Luc Dubois</v>
      </c>
      <c r="AB177" t="str">
        <v>Pierre-Luc Dubois</v>
      </c>
    </row>
    <row r="178" spans="1:28" x14ac:dyDescent="0.25">
      <c r="A178" t="s">
        <v>451</v>
      </c>
      <c r="B178">
        <f>INDEX(Proj[],MATCH(Std[[#This Row],[Player]],Proj[Player],0),2)</f>
        <v>31</v>
      </c>
      <c r="C178" t="s">
        <v>102</v>
      </c>
      <c r="D178" s="75"/>
      <c r="E178" s="57"/>
      <c r="F178" t="s">
        <v>25</v>
      </c>
      <c r="G178" s="12">
        <f>(INDEX(Proj[],MATCH(Std[[#This Row],[Player]],Proj[Player],0),14)-G$764)/G$765</f>
        <v>0.81638890622723514</v>
      </c>
      <c r="H178" s="12">
        <f>(INDEX(Proj[],MATCH(Std[[#This Row],[Player]],Proj[Player],0),15)-H$764)/H$765</f>
        <v>0.38074090433607805</v>
      </c>
      <c r="I178" s="12">
        <f>(INDEX(Proj[],MATCH(Std[[#This Row],[Player]],Proj[Player],0),16)-I$764)/I$765</f>
        <v>0.60645679663669472</v>
      </c>
      <c r="J178" s="12">
        <f>(INDEX(Proj[],MATCH(Std[[#This Row],[Player]],Proj[Player],0),17)-J$764)/J$765</f>
        <v>1.0051239131988361</v>
      </c>
      <c r="K178" s="12">
        <f>(INDEX(Proj[],MATCH(Std[[#This Row],[Player]],Proj[Player],0),18)-K$764)/K$765</f>
        <v>0.32000895664424578</v>
      </c>
      <c r="L178" s="12">
        <f>(INDEX(Proj[],MATCH(Std[[#This Row],[Player]],Proj[Player],0),19)-L$764)/L$765</f>
        <v>0.59712631291646912</v>
      </c>
      <c r="M178" s="12">
        <f>(INDEX(Proj[],MATCH(Std[[#This Row],[Player]],Proj[Player],0),20)-M$764)/M$765</f>
        <v>-0.71308883245737775</v>
      </c>
      <c r="N178" s="12">
        <f>(INDEX(Proj[],MATCH(Std[[#This Row],[Player]],Proj[Player],0),21)-N$764)/N$765</f>
        <v>0.54781757499398021</v>
      </c>
      <c r="O178" s="12">
        <f>(INDEX(Proj[],MATCH(Std[[#This Row],[Player]],Proj[Player],0),22)-O$764)/O$765</f>
        <v>-0.4050961960138178</v>
      </c>
      <c r="P178" s="12">
        <f>((INDEX(Proj[],MATCH(Std[[#This Row],[Player]],Proj[Player],0),23)-P$764)/P$765)*IF('League Inputs'!$C$23 = "Yes",-1, 1)</f>
        <v>-0.86083171930672309</v>
      </c>
      <c r="Q178" s="12">
        <f>(INDEX(Proj[],MATCH(Std[[#This Row],[Player]],Proj[Player],0),24)-Q$764)/Q$765</f>
        <v>-0.51264526304854952</v>
      </c>
      <c r="R178" s="12">
        <f>(INDEX(Proj[],MATCH(Std[[#This Row],[Player]],Proj[Player],0),25)-R$764)/R$765</f>
        <v>-0.51748808651434475</v>
      </c>
      <c r="S178" s="12">
        <f>(INDEX(Proj[],MATCH(Std[[#This Row],[Player]],Proj[Player],0),26)-S$764)/S$765</f>
        <v>1.0360415806328587</v>
      </c>
      <c r="T1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220.59988973742253</v>
      </c>
      <c r="U178" s="11"/>
      <c r="W178" t="str">
        <v>Rickard Rakell</v>
      </c>
      <c r="AA178" t="str">
        <v>Rickard Rakell</v>
      </c>
      <c r="AB178" t="str">
        <v>Rickard Rakell</v>
      </c>
    </row>
    <row r="179" spans="1:28" x14ac:dyDescent="0.25">
      <c r="A179" t="s">
        <v>416</v>
      </c>
      <c r="B179">
        <f>INDEX(Proj[],MATCH(Std[[#This Row],[Player]],Proj[Player],0),2)</f>
        <v>28</v>
      </c>
      <c r="C179" t="s">
        <v>103</v>
      </c>
      <c r="D179" s="75"/>
      <c r="E179" s="56"/>
      <c r="F179" t="s">
        <v>32</v>
      </c>
      <c r="G179" s="12">
        <f>(INDEX(Proj[],MATCH(Std[[#This Row],[Player]],Proj[Player],0),14)-G$764)/G$765</f>
        <v>0.81638890622723514</v>
      </c>
      <c r="H179" s="12">
        <f>(INDEX(Proj[],MATCH(Std[[#This Row],[Player]],Proj[Player],0),15)-H$764)/H$765</f>
        <v>0.38074090433607805</v>
      </c>
      <c r="I179" s="12">
        <f>(INDEX(Proj[],MATCH(Std[[#This Row],[Player]],Proj[Player],0),16)-I$764)/I$765</f>
        <v>0.60645679663669472</v>
      </c>
      <c r="J179" s="12">
        <f>(INDEX(Proj[],MATCH(Std[[#This Row],[Player]],Proj[Player],0),17)-J$764)/J$765</f>
        <v>0.12203405152491688</v>
      </c>
      <c r="K179" s="12">
        <f>(INDEX(Proj[],MATCH(Std[[#This Row],[Player]],Proj[Player],0),18)-K$764)/K$765</f>
        <v>-0.45042076997056774</v>
      </c>
      <c r="L179" s="12">
        <f>(INDEX(Proj[],MATCH(Std[[#This Row],[Player]],Proj[Player],0),19)-L$764)/L$765</f>
        <v>-0.27278273918567114</v>
      </c>
      <c r="M179" s="12">
        <f>(INDEX(Proj[],MATCH(Std[[#This Row],[Player]],Proj[Player],0),20)-M$764)/M$765</f>
        <v>0.31240082183847029</v>
      </c>
      <c r="N179" s="12">
        <f>(INDEX(Proj[],MATCH(Std[[#This Row],[Player]],Proj[Player],0),21)-N$764)/N$765</f>
        <v>-5.2954158804825381E-2</v>
      </c>
      <c r="O179" s="12">
        <f>(INDEX(Proj[],MATCH(Std[[#This Row],[Player]],Proj[Player],0),22)-O$764)/O$765</f>
        <v>-0.68368823608404627</v>
      </c>
      <c r="P179" s="12">
        <f>((INDEX(Proj[],MATCH(Std[[#This Row],[Player]],Proj[Player],0),23)-P$764)/P$765)*IF('League Inputs'!$C$23 = "Yes",-1, 1)</f>
        <v>0.16304331525716309</v>
      </c>
      <c r="Q179" s="12">
        <f>(INDEX(Proj[],MATCH(Std[[#This Row],[Player]],Proj[Player],0),24)-Q$764)/Q$765</f>
        <v>-0.51264526304854952</v>
      </c>
      <c r="R179" s="12">
        <f>(INDEX(Proj[],MATCH(Std[[#This Row],[Player]],Proj[Player],0),25)-R$764)/R$765</f>
        <v>-0.54018855889829887</v>
      </c>
      <c r="S179" s="12">
        <f>(INDEX(Proj[],MATCH(Std[[#This Row],[Player]],Proj[Player],0),26)-S$764)/S$765</f>
        <v>0.41973120827687543</v>
      </c>
      <c r="T1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86.429073361095391</v>
      </c>
      <c r="U179" s="11"/>
      <c r="W179" t="str">
        <v>Andrew Mangiapane</v>
      </c>
      <c r="AA179" t="str">
        <v>Andrew Mangiapane</v>
      </c>
      <c r="AB179" t="str">
        <v>Andrew Mangiapane</v>
      </c>
    </row>
    <row r="180" spans="1:28" x14ac:dyDescent="0.25">
      <c r="A180" t="s">
        <v>377</v>
      </c>
      <c r="B180">
        <f>INDEX(Proj[],MATCH(Std[[#This Row],[Player]],Proj[Player],0),2)</f>
        <v>33</v>
      </c>
      <c r="C180" t="s">
        <v>74</v>
      </c>
      <c r="D180" s="75" t="s">
        <v>103</v>
      </c>
      <c r="E180" s="57"/>
      <c r="F180" t="s">
        <v>13</v>
      </c>
      <c r="G180" s="12">
        <f>(INDEX(Proj[],MATCH(Std[[#This Row],[Player]],Proj[Player],0),14)-G$764)/G$765</f>
        <v>0.49948729995393826</v>
      </c>
      <c r="H180" s="12">
        <f>(INDEX(Proj[],MATCH(Std[[#This Row],[Player]],Proj[Player],0),15)-H$764)/H$765</f>
        <v>0.60432870530087368</v>
      </c>
      <c r="I180" s="12">
        <f>(INDEX(Proj[],MATCH(Std[[#This Row],[Player]],Proj[Player],0),16)-I$764)/I$765</f>
        <v>0.60645679663669472</v>
      </c>
      <c r="J180" s="12">
        <f>(INDEX(Proj[],MATCH(Std[[#This Row],[Player]],Proj[Player],0),17)-J$764)/J$765</f>
        <v>0.41639733874955659</v>
      </c>
      <c r="K180" s="12">
        <f>(INDEX(Proj[],MATCH(Std[[#This Row],[Player]],Proj[Player],0),18)-K$764)/K$765</f>
        <v>0.47409490196720849</v>
      </c>
      <c r="L180" s="12">
        <f>(INDEX(Proj[],MATCH(Std[[#This Row],[Player]],Proj[Player],0),19)-L$764)/L$765</f>
        <v>0.48838768140370159</v>
      </c>
      <c r="M180" s="12">
        <f>(INDEX(Proj[],MATCH(Std[[#This Row],[Player]],Proj[Player],0),20)-M$764)/M$765</f>
        <v>-0.71308883245737775</v>
      </c>
      <c r="N180" s="12">
        <f>(INDEX(Proj[],MATCH(Std[[#This Row],[Player]],Proj[Player],0),21)-N$764)/N$765</f>
        <v>-0.75062455934537375</v>
      </c>
      <c r="O180" s="12">
        <f>(INDEX(Proj[],MATCH(Std[[#This Row],[Player]],Proj[Player],0),22)-O$764)/O$765</f>
        <v>-0.54439221604893206</v>
      </c>
      <c r="P180" s="12">
        <f>((INDEX(Proj[],MATCH(Std[[#This Row],[Player]],Proj[Player],0),23)-P$764)/P$765)*IF('League Inputs'!$C$23 = "Yes",-1, 1)</f>
        <v>-6.9655556234629226E-2</v>
      </c>
      <c r="Q180" s="12">
        <f>(INDEX(Proj[],MATCH(Std[[#This Row],[Player]],Proj[Player],0),24)-Q$764)/Q$765</f>
        <v>-0.45934105657822755</v>
      </c>
      <c r="R180" s="12">
        <f>(INDEX(Proj[],MATCH(Std[[#This Row],[Player]],Proj[Player],0),25)-R$764)/R$765</f>
        <v>-0.46641202365044798</v>
      </c>
      <c r="S180" s="12">
        <f>(INDEX(Proj[],MATCH(Std[[#This Row],[Player]],Proj[Player],0),26)-S$764)/S$765</f>
        <v>0.95494811058601881</v>
      </c>
      <c r="T1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132.95952056740646</v>
      </c>
      <c r="U180" s="11"/>
      <c r="W180" t="str">
        <v>Taylor Hall</v>
      </c>
      <c r="AA180" t="str">
        <v>Taylor Hall</v>
      </c>
      <c r="AB180" t="str">
        <v>Taylor Hall</v>
      </c>
    </row>
    <row r="181" spans="1:28" x14ac:dyDescent="0.25">
      <c r="A181" t="s">
        <v>1097</v>
      </c>
      <c r="B181">
        <f>INDEX(Proj[],MATCH(Std[[#This Row],[Player]],Proj[Player],0),2)</f>
        <v>20</v>
      </c>
      <c r="C181" t="s">
        <v>102</v>
      </c>
      <c r="D181" s="75" t="s">
        <v>103</v>
      </c>
      <c r="E181" s="56"/>
      <c r="F181" t="s">
        <v>16</v>
      </c>
      <c r="G181" s="12">
        <f>(INDEX(Proj[],MATCH(Std[[#This Row],[Player]],Proj[Player],0),14)-G$764)/G$765</f>
        <v>0.71075503746946955</v>
      </c>
      <c r="H181" s="12">
        <f>(INDEX(Proj[],MATCH(Std[[#This Row],[Player]],Proj[Player],0),15)-H$764)/H$765</f>
        <v>0.45527017132434322</v>
      </c>
      <c r="I181" s="12">
        <f>(INDEX(Proj[],MATCH(Std[[#This Row],[Player]],Proj[Player],0),16)-I$764)/I$765</f>
        <v>0.60645679663669472</v>
      </c>
      <c r="J181" s="12">
        <f>(INDEX(Proj[],MATCH(Std[[#This Row],[Player]],Proj[Player],0),17)-J$764)/J$765</f>
        <v>0.71076062597419631</v>
      </c>
      <c r="K181" s="12">
        <f>(INDEX(Proj[],MATCH(Std[[#This Row],[Player]],Proj[Player],0),18)-K$764)/K$765</f>
        <v>0.47409490196720849</v>
      </c>
      <c r="L181" s="12">
        <f>(INDEX(Proj[],MATCH(Std[[#This Row],[Player]],Proj[Player],0),19)-L$764)/L$765</f>
        <v>0.59712631291646912</v>
      </c>
      <c r="M181" s="12">
        <f>(INDEX(Proj[],MATCH(Std[[#This Row],[Player]],Proj[Player],0),20)-M$764)/M$765</f>
        <v>-0.71308883245737775</v>
      </c>
      <c r="N181" s="12">
        <f>(INDEX(Proj[],MATCH(Std[[#This Row],[Player]],Proj[Player],0),21)-N$764)/N$765</f>
        <v>-0.92504215948051083</v>
      </c>
      <c r="O181" s="12">
        <f>(INDEX(Proj[],MATCH(Std[[#This Row],[Player]],Proj[Player],0),22)-O$764)/O$765</f>
        <v>-0.66047223274486055</v>
      </c>
      <c r="P181" s="12">
        <f>((INDEX(Proj[],MATCH(Std[[#This Row],[Player]],Proj[Player],0),23)-P$764)/P$765)*IF('League Inputs'!$C$23 = "Yes",-1, 1)</f>
        <v>-0.44197375062149696</v>
      </c>
      <c r="Q181" s="12">
        <f>(INDEX(Proj[],MATCH(Std[[#This Row],[Player]],Proj[Player],0),24)-Q$764)/Q$765</f>
        <v>1.0491679865318844</v>
      </c>
      <c r="R181" s="12">
        <f>(INDEX(Proj[],MATCH(Std[[#This Row],[Player]],Proj[Player],0),25)-R$764)/R$765</f>
        <v>1.9057873404727574</v>
      </c>
      <c r="S181" s="12">
        <f>(INDEX(Proj[],MATCH(Std[[#This Row],[Player]],Proj[Player],0),26)-S$764)/S$765</f>
        <v>0.46838729030497939</v>
      </c>
      <c r="T1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185.96754523369719</v>
      </c>
      <c r="U181" s="11"/>
      <c r="W181" t="str">
        <v>Leo Carlsson</v>
      </c>
      <c r="AA181" t="str">
        <v>Leo Carlsson</v>
      </c>
      <c r="AB181" t="str">
        <v>Leo Carlsson</v>
      </c>
    </row>
    <row r="182" spans="1:28" x14ac:dyDescent="0.25">
      <c r="A182" t="s">
        <v>563</v>
      </c>
      <c r="B182">
        <f>INDEX(Proj[],MATCH(Std[[#This Row],[Player]],Proj[Player],0),2)</f>
        <v>34</v>
      </c>
      <c r="C182" t="s">
        <v>102</v>
      </c>
      <c r="D182" s="75" t="s">
        <v>103</v>
      </c>
      <c r="E182" s="56"/>
      <c r="F182" t="s">
        <v>34</v>
      </c>
      <c r="G182" s="12">
        <f>(INDEX(Proj[],MATCH(Std[[#This Row],[Player]],Proj[Player],0),14)-G$764)/G$765</f>
        <v>1.1332905125005321</v>
      </c>
      <c r="H182" s="12">
        <f>(INDEX(Proj[],MATCH(Std[[#This Row],[Player]],Proj[Player],0),15)-H$764)/H$765</f>
        <v>8.262383638301718E-2</v>
      </c>
      <c r="I182" s="12">
        <f>(INDEX(Proj[],MATCH(Std[[#This Row],[Player]],Proj[Player],0),16)-I$764)/I$765</f>
        <v>0.55921423767459144</v>
      </c>
      <c r="J182" s="12">
        <f>(INDEX(Proj[],MATCH(Std[[#This Row],[Player]],Proj[Player],0),17)-J$764)/J$765</f>
        <v>0.71076062597419631</v>
      </c>
      <c r="K182" s="12">
        <f>(INDEX(Proj[],MATCH(Std[[#This Row],[Player]],Proj[Player],0),18)-K$764)/K$765</f>
        <v>-0.14224887932464234</v>
      </c>
      <c r="L182" s="12">
        <f>(INDEX(Proj[],MATCH(Std[[#This Row],[Player]],Proj[Player],0),19)-L$764)/L$765</f>
        <v>0.16217178686539899</v>
      </c>
      <c r="M182" s="12">
        <f>(INDEX(Proj[],MATCH(Std[[#This Row],[Player]],Proj[Player],0),20)-M$764)/M$765</f>
        <v>1.3378904761343182</v>
      </c>
      <c r="N182" s="12">
        <f>(INDEX(Proj[],MATCH(Std[[#This Row],[Player]],Proj[Player],0),21)-N$764)/N$765</f>
        <v>-0.22737175893996248</v>
      </c>
      <c r="O182" s="12">
        <f>(INDEX(Proj[],MATCH(Std[[#This Row],[Player]],Proj[Player],0),22)-O$764)/O$765</f>
        <v>0.1985198908050107</v>
      </c>
      <c r="P182" s="12">
        <f>((INDEX(Proj[],MATCH(Std[[#This Row],[Player]],Proj[Player],0),23)-P$764)/P$765)*IF('League Inputs'!$C$23 = "Yes",-1, 1)</f>
        <v>-0.34889420202478</v>
      </c>
      <c r="Q182" s="12">
        <f>(INDEX(Proj[],MATCH(Std[[#This Row],[Player]],Proj[Player],0),24)-Q$764)/Q$765</f>
        <v>2.1898780049967743</v>
      </c>
      <c r="R182" s="12">
        <f>(INDEX(Proj[],MATCH(Std[[#This Row],[Player]],Proj[Player],0),25)-R$764)/R$765</f>
        <v>2.0192897023925278</v>
      </c>
      <c r="S182" s="12">
        <f>(INDEX(Proj[],MATCH(Std[[#This Row],[Player]],Proj[Player],0),26)-S$764)/S$765</f>
        <v>0.41973120827687543</v>
      </c>
      <c r="T1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416.91635165374583</v>
      </c>
      <c r="U182" s="11"/>
      <c r="W182" t="str">
        <v>Adam Henrique</v>
      </c>
      <c r="AA182" t="str">
        <v>Adam Henrique</v>
      </c>
      <c r="AB182" t="str">
        <v>Adam Henrique</v>
      </c>
    </row>
    <row r="183" spans="1:28" x14ac:dyDescent="0.25">
      <c r="A183" t="s">
        <v>1002</v>
      </c>
      <c r="B183">
        <f>INDEX(Proj[],MATCH(Std[[#This Row],[Player]],Proj[Player],0),2)</f>
        <v>25</v>
      </c>
      <c r="C183" t="s">
        <v>102</v>
      </c>
      <c r="D183" s="75" t="s">
        <v>103</v>
      </c>
      <c r="E183" s="56"/>
      <c r="F183" t="s">
        <v>34</v>
      </c>
      <c r="G183" s="12">
        <f>(INDEX(Proj[],MATCH(Std[[#This Row],[Player]],Proj[Player],0),14)-G$764)/G$765</f>
        <v>0.81638890622723514</v>
      </c>
      <c r="H183" s="12">
        <f>(INDEX(Proj[],MATCH(Std[[#This Row],[Player]],Proj[Player],0),15)-H$764)/H$765</f>
        <v>0.30621163734781282</v>
      </c>
      <c r="I183" s="12">
        <f>(INDEX(Proj[],MATCH(Std[[#This Row],[Player]],Proj[Player],0),16)-I$764)/I$765</f>
        <v>0.55921423767459144</v>
      </c>
      <c r="J183" s="12">
        <f>(INDEX(Proj[],MATCH(Std[[#This Row],[Player]],Proj[Player],0),17)-J$764)/J$765</f>
        <v>0.71076062597419631</v>
      </c>
      <c r="K183" s="12">
        <f>(INDEX(Proj[],MATCH(Std[[#This Row],[Player]],Proj[Player],0),18)-K$764)/K$765</f>
        <v>0.32000895664424578</v>
      </c>
      <c r="L183" s="12">
        <f>(INDEX(Proj[],MATCH(Std[[#This Row],[Player]],Proj[Player],0),19)-L$764)/L$765</f>
        <v>0.48838768140370159</v>
      </c>
      <c r="M183" s="12">
        <f>(INDEX(Proj[],MATCH(Std[[#This Row],[Player]],Proj[Player],0),20)-M$764)/M$765</f>
        <v>0.31240082183847029</v>
      </c>
      <c r="N183" s="12">
        <f>(INDEX(Proj[],MATCH(Std[[#This Row],[Player]],Proj[Player],0),21)-N$764)/N$765</f>
        <v>0.12146344133031171</v>
      </c>
      <c r="O183" s="12">
        <f>(INDEX(Proj[],MATCH(Std[[#This Row],[Player]],Proj[Player],0),22)-O$764)/O$765</f>
        <v>-0.17293616262196068</v>
      </c>
      <c r="P183" s="12">
        <f>((INDEX(Proj[],MATCH(Std[[#This Row],[Player]],Proj[Player],0),23)-P$764)/P$765)*IF('League Inputs'!$C$23 = "Yes",-1, 1)</f>
        <v>-0.72121239641164769</v>
      </c>
      <c r="Q183" s="12">
        <f>(INDEX(Proj[],MATCH(Std[[#This Row],[Player]],Proj[Player],0),24)-Q$764)/Q$765</f>
        <v>-0.40070642946087337</v>
      </c>
      <c r="R183" s="12">
        <f>(INDEX(Proj[],MATCH(Std[[#This Row],[Player]],Proj[Player],0),25)-R$764)/R$765</f>
        <v>-0.33020918934672328</v>
      </c>
      <c r="S183" s="12">
        <f>(INDEX(Proj[],MATCH(Std[[#This Row],[Player]],Proj[Player],0),26)-S$764)/S$765</f>
        <v>1.3279780728014825</v>
      </c>
      <c r="T1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232.47889882906537</v>
      </c>
      <c r="U183" s="11"/>
      <c r="W183" t="str">
        <v>Fabian Zetterlund</v>
      </c>
      <c r="AA183" t="str">
        <v>Fabian Zetterlund</v>
      </c>
      <c r="AB183" t="str">
        <v>Fabian Zetterlund</v>
      </c>
    </row>
    <row r="184" spans="1:28" x14ac:dyDescent="0.25">
      <c r="A184" t="s">
        <v>747</v>
      </c>
      <c r="B184">
        <f>INDEX(Proj[],MATCH(Std[[#This Row],[Player]],Proj[Player],0),2)</f>
        <v>25</v>
      </c>
      <c r="C184" t="s">
        <v>102</v>
      </c>
      <c r="D184" s="75" t="s">
        <v>103</v>
      </c>
      <c r="E184" s="57"/>
      <c r="F184" t="s">
        <v>32</v>
      </c>
      <c r="G184" s="12">
        <f>(INDEX(Proj[],MATCH(Std[[#This Row],[Player]],Proj[Player],0),14)-G$764)/G$765</f>
        <v>0.28821956243840696</v>
      </c>
      <c r="H184" s="12">
        <f>(INDEX(Proj[],MATCH(Std[[#This Row],[Player]],Proj[Player],0),15)-H$764)/H$765</f>
        <v>0.67885797228913891</v>
      </c>
      <c r="I184" s="12">
        <f>(INDEX(Proj[],MATCH(Std[[#This Row],[Player]],Proj[Player],0),16)-I$764)/I$765</f>
        <v>0.55921423767459144</v>
      </c>
      <c r="J184" s="12">
        <f>(INDEX(Proj[],MATCH(Std[[#This Row],[Player]],Proj[Player],0),17)-J$764)/J$765</f>
        <v>0.71076062597419631</v>
      </c>
      <c r="K184" s="12">
        <f>(INDEX(Proj[],MATCH(Std[[#This Row],[Player]],Proj[Player],0),18)-K$764)/K$765</f>
        <v>0.93635273793609664</v>
      </c>
      <c r="L184" s="12">
        <f>(INDEX(Proj[],MATCH(Std[[#This Row],[Player]],Proj[Player],0),19)-L$764)/L$765</f>
        <v>0.92334220745477169</v>
      </c>
      <c r="M184" s="12">
        <f>(INDEX(Proj[],MATCH(Std[[#This Row],[Player]],Proj[Player],0),20)-M$764)/M$765</f>
        <v>-0.71308883245737775</v>
      </c>
      <c r="N184" s="12">
        <f>(INDEX(Proj[],MATCH(Std[[#This Row],[Player]],Proj[Player],0),21)-N$764)/N$765</f>
        <v>-1.0800800262672994</v>
      </c>
      <c r="O184" s="12">
        <f>(INDEX(Proj[],MATCH(Std[[#This Row],[Player]],Proj[Player],0),22)-O$764)/O$765</f>
        <v>-0.35866418933544636</v>
      </c>
      <c r="P184" s="12">
        <f>((INDEX(Proj[],MATCH(Std[[#This Row],[Player]],Proj[Player],0),23)-P$764)/P$765)*IF('League Inputs'!$C$23 = "Yes",-1, 1)</f>
        <v>-0.62813284781493084</v>
      </c>
      <c r="Q184" s="12">
        <f>(INDEX(Proj[],MATCH(Std[[#This Row],[Player]],Proj[Player],0),24)-Q$764)/Q$765</f>
        <v>7.3701008124992168E-2</v>
      </c>
      <c r="R184" s="12">
        <f>(INDEX(Proj[],MATCH(Std[[#This Row],[Player]],Proj[Player],0),25)-R$764)/R$765</f>
        <v>0.19190167548422143</v>
      </c>
      <c r="S184" s="12">
        <f>(INDEX(Proj[],MATCH(Std[[#This Row],[Player]],Proj[Player],0),26)-S$764)/S$765</f>
        <v>0.1764507981363557</v>
      </c>
      <c r="T1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63.29087227005801</v>
      </c>
      <c r="U184" s="11"/>
      <c r="W184" t="str">
        <v>Philipp Kurashev</v>
      </c>
      <c r="AA184" t="str">
        <v>Philipp Kurashev</v>
      </c>
      <c r="AB184" t="str">
        <v>Philipp Kurashev</v>
      </c>
    </row>
    <row r="185" spans="1:28" x14ac:dyDescent="0.25">
      <c r="A185" t="s">
        <v>1016</v>
      </c>
      <c r="B185">
        <f>INDEX(Proj[],MATCH(Std[[#This Row],[Player]],Proj[Player],0),2)</f>
        <v>22</v>
      </c>
      <c r="C185" t="s">
        <v>102</v>
      </c>
      <c r="D185" s="75"/>
      <c r="E185" s="57"/>
      <c r="F185" t="s">
        <v>156</v>
      </c>
      <c r="G185" s="12">
        <f>(INDEX(Proj[],MATCH(Std[[#This Row],[Player]],Proj[Player],0),14)-G$764)/G$765</f>
        <v>0.28821956243840696</v>
      </c>
      <c r="H185" s="12">
        <f>(INDEX(Proj[],MATCH(Std[[#This Row],[Player]],Proj[Player],0),15)-H$764)/H$765</f>
        <v>0.67885797228913891</v>
      </c>
      <c r="I185" s="12">
        <f>(INDEX(Proj[],MATCH(Std[[#This Row],[Player]],Proj[Player],0),16)-I$764)/I$765</f>
        <v>0.55921423767459144</v>
      </c>
      <c r="J185" s="12">
        <f>(INDEX(Proj[],MATCH(Std[[#This Row],[Player]],Proj[Player],0),17)-J$764)/J$765</f>
        <v>1.0051239131988361</v>
      </c>
      <c r="K185" s="12">
        <f>(INDEX(Proj[],MATCH(Std[[#This Row],[Player]],Proj[Player],0),18)-K$764)/K$765</f>
        <v>0.78226679261313392</v>
      </c>
      <c r="L185" s="12">
        <f>(INDEX(Proj[],MATCH(Std[[#This Row],[Player]],Proj[Player],0),19)-L$764)/L$765</f>
        <v>0.92334220745477169</v>
      </c>
      <c r="M185" s="12">
        <f>(INDEX(Proj[],MATCH(Std[[#This Row],[Player]],Proj[Player],0),20)-M$764)/M$765</f>
        <v>0.31240082183847029</v>
      </c>
      <c r="N185" s="12">
        <f>(INDEX(Proj[],MATCH(Std[[#This Row],[Player]],Proj[Player],0),21)-N$764)/N$765</f>
        <v>-0.92504215948051083</v>
      </c>
      <c r="O185" s="12">
        <f>(INDEX(Proj[],MATCH(Std[[#This Row],[Player]],Proj[Player],0),22)-O$764)/O$765</f>
        <v>8.2439874109082142E-2</v>
      </c>
      <c r="P185" s="12">
        <f>((INDEX(Proj[],MATCH(Std[[#This Row],[Player]],Proj[Player],0),23)-P$764)/P$765)*IF('League Inputs'!$C$23 = "Yes",-1, 1)</f>
        <v>-2.3115781936270764E-2</v>
      </c>
      <c r="Q185" s="12">
        <f>(INDEX(Proj[],MATCH(Std[[#This Row],[Player]],Proj[Player],0),24)-Q$764)/Q$765</f>
        <v>-0.11819413516816692</v>
      </c>
      <c r="R185" s="12">
        <f>(INDEX(Proj[],MATCH(Std[[#This Row],[Player]],Proj[Player],0),25)-R$764)/R$765</f>
        <v>0.28837868311602644</v>
      </c>
      <c r="S185" s="12">
        <f>(INDEX(Proj[],MATCH(Std[[#This Row],[Player]],Proj[Player],0),26)-S$764)/S$765</f>
        <v>0.11157602209888376</v>
      </c>
      <c r="T1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157.7297799479926</v>
      </c>
      <c r="U185" s="11"/>
      <c r="W185" t="str">
        <v>William Eklund</v>
      </c>
      <c r="AA185" t="str">
        <v>William Eklund</v>
      </c>
      <c r="AB185" t="str">
        <v>William Eklund</v>
      </c>
    </row>
    <row r="186" spans="1:28" x14ac:dyDescent="0.25">
      <c r="A186" t="s">
        <v>885</v>
      </c>
      <c r="B186">
        <f>INDEX(Proj[],MATCH(Std[[#This Row],[Player]],Proj[Player],0),2)</f>
        <v>31</v>
      </c>
      <c r="C186" t="s">
        <v>74</v>
      </c>
      <c r="D186" s="75" t="s">
        <v>103</v>
      </c>
      <c r="E186" s="57"/>
      <c r="F186" t="s">
        <v>16</v>
      </c>
      <c r="G186" s="12">
        <f>(INDEX(Proj[],MATCH(Std[[#This Row],[Player]],Proj[Player],0),14)-G$764)/G$765</f>
        <v>-0.13431591259265557</v>
      </c>
      <c r="H186" s="12">
        <f>(INDEX(Proj[],MATCH(Std[[#This Row],[Player]],Proj[Player],0),15)-H$764)/H$765</f>
        <v>0.90244577325393449</v>
      </c>
      <c r="I186" s="12">
        <f>(INDEX(Proj[],MATCH(Std[[#This Row],[Player]],Proj[Player],0),16)-I$764)/I$765</f>
        <v>0.51197167871248828</v>
      </c>
      <c r="J186" s="12">
        <f>(INDEX(Proj[],MATCH(Std[[#This Row],[Player]],Proj[Player],0),17)-J$764)/J$765</f>
        <v>-0.46669252292436259</v>
      </c>
      <c r="K186" s="12">
        <f>(INDEX(Proj[],MATCH(Std[[#This Row],[Player]],Proj[Player],0),18)-K$764)/K$765</f>
        <v>0.47409490196720849</v>
      </c>
      <c r="L186" s="12">
        <f>(INDEX(Proj[],MATCH(Std[[#This Row],[Player]],Proj[Player],0),19)-L$764)/L$765</f>
        <v>0.16217178686539899</v>
      </c>
      <c r="M186" s="12">
        <f>(INDEX(Proj[],MATCH(Std[[#This Row],[Player]],Proj[Player],0),20)-M$764)/M$765</f>
        <v>1.3378904761343182</v>
      </c>
      <c r="N186" s="12">
        <f>(INDEX(Proj[],MATCH(Std[[#This Row],[Player]],Proj[Player],0),21)-N$764)/N$765</f>
        <v>1.6330826425014999</v>
      </c>
      <c r="O186" s="12">
        <f>(INDEX(Proj[],MATCH(Std[[#This Row],[Player]],Proj[Player],0),22)-O$764)/O$765</f>
        <v>2.4969042213843959</v>
      </c>
      <c r="P186" s="12">
        <f>((INDEX(Proj[],MATCH(Std[[#This Row],[Player]],Proj[Player],0),23)-P$764)/P$765)*IF('League Inputs'!$C$23 = "Yes",-1, 1)</f>
        <v>0.67498083253910623</v>
      </c>
      <c r="Q186" s="12">
        <f>(INDEX(Proj[],MATCH(Std[[#This Row],[Player]],Proj[Player],0),24)-Q$764)/Q$765</f>
        <v>-0.5766103108129359</v>
      </c>
      <c r="R186" s="12">
        <f>(INDEX(Proj[],MATCH(Std[[#This Row],[Player]],Proj[Player],0),25)-R$764)/R$765</f>
        <v>-0.62531533033812681</v>
      </c>
      <c r="S186" s="12">
        <f>(INDEX(Proj[],MATCH(Std[[#This Row],[Player]],Proj[Player],0),26)-S$764)/S$765</f>
        <v>0.97116680459538685</v>
      </c>
      <c r="T1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664.17975164466191</v>
      </c>
      <c r="U186" s="11"/>
      <c r="W186" t="str">
        <v>MacKenzie Weegar</v>
      </c>
      <c r="AA186" t="str">
        <v>MacKenzie Weegar</v>
      </c>
      <c r="AB186" t="str">
        <v>MacKenzie Weegar</v>
      </c>
    </row>
    <row r="187" spans="1:28" x14ac:dyDescent="0.25">
      <c r="A187" t="s">
        <v>441</v>
      </c>
      <c r="B187">
        <f>INDEX(Proj[],MATCH(Std[[#This Row],[Player]],Proj[Player],0),2)</f>
        <v>30</v>
      </c>
      <c r="C187" t="s">
        <v>102</v>
      </c>
      <c r="D187" s="75" t="s">
        <v>103</v>
      </c>
      <c r="E187" s="56"/>
      <c r="F187" t="s">
        <v>25</v>
      </c>
      <c r="G187" s="12">
        <f>(INDEX(Proj[],MATCH(Std[[#This Row],[Player]],Proj[Player],0),14)-G$764)/G$765</f>
        <v>-0.13431591259265557</v>
      </c>
      <c r="H187" s="12">
        <f>(INDEX(Proj[],MATCH(Std[[#This Row],[Player]],Proj[Player],0),15)-H$764)/H$765</f>
        <v>0.90244577325393449</v>
      </c>
      <c r="I187" s="12">
        <f>(INDEX(Proj[],MATCH(Std[[#This Row],[Player]],Proj[Player],0),16)-I$764)/I$765</f>
        <v>0.51197167871248828</v>
      </c>
      <c r="J187" s="12">
        <f>(INDEX(Proj[],MATCH(Std[[#This Row],[Player]],Proj[Player],0),17)-J$764)/J$765</f>
        <v>-0.17232923569972286</v>
      </c>
      <c r="K187" s="12">
        <f>(INDEX(Proj[],MATCH(Std[[#This Row],[Player]],Proj[Player],0),18)-K$764)/K$765</f>
        <v>1.5526965192279474</v>
      </c>
      <c r="L187" s="12">
        <f>(INDEX(Proj[],MATCH(Std[[#This Row],[Player]],Proj[Player],0),19)-L$764)/L$765</f>
        <v>1.0320808389675393</v>
      </c>
      <c r="M187" s="12">
        <f>(INDEX(Proj[],MATCH(Std[[#This Row],[Player]],Proj[Player],0),20)-M$764)/M$765</f>
        <v>-0.71308883245737775</v>
      </c>
      <c r="N187" s="12">
        <f>(INDEX(Proj[],MATCH(Std[[#This Row],[Player]],Proj[Player],0),21)-N$764)/N$765</f>
        <v>0.17960264137535742</v>
      </c>
      <c r="O187" s="12">
        <f>(INDEX(Proj[],MATCH(Std[[#This Row],[Player]],Proj[Player],0),22)-O$764)/O$765</f>
        <v>0.56997594423198206</v>
      </c>
      <c r="P187" s="12">
        <f>((INDEX(Proj[],MATCH(Std[[#This Row],[Player]],Proj[Player],0),23)-P$764)/P$765)*IF('League Inputs'!$C$23 = "Yes",-1, 1)</f>
        <v>1.6988558671029923</v>
      </c>
      <c r="Q187" s="12">
        <f>(INDEX(Proj[],MATCH(Std[[#This Row],[Player]],Proj[Player],0),24)-Q$764)/Q$765</f>
        <v>-0.5766103108129359</v>
      </c>
      <c r="R187" s="12">
        <f>(INDEX(Proj[],MATCH(Std[[#This Row],[Player]],Proj[Player],0),25)-R$764)/R$765</f>
        <v>-0.62531533033812681</v>
      </c>
      <c r="S187" s="12">
        <f>(INDEX(Proj[],MATCH(Std[[#This Row],[Player]],Proj[Player],0),26)-S$764)/S$765</f>
        <v>0.97116680459538685</v>
      </c>
      <c r="T1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515.51733248340895</v>
      </c>
      <c r="U187" s="11"/>
      <c r="W187" t="str">
        <v>Brandon Montour</v>
      </c>
      <c r="AA187" t="str">
        <v>Brandon Montour</v>
      </c>
      <c r="AB187" t="str">
        <v>Brandon Montour</v>
      </c>
    </row>
    <row r="188" spans="1:28" x14ac:dyDescent="0.25">
      <c r="A188" t="s">
        <v>337</v>
      </c>
      <c r="B188">
        <f>INDEX(Proj[],MATCH(Std[[#This Row],[Player]],Proj[Player],0),2)</f>
        <v>30</v>
      </c>
      <c r="C188" t="s">
        <v>102</v>
      </c>
      <c r="D188" s="75"/>
      <c r="E188" s="57"/>
      <c r="F188" t="s">
        <v>6</v>
      </c>
      <c r="G188" s="12">
        <f>(INDEX(Proj[],MATCH(Std[[#This Row],[Player]],Proj[Player],0),14)-G$764)/G$765</f>
        <v>0.92202277498500074</v>
      </c>
      <c r="H188" s="12">
        <f>(INDEX(Proj[],MATCH(Std[[#This Row],[Player]],Proj[Player],0),15)-H$764)/H$765</f>
        <v>0.15715310337128238</v>
      </c>
      <c r="I188" s="12">
        <f>(INDEX(Proj[],MATCH(Std[[#This Row],[Player]],Proj[Player],0),16)-I$764)/I$765</f>
        <v>0.51197167871248828</v>
      </c>
      <c r="J188" s="12">
        <f>(INDEX(Proj[],MATCH(Std[[#This Row],[Player]],Proj[Player],0),17)-J$764)/J$765</f>
        <v>0.12203405152491688</v>
      </c>
      <c r="K188" s="12">
        <f>(INDEX(Proj[],MATCH(Std[[#This Row],[Player]],Proj[Player],0),18)-K$764)/K$765</f>
        <v>-0.14224887932464234</v>
      </c>
      <c r="L188" s="12">
        <f>(INDEX(Proj[],MATCH(Std[[#This Row],[Player]],Proj[Player],0),19)-L$764)/L$765</f>
        <v>-5.5305476160136084E-2</v>
      </c>
      <c r="M188" s="12">
        <f>(INDEX(Proj[],MATCH(Std[[#This Row],[Player]],Proj[Player],0),20)-M$764)/M$765</f>
        <v>1.3378904761343182</v>
      </c>
      <c r="N188" s="12">
        <f>(INDEX(Proj[],MATCH(Std[[#This Row],[Player]],Proj[Player],0),21)-N$764)/N$765</f>
        <v>-0.36302989237840244</v>
      </c>
      <c r="O188" s="12">
        <f>(INDEX(Proj[],MATCH(Std[[#This Row],[Player]],Proj[Player],0),22)-O$764)/O$765</f>
        <v>-0.10328815260440355</v>
      </c>
      <c r="P188" s="12">
        <f>((INDEX(Proj[],MATCH(Std[[#This Row],[Player]],Proj[Player],0),23)-P$764)/P$765)*IF('League Inputs'!$C$23 = "Yes",-1, 1)</f>
        <v>2.5365718044734447</v>
      </c>
      <c r="Q188" s="12">
        <f>(INDEX(Proj[],MATCH(Std[[#This Row],[Player]],Proj[Player],0),24)-Q$764)/Q$765</f>
        <v>1.3530019634127195</v>
      </c>
      <c r="R188" s="12">
        <f>(INDEX(Proj[],MATCH(Std[[#This Row],[Player]],Proj[Player],0),25)-R$764)/R$765</f>
        <v>1.7979600966489753</v>
      </c>
      <c r="S188" s="12">
        <f>(INDEX(Proj[],MATCH(Std[[#This Row],[Player]],Proj[Player],0),26)-S$764)/S$765</f>
        <v>0.92251072256728295</v>
      </c>
      <c r="T1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588.16085263792775</v>
      </c>
      <c r="U188" s="11"/>
      <c r="W188" t="str">
        <v>Ryan Hartman</v>
      </c>
      <c r="AA188" t="str">
        <v>Ryan Hartman</v>
      </c>
      <c r="AB188" t="str">
        <v>Ryan Hartman</v>
      </c>
    </row>
    <row r="189" spans="1:28" x14ac:dyDescent="0.25">
      <c r="A189" t="s">
        <v>478</v>
      </c>
      <c r="B189">
        <f>INDEX(Proj[],MATCH(Std[[#This Row],[Player]],Proj[Player],0),2)</f>
        <v>30</v>
      </c>
      <c r="C189" t="s">
        <v>103</v>
      </c>
      <c r="D189" s="75"/>
      <c r="E189" s="56"/>
      <c r="F189" t="s">
        <v>15</v>
      </c>
      <c r="G189" s="12">
        <f>(INDEX(Proj[],MATCH(Std[[#This Row],[Player]],Proj[Player],0),14)-G$764)/G$765</f>
        <v>-0.23994978135042122</v>
      </c>
      <c r="H189" s="12">
        <f>(INDEX(Proj[],MATCH(Std[[#This Row],[Player]],Proj[Player],0),15)-H$764)/H$765</f>
        <v>1.2005628412069953</v>
      </c>
      <c r="I189" s="12">
        <f>(INDEX(Proj[],MATCH(Std[[#This Row],[Player]],Proj[Player],0),16)-I$764)/I$765</f>
        <v>0.65369935559879788</v>
      </c>
      <c r="J189" s="12">
        <f>(INDEX(Proj[],MATCH(Std[[#This Row],[Player]],Proj[Player],0),17)-J$764)/J$765</f>
        <v>-0.17232923569972286</v>
      </c>
      <c r="K189" s="12">
        <f>(INDEX(Proj[],MATCH(Std[[#This Row],[Player]],Proj[Player],0),18)-K$764)/K$765</f>
        <v>1.244524628582022</v>
      </c>
      <c r="L189" s="12">
        <f>(INDEX(Proj[],MATCH(Std[[#This Row],[Player]],Proj[Player],0),19)-L$764)/L$765</f>
        <v>0.81460357594200417</v>
      </c>
      <c r="M189" s="12">
        <f>(INDEX(Proj[],MATCH(Std[[#This Row],[Player]],Proj[Player],0),20)-M$764)/M$765</f>
        <v>1.3378904761343182</v>
      </c>
      <c r="N189" s="12">
        <f>(INDEX(Proj[],MATCH(Std[[#This Row],[Player]],Proj[Player],0),21)-N$764)/N$765</f>
        <v>-0.44054882577179671</v>
      </c>
      <c r="O189" s="12">
        <f>(INDEX(Proj[],MATCH(Std[[#This Row],[Player]],Proj[Player],0),22)-O$764)/O$765</f>
        <v>2.2183121813141673</v>
      </c>
      <c r="P189" s="12">
        <f>((INDEX(Proj[],MATCH(Std[[#This Row],[Player]],Proj[Player],0),23)-P$764)/P$765)*IF('League Inputs'!$C$23 = "Yes",-1, 1)</f>
        <v>0.48882173534567236</v>
      </c>
      <c r="Q189" s="12">
        <f>(INDEX(Proj[],MATCH(Std[[#This Row],[Player]],Proj[Player],0),24)-Q$764)/Q$765</f>
        <v>-0.5766103108129359</v>
      </c>
      <c r="R189" s="12">
        <f>(INDEX(Proj[],MATCH(Std[[#This Row],[Player]],Proj[Player],0),25)-R$764)/R$765</f>
        <v>-0.62531533033812681</v>
      </c>
      <c r="S189" s="12">
        <f>(INDEX(Proj[],MATCH(Std[[#This Row],[Player]],Proj[Player],0),26)-S$764)/S$765</f>
        <v>0.72788639445486714</v>
      </c>
      <c r="T1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484.67771659273507</v>
      </c>
      <c r="U189" s="11"/>
      <c r="W189" t="str">
        <v>Mike Matheson</v>
      </c>
      <c r="AA189" t="str">
        <v>Mike Matheson</v>
      </c>
      <c r="AB189" t="str">
        <v>Mike Matheson</v>
      </c>
    </row>
    <row r="190" spans="1:28" x14ac:dyDescent="0.25">
      <c r="A190" t="s">
        <v>303</v>
      </c>
      <c r="B190">
        <f>INDEX(Proj[],MATCH(Std[[#This Row],[Player]],Proj[Player],0),2)</f>
        <v>28</v>
      </c>
      <c r="C190" t="s">
        <v>102</v>
      </c>
      <c r="D190" s="75" t="s">
        <v>103</v>
      </c>
      <c r="E190" s="56"/>
      <c r="F190" t="s">
        <v>29</v>
      </c>
      <c r="G190" s="12">
        <f>(INDEX(Proj[],MATCH(Std[[#This Row],[Player]],Proj[Player],0),14)-G$764)/G$765</f>
        <v>-0.45121751886595246</v>
      </c>
      <c r="H190" s="12">
        <f>(INDEX(Proj[],MATCH(Std[[#This Row],[Player]],Proj[Player],0),15)-H$764)/H$765</f>
        <v>1.1260335742187302</v>
      </c>
      <c r="I190" s="12">
        <f>(INDEX(Proj[],MATCH(Std[[#This Row],[Player]],Proj[Player],0),16)-I$764)/I$765</f>
        <v>0.51197167871248828</v>
      </c>
      <c r="J190" s="12">
        <f>(INDEX(Proj[],MATCH(Std[[#This Row],[Player]],Proj[Player],0),17)-J$764)/J$765</f>
        <v>-0.17232923569972286</v>
      </c>
      <c r="K190" s="12">
        <f>(INDEX(Proj[],MATCH(Std[[#This Row],[Player]],Proj[Player],0),18)-K$764)/K$765</f>
        <v>1.0904386832590593</v>
      </c>
      <c r="L190" s="12">
        <f>(INDEX(Proj[],MATCH(Std[[#This Row],[Player]],Proj[Player],0),19)-L$764)/L$765</f>
        <v>0.70586494442923664</v>
      </c>
      <c r="M190" s="12">
        <f>(INDEX(Proj[],MATCH(Std[[#This Row],[Player]],Proj[Player],0),20)-M$764)/M$765</f>
        <v>2.3633801304301665</v>
      </c>
      <c r="N190" s="12">
        <f>(INDEX(Proj[],MATCH(Std[[#This Row],[Player]],Proj[Player],0),21)-N$764)/N$765</f>
        <v>-0.77000429269372228</v>
      </c>
      <c r="O190" s="12">
        <f>(INDEX(Proj[],MATCH(Std[[#This Row],[Player]],Proj[Player],0),22)-O$764)/O$765</f>
        <v>2.427256211366839</v>
      </c>
      <c r="P190" s="12">
        <f>((INDEX(Proj[],MATCH(Std[[#This Row],[Player]],Proj[Player],0),23)-P$764)/P$765)*IF('League Inputs'!$C$23 = "Yes",-1, 1)</f>
        <v>-2.3115781936270764E-2</v>
      </c>
      <c r="Q190" s="12">
        <f>(INDEX(Proj[],MATCH(Std[[#This Row],[Player]],Proj[Player],0),24)-Q$764)/Q$765</f>
        <v>-0.5766103108129359</v>
      </c>
      <c r="R190" s="12">
        <f>(INDEX(Proj[],MATCH(Std[[#This Row],[Player]],Proj[Player],0),25)-R$764)/R$765</f>
        <v>-0.62531533033812681</v>
      </c>
      <c r="S190" s="12">
        <f>(INDEX(Proj[],MATCH(Std[[#This Row],[Player]],Proj[Player],0),26)-S$764)/S$765</f>
        <v>0.51704337233308328</v>
      </c>
      <c r="T1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346.7221876751496</v>
      </c>
      <c r="U190" s="11"/>
      <c r="W190" t="str">
        <v>Rasmus Andersson</v>
      </c>
      <c r="AA190" t="str">
        <v>Rasmus Andersson</v>
      </c>
      <c r="AB190" t="str">
        <v>Rasmus Andersson</v>
      </c>
    </row>
    <row r="191" spans="1:28" x14ac:dyDescent="0.25">
      <c r="A191" t="s">
        <v>1074</v>
      </c>
      <c r="B191">
        <f>INDEX(Proj[],MATCH(Std[[#This Row],[Player]],Proj[Player],0),2)</f>
        <v>22</v>
      </c>
      <c r="C191" t="s">
        <v>74</v>
      </c>
      <c r="D191" s="75"/>
      <c r="E191" s="56"/>
      <c r="F191" t="s">
        <v>34</v>
      </c>
      <c r="G191" s="12">
        <f>(INDEX(Proj[],MATCH(Std[[#This Row],[Player]],Proj[Player],0),14)-G$764)/G$765</f>
        <v>-0.55685138762371811</v>
      </c>
      <c r="H191" s="12">
        <f>(INDEX(Proj[],MATCH(Std[[#This Row],[Player]],Proj[Player],0),15)-H$764)/H$765</f>
        <v>1.2005628412069953</v>
      </c>
      <c r="I191" s="12">
        <f>(INDEX(Proj[],MATCH(Std[[#This Row],[Player]],Proj[Player],0),16)-I$764)/I$765</f>
        <v>0.51197167871248828</v>
      </c>
      <c r="J191" s="12">
        <f>(INDEX(Proj[],MATCH(Std[[#This Row],[Player]],Proj[Player],0),17)-J$764)/J$765</f>
        <v>-0.17232923569972286</v>
      </c>
      <c r="K191" s="12">
        <f>(INDEX(Proj[],MATCH(Std[[#This Row],[Player]],Proj[Player],0),18)-K$764)/K$765</f>
        <v>1.5526965192279474</v>
      </c>
      <c r="L191" s="12">
        <f>(INDEX(Proj[],MATCH(Std[[#This Row],[Player]],Proj[Player],0),19)-L$764)/L$765</f>
        <v>1.0320808389675393</v>
      </c>
      <c r="M191" s="12">
        <f>(INDEX(Proj[],MATCH(Std[[#This Row],[Player]],Proj[Player],0),20)-M$764)/M$765</f>
        <v>0.31240082183847029</v>
      </c>
      <c r="N191" s="12">
        <f>(INDEX(Proj[],MATCH(Std[[#This Row],[Player]],Proj[Player],0),21)-N$764)/N$765</f>
        <v>-0.40178935907509955</v>
      </c>
      <c r="O191" s="12">
        <f>(INDEX(Proj[],MATCH(Std[[#This Row],[Player]],Proj[Player],0),22)-O$764)/O$765</f>
        <v>1.9861521479223103</v>
      </c>
      <c r="P191" s="12">
        <f>((INDEX(Proj[],MATCH(Std[[#This Row],[Player]],Proj[Player],0),23)-P$764)/P$765)*IF('League Inputs'!$C$23 = "Yes",-1, 1)</f>
        <v>-0.16273510483134615</v>
      </c>
      <c r="Q191" s="12">
        <f>(INDEX(Proj[],MATCH(Std[[#This Row],[Player]],Proj[Player],0),24)-Q$764)/Q$765</f>
        <v>-0.5766103108129359</v>
      </c>
      <c r="R191" s="12">
        <f>(INDEX(Proj[],MATCH(Std[[#This Row],[Player]],Proj[Player],0),25)-R$764)/R$765</f>
        <v>-0.62531533033812681</v>
      </c>
      <c r="S191" s="12">
        <f>(INDEX(Proj[],MATCH(Std[[#This Row],[Player]],Proj[Player],0),26)-S$764)/S$765</f>
        <v>0.22510688016445965</v>
      </c>
      <c r="T1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325.78882246306932</v>
      </c>
      <c r="U191" s="11"/>
      <c r="W191" t="str">
        <v>Brock Faber</v>
      </c>
      <c r="AA191" t="str">
        <v>Brock Faber</v>
      </c>
      <c r="AB191" t="str">
        <v>Brock Faber</v>
      </c>
    </row>
    <row r="192" spans="1:28" x14ac:dyDescent="0.25">
      <c r="A192" t="s">
        <v>891</v>
      </c>
      <c r="B192">
        <f>INDEX(Proj[],MATCH(Std[[#This Row],[Player]],Proj[Player],0),2)</f>
        <v>29</v>
      </c>
      <c r="C192" t="s">
        <v>102</v>
      </c>
      <c r="D192" s="75" t="s">
        <v>103</v>
      </c>
      <c r="E192" s="57"/>
      <c r="F192" t="s">
        <v>11</v>
      </c>
      <c r="G192" s="12">
        <f>(INDEX(Proj[],MATCH(Std[[#This Row],[Player]],Proj[Player],0),14)-G$764)/G$765</f>
        <v>1.0276566437427663</v>
      </c>
      <c r="H192" s="12">
        <f>(INDEX(Proj[],MATCH(Std[[#This Row],[Player]],Proj[Player],0),15)-H$764)/H$765</f>
        <v>8.262383638301718E-2</v>
      </c>
      <c r="I192" s="12">
        <f>(INDEX(Proj[],MATCH(Std[[#This Row],[Player]],Proj[Player],0),16)-I$764)/I$765</f>
        <v>0.51197167871248828</v>
      </c>
      <c r="J192" s="12">
        <f>(INDEX(Proj[],MATCH(Std[[#This Row],[Player]],Proj[Player],0),17)-J$764)/J$765</f>
        <v>1.5938504876481154</v>
      </c>
      <c r="K192" s="12">
        <f>(INDEX(Proj[],MATCH(Std[[#This Row],[Player]],Proj[Player],0),18)-K$764)/K$765</f>
        <v>0.16592301132128306</v>
      </c>
      <c r="L192" s="12">
        <f>(INDEX(Proj[],MATCH(Std[[#This Row],[Player]],Proj[Player],0),19)-L$764)/L$765</f>
        <v>0.70586494442923664</v>
      </c>
      <c r="M192" s="12">
        <f>(INDEX(Proj[],MATCH(Std[[#This Row],[Player]],Proj[Player],0),20)-M$764)/M$765</f>
        <v>0.31240082183847029</v>
      </c>
      <c r="N192" s="12">
        <f>(INDEX(Proj[],MATCH(Std[[#This Row],[Player]],Proj[Player],0),21)-N$764)/N$765</f>
        <v>0.17960264137535742</v>
      </c>
      <c r="O192" s="12">
        <f>(INDEX(Proj[],MATCH(Std[[#This Row],[Player]],Proj[Player],0),22)-O$764)/O$765</f>
        <v>-0.4050961960138178</v>
      </c>
      <c r="P192" s="12">
        <f>((INDEX(Proj[],MATCH(Std[[#This Row],[Player]],Proj[Player],0),23)-P$764)/P$765)*IF('League Inputs'!$C$23 = "Yes",-1, 1)</f>
        <v>-0.30235442772642157</v>
      </c>
      <c r="Q192" s="12">
        <f>(INDEX(Proj[],MATCH(Std[[#This Row],[Player]],Proj[Player],0),24)-Q$764)/Q$765</f>
        <v>2.0512870681739375</v>
      </c>
      <c r="R192" s="12">
        <f>(INDEX(Proj[],MATCH(Std[[#This Row],[Player]],Proj[Player],0),25)-R$764)/R$765</f>
        <v>1.8036352147449639</v>
      </c>
      <c r="S192" s="12">
        <f>(INDEX(Proj[],MATCH(Std[[#This Row],[Player]],Proj[Player],0),26)-S$764)/S$765</f>
        <v>0.41973120827687543</v>
      </c>
      <c r="T1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427.12873973534391</v>
      </c>
      <c r="U192" s="11"/>
      <c r="W192" t="str">
        <v>Nicholas Paul</v>
      </c>
      <c r="AA192" t="str">
        <v>Nicholas Paul</v>
      </c>
      <c r="AB192" t="str">
        <v>Nicholas Paul</v>
      </c>
    </row>
    <row r="193" spans="1:28" x14ac:dyDescent="0.25">
      <c r="A193" t="s">
        <v>883</v>
      </c>
      <c r="B193">
        <f>INDEX(Proj[],MATCH(Std[[#This Row],[Player]],Proj[Player],0),2)</f>
        <v>29</v>
      </c>
      <c r="C193" t="s">
        <v>103</v>
      </c>
      <c r="D193" s="75"/>
      <c r="E193" s="57"/>
      <c r="F193" t="s">
        <v>28</v>
      </c>
      <c r="G193" s="12">
        <f>(INDEX(Proj[],MATCH(Std[[#This Row],[Player]],Proj[Player],0),14)-G$764)/G$765</f>
        <v>0.60512116871170385</v>
      </c>
      <c r="H193" s="12">
        <f>(INDEX(Proj[],MATCH(Std[[#This Row],[Player]],Proj[Player],0),15)-H$764)/H$765</f>
        <v>0.38074090433607805</v>
      </c>
      <c r="I193" s="12">
        <f>(INDEX(Proj[],MATCH(Std[[#This Row],[Player]],Proj[Player],0),16)-I$764)/I$765</f>
        <v>0.51197167871248828</v>
      </c>
      <c r="J193" s="12">
        <f>(INDEX(Proj[],MATCH(Std[[#This Row],[Player]],Proj[Player],0),17)-J$764)/J$765</f>
        <v>1.0051239131988361</v>
      </c>
      <c r="K193" s="12">
        <f>(INDEX(Proj[],MATCH(Std[[#This Row],[Player]],Proj[Player],0),18)-K$764)/K$765</f>
        <v>1.1837065998320361E-2</v>
      </c>
      <c r="L193" s="12">
        <f>(INDEX(Proj[],MATCH(Std[[#This Row],[Player]],Proj[Player],0),19)-L$764)/L$765</f>
        <v>0.37964904989093406</v>
      </c>
      <c r="M193" s="12">
        <f>(INDEX(Proj[],MATCH(Std[[#This Row],[Player]],Proj[Player],0),20)-M$764)/M$765</f>
        <v>0.31240082183847029</v>
      </c>
      <c r="N193" s="12">
        <f>(INDEX(Proj[],MATCH(Std[[#This Row],[Player]],Proj[Player],0),21)-N$764)/N$765</f>
        <v>-0.80876375939041945</v>
      </c>
      <c r="O193" s="12">
        <f>(INDEX(Proj[],MATCH(Std[[#This Row],[Player]],Proj[Player],0),22)-O$764)/O$765</f>
        <v>0.15208788412663926</v>
      </c>
      <c r="P193" s="12">
        <f>((INDEX(Proj[],MATCH(Std[[#This Row],[Player]],Proj[Player],0),23)-P$764)/P$765)*IF('League Inputs'!$C$23 = "Yes",-1, 1)</f>
        <v>-0.30235442772642157</v>
      </c>
      <c r="Q193" s="12">
        <f>(INDEX(Proj[],MATCH(Std[[#This Row],[Player]],Proj[Player],0),24)-Q$764)/Q$765</f>
        <v>2.088600012703163</v>
      </c>
      <c r="R193" s="12">
        <f>(INDEX(Proj[],MATCH(Std[[#This Row],[Player]],Proj[Player],0),25)-R$764)/R$765</f>
        <v>2.6832785196231859</v>
      </c>
      <c r="S193" s="12">
        <f>(INDEX(Proj[],MATCH(Std[[#This Row],[Player]],Proj[Player],0),26)-S$764)/S$765</f>
        <v>-6.6829612004164055E-2</v>
      </c>
      <c r="T1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294.02228993600016</v>
      </c>
      <c r="U193" s="11"/>
      <c r="W193" t="str">
        <v>JT Compher</v>
      </c>
      <c r="AA193" t="str">
        <v>JT Compher</v>
      </c>
      <c r="AB193" t="str">
        <v>JT Compher</v>
      </c>
    </row>
    <row r="194" spans="1:28" x14ac:dyDescent="0.25">
      <c r="A194" t="s">
        <v>855</v>
      </c>
      <c r="B194">
        <f>INDEX(Proj[],MATCH(Std[[#This Row],[Player]],Proj[Player],0),2)</f>
        <v>22</v>
      </c>
      <c r="C194" t="s">
        <v>102</v>
      </c>
      <c r="D194" s="75" t="s">
        <v>103</v>
      </c>
      <c r="E194" s="57"/>
      <c r="F194" t="s">
        <v>10</v>
      </c>
      <c r="G194" s="12">
        <f>(INDEX(Proj[],MATCH(Std[[#This Row],[Player]],Proj[Player],0),14)-G$764)/G$765</f>
        <v>0.81638890622723514</v>
      </c>
      <c r="H194" s="12">
        <f>(INDEX(Proj[],MATCH(Std[[#This Row],[Player]],Proj[Player],0),15)-H$764)/H$765</f>
        <v>0.23168237035954761</v>
      </c>
      <c r="I194" s="12">
        <f>(INDEX(Proj[],MATCH(Std[[#This Row],[Player]],Proj[Player],0),16)-I$764)/I$765</f>
        <v>0.51197167871248828</v>
      </c>
      <c r="J194" s="12">
        <f>(INDEX(Proj[],MATCH(Std[[#This Row],[Player]],Proj[Player],0),17)-J$764)/J$765</f>
        <v>1.0051239131988361</v>
      </c>
      <c r="K194" s="12">
        <f>(INDEX(Proj[],MATCH(Std[[#This Row],[Player]],Proj[Player],0),18)-K$764)/K$765</f>
        <v>-0.14224887932464234</v>
      </c>
      <c r="L194" s="12">
        <f>(INDEX(Proj[],MATCH(Std[[#This Row],[Player]],Proj[Player],0),19)-L$764)/L$765</f>
        <v>0.27091041837816654</v>
      </c>
      <c r="M194" s="12">
        <f>(INDEX(Proj[],MATCH(Std[[#This Row],[Player]],Proj[Player],0),20)-M$764)/M$765</f>
        <v>-0.71308883245737775</v>
      </c>
      <c r="N194" s="12">
        <f>(INDEX(Proj[],MATCH(Std[[#This Row],[Player]],Proj[Player],0),21)-N$764)/N$765</f>
        <v>-0.32427042568170528</v>
      </c>
      <c r="O194" s="12">
        <f>(INDEX(Proj[],MATCH(Std[[#This Row],[Player]],Proj[Player],0),22)-O$764)/O$765</f>
        <v>-0.52117621270974634</v>
      </c>
      <c r="P194" s="12">
        <f>((INDEX(Proj[],MATCH(Std[[#This Row],[Player]],Proj[Player],0),23)-P$764)/P$765)*IF('League Inputs'!$C$23 = "Yes",-1, 1)</f>
        <v>1.6988558671029923</v>
      </c>
      <c r="Q194" s="12">
        <f>(INDEX(Proj[],MATCH(Std[[#This Row],[Player]],Proj[Player],0),24)-Q$764)/Q$765</f>
        <v>1.9553394965273578</v>
      </c>
      <c r="R194" s="12">
        <f>(INDEX(Proj[],MATCH(Std[[#This Row],[Player]],Proj[Player],0),25)-R$764)/R$765</f>
        <v>2.0533404109684592</v>
      </c>
      <c r="S194" s="12">
        <f>(INDEX(Proj[],MATCH(Std[[#This Row],[Player]],Proj[Player],0),26)-S$764)/S$765</f>
        <v>0.63057423039865923</v>
      </c>
      <c r="T1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527.02763293149951</v>
      </c>
      <c r="U194" s="11"/>
      <c r="W194" t="str">
        <v>Mason McTavish</v>
      </c>
      <c r="AA194" t="str">
        <v>Mason McTavish</v>
      </c>
      <c r="AB194" t="str">
        <v>Mason McTavish</v>
      </c>
    </row>
    <row r="195" spans="1:28" x14ac:dyDescent="0.25">
      <c r="A195" t="s">
        <v>429</v>
      </c>
      <c r="B195">
        <f>INDEX(Proj[],MATCH(Std[[#This Row],[Player]],Proj[Player],0),2)</f>
        <v>24</v>
      </c>
      <c r="C195" t="s">
        <v>102</v>
      </c>
      <c r="D195" s="75" t="s">
        <v>103</v>
      </c>
      <c r="E195" s="57"/>
      <c r="F195" t="s">
        <v>25</v>
      </c>
      <c r="G195" s="12">
        <f>(INDEX(Proj[],MATCH(Std[[#This Row],[Player]],Proj[Player],0),14)-G$764)/G$765</f>
        <v>0.81638890622723514</v>
      </c>
      <c r="H195" s="12">
        <f>(INDEX(Proj[],MATCH(Std[[#This Row],[Player]],Proj[Player],0),15)-H$764)/H$765</f>
        <v>0.23168237035954761</v>
      </c>
      <c r="I195" s="12">
        <f>(INDEX(Proj[],MATCH(Std[[#This Row],[Player]],Proj[Player],0),16)-I$764)/I$765</f>
        <v>0.51197167871248828</v>
      </c>
      <c r="J195" s="12">
        <f>(INDEX(Proj[],MATCH(Std[[#This Row],[Player]],Proj[Player],0),17)-J$764)/J$765</f>
        <v>-0.17232923569972286</v>
      </c>
      <c r="K195" s="12">
        <f>(INDEX(Proj[],MATCH(Std[[#This Row],[Player]],Proj[Player],0),18)-K$764)/K$765</f>
        <v>-0.29633482464760502</v>
      </c>
      <c r="L195" s="12">
        <f>(INDEX(Proj[],MATCH(Std[[#This Row],[Player]],Proj[Player],0),19)-L$764)/L$765</f>
        <v>-0.27278273918567114</v>
      </c>
      <c r="M195" s="12">
        <f>(INDEX(Proj[],MATCH(Std[[#This Row],[Player]],Proj[Player],0),20)-M$764)/M$765</f>
        <v>0.31240082183847029</v>
      </c>
      <c r="N195" s="12">
        <f>(INDEX(Proj[],MATCH(Std[[#This Row],[Player]],Proj[Player],0),21)-N$764)/N$765</f>
        <v>-0.34365015903005386</v>
      </c>
      <c r="O195" s="12">
        <f>(INDEX(Proj[],MATCH(Std[[#This Row],[Player]],Proj[Player],0),22)-O$764)/O$765</f>
        <v>-0.21936816930033209</v>
      </c>
      <c r="P195" s="12">
        <f>((INDEX(Proj[],MATCH(Std[[#This Row],[Player]],Proj[Player],0),23)-P$764)/P$765)*IF('League Inputs'!$C$23 = "Yes",-1, 1)</f>
        <v>0.58190128394238927</v>
      </c>
      <c r="Q195" s="12">
        <f>(INDEX(Proj[],MATCH(Std[[#This Row],[Player]],Proj[Player],0),24)-Q$764)/Q$765</f>
        <v>-0.3847151675197768</v>
      </c>
      <c r="R195" s="12">
        <f>(INDEX(Proj[],MATCH(Std[[#This Row],[Player]],Proj[Player],0),25)-R$764)/R$765</f>
        <v>-0.25075753600288386</v>
      </c>
      <c r="S195" s="12">
        <f>(INDEX(Proj[],MATCH(Std[[#This Row],[Player]],Proj[Player],0),26)-S$764)/S$765</f>
        <v>0.77654247648297103</v>
      </c>
      <c r="T1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169.79704806887969</v>
      </c>
      <c r="U195" s="11"/>
      <c r="W195" t="str">
        <v>Joel Farabee</v>
      </c>
      <c r="AA195" t="str">
        <v>Joel Farabee</v>
      </c>
      <c r="AB195" t="str">
        <v>Joel Farabee</v>
      </c>
    </row>
    <row r="196" spans="1:28" x14ac:dyDescent="0.25">
      <c r="A196" t="s">
        <v>532</v>
      </c>
      <c r="B196">
        <f>INDEX(Proj[],MATCH(Std[[#This Row],[Player]],Proj[Player],0),2)</f>
        <v>27</v>
      </c>
      <c r="C196" t="s">
        <v>74</v>
      </c>
      <c r="D196" s="75" t="s">
        <v>102</v>
      </c>
      <c r="E196" s="56"/>
      <c r="F196" t="s">
        <v>16</v>
      </c>
      <c r="G196" s="12">
        <f>(INDEX(Proj[],MATCH(Std[[#This Row],[Player]],Proj[Player],0),14)-G$764)/G$765</f>
        <v>0.49948729995393826</v>
      </c>
      <c r="H196" s="12">
        <f>(INDEX(Proj[],MATCH(Std[[#This Row],[Player]],Proj[Player],0),15)-H$764)/H$765</f>
        <v>0.45527017132434322</v>
      </c>
      <c r="I196" s="12">
        <f>(INDEX(Proj[],MATCH(Std[[#This Row],[Player]],Proj[Player],0),16)-I$764)/I$765</f>
        <v>0.51197167871248828</v>
      </c>
      <c r="J196" s="12">
        <f>(INDEX(Proj[],MATCH(Std[[#This Row],[Player]],Proj[Player],0),17)-J$764)/J$765</f>
        <v>0.12203405152491688</v>
      </c>
      <c r="K196" s="12">
        <f>(INDEX(Proj[],MATCH(Std[[#This Row],[Player]],Proj[Player],0),18)-K$764)/K$765</f>
        <v>-0.14224887932464234</v>
      </c>
      <c r="L196" s="12">
        <f>(INDEX(Proj[],MATCH(Std[[#This Row],[Player]],Proj[Player],0),19)-L$764)/L$765</f>
        <v>-5.5305476160136084E-2</v>
      </c>
      <c r="M196" s="12">
        <f>(INDEX(Proj[],MATCH(Std[[#This Row],[Player]],Proj[Player],0),20)-M$764)/M$765</f>
        <v>3.3888697847260145</v>
      </c>
      <c r="N196" s="12">
        <f>(INDEX(Proj[],MATCH(Std[[#This Row],[Player]],Proj[Player],0),21)-N$764)/N$765</f>
        <v>-0.59558669255858521</v>
      </c>
      <c r="O196" s="12">
        <f>(INDEX(Proj[],MATCH(Std[[#This Row],[Player]],Proj[Player],0),22)-O$764)/O$765</f>
        <v>0.1985198908050107</v>
      </c>
      <c r="P196" s="12">
        <f>((INDEX(Proj[],MATCH(Std[[#This Row],[Player]],Proj[Player],0),23)-P$764)/P$765)*IF('League Inputs'!$C$23 = "Yes",-1, 1)</f>
        <v>0.58190128394238927</v>
      </c>
      <c r="Q196" s="12">
        <f>(INDEX(Proj[],MATCH(Std[[#This Row],[Player]],Proj[Player],0),24)-Q$764)/Q$765</f>
        <v>1.8967048694100037</v>
      </c>
      <c r="R196" s="12">
        <f>(INDEX(Proj[],MATCH(Std[[#This Row],[Player]],Proj[Player],0),25)-R$764)/R$765</f>
        <v>2.081716001448402</v>
      </c>
      <c r="S196" s="12">
        <f>(INDEX(Proj[],MATCH(Std[[#This Row],[Player]],Proj[Player],0),26)-S$764)/S$765</f>
        <v>0.1764507981363557</v>
      </c>
      <c r="T1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366.94138235658079</v>
      </c>
      <c r="U196" s="11"/>
      <c r="W196" t="str">
        <v>Anthony Cirelli</v>
      </c>
      <c r="AA196" t="str">
        <v>Anthony Cirelli</v>
      </c>
      <c r="AB196" t="str">
        <v>Anthony Cirelli</v>
      </c>
    </row>
    <row r="197" spans="1:28" x14ac:dyDescent="0.25">
      <c r="A197" t="s">
        <v>456</v>
      </c>
      <c r="B197">
        <f>INDEX(Proj[],MATCH(Std[[#This Row],[Player]],Proj[Player],0),2)</f>
        <v>33</v>
      </c>
      <c r="C197" t="s">
        <v>102</v>
      </c>
      <c r="D197" s="75"/>
      <c r="E197" s="56"/>
      <c r="F197" t="s">
        <v>16</v>
      </c>
      <c r="G197" s="12">
        <f>(INDEX(Proj[],MATCH(Std[[#This Row],[Player]],Proj[Player],0),14)-G$764)/G$765</f>
        <v>0.60512116871170385</v>
      </c>
      <c r="H197" s="12">
        <f>(INDEX(Proj[],MATCH(Std[[#This Row],[Player]],Proj[Player],0),15)-H$764)/H$765</f>
        <v>0.38074090433607805</v>
      </c>
      <c r="I197" s="12">
        <f>(INDEX(Proj[],MATCH(Std[[#This Row],[Player]],Proj[Player],0),16)-I$764)/I$765</f>
        <v>0.51197167871248828</v>
      </c>
      <c r="J197" s="12">
        <f>(INDEX(Proj[],MATCH(Std[[#This Row],[Player]],Proj[Player],0),17)-J$764)/J$765</f>
        <v>0.12203405152491688</v>
      </c>
      <c r="K197" s="12">
        <f>(INDEX(Proj[],MATCH(Std[[#This Row],[Player]],Proj[Player],0),18)-K$764)/K$765</f>
        <v>1.1837065998320361E-2</v>
      </c>
      <c r="L197" s="12">
        <f>(INDEX(Proj[],MATCH(Std[[#This Row],[Player]],Proj[Player],0),19)-L$764)/L$765</f>
        <v>5.3433155352631455E-2</v>
      </c>
      <c r="M197" s="12">
        <f>(INDEX(Proj[],MATCH(Std[[#This Row],[Player]],Proj[Player],0),20)-M$764)/M$765</f>
        <v>0.31240082183847029</v>
      </c>
      <c r="N197" s="12">
        <f>(INDEX(Proj[],MATCH(Std[[#This Row],[Player]],Proj[Player],0),21)-N$764)/N$765</f>
        <v>-0.51806775916519099</v>
      </c>
      <c r="O197" s="12">
        <f>(INDEX(Proj[],MATCH(Std[[#This Row],[Player]],Proj[Player],0),22)-O$764)/O$765</f>
        <v>-0.73012024276241771</v>
      </c>
      <c r="P197" s="12">
        <f>((INDEX(Proj[],MATCH(Std[[#This Row],[Player]],Proj[Player],0),23)-P$764)/P$765)*IF('League Inputs'!$C$23 = "Yes",-1, 1)</f>
        <v>-0.95391126790344005</v>
      </c>
      <c r="Q197" s="12">
        <f>(INDEX(Proj[],MATCH(Std[[#This Row],[Player]],Proj[Player],0),24)-Q$764)/Q$765</f>
        <v>-0.51797568369558167</v>
      </c>
      <c r="R197" s="12">
        <f>(INDEX(Proj[],MATCH(Std[[#This Row],[Player]],Proj[Player],0),25)-R$764)/R$765</f>
        <v>-0.52316320461033328</v>
      </c>
      <c r="S197" s="12">
        <f>(INDEX(Proj[],MATCH(Std[[#This Row],[Player]],Proj[Player],0),26)-S$764)/S$765</f>
        <v>0.7116677004454991</v>
      </c>
      <c r="T1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-45.714034596822984</v>
      </c>
      <c r="U197" s="11"/>
      <c r="W197" t="str">
        <v>Reilly Smith</v>
      </c>
      <c r="AA197" t="str">
        <v>Reilly Smith</v>
      </c>
      <c r="AB197" t="str">
        <v>Reilly Smith</v>
      </c>
    </row>
    <row r="198" spans="1:28" x14ac:dyDescent="0.25">
      <c r="A198" t="s">
        <v>717</v>
      </c>
      <c r="B198">
        <f>INDEX(Proj[],MATCH(Std[[#This Row],[Player]],Proj[Player],0),2)</f>
        <v>29</v>
      </c>
      <c r="C198" t="s">
        <v>102</v>
      </c>
      <c r="D198" s="75" t="s">
        <v>103</v>
      </c>
      <c r="E198" s="56"/>
      <c r="F198" t="s">
        <v>29</v>
      </c>
      <c r="G198" s="12">
        <f>(INDEX(Proj[],MATCH(Std[[#This Row],[Player]],Proj[Player],0),14)-G$764)/G$765</f>
        <v>1.0276566437427663</v>
      </c>
      <c r="H198" s="12">
        <f>(INDEX(Proj[],MATCH(Std[[#This Row],[Player]],Proj[Player],0),15)-H$764)/H$765</f>
        <v>8.262383638301718E-2</v>
      </c>
      <c r="I198" s="12">
        <f>(INDEX(Proj[],MATCH(Std[[#This Row],[Player]],Proj[Player],0),16)-I$764)/I$765</f>
        <v>0.51197167871248828</v>
      </c>
      <c r="J198" s="12">
        <f>(INDEX(Proj[],MATCH(Std[[#This Row],[Player]],Proj[Player],0),17)-J$764)/J$765</f>
        <v>0.71076062597419631</v>
      </c>
      <c r="K198" s="12">
        <f>(INDEX(Proj[],MATCH(Std[[#This Row],[Player]],Proj[Player],0),18)-K$764)/K$765</f>
        <v>1.1837065998320361E-2</v>
      </c>
      <c r="L198" s="12">
        <f>(INDEX(Proj[],MATCH(Std[[#This Row],[Player]],Proj[Player],0),19)-L$764)/L$765</f>
        <v>0.27091041837816654</v>
      </c>
      <c r="M198" s="12">
        <f>(INDEX(Proj[],MATCH(Std[[#This Row],[Player]],Proj[Player],0),20)-M$764)/M$765</f>
        <v>-0.71308883245737775</v>
      </c>
      <c r="N198" s="12">
        <f>(INDEX(Proj[],MATCH(Std[[#This Row],[Player]],Proj[Player],0),21)-N$764)/N$765</f>
        <v>-0.69248535930032806</v>
      </c>
      <c r="O198" s="12">
        <f>(INDEX(Proj[],MATCH(Std[[#This Row],[Player]],Proj[Player],0),22)-O$764)/O$765</f>
        <v>-0.70690423942323199</v>
      </c>
      <c r="P198" s="12">
        <f>((INDEX(Proj[],MATCH(Std[[#This Row],[Player]],Proj[Player],0),23)-P$764)/P$765)*IF('League Inputs'!$C$23 = "Yes",-1, 1)</f>
        <v>-0.39543397632313848</v>
      </c>
      <c r="Q198" s="12">
        <f>(INDEX(Proj[],MATCH(Std[[#This Row],[Player]],Proj[Player],0),24)-Q$764)/Q$765</f>
        <v>-0.47000189787229196</v>
      </c>
      <c r="R198" s="12">
        <f>(INDEX(Proj[],MATCH(Std[[#This Row],[Player]],Proj[Player],0),25)-R$764)/R$765</f>
        <v>-0.46073690555445945</v>
      </c>
      <c r="S198" s="12">
        <f>(INDEX(Proj[],MATCH(Std[[#This Row],[Player]],Proj[Player],0),26)-S$764)/S$765</f>
        <v>0.4521685962956114</v>
      </c>
      <c r="T1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8.0505700593059277</v>
      </c>
      <c r="U198" s="11"/>
      <c r="W198" t="str">
        <v>Anthony Duclair</v>
      </c>
      <c r="AA198" t="str">
        <v>Anthony Duclair</v>
      </c>
      <c r="AB198" t="str">
        <v>Anthony Duclair</v>
      </c>
    </row>
    <row r="199" spans="1:28" x14ac:dyDescent="0.25">
      <c r="A199" t="s">
        <v>996</v>
      </c>
      <c r="B199">
        <f>INDEX(Proj[],MATCH(Std[[#This Row],[Player]],Proj[Player],0),2)</f>
        <v>27</v>
      </c>
      <c r="C199" t="s">
        <v>102</v>
      </c>
      <c r="D199" s="75" t="s">
        <v>103</v>
      </c>
      <c r="E199" s="56"/>
      <c r="F199" t="s">
        <v>4</v>
      </c>
      <c r="G199" s="12">
        <f>(INDEX(Proj[],MATCH(Std[[#This Row],[Player]],Proj[Player],0),14)-G$764)/G$765</f>
        <v>0.39385343119617261</v>
      </c>
      <c r="H199" s="12">
        <f>(INDEX(Proj[],MATCH(Std[[#This Row],[Player]],Proj[Player],0),15)-H$764)/H$765</f>
        <v>0.52979943831260845</v>
      </c>
      <c r="I199" s="12">
        <f>(INDEX(Proj[],MATCH(Std[[#This Row],[Player]],Proj[Player],0),16)-I$764)/I$765</f>
        <v>0.51197167871248828</v>
      </c>
      <c r="J199" s="12">
        <f>(INDEX(Proj[],MATCH(Std[[#This Row],[Player]],Proj[Player],0),17)-J$764)/J$765</f>
        <v>1.0051239131988361</v>
      </c>
      <c r="K199" s="12">
        <f>(INDEX(Proj[],MATCH(Std[[#This Row],[Player]],Proj[Player],0),18)-K$764)/K$765</f>
        <v>0.32000895664424578</v>
      </c>
      <c r="L199" s="12">
        <f>(INDEX(Proj[],MATCH(Std[[#This Row],[Player]],Proj[Player],0),19)-L$764)/L$765</f>
        <v>0.59712631291646912</v>
      </c>
      <c r="M199" s="12">
        <f>(INDEX(Proj[],MATCH(Std[[#This Row],[Player]],Proj[Player],0),20)-M$764)/M$765</f>
        <v>-0.71308883245737775</v>
      </c>
      <c r="N199" s="12">
        <f>(INDEX(Proj[],MATCH(Std[[#This Row],[Player]],Proj[Player],0),21)-N$764)/N$765</f>
        <v>-1.4482949598859221</v>
      </c>
      <c r="O199" s="12">
        <f>(INDEX(Proj[],MATCH(Std[[#This Row],[Player]],Proj[Player],0),22)-O$764)/O$765</f>
        <v>-0.73012024276241771</v>
      </c>
      <c r="P199" s="12">
        <f>((INDEX(Proj[],MATCH(Std[[#This Row],[Player]],Proj[Player],0),23)-P$764)/P$765)*IF('League Inputs'!$C$23 = "Yes",-1, 1)</f>
        <v>-1.1866101393952324</v>
      </c>
      <c r="Q199" s="12">
        <f>(INDEX(Proj[],MATCH(Std[[#This Row],[Player]],Proj[Player],0),24)-Q$764)/Q$765</f>
        <v>0.63872559671040507</v>
      </c>
      <c r="R199" s="12">
        <f>(INDEX(Proj[],MATCH(Std[[#This Row],[Player]],Proj[Player],0),25)-R$764)/R$765</f>
        <v>1.1055956889383747</v>
      </c>
      <c r="S199" s="12">
        <f>(INDEX(Proj[],MATCH(Std[[#This Row],[Player]],Proj[Player],0),26)-S$764)/S$765</f>
        <v>-5.0610917994796063E-2</v>
      </c>
      <c r="T1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-74.415980219022444</v>
      </c>
      <c r="U199" s="11"/>
      <c r="W199" t="str">
        <v>Tommy Novak</v>
      </c>
      <c r="AA199" t="str">
        <v>Tommy Novak</v>
      </c>
      <c r="AB199" t="str">
        <v>Tommy Novak</v>
      </c>
    </row>
    <row r="200" spans="1:28" x14ac:dyDescent="0.25">
      <c r="A200" t="s">
        <v>287</v>
      </c>
      <c r="B200">
        <f>INDEX(Proj[],MATCH(Std[[#This Row],[Player]],Proj[Player],0),2)</f>
        <v>26</v>
      </c>
      <c r="C200" t="s">
        <v>74</v>
      </c>
      <c r="D200" s="75" t="s">
        <v>102</v>
      </c>
      <c r="E200" s="57"/>
      <c r="F200" t="s">
        <v>14</v>
      </c>
      <c r="G200" s="12">
        <f>(INDEX(Proj[],MATCH(Std[[#This Row],[Player]],Proj[Player],0),14)-G$764)/G$765</f>
        <v>7.6951824922875695E-2</v>
      </c>
      <c r="H200" s="12">
        <f>(INDEX(Proj[],MATCH(Std[[#This Row],[Player]],Proj[Player],0),15)-H$764)/H$765</f>
        <v>0.67885797228913891</v>
      </c>
      <c r="I200" s="12">
        <f>(INDEX(Proj[],MATCH(Std[[#This Row],[Player]],Proj[Player],0),16)-I$764)/I$765</f>
        <v>0.464729119750385</v>
      </c>
      <c r="J200" s="12">
        <f>(INDEX(Proj[],MATCH(Std[[#This Row],[Player]],Proj[Player],0),17)-J$764)/J$765</f>
        <v>0.71076062597419631</v>
      </c>
      <c r="K200" s="12">
        <f>(INDEX(Proj[],MATCH(Std[[#This Row],[Player]],Proj[Player],0),18)-K$764)/K$765</f>
        <v>0.16592301132128306</v>
      </c>
      <c r="L200" s="12">
        <f>(INDEX(Proj[],MATCH(Std[[#This Row],[Player]],Proj[Player],0),19)-L$764)/L$765</f>
        <v>0.37964904989093406</v>
      </c>
      <c r="M200" s="12">
        <f>(INDEX(Proj[],MATCH(Std[[#This Row],[Player]],Proj[Player],0),20)-M$764)/M$765</f>
        <v>-0.71308883245737775</v>
      </c>
      <c r="N200" s="12">
        <f>(INDEX(Proj[],MATCH(Std[[#This Row],[Player]],Proj[Player],0),21)-N$764)/N$765</f>
        <v>-0.26613122563665959</v>
      </c>
      <c r="O200" s="12">
        <f>(INDEX(Proj[],MATCH(Std[[#This Row],[Player]],Proj[Player],0),22)-O$764)/O$765</f>
        <v>1.8004241212088248</v>
      </c>
      <c r="P200" s="12">
        <f>((INDEX(Proj[],MATCH(Std[[#This Row],[Player]],Proj[Player],0),23)-P$764)/P$765)*IF('League Inputs'!$C$23 = "Yes",-1, 1)</f>
        <v>1.1869183498210494</v>
      </c>
      <c r="Q200" s="12">
        <f>(INDEX(Proj[],MATCH(Std[[#This Row],[Player]],Proj[Player],0),24)-Q$764)/Q$765</f>
        <v>-0.5766103108129359</v>
      </c>
      <c r="R200" s="12">
        <f>(INDEX(Proj[],MATCH(Std[[#This Row],[Player]],Proj[Player],0),25)-R$764)/R$765</f>
        <v>-0.62531533033812681</v>
      </c>
      <c r="S200" s="12">
        <f>(INDEX(Proj[],MATCH(Std[[#This Row],[Player]],Proj[Player],0),26)-S$764)/S$765</f>
        <v>1.3279780728014825</v>
      </c>
      <c r="T2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507.27669742350957</v>
      </c>
      <c r="U200" s="11"/>
      <c r="W200" t="str">
        <v>Jakob Chychrun</v>
      </c>
      <c r="AA200" t="str">
        <v>Jakob Chychrun</v>
      </c>
      <c r="AB200" t="str">
        <v>Jakob Chychrun</v>
      </c>
    </row>
    <row r="201" spans="1:28" x14ac:dyDescent="0.25">
      <c r="A201" t="s">
        <v>649</v>
      </c>
      <c r="B201">
        <f>INDEX(Proj[],MATCH(Std[[#This Row],[Player]],Proj[Player],0),2)</f>
        <v>29</v>
      </c>
      <c r="C201" t="s">
        <v>74</v>
      </c>
      <c r="D201" s="75" t="s">
        <v>103</v>
      </c>
      <c r="E201" s="56"/>
      <c r="F201" t="s">
        <v>153</v>
      </c>
      <c r="G201" s="12">
        <f>(INDEX(Proj[],MATCH(Std[[#This Row],[Player]],Proj[Player],0),14)-G$764)/G$765</f>
        <v>-2.8682043834889943E-2</v>
      </c>
      <c r="H201" s="12">
        <f>(INDEX(Proj[],MATCH(Std[[#This Row],[Player]],Proj[Player],0),15)-H$764)/H$765</f>
        <v>0.75338723927740403</v>
      </c>
      <c r="I201" s="12">
        <f>(INDEX(Proj[],MATCH(Std[[#This Row],[Player]],Proj[Player],0),16)-I$764)/I$765</f>
        <v>0.464729119750385</v>
      </c>
      <c r="J201" s="12">
        <f>(INDEX(Proj[],MATCH(Std[[#This Row],[Player]],Proj[Player],0),17)-J$764)/J$765</f>
        <v>-0.17232923569972286</v>
      </c>
      <c r="K201" s="12">
        <f>(INDEX(Proj[],MATCH(Std[[#This Row],[Player]],Proj[Player],0),18)-K$764)/K$765</f>
        <v>-0.14224887932464234</v>
      </c>
      <c r="L201" s="12">
        <f>(INDEX(Proj[],MATCH(Std[[#This Row],[Player]],Proj[Player],0),19)-L$764)/L$765</f>
        <v>-0.16404410767290362</v>
      </c>
      <c r="M201" s="12">
        <f>(INDEX(Proj[],MATCH(Std[[#This Row],[Player]],Proj[Player],0),20)-M$764)/M$765</f>
        <v>-0.71308883245737775</v>
      </c>
      <c r="N201" s="12">
        <f>(INDEX(Proj[],MATCH(Std[[#This Row],[Player]],Proj[Player],0),21)-N$764)/N$765</f>
        <v>-0.84752322608711661</v>
      </c>
      <c r="O201" s="12">
        <f>(INDEX(Proj[],MATCH(Std[[#This Row],[Player]],Proj[Player],0),22)-O$764)/O$765</f>
        <v>-0.98549627949346053</v>
      </c>
      <c r="P201" s="12">
        <f>((INDEX(Proj[],MATCH(Std[[#This Row],[Player]],Proj[Player],0),23)-P$764)/P$765)*IF('League Inputs'!$C$23 = "Yes",-1, 1)</f>
        <v>2.3504127072800109</v>
      </c>
      <c r="Q201" s="12">
        <f>(INDEX(Proj[],MATCH(Std[[#This Row],[Player]],Proj[Player],0),24)-Q$764)/Q$765</f>
        <v>0.64938643800446949</v>
      </c>
      <c r="R201" s="12">
        <f>(INDEX(Proj[],MATCH(Std[[#This Row],[Player]],Proj[Player],0),25)-R$764)/R$765</f>
        <v>0.61186041458737261</v>
      </c>
      <c r="S201" s="12">
        <f>(INDEX(Proj[],MATCH(Std[[#This Row],[Player]],Proj[Player],0),26)-S$764)/S$765</f>
        <v>0.16023210412698771</v>
      </c>
      <c r="T2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235.24019513508864</v>
      </c>
      <c r="U201" s="11"/>
      <c r="W201" t="str">
        <v>Max Domi</v>
      </c>
      <c r="AA201" t="str">
        <v>Max Domi</v>
      </c>
      <c r="AB201" t="str">
        <v>Max Domi</v>
      </c>
    </row>
    <row r="202" spans="1:28" x14ac:dyDescent="0.25">
      <c r="A202" t="s">
        <v>458</v>
      </c>
      <c r="B202">
        <f>INDEX(Proj[],MATCH(Std[[#This Row],[Player]],Proj[Player],0),2)</f>
        <v>31</v>
      </c>
      <c r="C202" t="s">
        <v>74</v>
      </c>
      <c r="D202" s="75" t="s">
        <v>102</v>
      </c>
      <c r="E202" s="56"/>
      <c r="F202" t="s">
        <v>154</v>
      </c>
      <c r="G202" s="12">
        <f>(INDEX(Proj[],MATCH(Std[[#This Row],[Player]],Proj[Player],0),14)-G$764)/G$765</f>
        <v>0.81638890622723514</v>
      </c>
      <c r="H202" s="12">
        <f>(INDEX(Proj[],MATCH(Std[[#This Row],[Player]],Proj[Player],0),15)-H$764)/H$765</f>
        <v>0.15715310337128238</v>
      </c>
      <c r="I202" s="12">
        <f>(INDEX(Proj[],MATCH(Std[[#This Row],[Player]],Proj[Player],0),16)-I$764)/I$765</f>
        <v>0.464729119750385</v>
      </c>
      <c r="J202" s="12">
        <f>(INDEX(Proj[],MATCH(Std[[#This Row],[Player]],Proj[Player],0),17)-J$764)/J$765</f>
        <v>-0.17232923569972286</v>
      </c>
      <c r="K202" s="12">
        <f>(INDEX(Proj[],MATCH(Std[[#This Row],[Player]],Proj[Player],0),18)-K$764)/K$765</f>
        <v>1.1837065998320361E-2</v>
      </c>
      <c r="L202" s="12">
        <f>(INDEX(Proj[],MATCH(Std[[#This Row],[Player]],Proj[Player],0),19)-L$764)/L$765</f>
        <v>-5.5305476160136084E-2</v>
      </c>
      <c r="M202" s="12">
        <f>(INDEX(Proj[],MATCH(Std[[#This Row],[Player]],Proj[Player],0),20)-M$764)/M$765</f>
        <v>-0.71308883245737775</v>
      </c>
      <c r="N202" s="12">
        <f>(INDEX(Proj[],MATCH(Std[[#This Row],[Player]],Proj[Player],0),21)-N$764)/N$765</f>
        <v>-1.0219408262222536</v>
      </c>
      <c r="O202" s="12">
        <f>(INDEX(Proj[],MATCH(Std[[#This Row],[Player]],Proj[Player],0),22)-O$764)/O$765</f>
        <v>-5.6856145926032123E-2</v>
      </c>
      <c r="P202" s="12">
        <f>((INDEX(Proj[],MATCH(Std[[#This Row],[Player]],Proj[Player],0),23)-P$764)/P$765)*IF('League Inputs'!$C$23 = "Yes",-1, 1)</f>
        <v>-0.1161953305329877</v>
      </c>
      <c r="Q202" s="12">
        <f>(INDEX(Proj[],MATCH(Std[[#This Row],[Player]],Proj[Player],0),24)-Q$764)/Q$765</f>
        <v>-0.47533231851932412</v>
      </c>
      <c r="R202" s="12">
        <f>(INDEX(Proj[],MATCH(Std[[#This Row],[Player]],Proj[Player],0),25)-R$764)/R$765</f>
        <v>-0.44938666936248239</v>
      </c>
      <c r="S202" s="12">
        <f>(INDEX(Proj[],MATCH(Std[[#This Row],[Player]],Proj[Player],0),26)-S$764)/S$765</f>
        <v>1.5226024009138983</v>
      </c>
      <c r="T2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123.52434329020674</v>
      </c>
      <c r="U202" s="11"/>
      <c r="W202" t="str">
        <v>Viktor Arvidsson</v>
      </c>
      <c r="AA202" t="str">
        <v>Viktor Arvidsson</v>
      </c>
      <c r="AB202" t="str">
        <v>Viktor Arvidsson</v>
      </c>
    </row>
    <row r="203" spans="1:28" x14ac:dyDescent="0.25">
      <c r="A203" t="s">
        <v>1221</v>
      </c>
      <c r="B203">
        <f>INDEX(Proj[],MATCH(Std[[#This Row],[Player]],Proj[Player],0),2)</f>
        <v>20</v>
      </c>
      <c r="C203" t="s">
        <v>74</v>
      </c>
      <c r="D203" s="75"/>
      <c r="E203" s="56"/>
      <c r="F203" t="s">
        <v>15</v>
      </c>
      <c r="G203" s="12">
        <f>(INDEX(Proj[],MATCH(Std[[#This Row],[Player]],Proj[Player],0),14)-G$764)/G$765</f>
        <v>0.81638890622723514</v>
      </c>
      <c r="H203" s="12">
        <f>(INDEX(Proj[],MATCH(Std[[#This Row],[Player]],Proj[Player],0),15)-H$764)/H$765</f>
        <v>0.15715310337128238</v>
      </c>
      <c r="I203" s="12">
        <f>(INDEX(Proj[],MATCH(Std[[#This Row],[Player]],Proj[Player],0),16)-I$764)/I$765</f>
        <v>0.464729119750385</v>
      </c>
      <c r="J203" s="12">
        <f>(INDEX(Proj[],MATCH(Std[[#This Row],[Player]],Proj[Player],0),17)-J$764)/J$765</f>
        <v>0.41639733874955659</v>
      </c>
      <c r="K203" s="12">
        <f>(INDEX(Proj[],MATCH(Std[[#This Row],[Player]],Proj[Player],0),18)-K$764)/K$765</f>
        <v>0.16592301132128306</v>
      </c>
      <c r="L203" s="12">
        <f>(INDEX(Proj[],MATCH(Std[[#This Row],[Player]],Proj[Player],0),19)-L$764)/L$765</f>
        <v>0.27091041837816654</v>
      </c>
      <c r="M203" s="12">
        <f>(INDEX(Proj[],MATCH(Std[[#This Row],[Player]],Proj[Player],0),20)-M$764)/M$765</f>
        <v>-0.71308883245737775</v>
      </c>
      <c r="N203" s="12">
        <f>(INDEX(Proj[],MATCH(Std[[#This Row],[Player]],Proj[Player],0),21)-N$764)/N$765</f>
        <v>-0.38240962572675097</v>
      </c>
      <c r="O203" s="12">
        <f>(INDEX(Proj[],MATCH(Std[[#This Row],[Player]],Proj[Player],0),22)-O$764)/O$765</f>
        <v>-0.59082422272730351</v>
      </c>
      <c r="P203" s="12">
        <f>((INDEX(Proj[],MATCH(Std[[#This Row],[Player]],Proj[Player],0),23)-P$764)/P$765)*IF('League Inputs'!$C$23 = "Yes",-1, 1)</f>
        <v>0.39574218674895539</v>
      </c>
      <c r="Q203" s="12">
        <f>(INDEX(Proj[],MATCH(Std[[#This Row],[Player]],Proj[Player],0),24)-Q$764)/Q$765</f>
        <v>0.74000358900401686</v>
      </c>
      <c r="R203" s="12">
        <f>(INDEX(Proj[],MATCH(Std[[#This Row],[Player]],Proj[Player],0),25)-R$764)/R$765</f>
        <v>1.0488445079784894</v>
      </c>
      <c r="S203" s="12">
        <f>(INDEX(Proj[],MATCH(Std[[#This Row],[Player]],Proj[Player],0),26)-S$764)/S$765</f>
        <v>0.3548564322394035</v>
      </c>
      <c r="T2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222.65499072653904</v>
      </c>
      <c r="U203" s="11"/>
      <c r="W203" t="str">
        <v>Will Smith</v>
      </c>
      <c r="AA203" t="str">
        <v>Will Smith</v>
      </c>
      <c r="AB203" t="str">
        <v>Will Smith</v>
      </c>
    </row>
    <row r="204" spans="1:28" x14ac:dyDescent="0.25">
      <c r="A204" t="s">
        <v>644</v>
      </c>
      <c r="B204">
        <f>INDEX(Proj[],MATCH(Std[[#This Row],[Player]],Proj[Player],0),2)</f>
        <v>28</v>
      </c>
      <c r="C204" t="s">
        <v>74</v>
      </c>
      <c r="D204" s="75" t="s">
        <v>102</v>
      </c>
      <c r="E204" s="57"/>
      <c r="F204" t="s">
        <v>34</v>
      </c>
      <c r="G204" s="12">
        <f>(INDEX(Proj[],MATCH(Std[[#This Row],[Player]],Proj[Player],0),14)-G$764)/G$765</f>
        <v>0.18258569368064134</v>
      </c>
      <c r="H204" s="12">
        <f>(INDEX(Proj[],MATCH(Std[[#This Row],[Player]],Proj[Player],0),15)-H$764)/H$765</f>
        <v>0.60432870530087368</v>
      </c>
      <c r="I204" s="12">
        <f>(INDEX(Proj[],MATCH(Std[[#This Row],[Player]],Proj[Player],0),16)-I$764)/I$765</f>
        <v>0.464729119750385</v>
      </c>
      <c r="J204" s="12">
        <f>(INDEX(Proj[],MATCH(Std[[#This Row],[Player]],Proj[Player],0),17)-J$764)/J$765</f>
        <v>-0.17232923569972286</v>
      </c>
      <c r="K204" s="12">
        <f>(INDEX(Proj[],MATCH(Std[[#This Row],[Player]],Proj[Player],0),18)-K$764)/K$765</f>
        <v>1.1837065998320361E-2</v>
      </c>
      <c r="L204" s="12">
        <f>(INDEX(Proj[],MATCH(Std[[#This Row],[Player]],Proj[Player],0),19)-L$764)/L$765</f>
        <v>-5.5305476160136084E-2</v>
      </c>
      <c r="M204" s="12">
        <f>(INDEX(Proj[],MATCH(Std[[#This Row],[Player]],Proj[Player],0),20)-M$764)/M$765</f>
        <v>1.3378904761343182</v>
      </c>
      <c r="N204" s="12">
        <f>(INDEX(Proj[],MATCH(Std[[#This Row],[Player]],Proj[Player],0),21)-N$764)/N$765</f>
        <v>-0.86690295943546514</v>
      </c>
      <c r="O204" s="12">
        <f>(INDEX(Proj[],MATCH(Std[[#This Row],[Player]],Proj[Player],0),22)-O$764)/O$765</f>
        <v>-0.54439221604893206</v>
      </c>
      <c r="P204" s="12">
        <f>((INDEX(Proj[],MATCH(Std[[#This Row],[Player]],Proj[Player],0),23)-P$764)/P$765)*IF('League Inputs'!$C$23 = "Yes",-1, 1)</f>
        <v>-0.90737149360508162</v>
      </c>
      <c r="Q204" s="12">
        <f>(INDEX(Proj[],MATCH(Std[[#This Row],[Player]],Proj[Player],0),24)-Q$764)/Q$765</f>
        <v>0.25493531012408688</v>
      </c>
      <c r="R204" s="12">
        <f>(INDEX(Proj[],MATCH(Std[[#This Row],[Player]],Proj[Player],0),25)-R$764)/R$765</f>
        <v>0.50970828885957908</v>
      </c>
      <c r="S204" s="12">
        <f>(INDEX(Proj[],MATCH(Std[[#This Row],[Player]],Proj[Player],0),26)-S$764)/S$765</f>
        <v>0.3548564322394035</v>
      </c>
      <c r="T2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-51.253688415422452</v>
      </c>
      <c r="U204" s="11"/>
      <c r="W204" t="str">
        <v>Jack Roslovic</v>
      </c>
      <c r="AA204" t="str">
        <v>Jack Roslovic</v>
      </c>
      <c r="AB204" t="str">
        <v>Jack Roslovic</v>
      </c>
    </row>
    <row r="205" spans="1:28" x14ac:dyDescent="0.25">
      <c r="A205" t="s">
        <v>597</v>
      </c>
      <c r="B205">
        <f>INDEX(Proj[],MATCH(Std[[#This Row],[Player]],Proj[Player],0),2)</f>
        <v>30</v>
      </c>
      <c r="C205" t="s">
        <v>74</v>
      </c>
      <c r="D205" s="75" t="s">
        <v>102</v>
      </c>
      <c r="E205" s="56"/>
      <c r="F205" t="s">
        <v>34</v>
      </c>
      <c r="G205" s="12">
        <f>(INDEX(Proj[],MATCH(Std[[#This Row],[Player]],Proj[Player],0),14)-G$764)/G$765</f>
        <v>1.0276566437427663</v>
      </c>
      <c r="H205" s="12">
        <f>(INDEX(Proj[],MATCH(Std[[#This Row],[Player]],Proj[Player],0),15)-H$764)/H$765</f>
        <v>-6.6434697593513253E-2</v>
      </c>
      <c r="I205" s="12">
        <f>(INDEX(Proj[],MATCH(Std[[#This Row],[Player]],Proj[Player],0),16)-I$764)/I$765</f>
        <v>0.41748656078828178</v>
      </c>
      <c r="J205" s="12">
        <f>(INDEX(Proj[],MATCH(Std[[#This Row],[Player]],Proj[Player],0),17)-J$764)/J$765</f>
        <v>1.0051239131988361</v>
      </c>
      <c r="K205" s="12">
        <f>(INDEX(Proj[],MATCH(Std[[#This Row],[Player]],Proj[Player],0),18)-K$764)/K$765</f>
        <v>1.1837065998320361E-2</v>
      </c>
      <c r="L205" s="12">
        <f>(INDEX(Proj[],MATCH(Std[[#This Row],[Player]],Proj[Player],0),19)-L$764)/L$765</f>
        <v>0.37964904989093406</v>
      </c>
      <c r="M205" s="12">
        <f>(INDEX(Proj[],MATCH(Std[[#This Row],[Player]],Proj[Player],0),20)-M$764)/M$765</f>
        <v>0.31240082183847029</v>
      </c>
      <c r="N205" s="12">
        <f>(INDEX(Proj[],MATCH(Std[[#This Row],[Player]],Proj[Player],0),21)-N$764)/N$765</f>
        <v>2.2338543763003051</v>
      </c>
      <c r="O205" s="12">
        <f>(INDEX(Proj[],MATCH(Std[[#This Row],[Player]],Proj[Player],0),22)-O$764)/O$765</f>
        <v>0.12887188078745357</v>
      </c>
      <c r="P205" s="12">
        <f>((INDEX(Proj[],MATCH(Std[[#This Row],[Player]],Proj[Player],0),23)-P$764)/P$765)*IF('League Inputs'!$C$23 = "Yes",-1, 1)</f>
        <v>4.5377820993028584</v>
      </c>
      <c r="Q205" s="12">
        <f>(INDEX(Proj[],MATCH(Std[[#This Row],[Player]],Proj[Player],0),24)-Q$764)/Q$765</f>
        <v>-0.44868021528416313</v>
      </c>
      <c r="R205" s="12">
        <f>(INDEX(Proj[],MATCH(Std[[#This Row],[Player]],Proj[Player],0),25)-R$764)/R$765</f>
        <v>-0.40398572459457416</v>
      </c>
      <c r="S205" s="12">
        <f>(INDEX(Proj[],MATCH(Std[[#This Row],[Player]],Proj[Player],0),26)-S$764)/S$765</f>
        <v>0.64679292440802716</v>
      </c>
      <c r="T2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885.69786223429503</v>
      </c>
      <c r="U205" s="11"/>
      <c r="W205" t="str">
        <v>Tom Wilson</v>
      </c>
      <c r="AA205" t="str">
        <v>Tom Wilson</v>
      </c>
      <c r="AB205" t="str">
        <v>Tom Wilson</v>
      </c>
    </row>
    <row r="206" spans="1:28" x14ac:dyDescent="0.25">
      <c r="A206" t="s">
        <v>284</v>
      </c>
      <c r="B206">
        <f>INDEX(Proj[],MATCH(Std[[#This Row],[Player]],Proj[Player],0),2)</f>
        <v>28</v>
      </c>
      <c r="C206" t="s">
        <v>74</v>
      </c>
      <c r="D206" s="75" t="s">
        <v>102</v>
      </c>
      <c r="E206" s="57"/>
      <c r="F206" t="s">
        <v>22</v>
      </c>
      <c r="G206" s="12">
        <f>(INDEX(Proj[],MATCH(Std[[#This Row],[Player]],Proj[Player],0),14)-G$764)/G$765</f>
        <v>-0.13431591259265557</v>
      </c>
      <c r="H206" s="12">
        <f>(INDEX(Proj[],MATCH(Std[[#This Row],[Player]],Proj[Player],0),15)-H$764)/H$765</f>
        <v>0.75338723927740403</v>
      </c>
      <c r="I206" s="12">
        <f>(INDEX(Proj[],MATCH(Std[[#This Row],[Player]],Proj[Player],0),16)-I$764)/I$765</f>
        <v>0.41748656078828178</v>
      </c>
      <c r="J206" s="12">
        <f>(INDEX(Proj[],MATCH(Std[[#This Row],[Player]],Proj[Player],0),17)-J$764)/J$765</f>
        <v>-0.17232923569972286</v>
      </c>
      <c r="K206" s="12">
        <f>(INDEX(Proj[],MATCH(Std[[#This Row],[Player]],Proj[Player],0),18)-K$764)/K$765</f>
        <v>0.78226679261313392</v>
      </c>
      <c r="L206" s="12">
        <f>(INDEX(Proj[],MATCH(Std[[#This Row],[Player]],Proj[Player],0),19)-L$764)/L$765</f>
        <v>0.48838768140370159</v>
      </c>
      <c r="M206" s="12">
        <f>(INDEX(Proj[],MATCH(Std[[#This Row],[Player]],Proj[Player],0),20)-M$764)/M$765</f>
        <v>-0.71308883245737775</v>
      </c>
      <c r="N206" s="12">
        <f>(INDEX(Proj[],MATCH(Std[[#This Row],[Player]],Proj[Player],0),21)-N$764)/N$765</f>
        <v>-0.36302989237840244</v>
      </c>
      <c r="O206" s="12">
        <f>(INDEX(Proj[],MATCH(Std[[#This Row],[Player]],Proj[Player],0),22)-O$764)/O$765</f>
        <v>1.5682640878169676</v>
      </c>
      <c r="P206" s="12">
        <f>((INDEX(Proj[],MATCH(Std[[#This Row],[Player]],Proj[Player],0),23)-P$764)/P$765)*IF('League Inputs'!$C$23 = "Yes",-1, 1)</f>
        <v>0.11650354095880462</v>
      </c>
      <c r="Q206" s="12">
        <f>(INDEX(Proj[],MATCH(Std[[#This Row],[Player]],Proj[Player],0),24)-Q$764)/Q$765</f>
        <v>-0.5766103108129359</v>
      </c>
      <c r="R206" s="12">
        <f>(INDEX(Proj[],MATCH(Std[[#This Row],[Player]],Proj[Player],0),25)-R$764)/R$765</f>
        <v>-0.62531533033812681</v>
      </c>
      <c r="S206" s="12">
        <f>(INDEX(Proj[],MATCH(Std[[#This Row],[Player]],Proj[Player],0),26)-S$764)/S$765</f>
        <v>0.74410508846423506</v>
      </c>
      <c r="T2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301.41780829254009</v>
      </c>
      <c r="U206" s="11"/>
      <c r="W206" t="str">
        <v>Thomas Chabot</v>
      </c>
      <c r="AA206" t="str">
        <v>Thomas Chabot</v>
      </c>
      <c r="AB206" t="str">
        <v>Thomas Chabot</v>
      </c>
    </row>
    <row r="207" spans="1:28" x14ac:dyDescent="0.25">
      <c r="A207" t="s">
        <v>431</v>
      </c>
      <c r="B207">
        <f>INDEX(Proj[],MATCH(Std[[#This Row],[Player]],Proj[Player],0),2)</f>
        <v>28</v>
      </c>
      <c r="C207" t="s">
        <v>74</v>
      </c>
      <c r="D207" s="75"/>
      <c r="E207" s="56"/>
      <c r="F207" t="s">
        <v>23</v>
      </c>
      <c r="G207" s="12">
        <f>(INDEX(Proj[],MATCH(Std[[#This Row],[Player]],Proj[Player],0),14)-G$764)/G$765</f>
        <v>-0.23994978135042122</v>
      </c>
      <c r="H207" s="12">
        <f>(INDEX(Proj[],MATCH(Std[[#This Row],[Player]],Proj[Player],0),15)-H$764)/H$765</f>
        <v>0.82791650626566926</v>
      </c>
      <c r="I207" s="12">
        <f>(INDEX(Proj[],MATCH(Std[[#This Row],[Player]],Proj[Player],0),16)-I$764)/I$765</f>
        <v>0.41748656078828178</v>
      </c>
      <c r="J207" s="12">
        <f>(INDEX(Proj[],MATCH(Std[[#This Row],[Player]],Proj[Player],0),17)-J$764)/J$765</f>
        <v>-0.46669252292436259</v>
      </c>
      <c r="K207" s="12">
        <f>(INDEX(Proj[],MATCH(Std[[#This Row],[Player]],Proj[Player],0),18)-K$764)/K$765</f>
        <v>-0.14224887932464234</v>
      </c>
      <c r="L207" s="12">
        <f>(INDEX(Proj[],MATCH(Std[[#This Row],[Player]],Proj[Player],0),19)-L$764)/L$765</f>
        <v>-0.27278273918567114</v>
      </c>
      <c r="M207" s="12">
        <f>(INDEX(Proj[],MATCH(Std[[#This Row],[Player]],Proj[Player],0),20)-M$764)/M$765</f>
        <v>0.31240082183847029</v>
      </c>
      <c r="N207" s="12">
        <f>(INDEX(Proj[],MATCH(Std[[#This Row],[Player]],Proj[Player],0),21)-N$764)/N$765</f>
        <v>0.10208370798196315</v>
      </c>
      <c r="O207" s="12">
        <f>(INDEX(Proj[],MATCH(Std[[#This Row],[Player]],Proj[Player],0),22)-O$764)/O$765</f>
        <v>1.1968080343899963</v>
      </c>
      <c r="P207" s="12">
        <f>((INDEX(Proj[],MATCH(Std[[#This Row],[Player]],Proj[Player],0),23)-P$764)/P$765)*IF('League Inputs'!$C$23 = "Yes",-1, 1)</f>
        <v>2.3423992362087698E-2</v>
      </c>
      <c r="Q207" s="12">
        <f>(INDEX(Proj[],MATCH(Std[[#This Row],[Player]],Proj[Player],0),24)-Q$764)/Q$765</f>
        <v>-0.5766103108129359</v>
      </c>
      <c r="R207" s="12">
        <f>(INDEX(Proj[],MATCH(Std[[#This Row],[Player]],Proj[Player],0),25)-R$764)/R$765</f>
        <v>-0.62531533033812681</v>
      </c>
      <c r="S207" s="12">
        <f>(INDEX(Proj[],MATCH(Std[[#This Row],[Player]],Proj[Player],0),26)-S$764)/S$765</f>
        <v>0.82519855851107504</v>
      </c>
      <c r="T2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230.35745289500449</v>
      </c>
      <c r="U207" s="11"/>
      <c r="W207" t="str">
        <v>Gustav Forsling</v>
      </c>
      <c r="AA207" t="str">
        <v>Gustav Forsling</v>
      </c>
      <c r="AB207" t="str">
        <v>Gustav Forsling</v>
      </c>
    </row>
    <row r="208" spans="1:28" x14ac:dyDescent="0.25">
      <c r="A208" t="s">
        <v>384</v>
      </c>
      <c r="B208">
        <f>INDEX(Proj[],MATCH(Std[[#This Row],[Player]],Proj[Player],0),2)</f>
        <v>30</v>
      </c>
      <c r="C208" t="s">
        <v>102</v>
      </c>
      <c r="D208" s="75"/>
      <c r="E208" s="57"/>
      <c r="F208" t="s">
        <v>14</v>
      </c>
      <c r="G208" s="12">
        <f>(INDEX(Proj[],MATCH(Std[[#This Row],[Player]],Proj[Player],0),14)-G$764)/G$765</f>
        <v>-0.13431591259265557</v>
      </c>
      <c r="H208" s="12">
        <f>(INDEX(Proj[],MATCH(Std[[#This Row],[Player]],Proj[Player],0),15)-H$764)/H$765</f>
        <v>0.75338723927740403</v>
      </c>
      <c r="I208" s="12">
        <f>(INDEX(Proj[],MATCH(Std[[#This Row],[Player]],Proj[Player],0),16)-I$764)/I$765</f>
        <v>0.41748656078828178</v>
      </c>
      <c r="J208" s="12">
        <f>(INDEX(Proj[],MATCH(Std[[#This Row],[Player]],Proj[Player],0),17)-J$764)/J$765</f>
        <v>-0.17232923569972286</v>
      </c>
      <c r="K208" s="12">
        <f>(INDEX(Proj[],MATCH(Std[[#This Row],[Player]],Proj[Player],0),18)-K$764)/K$765</f>
        <v>0.47409490196720849</v>
      </c>
      <c r="L208" s="12">
        <f>(INDEX(Proj[],MATCH(Std[[#This Row],[Player]],Proj[Player],0),19)-L$764)/L$765</f>
        <v>0.27091041837816654</v>
      </c>
      <c r="M208" s="12">
        <f>(INDEX(Proj[],MATCH(Std[[#This Row],[Player]],Proj[Player],0),20)-M$764)/M$765</f>
        <v>2.3633801304301665</v>
      </c>
      <c r="N208" s="12">
        <f>(INDEX(Proj[],MATCH(Std[[#This Row],[Player]],Proj[Player],0),21)-N$764)/N$765</f>
        <v>-0.38240962572675097</v>
      </c>
      <c r="O208" s="12">
        <f>(INDEX(Proj[],MATCH(Std[[#This Row],[Player]],Proj[Player],0),22)-O$764)/O$765</f>
        <v>0.52354393755361062</v>
      </c>
      <c r="P208" s="12">
        <f>((INDEX(Proj[],MATCH(Std[[#This Row],[Player]],Proj[Player],0),23)-P$764)/P$765)*IF('League Inputs'!$C$23 = "Yes",-1, 1)</f>
        <v>0.30266263815223848</v>
      </c>
      <c r="Q208" s="12">
        <f>(INDEX(Proj[],MATCH(Std[[#This Row],[Player]],Proj[Player],0),24)-Q$764)/Q$765</f>
        <v>-0.5766103108129359</v>
      </c>
      <c r="R208" s="12">
        <f>(INDEX(Proj[],MATCH(Std[[#This Row],[Player]],Proj[Player],0),25)-R$764)/R$765</f>
        <v>-0.62531533033812681</v>
      </c>
      <c r="S208" s="12">
        <f>(INDEX(Proj[],MATCH(Std[[#This Row],[Player]],Proj[Player],0),26)-S$764)/S$765</f>
        <v>0.90629202855791491</v>
      </c>
      <c r="T2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208.09469735752742</v>
      </c>
      <c r="U208" s="11"/>
      <c r="W208" t="str">
        <v>Brady Skjei</v>
      </c>
      <c r="AA208" t="str">
        <v>Brady Skjei</v>
      </c>
      <c r="AB208" t="str">
        <v>Brady Skjei</v>
      </c>
    </row>
    <row r="209" spans="1:28" x14ac:dyDescent="0.25">
      <c r="A209" t="s">
        <v>327</v>
      </c>
      <c r="B209">
        <f>INDEX(Proj[],MATCH(Std[[#This Row],[Player]],Proj[Player],0),2)</f>
        <v>36</v>
      </c>
      <c r="C209" t="s">
        <v>74</v>
      </c>
      <c r="D209" s="75" t="s">
        <v>102</v>
      </c>
      <c r="E209" s="57" t="s">
        <v>103</v>
      </c>
      <c r="F209" t="s">
        <v>30</v>
      </c>
      <c r="G209" s="12">
        <f>(INDEX(Proj[],MATCH(Std[[#This Row],[Player]],Proj[Player],0),14)-G$764)/G$765</f>
        <v>0.49948729995393826</v>
      </c>
      <c r="H209" s="12">
        <f>(INDEX(Proj[],MATCH(Std[[#This Row],[Player]],Proj[Player],0),15)-H$764)/H$765</f>
        <v>0.30621163734781282</v>
      </c>
      <c r="I209" s="12">
        <f>(INDEX(Proj[],MATCH(Std[[#This Row],[Player]],Proj[Player],0),16)-I$764)/I$765</f>
        <v>0.41748656078828178</v>
      </c>
      <c r="J209" s="12">
        <f>(INDEX(Proj[],MATCH(Std[[#This Row],[Player]],Proj[Player],0),17)-J$764)/J$765</f>
        <v>0.41639733874955659</v>
      </c>
      <c r="K209" s="12">
        <f>(INDEX(Proj[],MATCH(Std[[#This Row],[Player]],Proj[Player],0),18)-K$764)/K$765</f>
        <v>0.32000895664424578</v>
      </c>
      <c r="L209" s="12">
        <f>(INDEX(Proj[],MATCH(Std[[#This Row],[Player]],Proj[Player],0),19)-L$764)/L$765</f>
        <v>0.37964904989093406</v>
      </c>
      <c r="M209" s="12">
        <f>(INDEX(Proj[],MATCH(Std[[#This Row],[Player]],Proj[Player],0),20)-M$764)/M$765</f>
        <v>-0.71308883245737775</v>
      </c>
      <c r="N209" s="12">
        <f>(INDEX(Proj[],MATCH(Std[[#This Row],[Player]],Proj[Player],0),21)-N$764)/N$765</f>
        <v>0.2958810414654488</v>
      </c>
      <c r="O209" s="12">
        <f>(INDEX(Proj[],MATCH(Std[[#This Row],[Player]],Proj[Player],0),22)-O$764)/O$765</f>
        <v>-0.89263226613671776</v>
      </c>
      <c r="P209" s="12">
        <f>((INDEX(Proj[],MATCH(Std[[#This Row],[Player]],Proj[Player],0),23)-P$764)/P$765)*IF('League Inputs'!$C$23 = "Yes",-1, 1)</f>
        <v>0.58190128394238927</v>
      </c>
      <c r="Q209" s="12">
        <f>(INDEX(Proj[],MATCH(Std[[#This Row],[Player]],Proj[Player],0),24)-Q$764)/Q$765</f>
        <v>-0.48599315981338853</v>
      </c>
      <c r="R209" s="12">
        <f>(INDEX(Proj[],MATCH(Std[[#This Row],[Player]],Proj[Player],0),25)-R$764)/R$765</f>
        <v>-0.53451344080231034</v>
      </c>
      <c r="S209" s="12">
        <f>(INDEX(Proj[],MATCH(Std[[#This Row],[Player]],Proj[Player],0),26)-S$764)/S$765</f>
        <v>0.32241904422066753</v>
      </c>
      <c r="T2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142.44104916593662</v>
      </c>
      <c r="U209" s="11"/>
      <c r="W209" t="str">
        <v>David Perron</v>
      </c>
      <c r="AA209" t="str">
        <v>David Perron</v>
      </c>
      <c r="AB209" t="str">
        <v>David Perron</v>
      </c>
    </row>
    <row r="210" spans="1:28" x14ac:dyDescent="0.25">
      <c r="A210" t="s">
        <v>794</v>
      </c>
      <c r="B210">
        <f>INDEX(Proj[],MATCH(Std[[#This Row],[Player]],Proj[Player],0),2)</f>
        <v>22</v>
      </c>
      <c r="C210" t="s">
        <v>74</v>
      </c>
      <c r="D210" s="75" t="s">
        <v>102</v>
      </c>
      <c r="E210" s="56" t="s">
        <v>103</v>
      </c>
      <c r="F210" t="s">
        <v>11</v>
      </c>
      <c r="G210" s="12">
        <f>(INDEX(Proj[],MATCH(Std[[#This Row],[Player]],Proj[Player],0),14)-G$764)/G$765</f>
        <v>1.1332905125005321</v>
      </c>
      <c r="H210" s="12">
        <f>(INDEX(Proj[],MATCH(Std[[#This Row],[Player]],Proj[Player],0),15)-H$764)/H$765</f>
        <v>1.2005628412069953</v>
      </c>
      <c r="I210" s="12">
        <f>(INDEX(Proj[],MATCH(Std[[#This Row],[Player]],Proj[Player],0),16)-I$764)/I$765</f>
        <v>1.2678526221061399</v>
      </c>
      <c r="J210" s="12">
        <f>(INDEX(Proj[],MATCH(Std[[#This Row],[Player]],Proj[Player],0),17)-J$764)/J$765</f>
        <v>1.2994872004234757</v>
      </c>
      <c r="K210" s="12">
        <f>(INDEX(Proj[],MATCH(Std[[#This Row],[Player]],Proj[Player],0),18)-K$764)/K$765</f>
        <v>0.47409490196720849</v>
      </c>
      <c r="L210" s="12">
        <f>(INDEX(Proj[],MATCH(Std[[#This Row],[Player]],Proj[Player],0),19)-L$764)/L$765</f>
        <v>0.81460357594200417</v>
      </c>
      <c r="M210" s="12">
        <f>(INDEX(Proj[],MATCH(Std[[#This Row],[Player]],Proj[Player],0),20)-M$764)/M$765</f>
        <v>-0.71308883245737775</v>
      </c>
      <c r="N210" s="12">
        <f>(INDEX(Proj[],MATCH(Std[[#This Row],[Player]],Proj[Player],0),21)-N$764)/N$765</f>
        <v>-0.36302989237840244</v>
      </c>
      <c r="O210" s="12">
        <f>(INDEX(Proj[],MATCH(Std[[#This Row],[Player]],Proj[Player],0),22)-O$764)/O$765</f>
        <v>-0.86941626279753204</v>
      </c>
      <c r="P210" s="12">
        <f>((INDEX(Proj[],MATCH(Std[[#This Row],[Player]],Proj[Player],0),23)-P$764)/P$765)*IF('League Inputs'!$C$23 = "Yes",-1, 1)</f>
        <v>0.58190128394238927</v>
      </c>
      <c r="Q210" s="12">
        <f>(INDEX(Proj[],MATCH(Std[[#This Row],[Player]],Proj[Player],0),24)-Q$764)/Q$765</f>
        <v>-0.13951581775629571</v>
      </c>
      <c r="R210" s="12">
        <f>(INDEX(Proj[],MATCH(Std[[#This Row],[Player]],Proj[Player],0),25)-R$764)/R$765</f>
        <v>-5.2128402643285339E-2</v>
      </c>
      <c r="S210" s="12">
        <f>(INDEX(Proj[],MATCH(Std[[#This Row],[Player]],Proj[Player],0),26)-S$764)/S$765</f>
        <v>0.53326206634245132</v>
      </c>
      <c r="T2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415.95109291082809</v>
      </c>
      <c r="U210" s="11"/>
      <c r="W210" t="str">
        <v>Quinton Byfield</v>
      </c>
      <c r="AA210" t="str">
        <v>Quinton Byfield</v>
      </c>
      <c r="AB210" t="str">
        <v>Quinton Byfield</v>
      </c>
    </row>
    <row r="211" spans="1:28" x14ac:dyDescent="0.25">
      <c r="A211" t="s">
        <v>679</v>
      </c>
      <c r="B211">
        <f>INDEX(Proj[],MATCH(Std[[#This Row],[Player]],Proj[Player],0),2)</f>
        <v>24</v>
      </c>
      <c r="C211" t="s">
        <v>102</v>
      </c>
      <c r="D211" s="75"/>
      <c r="E211" s="57"/>
      <c r="F211" t="s">
        <v>4</v>
      </c>
      <c r="G211" s="12">
        <f>(INDEX(Proj[],MATCH(Std[[#This Row],[Player]],Proj[Player],0),14)-G$764)/G$765</f>
        <v>0.60512116871170385</v>
      </c>
      <c r="H211" s="12">
        <f>(INDEX(Proj[],MATCH(Std[[#This Row],[Player]],Proj[Player],0),15)-H$764)/H$765</f>
        <v>0.23168237035954761</v>
      </c>
      <c r="I211" s="12">
        <f>(INDEX(Proj[],MATCH(Std[[#This Row],[Player]],Proj[Player],0),16)-I$764)/I$765</f>
        <v>0.41748656078828178</v>
      </c>
      <c r="J211" s="12">
        <f>(INDEX(Proj[],MATCH(Std[[#This Row],[Player]],Proj[Player],0),17)-J$764)/J$765</f>
        <v>0.41639733874955659</v>
      </c>
      <c r="K211" s="12">
        <f>(INDEX(Proj[],MATCH(Std[[#This Row],[Player]],Proj[Player],0),18)-K$764)/K$765</f>
        <v>0.16592301132128306</v>
      </c>
      <c r="L211" s="12">
        <f>(INDEX(Proj[],MATCH(Std[[#This Row],[Player]],Proj[Player],0),19)-L$764)/L$765</f>
        <v>0.27091041837816654</v>
      </c>
      <c r="M211" s="12">
        <f>(INDEX(Proj[],MATCH(Std[[#This Row],[Player]],Proj[Player],0),20)-M$764)/M$765</f>
        <v>-0.71308883245737775</v>
      </c>
      <c r="N211" s="12">
        <f>(INDEX(Proj[],MATCH(Std[[#This Row],[Player]],Proj[Player],0),21)-N$764)/N$765</f>
        <v>-0.71186509264867659</v>
      </c>
      <c r="O211" s="12">
        <f>(INDEX(Proj[],MATCH(Std[[#This Row],[Player]],Proj[Player],0),22)-O$764)/O$765</f>
        <v>-0.54439221604893206</v>
      </c>
      <c r="P211" s="12">
        <f>((INDEX(Proj[],MATCH(Std[[#This Row],[Player]],Proj[Player],0),23)-P$764)/P$765)*IF('League Inputs'!$C$23 = "Yes",-1, 1)</f>
        <v>-0.5815930735165723</v>
      </c>
      <c r="Q211" s="12">
        <f>(INDEX(Proj[],MATCH(Std[[#This Row],[Player]],Proj[Player],0),24)-Q$764)/Q$765</f>
        <v>0.94255957359124043</v>
      </c>
      <c r="R211" s="12">
        <f>(INDEX(Proj[],MATCH(Std[[#This Row],[Player]],Proj[Player],0),25)-R$764)/R$765</f>
        <v>1.3836764756418127</v>
      </c>
      <c r="S211" s="12">
        <f>(INDEX(Proj[],MATCH(Std[[#This Row],[Player]],Proj[Player],0),26)-S$764)/S$765</f>
        <v>0.12779471610825174</v>
      </c>
      <c r="T2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75.770442572301093</v>
      </c>
      <c r="U211" s="11"/>
      <c r="W211" t="str">
        <v>Alex Newhook</v>
      </c>
      <c r="AA211" t="str">
        <v>Alex Newhook</v>
      </c>
      <c r="AB211" t="str">
        <v>Alex Newhook</v>
      </c>
    </row>
    <row r="212" spans="1:28" x14ac:dyDescent="0.25">
      <c r="A212" t="s">
        <v>251</v>
      </c>
      <c r="B212">
        <f>INDEX(Proj[],MATCH(Std[[#This Row],[Player]],Proj[Player],0),2)</f>
        <v>23</v>
      </c>
      <c r="C212" t="s">
        <v>74</v>
      </c>
      <c r="D212" s="75"/>
      <c r="E212" s="57"/>
      <c r="F212" t="s">
        <v>87</v>
      </c>
      <c r="G212" s="12">
        <f>(INDEX(Proj[],MATCH(Std[[#This Row],[Player]],Proj[Player],0),14)-G$764)/G$765</f>
        <v>-0.55685138762371811</v>
      </c>
      <c r="H212" s="12">
        <f>(INDEX(Proj[],MATCH(Std[[#This Row],[Player]],Proj[Player],0),15)-H$764)/H$765</f>
        <v>0.97697504024219972</v>
      </c>
      <c r="I212" s="12">
        <f>(INDEX(Proj[],MATCH(Std[[#This Row],[Player]],Proj[Player],0),16)-I$764)/I$765</f>
        <v>0.37024400182617856</v>
      </c>
      <c r="J212" s="12">
        <f>(INDEX(Proj[],MATCH(Std[[#This Row],[Player]],Proj[Player],0),17)-J$764)/J$765</f>
        <v>-0.17232923569972286</v>
      </c>
      <c r="K212" s="12">
        <f>(INDEX(Proj[],MATCH(Std[[#This Row],[Player]],Proj[Player],0),18)-K$764)/K$765</f>
        <v>1.244524628582022</v>
      </c>
      <c r="L212" s="12">
        <f>(INDEX(Proj[],MATCH(Std[[#This Row],[Player]],Proj[Player],0),19)-L$764)/L$765</f>
        <v>0.81460357594200417</v>
      </c>
      <c r="M212" s="12">
        <f>(INDEX(Proj[],MATCH(Std[[#This Row],[Player]],Proj[Player],0),20)-M$764)/M$765</f>
        <v>0.31240082183847029</v>
      </c>
      <c r="N212" s="12">
        <f>(INDEX(Proj[],MATCH(Std[[#This Row],[Player]],Proj[Player],0),21)-N$764)/N$765</f>
        <v>1.8462597093333339</v>
      </c>
      <c r="O212" s="12">
        <f>(INDEX(Proj[],MATCH(Std[[#This Row],[Player]],Proj[Player],0),22)-O$764)/O$765</f>
        <v>3.1701683182207816</v>
      </c>
      <c r="P212" s="12">
        <f>((INDEX(Proj[],MATCH(Std[[#This Row],[Player]],Proj[Player],0),23)-P$764)/P$765)*IF('League Inputs'!$C$23 = "Yes",-1, 1)</f>
        <v>0.30266263815223848</v>
      </c>
      <c r="Q212" s="12">
        <f>(INDEX(Proj[],MATCH(Std[[#This Row],[Player]],Proj[Player],0),24)-Q$764)/Q$765</f>
        <v>-0.5766103108129359</v>
      </c>
      <c r="R212" s="12">
        <f>(INDEX(Proj[],MATCH(Std[[#This Row],[Player]],Proj[Player],0),25)-R$764)/R$765</f>
        <v>-0.62531533033812681</v>
      </c>
      <c r="S212" s="12">
        <f>(INDEX(Proj[],MATCH(Std[[#This Row],[Player]],Proj[Player],0),26)-S$764)/S$765</f>
        <v>0.27376296219256357</v>
      </c>
      <c r="T2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662.12145474726458</v>
      </c>
      <c r="U212" s="11"/>
      <c r="W212" t="str">
        <v>Moritz Seider</v>
      </c>
      <c r="AA212" t="str">
        <v>Moritz Seider</v>
      </c>
      <c r="AB212" t="str">
        <v>Moritz Seider</v>
      </c>
    </row>
    <row r="213" spans="1:28" x14ac:dyDescent="0.25">
      <c r="A213" t="s">
        <v>296</v>
      </c>
      <c r="B213">
        <f>INDEX(Proj[],MATCH(Std[[#This Row],[Player]],Proj[Player],0),2)</f>
        <v>32</v>
      </c>
      <c r="C213" t="s">
        <v>3</v>
      </c>
      <c r="D213" s="75"/>
      <c r="E213" s="56"/>
      <c r="F213" t="s">
        <v>11</v>
      </c>
      <c r="G213" s="12">
        <f>(INDEX(Proj[],MATCH(Std[[#This Row],[Player]],Proj[Player],0),14)-G$764)/G$765</f>
        <v>-0.34558365010818687</v>
      </c>
      <c r="H213" s="12">
        <f>(INDEX(Proj[],MATCH(Std[[#This Row],[Player]],Proj[Player],0),15)-H$764)/H$765</f>
        <v>0.82791650626566926</v>
      </c>
      <c r="I213" s="12">
        <f>(INDEX(Proj[],MATCH(Std[[#This Row],[Player]],Proj[Player],0),16)-I$764)/I$765</f>
        <v>0.37024400182617856</v>
      </c>
      <c r="J213" s="12">
        <f>(INDEX(Proj[],MATCH(Std[[#This Row],[Player]],Proj[Player],0),17)-J$764)/J$765</f>
        <v>-0.17232923569972286</v>
      </c>
      <c r="K213" s="12">
        <f>(INDEX(Proj[],MATCH(Std[[#This Row],[Player]],Proj[Player],0),18)-K$764)/K$765</f>
        <v>0.16592301132128306</v>
      </c>
      <c r="L213" s="12">
        <f>(INDEX(Proj[],MATCH(Std[[#This Row],[Player]],Proj[Player],0),19)-L$764)/L$765</f>
        <v>5.3433155352631455E-2</v>
      </c>
      <c r="M213" s="12">
        <f>(INDEX(Proj[],MATCH(Std[[#This Row],[Player]],Proj[Player],0),20)-M$764)/M$765</f>
        <v>0.31240082183847029</v>
      </c>
      <c r="N213" s="12">
        <f>(INDEX(Proj[],MATCH(Std[[#This Row],[Player]],Proj[Player],0),21)-N$764)/N$765</f>
        <v>0.37339997485884308</v>
      </c>
      <c r="O213" s="12">
        <f>(INDEX(Proj[],MATCH(Std[[#This Row],[Player]],Proj[Player],0),22)-O$764)/O$765</f>
        <v>1.5914800911561533</v>
      </c>
      <c r="P213" s="12">
        <f>((INDEX(Proj[],MATCH(Std[[#This Row],[Player]],Proj[Player],0),23)-P$764)/P$765)*IF('League Inputs'!$C$23 = "Yes",-1, 1)</f>
        <v>0.30266263815223848</v>
      </c>
      <c r="Q213" s="12">
        <f>(INDEX(Proj[],MATCH(Std[[#This Row],[Player]],Proj[Player],0),24)-Q$764)/Q$765</f>
        <v>-0.5766103108129359</v>
      </c>
      <c r="R213" s="12">
        <f>(INDEX(Proj[],MATCH(Std[[#This Row],[Player]],Proj[Player],0),25)-R$764)/R$765</f>
        <v>-0.62531533033812681</v>
      </c>
      <c r="S213" s="12">
        <f>(INDEX(Proj[],MATCH(Std[[#This Row],[Player]],Proj[Player],0),26)-S$764)/S$765</f>
        <v>0.6630116184173952</v>
      </c>
      <c r="T2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325.99540251079867</v>
      </c>
      <c r="U213" s="11"/>
      <c r="W213" t="str">
        <v>Justin Faulk</v>
      </c>
      <c r="AA213" t="str">
        <v>Justin Faulk</v>
      </c>
      <c r="AB213" t="str">
        <v>Justin Faulk</v>
      </c>
    </row>
    <row r="214" spans="1:28" x14ac:dyDescent="0.25">
      <c r="A214" t="s">
        <v>282</v>
      </c>
      <c r="B214">
        <f>INDEX(Proj[],MATCH(Std[[#This Row],[Player]],Proj[Player],0),2)</f>
        <v>35</v>
      </c>
      <c r="C214" t="s">
        <v>74</v>
      </c>
      <c r="D214" s="75" t="s">
        <v>102</v>
      </c>
      <c r="E214" s="57"/>
      <c r="F214" t="s">
        <v>31</v>
      </c>
      <c r="G214" s="12">
        <f>(INDEX(Proj[],MATCH(Std[[#This Row],[Player]],Proj[Player],0),14)-G$764)/G$765</f>
        <v>-0.45121751886595246</v>
      </c>
      <c r="H214" s="12">
        <f>(INDEX(Proj[],MATCH(Std[[#This Row],[Player]],Proj[Player],0),15)-H$764)/H$765</f>
        <v>0.90244577325393449</v>
      </c>
      <c r="I214" s="12">
        <f>(INDEX(Proj[],MATCH(Std[[#This Row],[Player]],Proj[Player],0),16)-I$764)/I$765</f>
        <v>0.37024400182617856</v>
      </c>
      <c r="J214" s="12">
        <f>(INDEX(Proj[],MATCH(Std[[#This Row],[Player]],Proj[Player],0),17)-J$764)/J$765</f>
        <v>-0.17232923569972286</v>
      </c>
      <c r="K214" s="12">
        <f>(INDEX(Proj[],MATCH(Std[[#This Row],[Player]],Proj[Player],0),18)-K$764)/K$765</f>
        <v>0.62818084729017121</v>
      </c>
      <c r="L214" s="12">
        <f>(INDEX(Proj[],MATCH(Std[[#This Row],[Player]],Proj[Player],0),19)-L$764)/L$765</f>
        <v>0.37964904989093406</v>
      </c>
      <c r="M214" s="12">
        <f>(INDEX(Proj[],MATCH(Std[[#This Row],[Player]],Proj[Player],0),20)-M$764)/M$765</f>
        <v>0.31240082183847029</v>
      </c>
      <c r="N214" s="12">
        <f>(INDEX(Proj[],MATCH(Std[[#This Row],[Player]],Proj[Player],0),21)-N$764)/N$765</f>
        <v>-0.59558669255858521</v>
      </c>
      <c r="O214" s="12">
        <f>(INDEX(Proj[],MATCH(Std[[#This Row],[Player]],Proj[Player],0),22)-O$764)/O$765</f>
        <v>2.821928268132996</v>
      </c>
      <c r="P214" s="12">
        <f>((INDEX(Proj[],MATCH(Std[[#This Row],[Player]],Proj[Player],0),23)-P$764)/P$765)*IF('League Inputs'!$C$23 = "Yes",-1, 1)</f>
        <v>-0.30235442772642157</v>
      </c>
      <c r="Q214" s="12">
        <f>(INDEX(Proj[],MATCH(Std[[#This Row],[Player]],Proj[Player],0),24)-Q$764)/Q$765</f>
        <v>-0.5766103108129359</v>
      </c>
      <c r="R214" s="12">
        <f>(INDEX(Proj[],MATCH(Std[[#This Row],[Player]],Proj[Player],0),25)-R$764)/R$765</f>
        <v>-0.62531533033812681</v>
      </c>
      <c r="S214" s="12">
        <f>(INDEX(Proj[],MATCH(Std[[#This Row],[Player]],Proj[Player],0),26)-S$764)/S$765</f>
        <v>0.72788639445486714</v>
      </c>
      <c r="T2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327.63845375950149</v>
      </c>
      <c r="U214" s="11"/>
      <c r="W214" t="str">
        <v>Alex Pietrangelo</v>
      </c>
      <c r="AA214" t="str">
        <v>Alex Pietrangelo</v>
      </c>
      <c r="AB214" t="str">
        <v>Alex Pietrangelo</v>
      </c>
    </row>
    <row r="215" spans="1:28" x14ac:dyDescent="0.25">
      <c r="A215" t="s">
        <v>253</v>
      </c>
      <c r="B215">
        <f>INDEX(Proj[],MATCH(Std[[#This Row],[Player]],Proj[Player],0),2)</f>
        <v>33</v>
      </c>
      <c r="C215" t="s">
        <v>102</v>
      </c>
      <c r="D215" s="75" t="s">
        <v>103</v>
      </c>
      <c r="E215" s="56"/>
      <c r="F215" t="s">
        <v>18</v>
      </c>
      <c r="G215" s="12">
        <f>(INDEX(Proj[],MATCH(Std[[#This Row],[Player]],Proj[Player],0),14)-G$764)/G$765</f>
        <v>1.1332905125005321</v>
      </c>
      <c r="H215" s="12">
        <f>(INDEX(Proj[],MATCH(Std[[#This Row],[Player]],Proj[Player],0),15)-H$764)/H$765</f>
        <v>-0.21549323157004366</v>
      </c>
      <c r="I215" s="12">
        <f>(INDEX(Proj[],MATCH(Std[[#This Row],[Player]],Proj[Player],0),16)-I$764)/I$765</f>
        <v>0.37024400182617856</v>
      </c>
      <c r="J215" s="12">
        <f>(INDEX(Proj[],MATCH(Std[[#This Row],[Player]],Proj[Player],0),17)-J$764)/J$765</f>
        <v>-0.17232923569972286</v>
      </c>
      <c r="K215" s="12">
        <f>(INDEX(Proj[],MATCH(Std[[#This Row],[Player]],Proj[Player],0),18)-K$764)/K$765</f>
        <v>-0.29633482464760502</v>
      </c>
      <c r="L215" s="12">
        <f>(INDEX(Proj[],MATCH(Std[[#This Row],[Player]],Proj[Player],0),19)-L$764)/L$765</f>
        <v>-0.27278273918567114</v>
      </c>
      <c r="M215" s="12">
        <f>(INDEX(Proj[],MATCH(Std[[#This Row],[Player]],Proj[Player],0),20)-M$764)/M$765</f>
        <v>0.31240082183847029</v>
      </c>
      <c r="N215" s="12">
        <f>(INDEX(Proj[],MATCH(Std[[#This Row],[Player]],Proj[Player],0),21)-N$764)/N$765</f>
        <v>2.0981962428618655</v>
      </c>
      <c r="O215" s="12">
        <f>(INDEX(Proj[],MATCH(Std[[#This Row],[Player]],Proj[Player],0),22)-O$764)/O$765</f>
        <v>-0.89263226613671776</v>
      </c>
      <c r="P215" s="12">
        <f>((INDEX(Proj[],MATCH(Std[[#This Row],[Player]],Proj[Player],0),23)-P$764)/P$765)*IF('League Inputs'!$C$23 = "Yes",-1, 1)</f>
        <v>1.6988558671029923</v>
      </c>
      <c r="Q215" s="12">
        <f>(INDEX(Proj[],MATCH(Std[[#This Row],[Player]],Proj[Player],0),24)-Q$764)/Q$765</f>
        <v>-0.41136727075493779</v>
      </c>
      <c r="R215" s="12">
        <f>(INDEX(Proj[],MATCH(Std[[#This Row],[Player]],Proj[Player],0),25)-R$764)/R$765</f>
        <v>-0.42668619697852828</v>
      </c>
      <c r="S215" s="12">
        <f>(INDEX(Proj[],MATCH(Std[[#This Row],[Player]],Proj[Player],0),26)-S$764)/S$765</f>
        <v>1.1333537446890667</v>
      </c>
      <c r="T2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464.16648613332649</v>
      </c>
      <c r="U215" s="11"/>
      <c r="W215" t="str">
        <v>Evander Kane</v>
      </c>
      <c r="AA215" t="str">
        <v>Evander Kane</v>
      </c>
      <c r="AB215" t="str">
        <v>Evander Kane</v>
      </c>
    </row>
    <row r="216" spans="1:28" x14ac:dyDescent="0.25">
      <c r="A216" t="s">
        <v>330</v>
      </c>
      <c r="B216">
        <f>INDEX(Proj[],MATCH(Std[[#This Row],[Player]],Proj[Player],0),2)</f>
        <v>27</v>
      </c>
      <c r="C216" t="s">
        <v>74</v>
      </c>
      <c r="D216" s="75" t="s">
        <v>102</v>
      </c>
      <c r="E216" s="57"/>
      <c r="F216" t="s">
        <v>2</v>
      </c>
      <c r="G216" s="12">
        <f>(INDEX(Proj[],MATCH(Std[[#This Row],[Player]],Proj[Player],0),14)-G$764)/G$765</f>
        <v>1.0276566437427663</v>
      </c>
      <c r="H216" s="12">
        <f>(INDEX(Proj[],MATCH(Std[[#This Row],[Player]],Proj[Player],0),15)-H$764)/H$765</f>
        <v>-0.14096396458177846</v>
      </c>
      <c r="I216" s="12">
        <f>(INDEX(Proj[],MATCH(Std[[#This Row],[Player]],Proj[Player],0),16)-I$764)/I$765</f>
        <v>0.37024400182617856</v>
      </c>
      <c r="J216" s="12">
        <f>(INDEX(Proj[],MATCH(Std[[#This Row],[Player]],Proj[Player],0),17)-J$764)/J$765</f>
        <v>0.71076062597419631</v>
      </c>
      <c r="K216" s="12">
        <f>(INDEX(Proj[],MATCH(Std[[#This Row],[Player]],Proj[Player],0),18)-K$764)/K$765</f>
        <v>-0.29633482464760502</v>
      </c>
      <c r="L216" s="12">
        <f>(INDEX(Proj[],MATCH(Std[[#This Row],[Player]],Proj[Player],0),19)-L$764)/L$765</f>
        <v>5.3433155352631455E-2</v>
      </c>
      <c r="M216" s="12">
        <f>(INDEX(Proj[],MATCH(Std[[#This Row],[Player]],Proj[Player],0),20)-M$764)/M$765</f>
        <v>0.31240082183847029</v>
      </c>
      <c r="N216" s="12">
        <f>(INDEX(Proj[],MATCH(Std[[#This Row],[Player]],Proj[Player],0),21)-N$764)/N$765</f>
        <v>1.6137029091531512</v>
      </c>
      <c r="O216" s="12">
        <f>(INDEX(Proj[],MATCH(Std[[#This Row],[Player]],Proj[Player],0),22)-O$764)/O$765</f>
        <v>-0.14972015928277496</v>
      </c>
      <c r="P216" s="12">
        <f>((INDEX(Proj[],MATCH(Std[[#This Row],[Player]],Proj[Player],0),23)-P$764)/P$765)*IF('League Inputs'!$C$23 = "Yes",-1, 1)</f>
        <v>0.30266263815223848</v>
      </c>
      <c r="Q216" s="12">
        <f>(INDEX(Proj[],MATCH(Std[[#This Row],[Player]],Proj[Player],0),24)-Q$764)/Q$765</f>
        <v>-0.40603685010790558</v>
      </c>
      <c r="R216" s="12">
        <f>(INDEX(Proj[],MATCH(Std[[#This Row],[Player]],Proj[Player],0),25)-R$764)/R$765</f>
        <v>-0.27345800838683798</v>
      </c>
      <c r="S216" s="12">
        <f>(INDEX(Proj[],MATCH(Std[[#This Row],[Player]],Proj[Player],0),26)-S$764)/S$765</f>
        <v>0.61435553638929119</v>
      </c>
      <c r="T2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328.53339106437977</v>
      </c>
      <c r="U216" s="11"/>
      <c r="W216" t="str">
        <v>Lawson Crouse</v>
      </c>
      <c r="AA216" t="str">
        <v>Lawson Crouse</v>
      </c>
      <c r="AB216" t="str">
        <v>Lawson Crouse</v>
      </c>
    </row>
    <row r="217" spans="1:28" x14ac:dyDescent="0.25">
      <c r="A217" t="s">
        <v>489</v>
      </c>
      <c r="B217">
        <f>INDEX(Proj[],MATCH(Std[[#This Row],[Player]],Proj[Player],0),2)</f>
        <v>33</v>
      </c>
      <c r="C217" t="s">
        <v>102</v>
      </c>
      <c r="D217" s="75" t="s">
        <v>103</v>
      </c>
      <c r="E217" s="57"/>
      <c r="F217" t="s">
        <v>155</v>
      </c>
      <c r="G217" s="12">
        <f>(INDEX(Proj[],MATCH(Std[[#This Row],[Player]],Proj[Player],0),14)-G$764)/G$765</f>
        <v>-0.55685138762371811</v>
      </c>
      <c r="H217" s="12">
        <f>(INDEX(Proj[],MATCH(Std[[#This Row],[Player]],Proj[Player],0),15)-H$764)/H$765</f>
        <v>0.97697504024219972</v>
      </c>
      <c r="I217" s="12">
        <f>(INDEX(Proj[],MATCH(Std[[#This Row],[Player]],Proj[Player],0),16)-I$764)/I$765</f>
        <v>0.37024400182617856</v>
      </c>
      <c r="J217" s="12">
        <f>(INDEX(Proj[],MATCH(Std[[#This Row],[Player]],Proj[Player],0),17)-J$764)/J$765</f>
        <v>0.12203405152491688</v>
      </c>
      <c r="K217" s="12">
        <f>(INDEX(Proj[],MATCH(Std[[#This Row],[Player]],Proj[Player],0),18)-K$764)/K$765</f>
        <v>1.244524628582022</v>
      </c>
      <c r="L217" s="12">
        <f>(INDEX(Proj[],MATCH(Std[[#This Row],[Player]],Proj[Player],0),19)-L$764)/L$765</f>
        <v>0.92334220745477169</v>
      </c>
      <c r="M217" s="12">
        <f>(INDEX(Proj[],MATCH(Std[[#This Row],[Player]],Proj[Player],0),20)-M$764)/M$765</f>
        <v>0.31240082183847029</v>
      </c>
      <c r="N217" s="12">
        <f>(INDEX(Proj[],MATCH(Std[[#This Row],[Player]],Proj[Player],0),21)-N$764)/N$765</f>
        <v>-0.94442189282885936</v>
      </c>
      <c r="O217" s="12">
        <f>(INDEX(Proj[],MATCH(Std[[#This Row],[Player]],Proj[Player],0),22)-O$764)/O$765</f>
        <v>1.3825360611034818</v>
      </c>
      <c r="P217" s="12">
        <f>((INDEX(Proj[],MATCH(Std[[#This Row],[Player]],Proj[Player],0),23)-P$764)/P$765)*IF('League Inputs'!$C$23 = "Yes",-1, 1)</f>
        <v>-0.72121239641164769</v>
      </c>
      <c r="Q217" s="12">
        <f>(INDEX(Proj[],MATCH(Std[[#This Row],[Player]],Proj[Player],0),24)-Q$764)/Q$765</f>
        <v>-0.5766103108129359</v>
      </c>
      <c r="R217" s="12">
        <f>(INDEX(Proj[],MATCH(Std[[#This Row],[Player]],Proj[Player],0),25)-R$764)/R$765</f>
        <v>-0.62531533033812681</v>
      </c>
      <c r="S217" s="12">
        <f>(INDEX(Proj[],MATCH(Std[[#This Row],[Player]],Proj[Player],0),26)-S$764)/S$765</f>
        <v>-9.9267000022900009E-2</v>
      </c>
      <c r="T2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75.473432292657066</v>
      </c>
      <c r="U217" s="11"/>
      <c r="W217" t="str">
        <v>Cam Fowler</v>
      </c>
      <c r="AA217" t="str">
        <v>Cam Fowler</v>
      </c>
      <c r="AB217" t="str">
        <v>Cam Fowler</v>
      </c>
    </row>
    <row r="218" spans="1:28" x14ac:dyDescent="0.25">
      <c r="A218" t="s">
        <v>1215</v>
      </c>
      <c r="B218">
        <f>INDEX(Proj[],MATCH(Std[[#This Row],[Player]],Proj[Player],0),2)</f>
        <v>25</v>
      </c>
      <c r="C218" t="s">
        <v>74</v>
      </c>
      <c r="D218" s="75" t="s">
        <v>103</v>
      </c>
      <c r="E218" s="57"/>
      <c r="F218" t="s">
        <v>34</v>
      </c>
      <c r="G218" s="12">
        <f>(INDEX(Proj[],MATCH(Std[[#This Row],[Player]],Proj[Player],0),14)-G$764)/G$765</f>
        <v>0.28821956243840696</v>
      </c>
      <c r="H218" s="12">
        <f>(INDEX(Proj[],MATCH(Std[[#This Row],[Player]],Proj[Player],0),15)-H$764)/H$765</f>
        <v>0.38074090433607805</v>
      </c>
      <c r="I218" s="12">
        <f>(INDEX(Proj[],MATCH(Std[[#This Row],[Player]],Proj[Player],0),16)-I$764)/I$765</f>
        <v>0.37024400182617856</v>
      </c>
      <c r="J218" s="12">
        <f>(INDEX(Proj[],MATCH(Std[[#This Row],[Player]],Proj[Player],0),17)-J$764)/J$765</f>
        <v>0.12203405152491688</v>
      </c>
      <c r="K218" s="12">
        <f>(INDEX(Proj[],MATCH(Std[[#This Row],[Player]],Proj[Player],0),18)-K$764)/K$765</f>
        <v>-0.14224887932464234</v>
      </c>
      <c r="L218" s="12">
        <f>(INDEX(Proj[],MATCH(Std[[#This Row],[Player]],Proj[Player],0),19)-L$764)/L$765</f>
        <v>-5.5305476160136084E-2</v>
      </c>
      <c r="M218" s="12">
        <f>(INDEX(Proj[],MATCH(Std[[#This Row],[Player]],Proj[Player],0),20)-M$764)/M$765</f>
        <v>-0.71308883245737775</v>
      </c>
      <c r="N218" s="12">
        <f>(INDEX(Proj[],MATCH(Std[[#This Row],[Player]],Proj[Player],0),21)-N$764)/N$765</f>
        <v>0.58657704169067726</v>
      </c>
      <c r="O218" s="12">
        <f>(INDEX(Proj[],MATCH(Std[[#This Row],[Player]],Proj[Player],0),22)-O$764)/O$765</f>
        <v>-0.8229842561191606</v>
      </c>
      <c r="P218" s="12">
        <f>((INDEX(Proj[],MATCH(Std[[#This Row],[Player]],Proj[Player],0),23)-P$764)/P$765)*IF('League Inputs'!$C$23 = "Yes",-1, 1)</f>
        <v>0.25612286385388</v>
      </c>
      <c r="Q218" s="12">
        <f>(INDEX(Proj[],MATCH(Std[[#This Row],[Player]],Proj[Player],0),24)-Q$764)/Q$765</f>
        <v>-0.40603685010790558</v>
      </c>
      <c r="R218" s="12">
        <f>(INDEX(Proj[],MATCH(Std[[#This Row],[Player]],Proj[Player],0),25)-R$764)/R$765</f>
        <v>-0.42101107888253975</v>
      </c>
      <c r="S218" s="12">
        <f>(INDEX(Proj[],MATCH(Std[[#This Row],[Player]],Proj[Player],0),26)-S$764)/S$765</f>
        <v>0.22510688016445965</v>
      </c>
      <c r="T2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82.268467192247826</v>
      </c>
      <c r="U218" s="11"/>
      <c r="W218" t="str">
        <v>Nikolai Kovalenko</v>
      </c>
      <c r="AA218" t="str">
        <v>Nikolai Kovalenko</v>
      </c>
      <c r="AB218" t="str">
        <v>Nikolai Kovalenko</v>
      </c>
    </row>
    <row r="219" spans="1:28" x14ac:dyDescent="0.25">
      <c r="A219" t="s">
        <v>380</v>
      </c>
      <c r="B219">
        <f>INDEX(Proj[],MATCH(Std[[#This Row],[Player]],Proj[Player],0),2)</f>
        <v>26</v>
      </c>
      <c r="C219" t="s">
        <v>3</v>
      </c>
      <c r="D219" s="75"/>
      <c r="E219" s="57"/>
      <c r="F219" t="s">
        <v>29</v>
      </c>
      <c r="G219" s="12">
        <f>(INDEX(Proj[],MATCH(Std[[#This Row],[Player]],Proj[Player],0),14)-G$764)/G$765</f>
        <v>-0.45121751886595246</v>
      </c>
      <c r="H219" s="12">
        <f>(INDEX(Proj[],MATCH(Std[[#This Row],[Player]],Proj[Player],0),15)-H$764)/H$765</f>
        <v>0.82791650626566926</v>
      </c>
      <c r="I219" s="12">
        <f>(INDEX(Proj[],MATCH(Std[[#This Row],[Player]],Proj[Player],0),16)-I$764)/I$765</f>
        <v>0.32300144286407534</v>
      </c>
      <c r="J219" s="12">
        <f>(INDEX(Proj[],MATCH(Std[[#This Row],[Player]],Proj[Player],0),17)-J$764)/J$765</f>
        <v>-0.17232923569972286</v>
      </c>
      <c r="K219" s="12">
        <f>(INDEX(Proj[],MATCH(Std[[#This Row],[Player]],Proj[Player],0),18)-K$764)/K$765</f>
        <v>1.5526965192279474</v>
      </c>
      <c r="L219" s="12">
        <f>(INDEX(Proj[],MATCH(Std[[#This Row],[Player]],Proj[Player],0),19)-L$764)/L$765</f>
        <v>1.0320808389675393</v>
      </c>
      <c r="M219" s="12">
        <f>(INDEX(Proj[],MATCH(Std[[#This Row],[Player]],Proj[Player],0),20)-M$764)/M$765</f>
        <v>-0.71308883245737775</v>
      </c>
      <c r="N219" s="12">
        <f>(INDEX(Proj[],MATCH(Std[[#This Row],[Player]],Proj[Player],0),21)-N$764)/N$765</f>
        <v>-0.59558669255858521</v>
      </c>
      <c r="O219" s="12">
        <f>(INDEX(Proj[],MATCH(Std[[#This Row],[Player]],Proj[Player],0),22)-O$764)/O$765</f>
        <v>2.3808242046884676</v>
      </c>
      <c r="P219" s="12">
        <f>((INDEX(Proj[],MATCH(Std[[#This Row],[Player]],Proj[Player],0),23)-P$764)/P$765)*IF('League Inputs'!$C$23 = "Yes",-1, 1)</f>
        <v>1.0007592526276154</v>
      </c>
      <c r="Q219" s="12">
        <f>(INDEX(Proj[],MATCH(Std[[#This Row],[Player]],Proj[Player],0),24)-Q$764)/Q$765</f>
        <v>-0.5766103108129359</v>
      </c>
      <c r="R219" s="12">
        <f>(INDEX(Proj[],MATCH(Std[[#This Row],[Player]],Proj[Player],0),25)-R$764)/R$765</f>
        <v>-0.62531533033812681</v>
      </c>
      <c r="S219" s="12">
        <f>(INDEX(Proj[],MATCH(Std[[#This Row],[Player]],Proj[Player],0),26)-S$764)/S$765</f>
        <v>0.19266949214572368</v>
      </c>
      <c r="T2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413.3837215321617</v>
      </c>
      <c r="U219" s="11"/>
      <c r="W219" t="str">
        <v>Sean Durzi</v>
      </c>
      <c r="AA219" t="str">
        <v>Sean Durzi</v>
      </c>
      <c r="AB219" t="str">
        <v>Sean Durzi</v>
      </c>
    </row>
    <row r="220" spans="1:28" x14ac:dyDescent="0.25">
      <c r="A220" t="s">
        <v>562</v>
      </c>
      <c r="B220">
        <f>INDEX(Proj[],MATCH(Std[[#This Row],[Player]],Proj[Player],0),2)</f>
        <v>23</v>
      </c>
      <c r="C220" t="s">
        <v>74</v>
      </c>
      <c r="D220" s="75" t="s">
        <v>102</v>
      </c>
      <c r="E220" s="57" t="s">
        <v>103</v>
      </c>
      <c r="F220" t="s">
        <v>18</v>
      </c>
      <c r="G220" s="12">
        <f>(INDEX(Proj[],MATCH(Std[[#This Row],[Player]],Proj[Player],0),14)-G$764)/G$765</f>
        <v>0.49948729995393826</v>
      </c>
      <c r="H220" s="12">
        <f>(INDEX(Proj[],MATCH(Std[[#This Row],[Player]],Proj[Player],0),15)-H$764)/H$765</f>
        <v>0.15715310337128238</v>
      </c>
      <c r="I220" s="12">
        <f>(INDEX(Proj[],MATCH(Std[[#This Row],[Player]],Proj[Player],0),16)-I$764)/I$765</f>
        <v>0.32300144286407534</v>
      </c>
      <c r="J220" s="12">
        <f>(INDEX(Proj[],MATCH(Std[[#This Row],[Player]],Proj[Player],0),17)-J$764)/J$765</f>
        <v>0.12203405152491688</v>
      </c>
      <c r="K220" s="12">
        <f>(INDEX(Proj[],MATCH(Std[[#This Row],[Player]],Proj[Player],0),18)-K$764)/K$765</f>
        <v>1.1837065998320361E-2</v>
      </c>
      <c r="L220" s="12">
        <f>(INDEX(Proj[],MATCH(Std[[#This Row],[Player]],Proj[Player],0),19)-L$764)/L$765</f>
        <v>5.3433155352631455E-2</v>
      </c>
      <c r="M220" s="12">
        <f>(INDEX(Proj[],MATCH(Std[[#This Row],[Player]],Proj[Player],0),20)-M$764)/M$765</f>
        <v>0.31240082183847029</v>
      </c>
      <c r="N220" s="12">
        <f>(INDEX(Proj[],MATCH(Std[[#This Row],[Player]],Proj[Player],0),21)-N$764)/N$765</f>
        <v>-0.73124482599702512</v>
      </c>
      <c r="O220" s="12">
        <f>(INDEX(Proj[],MATCH(Std[[#This Row],[Player]],Proj[Player],0),22)-O$764)/O$765</f>
        <v>-0.45152820269218918</v>
      </c>
      <c r="P220" s="12">
        <f>((INDEX(Proj[],MATCH(Std[[#This Row],[Player]],Proj[Player],0),23)-P$764)/P$765)*IF('League Inputs'!$C$23 = "Yes",-1, 1)</f>
        <v>6.9963766660446167E-2</v>
      </c>
      <c r="Q220" s="12">
        <f>(INDEX(Proj[],MATCH(Std[[#This Row],[Player]],Proj[Player],0),24)-Q$764)/Q$765</f>
        <v>1.7474530912931021</v>
      </c>
      <c r="R220" s="12">
        <f>(INDEX(Proj[],MATCH(Std[[#This Row],[Player]],Proj[Player],0),25)-R$764)/R$765</f>
        <v>1.5993309632893769</v>
      </c>
      <c r="S220" s="12">
        <f>(INDEX(Proj[],MATCH(Std[[#This Row],[Player]],Proj[Player],0),26)-S$764)/S$765</f>
        <v>0.6630116184173952</v>
      </c>
      <c r="T2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233.07304492236568</v>
      </c>
      <c r="U220" s="11"/>
      <c r="W220" t="str">
        <v>Anton Lundell</v>
      </c>
      <c r="AA220" t="str">
        <v>Anton Lundell</v>
      </c>
      <c r="AB220" t="str">
        <v>Anton Lundell</v>
      </c>
    </row>
    <row r="221" spans="1:28" x14ac:dyDescent="0.25">
      <c r="A221" t="s">
        <v>452</v>
      </c>
      <c r="B221">
        <f>INDEX(Proj[],MATCH(Std[[#This Row],[Player]],Proj[Player],0),2)</f>
        <v>34</v>
      </c>
      <c r="C221" t="s">
        <v>74</v>
      </c>
      <c r="D221" s="75" t="s">
        <v>102</v>
      </c>
      <c r="E221" s="57"/>
      <c r="F221" t="s">
        <v>29</v>
      </c>
      <c r="G221" s="12">
        <f>(INDEX(Proj[],MATCH(Std[[#This Row],[Player]],Proj[Player],0),14)-G$764)/G$765</f>
        <v>1.3445582500160633</v>
      </c>
      <c r="H221" s="12">
        <f>(INDEX(Proj[],MATCH(Std[[#This Row],[Player]],Proj[Player],0),15)-H$764)/H$765</f>
        <v>-0.43908103253483932</v>
      </c>
      <c r="I221" s="12">
        <f>(INDEX(Proj[],MATCH(Std[[#This Row],[Player]],Proj[Player],0),16)-I$764)/I$765</f>
        <v>0.32300144286407534</v>
      </c>
      <c r="J221" s="12">
        <f>(INDEX(Proj[],MATCH(Std[[#This Row],[Player]],Proj[Player],0),17)-J$764)/J$765</f>
        <v>0.71076062597419631</v>
      </c>
      <c r="K221" s="12">
        <f>(INDEX(Proj[],MATCH(Std[[#This Row],[Player]],Proj[Player],0),18)-K$764)/K$765</f>
        <v>-0.60450671529353051</v>
      </c>
      <c r="L221" s="12">
        <f>(INDEX(Proj[],MATCH(Std[[#This Row],[Player]],Proj[Player],0),19)-L$764)/L$765</f>
        <v>-0.16404410767290362</v>
      </c>
      <c r="M221" s="12">
        <f>(INDEX(Proj[],MATCH(Std[[#This Row],[Player]],Proj[Player],0),20)-M$764)/M$765</f>
        <v>-0.71308883245737775</v>
      </c>
      <c r="N221" s="12">
        <f>(INDEX(Proj[],MATCH(Std[[#This Row],[Player]],Proj[Player],0),21)-N$764)/N$765</f>
        <v>1.0904501087477401</v>
      </c>
      <c r="O221" s="12">
        <f>(INDEX(Proj[],MATCH(Std[[#This Row],[Player]],Proj[Player],0),22)-O$764)/O$765</f>
        <v>-0.31223218265707492</v>
      </c>
      <c r="P221" s="12">
        <f>((INDEX(Proj[],MATCH(Std[[#This Row],[Player]],Proj[Player],0),23)-P$764)/P$765)*IF('League Inputs'!$C$23 = "Yes",-1, 1)</f>
        <v>0.67498083253910623</v>
      </c>
      <c r="Q221" s="12">
        <f>(INDEX(Proj[],MATCH(Std[[#This Row],[Player]],Proj[Player],0),24)-Q$764)/Q$765</f>
        <v>-0.42202811204900215</v>
      </c>
      <c r="R221" s="12">
        <f>(INDEX(Proj[],MATCH(Std[[#This Row],[Player]],Proj[Player],0),25)-R$764)/R$765</f>
        <v>-0.43236131507451681</v>
      </c>
      <c r="S221" s="12">
        <f>(INDEX(Proj[],MATCH(Std[[#This Row],[Player]],Proj[Player],0),26)-S$764)/S$765</f>
        <v>0.89007333454854698</v>
      </c>
      <c r="T2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298.56785338017119</v>
      </c>
      <c r="U221" s="11"/>
      <c r="W221" t="str">
        <v>Anders Lee</v>
      </c>
      <c r="AA221" t="str">
        <v>Anders Lee</v>
      </c>
      <c r="AB221" t="str">
        <v>Anders Lee</v>
      </c>
    </row>
    <row r="222" spans="1:28" x14ac:dyDescent="0.25">
      <c r="A222" t="s">
        <v>1070</v>
      </c>
      <c r="B222">
        <f>INDEX(Proj[],MATCH(Std[[#This Row],[Player]],Proj[Player],0),2)</f>
        <v>23</v>
      </c>
      <c r="C222" t="s">
        <v>74</v>
      </c>
      <c r="D222" s="75"/>
      <c r="E222" s="57"/>
      <c r="F222" t="s">
        <v>5</v>
      </c>
      <c r="G222" s="12">
        <f>(INDEX(Proj[],MATCH(Std[[#This Row],[Player]],Proj[Player],0),14)-G$764)/G$765</f>
        <v>0.71075503746946955</v>
      </c>
      <c r="H222" s="12">
        <f>(INDEX(Proj[],MATCH(Std[[#This Row],[Player]],Proj[Player],0),15)-H$764)/H$765</f>
        <v>8.0945693947519649E-3</v>
      </c>
      <c r="I222" s="12">
        <f>(INDEX(Proj[],MATCH(Std[[#This Row],[Player]],Proj[Player],0),16)-I$764)/I$765</f>
        <v>0.32300144286407534</v>
      </c>
      <c r="J222" s="12">
        <f>(INDEX(Proj[],MATCH(Std[[#This Row],[Player]],Proj[Player],0),17)-J$764)/J$765</f>
        <v>0.71076062597419631</v>
      </c>
      <c r="K222" s="12">
        <f>(INDEX(Proj[],MATCH(Std[[#This Row],[Player]],Proj[Player],0),18)-K$764)/K$765</f>
        <v>0.16592301132128306</v>
      </c>
      <c r="L222" s="12">
        <f>(INDEX(Proj[],MATCH(Std[[#This Row],[Player]],Proj[Player],0),19)-L$764)/L$765</f>
        <v>0.37964904989093406</v>
      </c>
      <c r="M222" s="12">
        <f>(INDEX(Proj[],MATCH(Std[[#This Row],[Player]],Proj[Player],0),20)-M$764)/M$765</f>
        <v>-0.71308883245737775</v>
      </c>
      <c r="N222" s="12">
        <f>(INDEX(Proj[],MATCH(Std[[#This Row],[Player]],Proj[Player],0),21)-N$764)/N$765</f>
        <v>0.16022290802700884</v>
      </c>
      <c r="O222" s="12">
        <f>(INDEX(Proj[],MATCH(Std[[#This Row],[Player]],Proj[Player],0),22)-O$764)/O$765</f>
        <v>-0.35866418933544636</v>
      </c>
      <c r="P222" s="12">
        <f>((INDEX(Proj[],MATCH(Std[[#This Row],[Player]],Proj[Player],0),23)-P$764)/P$765)*IF('League Inputs'!$C$23 = "Yes",-1, 1)</f>
        <v>6.9963766660446167E-2</v>
      </c>
      <c r="Q222" s="12">
        <f>(INDEX(Proj[],MATCH(Std[[#This Row],[Player]],Proj[Player],0),24)-Q$764)/Q$765</f>
        <v>-0.43801937399009877</v>
      </c>
      <c r="R222" s="12">
        <f>(INDEX(Proj[],MATCH(Std[[#This Row],[Player]],Proj[Player],0),25)-R$764)/R$765</f>
        <v>-0.48343737793841357</v>
      </c>
      <c r="S222" s="12">
        <f>(INDEX(Proj[],MATCH(Std[[#This Row],[Player]],Proj[Player],0),26)-S$764)/S$765</f>
        <v>0.84141725252044297</v>
      </c>
      <c r="T2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169.64204635015844</v>
      </c>
      <c r="U222" s="11"/>
      <c r="W222" t="str">
        <v>Tyson Foerster</v>
      </c>
      <c r="AA222" t="str">
        <v>Tyson Foerster</v>
      </c>
      <c r="AB222" t="str">
        <v>Tyson Foerster</v>
      </c>
    </row>
    <row r="223" spans="1:28" x14ac:dyDescent="0.25">
      <c r="A223" t="s">
        <v>470</v>
      </c>
      <c r="B223">
        <f>INDEX(Proj[],MATCH(Std[[#This Row],[Player]],Proj[Player],0),2)</f>
        <v>33</v>
      </c>
      <c r="C223" t="s">
        <v>74</v>
      </c>
      <c r="D223" s="75"/>
      <c r="E223" s="56"/>
      <c r="F223" t="s">
        <v>6</v>
      </c>
      <c r="G223" s="12">
        <f>(INDEX(Proj[],MATCH(Std[[#This Row],[Player]],Proj[Player],0),14)-G$764)/G$765</f>
        <v>0.28821956243840696</v>
      </c>
      <c r="H223" s="12">
        <f>(INDEX(Proj[],MATCH(Std[[#This Row],[Player]],Proj[Player],0),15)-H$764)/H$765</f>
        <v>0.30621163734781282</v>
      </c>
      <c r="I223" s="12">
        <f>(INDEX(Proj[],MATCH(Std[[#This Row],[Player]],Proj[Player],0),16)-I$764)/I$765</f>
        <v>0.32300144286407534</v>
      </c>
      <c r="J223" s="12">
        <f>(INDEX(Proj[],MATCH(Std[[#This Row],[Player]],Proj[Player],0),17)-J$764)/J$765</f>
        <v>-0.46669252292436259</v>
      </c>
      <c r="K223" s="12">
        <f>(INDEX(Proj[],MATCH(Std[[#This Row],[Player]],Proj[Player],0),18)-K$764)/K$765</f>
        <v>-0.60450671529353051</v>
      </c>
      <c r="L223" s="12">
        <f>(INDEX(Proj[],MATCH(Std[[#This Row],[Player]],Proj[Player],0),19)-L$764)/L$765</f>
        <v>-0.59899863372397377</v>
      </c>
      <c r="M223" s="12">
        <f>(INDEX(Proj[],MATCH(Std[[#This Row],[Player]],Proj[Player],0),20)-M$764)/M$765</f>
        <v>2.3633801304301665</v>
      </c>
      <c r="N223" s="12">
        <f>(INDEX(Proj[],MATCH(Std[[#This Row],[Player]],Proj[Player],0),21)-N$764)/N$765</f>
        <v>0.74161490847746581</v>
      </c>
      <c r="O223" s="12">
        <f>(INDEX(Proj[],MATCH(Std[[#This Row],[Player]],Proj[Player],0),22)-O$764)/O$765</f>
        <v>-0.28901617931788925</v>
      </c>
      <c r="P223" s="12">
        <f>((INDEX(Proj[],MATCH(Std[[#This Row],[Player]],Proj[Player],0),23)-P$764)/P$765)*IF('League Inputs'!$C$23 = "Yes",-1, 1)</f>
        <v>1.0938388012243323</v>
      </c>
      <c r="Q223" s="12">
        <f>(INDEX(Proj[],MATCH(Std[[#This Row],[Player]],Proj[Player],0),24)-Q$764)/Q$765</f>
        <v>2.035295806232841</v>
      </c>
      <c r="R223" s="12">
        <f>(INDEX(Proj[],MATCH(Std[[#This Row],[Player]],Proj[Player],0),25)-R$764)/R$765</f>
        <v>2.3881723786317823</v>
      </c>
      <c r="S223" s="12">
        <f>(INDEX(Proj[],MATCH(Std[[#This Row],[Player]],Proj[Player],0),26)-S$764)/S$765</f>
        <v>0.30620035021129954</v>
      </c>
      <c r="T2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420.63676957543709</v>
      </c>
      <c r="U223" s="11"/>
      <c r="W223" t="str">
        <v>Yanni Gourde</v>
      </c>
      <c r="AA223" t="str">
        <v>Yanni Gourde</v>
      </c>
      <c r="AB223" t="str">
        <v>Yanni Gourde</v>
      </c>
    </row>
    <row r="224" spans="1:28" x14ac:dyDescent="0.25">
      <c r="A224" t="s">
        <v>646</v>
      </c>
      <c r="B224">
        <f>INDEX(Proj[],MATCH(Std[[#This Row],[Player]],Proj[Player],0),2)</f>
        <v>24</v>
      </c>
      <c r="C224" t="s">
        <v>74</v>
      </c>
      <c r="D224" s="75"/>
      <c r="E224" s="56"/>
      <c r="F224" t="s">
        <v>12</v>
      </c>
      <c r="G224" s="12">
        <f>(INDEX(Proj[],MATCH(Std[[#This Row],[Player]],Proj[Player],0),14)-G$764)/G$765</f>
        <v>0.81638890622723514</v>
      </c>
      <c r="H224" s="12">
        <f>(INDEX(Proj[],MATCH(Std[[#This Row],[Player]],Proj[Player],0),15)-H$764)/H$765</f>
        <v>-6.6434697593513253E-2</v>
      </c>
      <c r="I224" s="12">
        <f>(INDEX(Proj[],MATCH(Std[[#This Row],[Player]],Proj[Player],0),16)-I$764)/I$765</f>
        <v>0.32300144286407534</v>
      </c>
      <c r="J224" s="12">
        <f>(INDEX(Proj[],MATCH(Std[[#This Row],[Player]],Proj[Player],0),17)-J$764)/J$765</f>
        <v>1.2994872004234757</v>
      </c>
      <c r="K224" s="12">
        <f>(INDEX(Proj[],MATCH(Std[[#This Row],[Player]],Proj[Player],0),18)-K$764)/K$765</f>
        <v>-0.14224887932464234</v>
      </c>
      <c r="L224" s="12">
        <f>(INDEX(Proj[],MATCH(Std[[#This Row],[Player]],Proj[Player],0),19)-L$764)/L$765</f>
        <v>0.37964904989093406</v>
      </c>
      <c r="M224" s="12">
        <f>(INDEX(Proj[],MATCH(Std[[#This Row],[Player]],Proj[Player],0),20)-M$764)/M$765</f>
        <v>0.31240082183847029</v>
      </c>
      <c r="N224" s="12">
        <f>(INDEX(Proj[],MATCH(Std[[#This Row],[Player]],Proj[Player],0),21)-N$764)/N$765</f>
        <v>-0.28551095898500817</v>
      </c>
      <c r="O224" s="12">
        <f>(INDEX(Proj[],MATCH(Std[[#This Row],[Player]],Proj[Player],0),22)-O$764)/O$765</f>
        <v>-0.52117621270974634</v>
      </c>
      <c r="P224" s="12">
        <f>((INDEX(Proj[],MATCH(Std[[#This Row],[Player]],Proj[Player],0),23)-P$764)/P$765)*IF('League Inputs'!$C$23 = "Yes",-1, 1)</f>
        <v>0.48882173534567236</v>
      </c>
      <c r="Q224" s="12">
        <f>(INDEX(Proj[],MATCH(Std[[#This Row],[Player]],Proj[Player],0),24)-Q$764)/Q$765</f>
        <v>2.2645038940552253</v>
      </c>
      <c r="R224" s="12">
        <f>(INDEX(Proj[],MATCH(Std[[#This Row],[Player]],Proj[Player],0),25)-R$764)/R$765</f>
        <v>2.4392484414956792</v>
      </c>
      <c r="S224" s="12">
        <f>(INDEX(Proj[],MATCH(Std[[#This Row],[Player]],Proj[Player],0),26)-S$764)/S$765</f>
        <v>0.69544900643613117</v>
      </c>
      <c r="T2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409.46921655310052</v>
      </c>
      <c r="U224" s="11"/>
      <c r="W224" t="str">
        <v>Barrett Hayton</v>
      </c>
      <c r="AA224" t="str">
        <v>Barrett Hayton</v>
      </c>
      <c r="AB224" t="str">
        <v>Barrett Hayton</v>
      </c>
    </row>
    <row r="225" spans="1:28" x14ac:dyDescent="0.25">
      <c r="A225" t="s">
        <v>1073</v>
      </c>
      <c r="B225">
        <f>INDEX(Proj[],MATCH(Std[[#This Row],[Player]],Proj[Player],0),2)</f>
        <v>21</v>
      </c>
      <c r="C225" t="s">
        <v>103</v>
      </c>
      <c r="D225" s="75"/>
      <c r="E225" s="56"/>
      <c r="F225" t="s">
        <v>4</v>
      </c>
      <c r="G225" s="12">
        <f>(INDEX(Proj[],MATCH(Std[[#This Row],[Player]],Proj[Player],0),14)-G$764)/G$765</f>
        <v>-0.66248525638148381</v>
      </c>
      <c r="H225" s="12">
        <f>(INDEX(Proj[],MATCH(Std[[#This Row],[Player]],Proj[Player],0),15)-H$764)/H$765</f>
        <v>0.45527017132434322</v>
      </c>
      <c r="I225" s="12">
        <f>(INDEX(Proj[],MATCH(Std[[#This Row],[Player]],Proj[Player],0),16)-I$764)/I$765</f>
        <v>-7.6964698706472635E-3</v>
      </c>
      <c r="J225" s="12">
        <f>(INDEX(Proj[],MATCH(Std[[#This Row],[Player]],Proj[Player],0),17)-J$764)/J$765</f>
        <v>-0.17232923569972286</v>
      </c>
      <c r="K225" s="12">
        <f>(INDEX(Proj[],MATCH(Std[[#This Row],[Player]],Proj[Player],0),18)-K$764)/K$765</f>
        <v>0.93635273793609664</v>
      </c>
      <c r="L225" s="12">
        <f>(INDEX(Proj[],MATCH(Std[[#This Row],[Player]],Proj[Player],0),19)-L$764)/L$765</f>
        <v>0.59712631291646912</v>
      </c>
      <c r="M225" s="12">
        <f>(INDEX(Proj[],MATCH(Std[[#This Row],[Player]],Proj[Player],0),20)-M$764)/M$765</f>
        <v>-0.71308883245737775</v>
      </c>
      <c r="N225" s="12">
        <f>(INDEX(Proj[],MATCH(Std[[#This Row],[Player]],Proj[Player],0),21)-N$764)/N$765</f>
        <v>-1.2157381597057393</v>
      </c>
      <c r="O225" s="12">
        <f>(INDEX(Proj[],MATCH(Std[[#This Row],[Player]],Proj[Player],0),22)-O$764)/O$765</f>
        <v>-0.1961521659611464</v>
      </c>
      <c r="P225" s="12">
        <f>((INDEX(Proj[],MATCH(Std[[#This Row],[Player]],Proj[Player],0),23)-P$764)/P$765)*IF('League Inputs'!$C$23 = "Yes",-1, 1)</f>
        <v>-0.44197375062149696</v>
      </c>
      <c r="Q225" s="12">
        <f>(INDEX(Proj[],MATCH(Std[[#This Row],[Player]],Proj[Player],0),24)-Q$764)/Q$765</f>
        <v>-0.5766103108129359</v>
      </c>
      <c r="R225" s="12">
        <f>(INDEX(Proj[],MATCH(Std[[#This Row],[Player]],Proj[Player],0),25)-R$764)/R$765</f>
        <v>-0.62531533033812681</v>
      </c>
      <c r="S225" s="12">
        <f>(INDEX(Proj[],MATCH(Std[[#This Row],[Player]],Proj[Player],0),26)-S$764)/S$765</f>
        <v>-0.29389132813531582</v>
      </c>
      <c r="T2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-234.2150957247953</v>
      </c>
      <c r="U225" s="11"/>
      <c r="W225" t="str">
        <v>Luke Hughes</v>
      </c>
      <c r="AA225" t="str">
        <v>Luke Hughes</v>
      </c>
      <c r="AB225" t="str">
        <v>Luke Hughes</v>
      </c>
    </row>
    <row r="226" spans="1:28" x14ac:dyDescent="0.25">
      <c r="A226" t="s">
        <v>375</v>
      </c>
      <c r="B226">
        <f>INDEX(Proj[],MATCH(Std[[#This Row],[Player]],Proj[Player],0),2)</f>
        <v>32</v>
      </c>
      <c r="C226" t="s">
        <v>74</v>
      </c>
      <c r="D226" s="75" t="s">
        <v>102</v>
      </c>
      <c r="E226" s="56"/>
      <c r="F226" t="s">
        <v>6</v>
      </c>
      <c r="G226" s="12">
        <f>(INDEX(Proj[],MATCH(Std[[#This Row],[Player]],Proj[Player],0),14)-G$764)/G$765</f>
        <v>0.18258569368064134</v>
      </c>
      <c r="H226" s="12">
        <f>(INDEX(Proj[],MATCH(Std[[#This Row],[Player]],Proj[Player],0),15)-H$764)/H$765</f>
        <v>0.38074090433607805</v>
      </c>
      <c r="I226" s="12">
        <f>(INDEX(Proj[],MATCH(Std[[#This Row],[Player]],Proj[Player],0),16)-I$764)/I$765</f>
        <v>0.32300144286407534</v>
      </c>
      <c r="J226" s="12">
        <f>(INDEX(Proj[],MATCH(Std[[#This Row],[Player]],Proj[Player],0),17)-J$764)/J$765</f>
        <v>0.41639733874955659</v>
      </c>
      <c r="K226" s="12">
        <f>(INDEX(Proj[],MATCH(Std[[#This Row],[Player]],Proj[Player],0),18)-K$764)/K$765</f>
        <v>0.16592301132128306</v>
      </c>
      <c r="L226" s="12">
        <f>(INDEX(Proj[],MATCH(Std[[#This Row],[Player]],Proj[Player],0),19)-L$764)/L$765</f>
        <v>0.27091041837816654</v>
      </c>
      <c r="M226" s="12">
        <f>(INDEX(Proj[],MATCH(Std[[#This Row],[Player]],Proj[Player],0),20)-M$764)/M$765</f>
        <v>1.3378904761343182</v>
      </c>
      <c r="N226" s="12">
        <f>(INDEX(Proj[],MATCH(Std[[#This Row],[Player]],Proj[Player],0),21)-N$764)/N$765</f>
        <v>-0.61496642590693373</v>
      </c>
      <c r="O226" s="12">
        <f>(INDEX(Proj[],MATCH(Std[[#This Row],[Player]],Proj[Player],0),22)-O$764)/O$765</f>
        <v>-0.45152820269218918</v>
      </c>
      <c r="P226" s="12">
        <f>((INDEX(Proj[],MATCH(Std[[#This Row],[Player]],Proj[Player],0),23)-P$764)/P$765)*IF('League Inputs'!$C$23 = "Yes",-1, 1)</f>
        <v>-0.16273510483134615</v>
      </c>
      <c r="Q226" s="12">
        <f>(INDEX(Proj[],MATCH(Std[[#This Row],[Player]],Proj[Player],0),24)-Q$764)/Q$765</f>
        <v>2.7389113316410905</v>
      </c>
      <c r="R226" s="12">
        <f>(INDEX(Proj[],MATCH(Std[[#This Row],[Player]],Proj[Player],0),25)-R$764)/R$765</f>
        <v>2.3768221424398055</v>
      </c>
      <c r="S226" s="12">
        <f>(INDEX(Proj[],MATCH(Std[[#This Row],[Player]],Proj[Player],0),26)-S$764)/S$765</f>
        <v>0.95494811058601881</v>
      </c>
      <c r="T2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362.18681680556011</v>
      </c>
      <c r="U226" s="11"/>
      <c r="W226" t="str">
        <v>Sean Couturier</v>
      </c>
      <c r="AA226" t="str">
        <v>Sean Couturier</v>
      </c>
      <c r="AB226" t="str">
        <v>Sean Couturier</v>
      </c>
    </row>
    <row r="227" spans="1:28" x14ac:dyDescent="0.25">
      <c r="A227" t="s">
        <v>497</v>
      </c>
      <c r="B227">
        <f>INDEX(Proj[],MATCH(Std[[#This Row],[Player]],Proj[Player],0),2)</f>
        <v>31</v>
      </c>
      <c r="C227" t="s">
        <v>102</v>
      </c>
      <c r="D227" s="75" t="s">
        <v>103</v>
      </c>
      <c r="E227" s="57"/>
      <c r="F227" t="s">
        <v>9</v>
      </c>
      <c r="G227" s="12">
        <f>(INDEX(Proj[],MATCH(Std[[#This Row],[Player]],Proj[Player],0),14)-G$764)/G$765</f>
        <v>0.28821956243840696</v>
      </c>
      <c r="H227" s="12">
        <f>(INDEX(Proj[],MATCH(Std[[#This Row],[Player]],Proj[Player],0),15)-H$764)/H$765</f>
        <v>0.30621163734781282</v>
      </c>
      <c r="I227" s="12">
        <f>(INDEX(Proj[],MATCH(Std[[#This Row],[Player]],Proj[Player],0),16)-I$764)/I$765</f>
        <v>0.32300144286407534</v>
      </c>
      <c r="J227" s="12">
        <f>(INDEX(Proj[],MATCH(Std[[#This Row],[Player]],Proj[Player],0),17)-J$764)/J$765</f>
        <v>0.71076062597419631</v>
      </c>
      <c r="K227" s="12">
        <f>(INDEX(Proj[],MATCH(Std[[#This Row],[Player]],Proj[Player],0),18)-K$764)/K$765</f>
        <v>1.1837065998320361E-2</v>
      </c>
      <c r="L227" s="12">
        <f>(INDEX(Proj[],MATCH(Std[[#This Row],[Player]],Proj[Player],0),19)-L$764)/L$765</f>
        <v>0.27091041837816654</v>
      </c>
      <c r="M227" s="12">
        <f>(INDEX(Proj[],MATCH(Std[[#This Row],[Player]],Proj[Player],0),20)-M$764)/M$765</f>
        <v>-0.71308883245737775</v>
      </c>
      <c r="N227" s="12">
        <f>(INDEX(Proj[],MATCH(Std[[#This Row],[Player]],Proj[Player],0),21)-N$764)/N$765</f>
        <v>2.4564774588568886E-2</v>
      </c>
      <c r="O227" s="12">
        <f>(INDEX(Proj[],MATCH(Std[[#This Row],[Player]],Proj[Player],0),22)-O$764)/O$765</f>
        <v>-0.75333624610160344</v>
      </c>
      <c r="P227" s="12">
        <f>((INDEX(Proj[],MATCH(Std[[#This Row],[Player]],Proj[Player],0),23)-P$764)/P$765)*IF('League Inputs'!$C$23 = "Yes",-1, 1)</f>
        <v>-0.39543397632313848</v>
      </c>
      <c r="Q227" s="12">
        <f>(INDEX(Proj[],MATCH(Std[[#This Row],[Player]],Proj[Player],0),24)-Q$764)/Q$765</f>
        <v>-0.20881128616771427</v>
      </c>
      <c r="R227" s="12">
        <f>(INDEX(Proj[],MATCH(Std[[#This Row],[Player]],Proj[Player],0),25)-R$764)/R$765</f>
        <v>-0.17130588265904445</v>
      </c>
      <c r="S227" s="12">
        <f>(INDEX(Proj[],MATCH(Std[[#This Row],[Player]],Proj[Player],0),26)-S$764)/S$765</f>
        <v>1.1333537446890667</v>
      </c>
      <c r="T2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98.868007171364098</v>
      </c>
      <c r="U227" s="11"/>
      <c r="W227" t="str">
        <v>Evan Rodrigues</v>
      </c>
      <c r="AA227" t="str">
        <v>Evan Rodrigues</v>
      </c>
      <c r="AB227" t="str">
        <v>Evan Rodrigues</v>
      </c>
    </row>
    <row r="228" spans="1:28" x14ac:dyDescent="0.25">
      <c r="A228" t="s">
        <v>300</v>
      </c>
      <c r="B228">
        <f>INDEX(Proj[],MATCH(Std[[#This Row],[Player]],Proj[Player],0),2)</f>
        <v>38</v>
      </c>
      <c r="C228" t="s">
        <v>102</v>
      </c>
      <c r="D228" s="75" t="s">
        <v>103</v>
      </c>
      <c r="E228" s="57"/>
      <c r="F228" t="s">
        <v>4</v>
      </c>
      <c r="G228" s="12">
        <f>(INDEX(Proj[],MATCH(Std[[#This Row],[Player]],Proj[Player],0),14)-G$764)/G$765</f>
        <v>0.18258569368064134</v>
      </c>
      <c r="H228" s="12">
        <f>(INDEX(Proj[],MATCH(Std[[#This Row],[Player]],Proj[Player],0),15)-H$764)/H$765</f>
        <v>0.38074090433607805</v>
      </c>
      <c r="I228" s="12">
        <f>(INDEX(Proj[],MATCH(Std[[#This Row],[Player]],Proj[Player],0),16)-I$764)/I$765</f>
        <v>0.32300144286407534</v>
      </c>
      <c r="J228" s="12">
        <f>(INDEX(Proj[],MATCH(Std[[#This Row],[Player]],Proj[Player],0),17)-J$764)/J$765</f>
        <v>0.12203405152491688</v>
      </c>
      <c r="K228" s="12">
        <f>(INDEX(Proj[],MATCH(Std[[#This Row],[Player]],Proj[Player],0),18)-K$764)/K$765</f>
        <v>-0.29633482464760502</v>
      </c>
      <c r="L228" s="12">
        <f>(INDEX(Proj[],MATCH(Std[[#This Row],[Player]],Proj[Player],0),19)-L$764)/L$765</f>
        <v>-0.16404410767290362</v>
      </c>
      <c r="M228" s="12">
        <f>(INDEX(Proj[],MATCH(Std[[#This Row],[Player]],Proj[Player],0),20)-M$764)/M$765</f>
        <v>-0.71308883245737775</v>
      </c>
      <c r="N228" s="12">
        <f>(INDEX(Proj[],MATCH(Std[[#This Row],[Player]],Proj[Player],0),21)-N$764)/N$765</f>
        <v>-0.80876375939041945</v>
      </c>
      <c r="O228" s="12">
        <f>(INDEX(Proj[],MATCH(Std[[#This Row],[Player]],Proj[Player],0),22)-O$764)/O$765</f>
        <v>-0.4050961960138178</v>
      </c>
      <c r="P228" s="12">
        <f>((INDEX(Proj[],MATCH(Std[[#This Row],[Player]],Proj[Player],0),23)-P$764)/P$765)*IF('League Inputs'!$C$23 = "Yes",-1, 1)</f>
        <v>6.9963766660446167E-2</v>
      </c>
      <c r="Q228" s="12">
        <f>(INDEX(Proj[],MATCH(Std[[#This Row],[Player]],Proj[Player],0),24)-Q$764)/Q$765</f>
        <v>-0.25145465134397188</v>
      </c>
      <c r="R228" s="12">
        <f>(INDEX(Proj[],MATCH(Std[[#This Row],[Player]],Proj[Player],0),25)-R$764)/R$765</f>
        <v>-0.36993501601864298</v>
      </c>
      <c r="S228" s="12">
        <f>(INDEX(Proj[],MATCH(Std[[#This Row],[Player]],Proj[Player],0),26)-S$764)/S$765</f>
        <v>0.16023210412698771</v>
      </c>
      <c r="T2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-51.283480275288404</v>
      </c>
      <c r="U228" s="11"/>
      <c r="W228" t="str">
        <v>Blake Wheeler</v>
      </c>
      <c r="AA228" t="str">
        <v>Blake Wheeler</v>
      </c>
      <c r="AB228" t="str">
        <v>Blake Wheeler</v>
      </c>
    </row>
    <row r="229" spans="1:28" x14ac:dyDescent="0.25">
      <c r="A229" t="s">
        <v>585</v>
      </c>
      <c r="B229">
        <f>INDEX(Proj[],MATCH(Std[[#This Row],[Player]],Proj[Player],0),2)</f>
        <v>24</v>
      </c>
      <c r="C229" t="s">
        <v>74</v>
      </c>
      <c r="D229" s="75"/>
      <c r="E229" s="57"/>
      <c r="F229" t="s">
        <v>87</v>
      </c>
      <c r="G229" s="12">
        <f>(INDEX(Proj[],MATCH(Std[[#This Row],[Player]],Proj[Player],0),14)-G$764)/G$765</f>
        <v>0.28821956243840696</v>
      </c>
      <c r="H229" s="12">
        <f>(INDEX(Proj[],MATCH(Std[[#This Row],[Player]],Proj[Player],0),15)-H$764)/H$765</f>
        <v>0.30621163734781282</v>
      </c>
      <c r="I229" s="12">
        <f>(INDEX(Proj[],MATCH(Std[[#This Row],[Player]],Proj[Player],0),16)-I$764)/I$765</f>
        <v>0.32300144286407534</v>
      </c>
      <c r="J229" s="12">
        <f>(INDEX(Proj[],MATCH(Std[[#This Row],[Player]],Proj[Player],0),17)-J$764)/J$765</f>
        <v>1.0051239131988361</v>
      </c>
      <c r="K229" s="12">
        <f>(INDEX(Proj[],MATCH(Std[[#This Row],[Player]],Proj[Player],0),18)-K$764)/K$765</f>
        <v>0.62818084729017121</v>
      </c>
      <c r="L229" s="12">
        <f>(INDEX(Proj[],MATCH(Std[[#This Row],[Player]],Proj[Player],0),19)-L$764)/L$765</f>
        <v>0.81460357594200417</v>
      </c>
      <c r="M229" s="12">
        <f>(INDEX(Proj[],MATCH(Std[[#This Row],[Player]],Proj[Player],0),20)-M$764)/M$765</f>
        <v>0.31240082183847029</v>
      </c>
      <c r="N229" s="12">
        <f>(INDEX(Proj[],MATCH(Std[[#This Row],[Player]],Proj[Player],0),21)-N$764)/N$765</f>
        <v>-0.44054882577179671</v>
      </c>
      <c r="O229" s="12">
        <f>(INDEX(Proj[],MATCH(Std[[#This Row],[Player]],Proj[Player],0),22)-O$764)/O$765</f>
        <v>-0.24258417263951781</v>
      </c>
      <c r="P229" s="12">
        <f>((INDEX(Proj[],MATCH(Std[[#This Row],[Player]],Proj[Player],0),23)-P$764)/P$765)*IF('League Inputs'!$C$23 = "Yes",-1, 1)</f>
        <v>0.72152060683746466</v>
      </c>
      <c r="Q229" s="12">
        <f>(INDEX(Proj[],MATCH(Std[[#This Row],[Player]],Proj[Player],0),24)-Q$764)/Q$765</f>
        <v>0.19097026235970052</v>
      </c>
      <c r="R229" s="12">
        <f>(INDEX(Proj[],MATCH(Std[[#This Row],[Player]],Proj[Player],0),25)-R$764)/R$765</f>
        <v>0.79913931175499409</v>
      </c>
      <c r="S229" s="12">
        <f>(INDEX(Proj[],MATCH(Std[[#This Row],[Player]],Proj[Player],0),26)-S$764)/S$765</f>
        <v>0.22510688016445965</v>
      </c>
      <c r="T2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218.65009695426093</v>
      </c>
      <c r="U229" s="11"/>
      <c r="W229" t="str">
        <v>Kirby Dach</v>
      </c>
      <c r="AA229" t="str">
        <v>Kirby Dach</v>
      </c>
      <c r="AB229" t="str">
        <v>Kirby Dach</v>
      </c>
    </row>
    <row r="230" spans="1:28" x14ac:dyDescent="0.25">
      <c r="A230" t="s">
        <v>1218</v>
      </c>
      <c r="B230">
        <f>INDEX(Proj[],MATCH(Std[[#This Row],[Player]],Proj[Player],0),2)</f>
        <v>21</v>
      </c>
      <c r="C230" t="s">
        <v>102</v>
      </c>
      <c r="D230" s="75" t="s">
        <v>103</v>
      </c>
      <c r="E230" s="57"/>
      <c r="F230" t="s">
        <v>31</v>
      </c>
      <c r="G230" s="12">
        <f>(INDEX(Proj[],MATCH(Std[[#This Row],[Player]],Proj[Player],0),14)-G$764)/G$765</f>
        <v>0.49948729995393826</v>
      </c>
      <c r="H230" s="12">
        <f>(INDEX(Proj[],MATCH(Std[[#This Row],[Player]],Proj[Player],0),15)-H$764)/H$765</f>
        <v>0.15715310337128238</v>
      </c>
      <c r="I230" s="12">
        <f>(INDEX(Proj[],MATCH(Std[[#This Row],[Player]],Proj[Player],0),16)-I$764)/I$765</f>
        <v>0.32300144286407534</v>
      </c>
      <c r="J230" s="12">
        <f>(INDEX(Proj[],MATCH(Std[[#This Row],[Player]],Proj[Player],0),17)-J$764)/J$765</f>
        <v>0.71076062597419631</v>
      </c>
      <c r="K230" s="12">
        <f>(INDEX(Proj[],MATCH(Std[[#This Row],[Player]],Proj[Player],0),18)-K$764)/K$765</f>
        <v>0.16592301132128306</v>
      </c>
      <c r="L230" s="12">
        <f>(INDEX(Proj[],MATCH(Std[[#This Row],[Player]],Proj[Player],0),19)-L$764)/L$765</f>
        <v>0.37964904989093406</v>
      </c>
      <c r="M230" s="12">
        <f>(INDEX(Proj[],MATCH(Std[[#This Row],[Player]],Proj[Player],0),20)-M$764)/M$765</f>
        <v>-0.71308883245737775</v>
      </c>
      <c r="N230" s="12">
        <f>(INDEX(Proj[],MATCH(Std[[#This Row],[Player]],Proj[Player],0),21)-N$764)/N$765</f>
        <v>-0.22737175893996248</v>
      </c>
      <c r="O230" s="12">
        <f>(INDEX(Proj[],MATCH(Std[[#This Row],[Player]],Proj[Player],0),22)-O$764)/O$765</f>
        <v>-0.59082422272730351</v>
      </c>
      <c r="P230" s="12">
        <f>((INDEX(Proj[],MATCH(Std[[#This Row],[Player]],Proj[Player],0),23)-P$764)/P$765)*IF('League Inputs'!$C$23 = "Yes",-1, 1)</f>
        <v>0.39574218674895539</v>
      </c>
      <c r="Q230" s="12">
        <f>(INDEX(Proj[],MATCH(Std[[#This Row],[Player]],Proj[Player],0),24)-Q$764)/Q$765</f>
        <v>0.73467316835698471</v>
      </c>
      <c r="R230" s="12">
        <f>(INDEX(Proj[],MATCH(Std[[#This Row],[Player]],Proj[Player],0),25)-R$764)/R$765</f>
        <v>1.0374942717865123</v>
      </c>
      <c r="S230" s="12">
        <f>(INDEX(Proj[],MATCH(Std[[#This Row],[Player]],Proj[Player],0),26)-S$764)/S$765</f>
        <v>0.37107512624877148</v>
      </c>
      <c r="T2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204.25853957676759</v>
      </c>
      <c r="U230" s="11"/>
      <c r="W230" t="str">
        <v>Frank Nazar</v>
      </c>
      <c r="AA230" t="str">
        <v>Frank Nazar</v>
      </c>
      <c r="AB230" t="str">
        <v>Frank Nazar</v>
      </c>
    </row>
    <row r="231" spans="1:28" x14ac:dyDescent="0.25">
      <c r="A231" t="s">
        <v>727</v>
      </c>
      <c r="B231">
        <f>INDEX(Proj[],MATCH(Std[[#This Row],[Player]],Proj[Player],0),2)</f>
        <v>27</v>
      </c>
      <c r="C231" t="s">
        <v>103</v>
      </c>
      <c r="D231" s="75"/>
      <c r="E231" s="57"/>
      <c r="F231" t="s">
        <v>155</v>
      </c>
      <c r="G231" s="12">
        <f>(INDEX(Proj[],MATCH(Std[[#This Row],[Player]],Proj[Player],0),14)-G$764)/G$765</f>
        <v>0.71075503746946955</v>
      </c>
      <c r="H231" s="12">
        <f>(INDEX(Proj[],MATCH(Std[[#This Row],[Player]],Proj[Player],0),15)-H$764)/H$765</f>
        <v>8.0945693947519649E-3</v>
      </c>
      <c r="I231" s="12">
        <f>(INDEX(Proj[],MATCH(Std[[#This Row],[Player]],Proj[Player],0),16)-I$764)/I$765</f>
        <v>0.32300144286407534</v>
      </c>
      <c r="J231" s="12">
        <f>(INDEX(Proj[],MATCH(Std[[#This Row],[Player]],Proj[Player],0),17)-J$764)/J$765</f>
        <v>0.71076062597419631</v>
      </c>
      <c r="K231" s="12">
        <f>(INDEX(Proj[],MATCH(Std[[#This Row],[Player]],Proj[Player],0),18)-K$764)/K$765</f>
        <v>0.32000895664424578</v>
      </c>
      <c r="L231" s="12">
        <f>(INDEX(Proj[],MATCH(Std[[#This Row],[Player]],Proj[Player],0),19)-L$764)/L$765</f>
        <v>0.48838768140370159</v>
      </c>
      <c r="M231" s="12">
        <f>(INDEX(Proj[],MATCH(Std[[#This Row],[Player]],Proj[Player],0),20)-M$764)/M$765</f>
        <v>-0.71308883245737775</v>
      </c>
      <c r="N231" s="12">
        <f>(INDEX(Proj[],MATCH(Std[[#This Row],[Player]],Proj[Player],0),21)-N$764)/N$765</f>
        <v>-0.96380162617720799</v>
      </c>
      <c r="O231" s="12">
        <f>(INDEX(Proj[],MATCH(Std[[#This Row],[Player]],Proj[Player],0),22)-O$764)/O$765</f>
        <v>-1.0551442895110177</v>
      </c>
      <c r="P231" s="12">
        <f>((INDEX(Proj[],MATCH(Std[[#This Row],[Player]],Proj[Player],0),23)-P$764)/P$765)*IF('League Inputs'!$C$23 = "Yes",-1, 1)</f>
        <v>-0.86083171930672309</v>
      </c>
      <c r="Q231" s="12">
        <f>(INDEX(Proj[],MATCH(Std[[#This Row],[Player]],Proj[Player],0),24)-Q$764)/Q$765</f>
        <v>-0.51264526304854952</v>
      </c>
      <c r="R231" s="12">
        <f>(INDEX(Proj[],MATCH(Std[[#This Row],[Player]],Proj[Player],0),25)-R$764)/R$765</f>
        <v>-0.57423926747423004</v>
      </c>
      <c r="S231" s="12">
        <f>(INDEX(Proj[],MATCH(Std[[#This Row],[Player]],Proj[Player],0),26)-S$764)/S$765</f>
        <v>0.79276117049233907</v>
      </c>
      <c r="T2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-106.94229964191607</v>
      </c>
      <c r="U231" s="11"/>
      <c r="W231" t="str">
        <v>Daniel Sprong</v>
      </c>
      <c r="AA231" t="str">
        <v>Daniel Sprong</v>
      </c>
      <c r="AB231" t="str">
        <v>Daniel Sprong</v>
      </c>
    </row>
    <row r="232" spans="1:28" x14ac:dyDescent="0.25">
      <c r="A232" t="s">
        <v>1011</v>
      </c>
      <c r="B232">
        <f>INDEX(Proj[],MATCH(Std[[#This Row],[Player]],Proj[Player],0),2)</f>
        <v>22</v>
      </c>
      <c r="C232" t="s">
        <v>102</v>
      </c>
      <c r="D232" s="75" t="s">
        <v>103</v>
      </c>
      <c r="E232" s="57"/>
      <c r="F232" t="s">
        <v>20</v>
      </c>
      <c r="G232" s="12">
        <f>(INDEX(Proj[],MATCH(Std[[#This Row],[Player]],Proj[Player],0),14)-G$764)/G$765</f>
        <v>0.60512116871170385</v>
      </c>
      <c r="H232" s="12">
        <f>(INDEX(Proj[],MATCH(Std[[#This Row],[Player]],Proj[Player],0),15)-H$764)/H$765</f>
        <v>8.262383638301718E-2</v>
      </c>
      <c r="I232" s="12">
        <f>(INDEX(Proj[],MATCH(Std[[#This Row],[Player]],Proj[Player],0),16)-I$764)/I$765</f>
        <v>0.32300144286407534</v>
      </c>
      <c r="J232" s="12">
        <f>(INDEX(Proj[],MATCH(Std[[#This Row],[Player]],Proj[Player],0),17)-J$764)/J$765</f>
        <v>0.41639733874955659</v>
      </c>
      <c r="K232" s="12">
        <f>(INDEX(Proj[],MATCH(Std[[#This Row],[Player]],Proj[Player],0),18)-K$764)/K$765</f>
        <v>0.16592301132128306</v>
      </c>
      <c r="L232" s="12">
        <f>(INDEX(Proj[],MATCH(Std[[#This Row],[Player]],Proj[Player],0),19)-L$764)/L$765</f>
        <v>0.27091041837816654</v>
      </c>
      <c r="M232" s="12">
        <f>(INDEX(Proj[],MATCH(Std[[#This Row],[Player]],Proj[Player],0),20)-M$764)/M$765</f>
        <v>-0.71308883245737775</v>
      </c>
      <c r="N232" s="12">
        <f>(INDEX(Proj[],MATCH(Std[[#This Row],[Player]],Proj[Player],0),21)-N$764)/N$765</f>
        <v>-1.0607002929189508</v>
      </c>
      <c r="O232" s="12">
        <f>(INDEX(Proj[],MATCH(Std[[#This Row],[Player]],Proj[Player],0),22)-O$764)/O$765</f>
        <v>-0.93906427281508909</v>
      </c>
      <c r="P232" s="12">
        <f>((INDEX(Proj[],MATCH(Std[[#This Row],[Player]],Proj[Player],0),23)-P$764)/P$765)*IF('League Inputs'!$C$23 = "Yes",-1, 1)</f>
        <v>-0.81429194500836466</v>
      </c>
      <c r="Q232" s="12">
        <f>(INDEX(Proj[],MATCH(Std[[#This Row],[Player]],Proj[Player],0),24)-Q$764)/Q$765</f>
        <v>-0.49665400110745295</v>
      </c>
      <c r="R232" s="12">
        <f>(INDEX(Proj[],MATCH(Std[[#This Row],[Player]],Proj[Player],0),25)-R$764)/R$765</f>
        <v>-0.53451344080231034</v>
      </c>
      <c r="S232" s="12">
        <f>(INDEX(Proj[],MATCH(Std[[#This Row],[Player]],Proj[Player],0),26)-S$764)/S$765</f>
        <v>0.69544900643613117</v>
      </c>
      <c r="T2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-133.36046390767632</v>
      </c>
      <c r="U232" s="11"/>
      <c r="W232" t="str">
        <v>Luke Evangelista</v>
      </c>
      <c r="AA232" t="str">
        <v>Luke Evangelista</v>
      </c>
      <c r="AB232" t="str">
        <v>Luke Evangelista</v>
      </c>
    </row>
    <row r="233" spans="1:28" x14ac:dyDescent="0.25">
      <c r="A233" t="s">
        <v>500</v>
      </c>
      <c r="B233">
        <f>INDEX(Proj[],MATCH(Std[[#This Row],[Player]],Proj[Player],0),2)</f>
        <v>23</v>
      </c>
      <c r="C233" t="s">
        <v>102</v>
      </c>
      <c r="D233" s="75" t="s">
        <v>103</v>
      </c>
      <c r="E233" s="56"/>
      <c r="F233" t="s">
        <v>23</v>
      </c>
      <c r="G233" s="12">
        <f>(INDEX(Proj[],MATCH(Std[[#This Row],[Player]],Proj[Player],0),14)-G$764)/G$765</f>
        <v>0.92202277498500074</v>
      </c>
      <c r="H233" s="12">
        <f>(INDEX(Proj[],MATCH(Std[[#This Row],[Player]],Proj[Player],0),15)-H$764)/H$765</f>
        <v>-0.14096396458177846</v>
      </c>
      <c r="I233" s="12">
        <f>(INDEX(Proj[],MATCH(Std[[#This Row],[Player]],Proj[Player],0),16)-I$764)/I$765</f>
        <v>0.32300144286407534</v>
      </c>
      <c r="J233" s="12">
        <f>(INDEX(Proj[],MATCH(Std[[#This Row],[Player]],Proj[Player],0),17)-J$764)/J$765</f>
        <v>0.12203405152491688</v>
      </c>
      <c r="K233" s="12">
        <f>(INDEX(Proj[],MATCH(Std[[#This Row],[Player]],Proj[Player],0),18)-K$764)/K$765</f>
        <v>-0.45042076997056774</v>
      </c>
      <c r="L233" s="12">
        <f>(INDEX(Proj[],MATCH(Std[[#This Row],[Player]],Proj[Player],0),19)-L$764)/L$765</f>
        <v>-0.27278273918567114</v>
      </c>
      <c r="M233" s="12">
        <f>(INDEX(Proj[],MATCH(Std[[#This Row],[Player]],Proj[Player],0),20)-M$764)/M$765</f>
        <v>0.31240082183847029</v>
      </c>
      <c r="N233" s="12">
        <f>(INDEX(Proj[],MATCH(Std[[#This Row],[Player]],Proj[Player],0),21)-N$764)/N$765</f>
        <v>-1.0994597596156479</v>
      </c>
      <c r="O233" s="12">
        <f>(INDEX(Proj[],MATCH(Std[[#This Row],[Player]],Proj[Player],0),22)-O$764)/O$765</f>
        <v>-0.28901617931788925</v>
      </c>
      <c r="P233" s="12">
        <f>((INDEX(Proj[],MATCH(Std[[#This Row],[Player]],Proj[Player],0),23)-P$764)/P$765)*IF('League Inputs'!$C$23 = "Yes",-1, 1)</f>
        <v>-0.44197375062149696</v>
      </c>
      <c r="Q233" s="12">
        <f>(INDEX(Proj[],MATCH(Std[[#This Row],[Player]],Proj[Player],0),24)-Q$764)/Q$765</f>
        <v>7.9031428772024376E-2</v>
      </c>
      <c r="R233" s="12">
        <f>(INDEX(Proj[],MATCH(Std[[#This Row],[Player]],Proj[Player],0),25)-R$764)/R$765</f>
        <v>0.36783033645986585</v>
      </c>
      <c r="S233" s="12">
        <f>(INDEX(Proj[],MATCH(Std[[#This Row],[Player]],Proj[Player],0),26)-S$764)/S$765</f>
        <v>0.37107512624877148</v>
      </c>
      <c r="T2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-54.90656204526119</v>
      </c>
      <c r="U233" s="11"/>
      <c r="W233" t="str">
        <v>Dawson Mercer</v>
      </c>
      <c r="AA233" t="str">
        <v>Dawson Mercer</v>
      </c>
      <c r="AB233" t="str">
        <v>Dawson Mercer</v>
      </c>
    </row>
    <row r="234" spans="1:28" x14ac:dyDescent="0.25">
      <c r="A234" t="s">
        <v>979</v>
      </c>
      <c r="B234">
        <f>INDEX(Proj[],MATCH(Std[[#This Row],[Player]],Proj[Player],0),2)</f>
        <v>25</v>
      </c>
      <c r="C234" t="s">
        <v>74</v>
      </c>
      <c r="D234" s="75" t="s">
        <v>102</v>
      </c>
      <c r="E234" s="57"/>
      <c r="F234" t="s">
        <v>32</v>
      </c>
      <c r="G234" s="12">
        <f>(INDEX(Proj[],MATCH(Std[[#This Row],[Player]],Proj[Player],0),14)-G$764)/G$765</f>
        <v>0.39385343119617261</v>
      </c>
      <c r="H234" s="12">
        <f>(INDEX(Proj[],MATCH(Std[[#This Row],[Player]],Proj[Player],0),15)-H$764)/H$765</f>
        <v>0.23168237035954761</v>
      </c>
      <c r="I234" s="12">
        <f>(INDEX(Proj[],MATCH(Std[[#This Row],[Player]],Proj[Player],0),16)-I$764)/I$765</f>
        <v>0.32300144286407534</v>
      </c>
      <c r="J234" s="12">
        <f>(INDEX(Proj[],MATCH(Std[[#This Row],[Player]],Proj[Player],0),17)-J$764)/J$765</f>
        <v>-0.17232923569972286</v>
      </c>
      <c r="K234" s="12">
        <f>(INDEX(Proj[],MATCH(Std[[#This Row],[Player]],Proj[Player],0),18)-K$764)/K$765</f>
        <v>1.1837065998320361E-2</v>
      </c>
      <c r="L234" s="12">
        <f>(INDEX(Proj[],MATCH(Std[[#This Row],[Player]],Proj[Player],0),19)-L$764)/L$765</f>
        <v>-5.5305476160136084E-2</v>
      </c>
      <c r="M234" s="12">
        <f>(INDEX(Proj[],MATCH(Std[[#This Row],[Player]],Proj[Player],0),20)-M$764)/M$765</f>
        <v>1.3378904761343182</v>
      </c>
      <c r="N234" s="12">
        <f>(INDEX(Proj[],MATCH(Std[[#This Row],[Player]],Proj[Player],0),21)-N$764)/N$765</f>
        <v>-0.6537258926036309</v>
      </c>
      <c r="O234" s="12">
        <f>(INDEX(Proj[],MATCH(Std[[#This Row],[Player]],Proj[Player],0),22)-O$764)/O$765</f>
        <v>-0.59082422272730351</v>
      </c>
      <c r="P234" s="12">
        <f>((INDEX(Proj[],MATCH(Std[[#This Row],[Player]],Proj[Player],0),23)-P$764)/P$765)*IF('League Inputs'!$C$23 = "Yes",-1, 1)</f>
        <v>-2.3115781936270764E-2</v>
      </c>
      <c r="Q234" s="12">
        <f>(INDEX(Proj[],MATCH(Std[[#This Row],[Player]],Proj[Player],0),24)-Q$764)/Q$765</f>
        <v>-0.40070642946087337</v>
      </c>
      <c r="R234" s="12">
        <f>(INDEX(Proj[],MATCH(Std[[#This Row],[Player]],Proj[Player],0),25)-R$764)/R$765</f>
        <v>-0.37561013411463151</v>
      </c>
      <c r="S234" s="12">
        <f>(INDEX(Proj[],MATCH(Std[[#This Row],[Player]],Proj[Player],0),26)-S$764)/S$765</f>
        <v>9.5357328089515775E-2</v>
      </c>
      <c r="T2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-67.97832303789032</v>
      </c>
      <c r="U234" s="11"/>
      <c r="W234" t="str">
        <v>Alexandre Texier</v>
      </c>
      <c r="AA234" t="str">
        <v>Alexandre Texier</v>
      </c>
      <c r="AB234" t="str">
        <v>Alexandre Texier</v>
      </c>
    </row>
    <row r="235" spans="1:28" x14ac:dyDescent="0.25">
      <c r="A235" t="s">
        <v>368</v>
      </c>
      <c r="B235">
        <f>INDEX(Proj[],MATCH(Std[[#This Row],[Player]],Proj[Player],0),2)</f>
        <v>22</v>
      </c>
      <c r="C235" t="s">
        <v>74</v>
      </c>
      <c r="D235" s="75" t="s">
        <v>102</v>
      </c>
      <c r="E235" s="57"/>
      <c r="F235" t="s">
        <v>31</v>
      </c>
      <c r="G235" s="12">
        <f>(INDEX(Proj[],MATCH(Std[[#This Row],[Player]],Proj[Player],0),14)-G$764)/G$765</f>
        <v>-0.45121751886595246</v>
      </c>
      <c r="H235" s="12">
        <f>(INDEX(Proj[],MATCH(Std[[#This Row],[Player]],Proj[Player],0),15)-H$764)/H$765</f>
        <v>0.75338723927740403</v>
      </c>
      <c r="I235" s="12">
        <f>(INDEX(Proj[],MATCH(Std[[#This Row],[Player]],Proj[Player],0),16)-I$764)/I$765</f>
        <v>0.27575888390197212</v>
      </c>
      <c r="J235" s="12">
        <f>(INDEX(Proj[],MATCH(Std[[#This Row],[Player]],Proj[Player],0),17)-J$764)/J$765</f>
        <v>-0.17232923569972286</v>
      </c>
      <c r="K235" s="12">
        <f>(INDEX(Proj[],MATCH(Std[[#This Row],[Player]],Proj[Player],0),18)-K$764)/K$765</f>
        <v>1.3986105739049848</v>
      </c>
      <c r="L235" s="12">
        <f>(INDEX(Proj[],MATCH(Std[[#This Row],[Player]],Proj[Player],0),19)-L$764)/L$765</f>
        <v>0.92334220745477169</v>
      </c>
      <c r="M235" s="12">
        <f>(INDEX(Proj[],MATCH(Std[[#This Row],[Player]],Proj[Player],0),20)-M$764)/M$765</f>
        <v>-0.71308883245737775</v>
      </c>
      <c r="N235" s="12">
        <f>(INDEX(Proj[],MATCH(Std[[#This Row],[Player]],Proj[Player],0),21)-N$764)/N$765</f>
        <v>-0.73124482599702512</v>
      </c>
      <c r="O235" s="12">
        <f>(INDEX(Proj[],MATCH(Std[[#This Row],[Player]],Proj[Player],0),22)-O$764)/O$765</f>
        <v>2.009368151261496</v>
      </c>
      <c r="P235" s="12">
        <f>((INDEX(Proj[],MATCH(Std[[#This Row],[Player]],Proj[Player],0),23)-P$764)/P$765)*IF('League Inputs'!$C$23 = "Yes",-1, 1)</f>
        <v>-0.67467262211328927</v>
      </c>
      <c r="Q235" s="12">
        <f>(INDEX(Proj[],MATCH(Std[[#This Row],[Player]],Proj[Player],0),24)-Q$764)/Q$765</f>
        <v>-0.5766103108129359</v>
      </c>
      <c r="R235" s="12">
        <f>(INDEX(Proj[],MATCH(Std[[#This Row],[Player]],Proj[Player],0),25)-R$764)/R$765</f>
        <v>-0.62531533033812681</v>
      </c>
      <c r="S235" s="12">
        <f>(INDEX(Proj[],MATCH(Std[[#This Row],[Player]],Proj[Player],0),26)-S$764)/S$765</f>
        <v>0.43594990228624342</v>
      </c>
      <c r="T2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196.40611063926843</v>
      </c>
      <c r="U235" s="11"/>
      <c r="W235" t="str">
        <v>Jake Sanderson</v>
      </c>
      <c r="AA235" t="str">
        <v>Jake Sanderson</v>
      </c>
      <c r="AB235" t="str">
        <v>Jake Sanderson</v>
      </c>
    </row>
    <row r="236" spans="1:28" x14ac:dyDescent="0.25">
      <c r="A236" t="s">
        <v>1126</v>
      </c>
      <c r="B236">
        <f>INDEX(Proj[],MATCH(Std[[#This Row],[Player]],Proj[Player],0),2)</f>
        <v>24</v>
      </c>
      <c r="C236" t="s">
        <v>74</v>
      </c>
      <c r="D236" s="75" t="s">
        <v>102</v>
      </c>
      <c r="E236" s="57"/>
      <c r="F236" t="s">
        <v>32</v>
      </c>
      <c r="G236" s="12">
        <f>(INDEX(Proj[],MATCH(Std[[#This Row],[Player]],Proj[Player],0),14)-G$764)/G$765</f>
        <v>0.92202277498500074</v>
      </c>
      <c r="H236" s="12">
        <f>(INDEX(Proj[],MATCH(Std[[#This Row],[Player]],Proj[Player],0),15)-H$764)/H$765</f>
        <v>-0.21549323157004366</v>
      </c>
      <c r="I236" s="12">
        <f>(INDEX(Proj[],MATCH(Std[[#This Row],[Player]],Proj[Player],0),16)-I$764)/I$765</f>
        <v>0.27575888390197212</v>
      </c>
      <c r="J236" s="12">
        <f>(INDEX(Proj[],MATCH(Std[[#This Row],[Player]],Proj[Player],0),17)-J$764)/J$765</f>
        <v>1.0051239131988361</v>
      </c>
      <c r="K236" s="12">
        <f>(INDEX(Proj[],MATCH(Std[[#This Row],[Player]],Proj[Player],0),18)-K$764)/K$765</f>
        <v>-0.29633482464760502</v>
      </c>
      <c r="L236" s="12">
        <f>(INDEX(Proj[],MATCH(Std[[#This Row],[Player]],Proj[Player],0),19)-L$764)/L$765</f>
        <v>0.16217178686539899</v>
      </c>
      <c r="M236" s="12">
        <f>(INDEX(Proj[],MATCH(Std[[#This Row],[Player]],Proj[Player],0),20)-M$764)/M$765</f>
        <v>-0.71308883245737775</v>
      </c>
      <c r="N236" s="12">
        <f>(INDEX(Proj[],MATCH(Std[[#This Row],[Player]],Proj[Player],0),21)-N$764)/N$765</f>
        <v>6.3324241285266009E-2</v>
      </c>
      <c r="O236" s="12">
        <f>(INDEX(Proj[],MATCH(Std[[#This Row],[Player]],Proj[Player],0),22)-O$764)/O$765</f>
        <v>-0.33544818599626064</v>
      </c>
      <c r="P236" s="12">
        <f>((INDEX(Proj[],MATCH(Std[[#This Row],[Player]],Proj[Player],0),23)-P$764)/P$765)*IF('League Inputs'!$C$23 = "Yes",-1, 1)</f>
        <v>1.0007592526276154</v>
      </c>
      <c r="Q236" s="12">
        <f>(INDEX(Proj[],MATCH(Std[[#This Row],[Player]],Proj[Player],0),24)-Q$764)/Q$765</f>
        <v>0.97454209747343357</v>
      </c>
      <c r="R236" s="12">
        <f>(INDEX(Proj[],MATCH(Std[[#This Row],[Player]],Proj[Player],0),25)-R$764)/R$765</f>
        <v>1.5823056090014112</v>
      </c>
      <c r="S236" s="12">
        <f>(INDEX(Proj[],MATCH(Std[[#This Row],[Player]],Proj[Player],0),26)-S$764)/S$765</f>
        <v>0.63057423039865923</v>
      </c>
      <c r="T2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347.82118499710418</v>
      </c>
      <c r="U236" s="11"/>
      <c r="W236" t="str">
        <v>Dmitri Voronkov</v>
      </c>
      <c r="AA236" t="str">
        <v>Dmitri Voronkov</v>
      </c>
      <c r="AB236" t="str">
        <v>Dmitri Voronkov</v>
      </c>
    </row>
    <row r="237" spans="1:28" x14ac:dyDescent="0.25">
      <c r="A237" t="s">
        <v>772</v>
      </c>
      <c r="B237">
        <f>INDEX(Proj[],MATCH(Std[[#This Row],[Player]],Proj[Player],0),2)</f>
        <v>26</v>
      </c>
      <c r="C237" t="s">
        <v>102</v>
      </c>
      <c r="D237" s="75"/>
      <c r="E237" s="57"/>
      <c r="F237" t="s">
        <v>87</v>
      </c>
      <c r="G237" s="12">
        <f>(INDEX(Proj[],MATCH(Std[[#This Row],[Player]],Proj[Player],0),14)-G$764)/G$765</f>
        <v>0.28821956243840696</v>
      </c>
      <c r="H237" s="12">
        <f>(INDEX(Proj[],MATCH(Std[[#This Row],[Player]],Proj[Player],0),15)-H$764)/H$765</f>
        <v>0.23168237035954761</v>
      </c>
      <c r="I237" s="12">
        <f>(INDEX(Proj[],MATCH(Std[[#This Row],[Player]],Proj[Player],0),16)-I$764)/I$765</f>
        <v>0.27575888390197212</v>
      </c>
      <c r="J237" s="12">
        <f>(INDEX(Proj[],MATCH(Std[[#This Row],[Player]],Proj[Player],0),17)-J$764)/J$765</f>
        <v>0.12203405152491688</v>
      </c>
      <c r="K237" s="12">
        <f>(INDEX(Proj[],MATCH(Std[[#This Row],[Player]],Proj[Player],0),18)-K$764)/K$765</f>
        <v>0.16592301132128306</v>
      </c>
      <c r="L237" s="12">
        <f>(INDEX(Proj[],MATCH(Std[[#This Row],[Player]],Proj[Player],0),19)-L$764)/L$765</f>
        <v>0.16217178686539899</v>
      </c>
      <c r="M237" s="12">
        <f>(INDEX(Proj[],MATCH(Std[[#This Row],[Player]],Proj[Player],0),20)-M$764)/M$765</f>
        <v>-0.71308883245737775</v>
      </c>
      <c r="N237" s="12">
        <f>(INDEX(Proj[],MATCH(Std[[#This Row],[Player]],Proj[Player],0),21)-N$764)/N$765</f>
        <v>0.48967837494893446</v>
      </c>
      <c r="O237" s="12">
        <f>(INDEX(Proj[],MATCH(Std[[#This Row],[Player]],Proj[Player],0),22)-O$764)/O$765</f>
        <v>-0.33544818599626064</v>
      </c>
      <c r="P237" s="12">
        <f>((INDEX(Proj[],MATCH(Std[[#This Row],[Player]],Proj[Player],0),23)-P$764)/P$765)*IF('League Inputs'!$C$23 = "Yes",-1, 1)</f>
        <v>-0.16273510483134615</v>
      </c>
      <c r="Q237" s="12">
        <f>(INDEX(Proj[],MATCH(Std[[#This Row],[Player]],Proj[Player],0),24)-Q$764)/Q$765</f>
        <v>1.2623848124131722</v>
      </c>
      <c r="R237" s="12">
        <f>(INDEX(Proj[],MATCH(Std[[#This Row],[Player]],Proj[Player],0),25)-R$764)/R$765</f>
        <v>1.633381671865308</v>
      </c>
      <c r="S237" s="12">
        <f>(INDEX(Proj[],MATCH(Std[[#This Row],[Player]],Proj[Player],0),26)-S$764)/S$765</f>
        <v>0.19266949214572368</v>
      </c>
      <c r="T2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240.43819922455492</v>
      </c>
      <c r="U237" s="11"/>
      <c r="W237" t="str">
        <v>Morgan Geekie</v>
      </c>
      <c r="AA237" t="str">
        <v>Morgan Geekie</v>
      </c>
      <c r="AB237" t="str">
        <v>Morgan Geekie</v>
      </c>
    </row>
    <row r="238" spans="1:28" x14ac:dyDescent="0.25">
      <c r="A238" t="s">
        <v>565</v>
      </c>
      <c r="B238">
        <f>INDEX(Proj[],MATCH(Std[[#This Row],[Player]],Proj[Player],0),2)</f>
        <v>28</v>
      </c>
      <c r="C238" t="s">
        <v>74</v>
      </c>
      <c r="D238" s="75"/>
      <c r="E238" s="57"/>
      <c r="F238" t="s">
        <v>18</v>
      </c>
      <c r="G238" s="12">
        <f>(INDEX(Proj[],MATCH(Std[[#This Row],[Player]],Proj[Player],0),14)-G$764)/G$765</f>
        <v>0.71075503746946955</v>
      </c>
      <c r="H238" s="12">
        <f>(INDEX(Proj[],MATCH(Std[[#This Row],[Player]],Proj[Player],0),15)-H$764)/H$765</f>
        <v>-6.6434697593513253E-2</v>
      </c>
      <c r="I238" s="12">
        <f>(INDEX(Proj[],MATCH(Std[[#This Row],[Player]],Proj[Player],0),16)-I$764)/I$765</f>
        <v>0.27575888390197212</v>
      </c>
      <c r="J238" s="12">
        <f>(INDEX(Proj[],MATCH(Std[[#This Row],[Player]],Proj[Player],0),17)-J$764)/J$765</f>
        <v>0.41639733874955659</v>
      </c>
      <c r="K238" s="12">
        <f>(INDEX(Proj[],MATCH(Std[[#This Row],[Player]],Proj[Player],0),18)-K$764)/K$765</f>
        <v>-0.29633482464760502</v>
      </c>
      <c r="L238" s="12">
        <f>(INDEX(Proj[],MATCH(Std[[#This Row],[Player]],Proj[Player],0),19)-L$764)/L$765</f>
        <v>-5.5305476160136084E-2</v>
      </c>
      <c r="M238" s="12">
        <f>(INDEX(Proj[],MATCH(Std[[#This Row],[Player]],Proj[Player],0),20)-M$764)/M$765</f>
        <v>-0.71308883245737775</v>
      </c>
      <c r="N238" s="12">
        <f>(INDEX(Proj[],MATCH(Std[[#This Row],[Player]],Proj[Player],0),21)-N$764)/N$765</f>
        <v>1.0323109087026943</v>
      </c>
      <c r="O238" s="12">
        <f>(INDEX(Proj[],MATCH(Std[[#This Row],[Player]],Proj[Player],0),22)-O$764)/O$765</f>
        <v>-0.42831219935300352</v>
      </c>
      <c r="P238" s="12">
        <f>((INDEX(Proj[],MATCH(Std[[#This Row],[Player]],Proj[Player],0),23)-P$764)/P$765)*IF('League Inputs'!$C$23 = "Yes",-1, 1)</f>
        <v>0.6284410582407477</v>
      </c>
      <c r="Q238" s="12">
        <f>(INDEX(Proj[],MATCH(Std[[#This Row],[Player]],Proj[Player],0),24)-Q$764)/Q$765</f>
        <v>1.363662804706784</v>
      </c>
      <c r="R238" s="12">
        <f>(INDEX(Proj[],MATCH(Std[[#This Row],[Player]],Proj[Player],0),25)-R$764)/R$765</f>
        <v>1.366651121353847</v>
      </c>
      <c r="S238" s="12">
        <f>(INDEX(Proj[],MATCH(Std[[#This Row],[Player]],Proj[Player],0),26)-S$764)/S$765</f>
        <v>0.53326206634245132</v>
      </c>
      <c r="T2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399.41383862574662</v>
      </c>
      <c r="U238" s="11"/>
      <c r="W238" t="str">
        <v>Ross Colton</v>
      </c>
      <c r="AA238" t="str">
        <v>Ross Colton</v>
      </c>
      <c r="AB238" t="str">
        <v>Ross Colton</v>
      </c>
    </row>
    <row r="239" spans="1:28" x14ac:dyDescent="0.25">
      <c r="A239" t="s">
        <v>1072</v>
      </c>
      <c r="B239">
        <f>INDEX(Proj[],MATCH(Std[[#This Row],[Player]],Proj[Player],0),2)</f>
        <v>22</v>
      </c>
      <c r="C239" t="s">
        <v>74</v>
      </c>
      <c r="D239" s="75"/>
      <c r="E239" s="56"/>
      <c r="F239" t="s">
        <v>4</v>
      </c>
      <c r="G239" s="12">
        <f>(INDEX(Proj[],MATCH(Std[[#This Row],[Player]],Proj[Player],0),14)-G$764)/G$765</f>
        <v>0.49948729995393826</v>
      </c>
      <c r="H239" s="12">
        <f>(INDEX(Proj[],MATCH(Std[[#This Row],[Player]],Proj[Player],0),15)-H$764)/H$765</f>
        <v>8.262383638301718E-2</v>
      </c>
      <c r="I239" s="12">
        <f>(INDEX(Proj[],MATCH(Std[[#This Row],[Player]],Proj[Player],0),16)-I$764)/I$765</f>
        <v>0.27575888390197212</v>
      </c>
      <c r="J239" s="12">
        <f>(INDEX(Proj[],MATCH(Std[[#This Row],[Player]],Proj[Player],0),17)-J$764)/J$765</f>
        <v>-0.17232923569972286</v>
      </c>
      <c r="K239" s="12">
        <f>(INDEX(Proj[],MATCH(Std[[#This Row],[Player]],Proj[Player],0),18)-K$764)/K$765</f>
        <v>-0.14224887932464234</v>
      </c>
      <c r="L239" s="12">
        <f>(INDEX(Proj[],MATCH(Std[[#This Row],[Player]],Proj[Player],0),19)-L$764)/L$765</f>
        <v>-0.16404410767290362</v>
      </c>
      <c r="M239" s="12">
        <f>(INDEX(Proj[],MATCH(Std[[#This Row],[Player]],Proj[Player],0),20)-M$764)/M$765</f>
        <v>-0.71308883245737775</v>
      </c>
      <c r="N239" s="12">
        <f>(INDEX(Proj[],MATCH(Std[[#This Row],[Player]],Proj[Player],0),21)-N$764)/N$765</f>
        <v>1.3230069089279228</v>
      </c>
      <c r="O239" s="12">
        <f>(INDEX(Proj[],MATCH(Std[[#This Row],[Player]],Proj[Player],0),22)-O$764)/O$765</f>
        <v>-0.70690423942323199</v>
      </c>
      <c r="P239" s="12">
        <f>((INDEX(Proj[],MATCH(Std[[#This Row],[Player]],Proj[Player],0),23)-P$764)/P$765)*IF('League Inputs'!$C$23 = "Yes",-1, 1)</f>
        <v>0.53536150964403084</v>
      </c>
      <c r="Q239" s="12">
        <f>(INDEX(Proj[],MATCH(Std[[#This Row],[Player]],Proj[Player],0),24)-Q$764)/Q$765</f>
        <v>-0.42735853269603435</v>
      </c>
      <c r="R239" s="12">
        <f>(INDEX(Proj[],MATCH(Std[[#This Row],[Player]],Proj[Player],0),25)-R$764)/R$765</f>
        <v>-0.47208714174643651</v>
      </c>
      <c r="S239" s="12">
        <f>(INDEX(Proj[],MATCH(Std[[#This Row],[Player]],Proj[Player],0),26)-S$764)/S$765</f>
        <v>0.11157602209888376</v>
      </c>
      <c r="T2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152.95075811175951</v>
      </c>
      <c r="U239" s="11"/>
      <c r="W239" t="str">
        <v>Matthew Knies</v>
      </c>
      <c r="AA239" t="str">
        <v>Matthew Knies</v>
      </c>
      <c r="AB239" t="str">
        <v>Matthew Knies</v>
      </c>
    </row>
    <row r="240" spans="1:28" x14ac:dyDescent="0.25">
      <c r="A240" t="s">
        <v>860</v>
      </c>
      <c r="B240">
        <f>INDEX(Proj[],MATCH(Std[[#This Row],[Player]],Proj[Player],0),2)</f>
        <v>24</v>
      </c>
      <c r="C240" t="s">
        <v>74</v>
      </c>
      <c r="D240" s="75" t="s">
        <v>102</v>
      </c>
      <c r="E240" s="57"/>
      <c r="F240" t="s">
        <v>11</v>
      </c>
      <c r="G240" s="12">
        <f>(INDEX(Proj[],MATCH(Std[[#This Row],[Player]],Proj[Player],0),14)-G$764)/G$765</f>
        <v>1.1332905125005321</v>
      </c>
      <c r="H240" s="12">
        <f>(INDEX(Proj[],MATCH(Std[[#This Row],[Player]],Proj[Player],0),15)-H$764)/H$765</f>
        <v>-0.36455176554657409</v>
      </c>
      <c r="I240" s="12">
        <f>(INDEX(Proj[],MATCH(Std[[#This Row],[Player]],Proj[Player],0),16)-I$764)/I$765</f>
        <v>0.27575888390197212</v>
      </c>
      <c r="J240" s="12">
        <f>(INDEX(Proj[],MATCH(Std[[#This Row],[Player]],Proj[Player],0),17)-J$764)/J$765</f>
        <v>1.5938504876481154</v>
      </c>
      <c r="K240" s="12">
        <f>(INDEX(Proj[],MATCH(Std[[#This Row],[Player]],Proj[Player],0),18)-K$764)/K$765</f>
        <v>-0.14224887932464234</v>
      </c>
      <c r="L240" s="12">
        <f>(INDEX(Proj[],MATCH(Std[[#This Row],[Player]],Proj[Player],0),19)-L$764)/L$765</f>
        <v>0.48838768140370159</v>
      </c>
      <c r="M240" s="12">
        <f>(INDEX(Proj[],MATCH(Std[[#This Row],[Player]],Proj[Player],0),20)-M$764)/M$765</f>
        <v>-0.71308883245737775</v>
      </c>
      <c r="N240" s="12">
        <f>(INDEX(Proj[],MATCH(Std[[#This Row],[Player]],Proj[Player],0),21)-N$764)/N$765</f>
        <v>-0.63434615925528237</v>
      </c>
      <c r="O240" s="12">
        <f>(INDEX(Proj[],MATCH(Std[[#This Row],[Player]],Proj[Player],0),22)-O$764)/O$765</f>
        <v>-0.45152820269218918</v>
      </c>
      <c r="P240" s="12">
        <f>((INDEX(Proj[],MATCH(Std[[#This Row],[Player]],Proj[Player],0),23)-P$764)/P$765)*IF('League Inputs'!$C$23 = "Yes",-1, 1)</f>
        <v>-0.81429194500836466</v>
      </c>
      <c r="Q240" s="12">
        <f>(INDEX(Proj[],MATCH(Std[[#This Row],[Player]],Proj[Player],0),24)-Q$764)/Q$765</f>
        <v>-0.40070642946087337</v>
      </c>
      <c r="R240" s="12">
        <f>(INDEX(Proj[],MATCH(Std[[#This Row],[Player]],Proj[Player],0),25)-R$764)/R$765</f>
        <v>-0.3358843074427118</v>
      </c>
      <c r="S240" s="12">
        <f>(INDEX(Proj[],MATCH(Std[[#This Row],[Player]],Proj[Player],0),26)-S$764)/S$765</f>
        <v>1.0522602746422267</v>
      </c>
      <c r="T2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28.427285048514918</v>
      </c>
      <c r="U240" s="11"/>
      <c r="W240" t="str">
        <v>Kirill Marchenko</v>
      </c>
      <c r="AA240" t="str">
        <v>Kirill Marchenko</v>
      </c>
      <c r="AB240" t="str">
        <v>Kirill Marchenko</v>
      </c>
    </row>
    <row r="241" spans="1:28" x14ac:dyDescent="0.25">
      <c r="A241" t="s">
        <v>345</v>
      </c>
      <c r="B241">
        <f>INDEX(Proj[],MATCH(Std[[#This Row],[Player]],Proj[Player],0),2)</f>
        <v>32</v>
      </c>
      <c r="C241" t="s">
        <v>103</v>
      </c>
      <c r="D241" s="75"/>
      <c r="E241" s="57"/>
      <c r="F241" t="s">
        <v>154</v>
      </c>
      <c r="G241" s="12">
        <f>(INDEX(Proj[],MATCH(Std[[#This Row],[Player]],Proj[Player],0),14)-G$764)/G$765</f>
        <v>-0.13431591259265557</v>
      </c>
      <c r="H241" s="12">
        <f>(INDEX(Proj[],MATCH(Std[[#This Row],[Player]],Proj[Player],0),15)-H$764)/H$765</f>
        <v>0.52979943831260845</v>
      </c>
      <c r="I241" s="12">
        <f>(INDEX(Proj[],MATCH(Std[[#This Row],[Player]],Proj[Player],0),16)-I$764)/I$765</f>
        <v>0.27575888390197212</v>
      </c>
      <c r="J241" s="12">
        <f>(INDEX(Proj[],MATCH(Std[[#This Row],[Player]],Proj[Player],0),17)-J$764)/J$765</f>
        <v>0.12203405152491688</v>
      </c>
      <c r="K241" s="12">
        <f>(INDEX(Proj[],MATCH(Std[[#This Row],[Player]],Proj[Player],0),18)-K$764)/K$765</f>
        <v>0.78226679261313392</v>
      </c>
      <c r="L241" s="12">
        <f>(INDEX(Proj[],MATCH(Std[[#This Row],[Player]],Proj[Player],0),19)-L$764)/L$765</f>
        <v>0.59712631291646912</v>
      </c>
      <c r="M241" s="12">
        <f>(INDEX(Proj[],MATCH(Std[[#This Row],[Player]],Proj[Player],0),20)-M$764)/M$765</f>
        <v>-0.71308883245737775</v>
      </c>
      <c r="N241" s="12">
        <f>(INDEX(Proj[],MATCH(Std[[#This Row],[Player]],Proj[Player],0),21)-N$764)/N$765</f>
        <v>-1.0607002929189508</v>
      </c>
      <c r="O241" s="12">
        <f>(INDEX(Proj[],MATCH(Std[[#This Row],[Player]],Proj[Player],0),22)-O$764)/O$765</f>
        <v>-0.89263226613671776</v>
      </c>
      <c r="P241" s="12">
        <f>((INDEX(Proj[],MATCH(Std[[#This Row],[Player]],Proj[Player],0),23)-P$764)/P$765)*IF('League Inputs'!$C$23 = "Yes",-1, 1)</f>
        <v>0.16304331525716309</v>
      </c>
      <c r="Q241" s="12">
        <f>(INDEX(Proj[],MATCH(Std[[#This Row],[Player]],Proj[Player],0),24)-Q$764)/Q$765</f>
        <v>1.443619114412267</v>
      </c>
      <c r="R241" s="12">
        <f>(INDEX(Proj[],MATCH(Std[[#This Row],[Player]],Proj[Player],0),25)-R$764)/R$765</f>
        <v>2.0192897023925278</v>
      </c>
      <c r="S241" s="12">
        <f>(INDEX(Proj[],MATCH(Std[[#This Row],[Player]],Proj[Player],0),26)-S$764)/S$765</f>
        <v>-1.8173529976060102E-2</v>
      </c>
      <c r="T2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90.352506317609553</v>
      </c>
      <c r="U241" s="11"/>
      <c r="W241" t="str">
        <v>Evgeny Kuznetsov</v>
      </c>
      <c r="AA241" t="str">
        <v>Evgeny Kuznetsov</v>
      </c>
      <c r="AB241" t="str">
        <v>Evgeny Kuznetsov</v>
      </c>
    </row>
    <row r="242" spans="1:28" x14ac:dyDescent="0.25">
      <c r="A242" t="s">
        <v>417</v>
      </c>
      <c r="B242">
        <f>INDEX(Proj[],MATCH(Std[[#This Row],[Player]],Proj[Player],0),2)</f>
        <v>30</v>
      </c>
      <c r="C242" t="s">
        <v>102</v>
      </c>
      <c r="D242" s="75" t="s">
        <v>103</v>
      </c>
      <c r="E242" s="57"/>
      <c r="F242" t="s">
        <v>18</v>
      </c>
      <c r="G242" s="12">
        <f>(INDEX(Proj[],MATCH(Std[[#This Row],[Player]],Proj[Player],0),14)-G$764)/G$765</f>
        <v>0.60512116871170385</v>
      </c>
      <c r="H242" s="12">
        <f>(INDEX(Proj[],MATCH(Std[[#This Row],[Player]],Proj[Player],0),15)-H$764)/H$765</f>
        <v>8.0945693947519649E-3</v>
      </c>
      <c r="I242" s="12">
        <f>(INDEX(Proj[],MATCH(Std[[#This Row],[Player]],Proj[Player],0),16)-I$764)/I$765</f>
        <v>0.27575888390197212</v>
      </c>
      <c r="J242" s="12">
        <f>(INDEX(Proj[],MATCH(Std[[#This Row],[Player]],Proj[Player],0),17)-J$764)/J$765</f>
        <v>-0.17232923569972286</v>
      </c>
      <c r="K242" s="12">
        <f>(INDEX(Proj[],MATCH(Std[[#This Row],[Player]],Proj[Player],0),18)-K$764)/K$765</f>
        <v>-0.14224887932464234</v>
      </c>
      <c r="L242" s="12">
        <f>(INDEX(Proj[],MATCH(Std[[#This Row],[Player]],Proj[Player],0),19)-L$764)/L$765</f>
        <v>-0.16404410767290362</v>
      </c>
      <c r="M242" s="12">
        <f>(INDEX(Proj[],MATCH(Std[[#This Row],[Player]],Proj[Player],0),20)-M$764)/M$765</f>
        <v>-0.71308883245737775</v>
      </c>
      <c r="N242" s="12">
        <f>(INDEX(Proj[],MATCH(Std[[#This Row],[Player]],Proj[Player],0),21)-N$764)/N$765</f>
        <v>-0.45992855912014524</v>
      </c>
      <c r="O242" s="12">
        <f>(INDEX(Proj[],MATCH(Std[[#This Row],[Player]],Proj[Player],0),22)-O$764)/O$765</f>
        <v>-0.73012024276241771</v>
      </c>
      <c r="P242" s="12">
        <f>((INDEX(Proj[],MATCH(Std[[#This Row],[Player]],Proj[Player],0),23)-P$764)/P$765)*IF('League Inputs'!$C$23 = "Yes",-1, 1)</f>
        <v>-0.25581465342806309</v>
      </c>
      <c r="Q242" s="12">
        <f>(INDEX(Proj[],MATCH(Std[[#This Row],[Player]],Proj[Player],0),24)-Q$764)/Q$765</f>
        <v>-0.52330610434261393</v>
      </c>
      <c r="R242" s="12">
        <f>(INDEX(Proj[],MATCH(Std[[#This Row],[Player]],Proj[Player],0),25)-R$764)/R$765</f>
        <v>-0.55153879509027592</v>
      </c>
      <c r="S242" s="12">
        <f>(INDEX(Proj[],MATCH(Std[[#This Row],[Player]],Proj[Player],0),26)-S$764)/S$765</f>
        <v>6.2919940070779806E-2</v>
      </c>
      <c r="T2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-118.13191052469358</v>
      </c>
      <c r="U242" s="11"/>
      <c r="W242" t="str">
        <v>Anthony Mantha</v>
      </c>
      <c r="AA242" t="str">
        <v>Anthony Mantha</v>
      </c>
      <c r="AB242" t="str">
        <v>Anthony Mantha</v>
      </c>
    </row>
    <row r="243" spans="1:28" x14ac:dyDescent="0.25">
      <c r="A243" t="s">
        <v>1123</v>
      </c>
      <c r="B243">
        <f>INDEX(Proj[],MATCH(Std[[#This Row],[Player]],Proj[Player],0),2)</f>
        <v>23</v>
      </c>
      <c r="C243" t="s">
        <v>103</v>
      </c>
      <c r="D243" s="75"/>
      <c r="E243" s="57"/>
      <c r="F243" t="s">
        <v>20</v>
      </c>
      <c r="G243" s="12">
        <f>(INDEX(Proj[],MATCH(Std[[#This Row],[Player]],Proj[Player],0),14)-G$764)/G$765</f>
        <v>0.28821956243840696</v>
      </c>
      <c r="H243" s="12">
        <f>(INDEX(Proj[],MATCH(Std[[#This Row],[Player]],Proj[Player],0),15)-H$764)/H$765</f>
        <v>0.23168237035954761</v>
      </c>
      <c r="I243" s="12">
        <f>(INDEX(Proj[],MATCH(Std[[#This Row],[Player]],Proj[Player],0),16)-I$764)/I$765</f>
        <v>0.27575888390197212</v>
      </c>
      <c r="J243" s="12">
        <f>(INDEX(Proj[],MATCH(Std[[#This Row],[Player]],Proj[Player],0),17)-J$764)/J$765</f>
        <v>-0.17232923569972286</v>
      </c>
      <c r="K243" s="12">
        <f>(INDEX(Proj[],MATCH(Std[[#This Row],[Player]],Proj[Player],0),18)-K$764)/K$765</f>
        <v>0.16592301132128306</v>
      </c>
      <c r="L243" s="12">
        <f>(INDEX(Proj[],MATCH(Std[[#This Row],[Player]],Proj[Player],0),19)-L$764)/L$765</f>
        <v>5.3433155352631455E-2</v>
      </c>
      <c r="M243" s="12">
        <f>(INDEX(Proj[],MATCH(Std[[#This Row],[Player]],Proj[Player],0),20)-M$764)/M$765</f>
        <v>-0.71308883245737775</v>
      </c>
      <c r="N243" s="12">
        <f>(INDEX(Proj[],MATCH(Std[[#This Row],[Player]],Proj[Player],0),21)-N$764)/N$765</f>
        <v>-0.92504215948051083</v>
      </c>
      <c r="O243" s="12">
        <f>(INDEX(Proj[],MATCH(Std[[#This Row],[Player]],Proj[Player],0),22)-O$764)/O$765</f>
        <v>-0.73012024276241771</v>
      </c>
      <c r="P243" s="12">
        <f>((INDEX(Proj[],MATCH(Std[[#This Row],[Player]],Proj[Player],0),23)-P$764)/P$765)*IF('League Inputs'!$C$23 = "Yes",-1, 1)</f>
        <v>-0.39543397632313848</v>
      </c>
      <c r="Q243" s="12">
        <f>(INDEX(Proj[],MATCH(Std[[#This Row],[Player]],Proj[Player],0),24)-Q$764)/Q$765</f>
        <v>-0.19282002422661768</v>
      </c>
      <c r="R243" s="12">
        <f>(INDEX(Proj[],MATCH(Std[[#This Row],[Player]],Proj[Player],0),25)-R$764)/R$765</f>
        <v>-0.15428052837107886</v>
      </c>
      <c r="S243" s="12">
        <f>(INDEX(Proj[],MATCH(Std[[#This Row],[Player]],Proj[Player],0),26)-S$764)/S$765</f>
        <v>-0.27767263412594784</v>
      </c>
      <c r="T2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-167.19950648660742</v>
      </c>
      <c r="U243" s="11"/>
      <c r="W243" t="str">
        <v>Connor Zary</v>
      </c>
      <c r="AA243" t="str">
        <v>Connor Zary</v>
      </c>
      <c r="AB243" t="str">
        <v>Connor Zary</v>
      </c>
    </row>
    <row r="244" spans="1:28" x14ac:dyDescent="0.25">
      <c r="A244" t="s">
        <v>486</v>
      </c>
      <c r="B244">
        <f>INDEX(Proj[],MATCH(Std[[#This Row],[Player]],Proj[Player],0),2)</f>
        <v>32</v>
      </c>
      <c r="C244" t="s">
        <v>74</v>
      </c>
      <c r="D244" s="75" t="s">
        <v>103</v>
      </c>
      <c r="E244" s="56"/>
      <c r="F244" t="s">
        <v>11</v>
      </c>
      <c r="G244" s="12">
        <f>(INDEX(Proj[],MATCH(Std[[#This Row],[Player]],Proj[Player],0),14)-G$764)/G$765</f>
        <v>0.49948729995393826</v>
      </c>
      <c r="H244" s="12">
        <f>(INDEX(Proj[],MATCH(Std[[#This Row],[Player]],Proj[Player],0),15)-H$764)/H$765</f>
        <v>8.262383638301718E-2</v>
      </c>
      <c r="I244" s="12">
        <f>(INDEX(Proj[],MATCH(Std[[#This Row],[Player]],Proj[Player],0),16)-I$764)/I$765</f>
        <v>0.27575888390197212</v>
      </c>
      <c r="J244" s="12">
        <f>(INDEX(Proj[],MATCH(Std[[#This Row],[Player]],Proj[Player],0),17)-J$764)/J$765</f>
        <v>1.0051239131988361</v>
      </c>
      <c r="K244" s="12">
        <f>(INDEX(Proj[],MATCH(Std[[#This Row],[Player]],Proj[Player],0),18)-K$764)/K$765</f>
        <v>-0.29633482464760502</v>
      </c>
      <c r="L244" s="12">
        <f>(INDEX(Proj[],MATCH(Std[[#This Row],[Player]],Proj[Player],0),19)-L$764)/L$765</f>
        <v>0.16217178686539899</v>
      </c>
      <c r="M244" s="12">
        <f>(INDEX(Proj[],MATCH(Std[[#This Row],[Player]],Proj[Player],0),20)-M$764)/M$765</f>
        <v>-0.71308883245737775</v>
      </c>
      <c r="N244" s="12">
        <f>(INDEX(Proj[],MATCH(Std[[#This Row],[Player]],Proj[Player],0),21)-N$764)/N$765</f>
        <v>-0.59558669255858521</v>
      </c>
      <c r="O244" s="12">
        <f>(INDEX(Proj[],MATCH(Std[[#This Row],[Player]],Proj[Player],0),22)-O$764)/O$765</f>
        <v>-0.68368823608404627</v>
      </c>
      <c r="P244" s="12">
        <f>((INDEX(Proj[],MATCH(Std[[#This Row],[Player]],Proj[Player],0),23)-P$764)/P$765)*IF('League Inputs'!$C$23 = "Yes",-1, 1)</f>
        <v>-0.39543397632313848</v>
      </c>
      <c r="Q244" s="12">
        <f>(INDEX(Proj[],MATCH(Std[[#This Row],[Player]],Proj[Player],0),24)-Q$764)/Q$765</f>
        <v>-4.8898666756748359E-2</v>
      </c>
      <c r="R244" s="12">
        <f>(INDEX(Proj[],MATCH(Std[[#This Row],[Player]],Proj[Player],0),25)-R$764)/R$765</f>
        <v>-0.1429302921791018</v>
      </c>
      <c r="S244" s="12">
        <f>(INDEX(Proj[],MATCH(Std[[#This Row],[Player]],Proj[Player],0),26)-S$764)/S$765</f>
        <v>0.61435553638929119</v>
      </c>
      <c r="T2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-8.9210228228900679</v>
      </c>
      <c r="U244" s="11"/>
      <c r="W244" t="str">
        <v>Jaden Schwartz</v>
      </c>
      <c r="AA244" t="str">
        <v>Jaden Schwartz</v>
      </c>
      <c r="AB244" t="str">
        <v>Jaden Schwartz</v>
      </c>
    </row>
    <row r="245" spans="1:28" x14ac:dyDescent="0.25">
      <c r="A245" t="s">
        <v>575</v>
      </c>
      <c r="B245">
        <f>INDEX(Proj[],MATCH(Std[[#This Row],[Player]],Proj[Player],0),2)</f>
        <v>32</v>
      </c>
      <c r="C245" t="s">
        <v>103</v>
      </c>
      <c r="D245" s="75"/>
      <c r="E245" s="56"/>
      <c r="F245" t="s">
        <v>20</v>
      </c>
      <c r="G245" s="12">
        <f>(INDEX(Proj[],MATCH(Std[[#This Row],[Player]],Proj[Player],0),14)-G$764)/G$765</f>
        <v>0.92202277498500074</v>
      </c>
      <c r="H245" s="12">
        <f>(INDEX(Proj[],MATCH(Std[[#This Row],[Player]],Proj[Player],0),15)-H$764)/H$765</f>
        <v>-0.21549323157004366</v>
      </c>
      <c r="I245" s="12">
        <f>(INDEX(Proj[],MATCH(Std[[#This Row],[Player]],Proj[Player],0),16)-I$764)/I$765</f>
        <v>0.27575888390197212</v>
      </c>
      <c r="J245" s="12">
        <f>(INDEX(Proj[],MATCH(Std[[#This Row],[Player]],Proj[Player],0),17)-J$764)/J$765</f>
        <v>0.41639733874955659</v>
      </c>
      <c r="K245" s="12">
        <f>(INDEX(Proj[],MATCH(Std[[#This Row],[Player]],Proj[Player],0),18)-K$764)/K$765</f>
        <v>-0.45042076997056774</v>
      </c>
      <c r="L245" s="12">
        <f>(INDEX(Proj[],MATCH(Std[[#This Row],[Player]],Proj[Player],0),19)-L$764)/L$765</f>
        <v>-0.16404410767290362</v>
      </c>
      <c r="M245" s="12">
        <f>(INDEX(Proj[],MATCH(Std[[#This Row],[Player]],Proj[Player],0),20)-M$764)/M$765</f>
        <v>0.31240082183847029</v>
      </c>
      <c r="N245" s="12">
        <f>(INDEX(Proj[],MATCH(Std[[#This Row],[Player]],Proj[Player],0),21)-N$764)/N$765</f>
        <v>-1.3126368264474821</v>
      </c>
      <c r="O245" s="12">
        <f>(INDEX(Proj[],MATCH(Std[[#This Row],[Player]],Proj[Player],0),22)-O$764)/O$765</f>
        <v>-0.91584826947590336</v>
      </c>
      <c r="P245" s="12">
        <f>((INDEX(Proj[],MATCH(Std[[#This Row],[Player]],Proj[Player],0),23)-P$764)/P$765)*IF('League Inputs'!$C$23 = "Yes",-1, 1)</f>
        <v>-0.95391126790344005</v>
      </c>
      <c r="Q245" s="12">
        <f>(INDEX(Proj[],MATCH(Std[[#This Row],[Player]],Proj[Player],0),24)-Q$764)/Q$765</f>
        <v>-0.49665400110745295</v>
      </c>
      <c r="R245" s="12">
        <f>(INDEX(Proj[],MATCH(Std[[#This Row],[Player]],Proj[Player],0),25)-R$764)/R$765</f>
        <v>-0.51748808651434475</v>
      </c>
      <c r="S245" s="12">
        <f>(INDEX(Proj[],MATCH(Std[[#This Row],[Player]],Proj[Player],0),26)-S$764)/S$765</f>
        <v>0.25754426818319559</v>
      </c>
      <c r="T2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-260.32617771070574</v>
      </c>
      <c r="U245" s="11"/>
      <c r="W245" t="str">
        <v>Brandon Saad</v>
      </c>
      <c r="AA245" t="str">
        <v>Brandon Saad</v>
      </c>
      <c r="AB245" t="str">
        <v>Brandon Saad</v>
      </c>
    </row>
    <row r="246" spans="1:28" x14ac:dyDescent="0.25">
      <c r="A246" t="s">
        <v>1152</v>
      </c>
      <c r="B246">
        <f>INDEX(Proj[],MATCH(Std[[#This Row],[Player]],Proj[Player],0),2)</f>
        <v>20</v>
      </c>
      <c r="C246" t="s">
        <v>74</v>
      </c>
      <c r="D246" s="75" t="s">
        <v>102</v>
      </c>
      <c r="E246" s="57"/>
      <c r="F246" t="s">
        <v>32</v>
      </c>
      <c r="G246" s="12">
        <f>(INDEX(Proj[],MATCH(Std[[#This Row],[Player]],Proj[Player],0),14)-G$764)/G$765</f>
        <v>7.6951824922875695E-2</v>
      </c>
      <c r="H246" s="12">
        <f>(INDEX(Proj[],MATCH(Std[[#This Row],[Player]],Proj[Player],0),15)-H$764)/H$765</f>
        <v>0.38074090433607805</v>
      </c>
      <c r="I246" s="12">
        <f>(INDEX(Proj[],MATCH(Std[[#This Row],[Player]],Proj[Player],0),16)-I$764)/I$765</f>
        <v>0.27575888390197212</v>
      </c>
      <c r="J246" s="12">
        <f>(INDEX(Proj[],MATCH(Std[[#This Row],[Player]],Proj[Player],0),17)-J$764)/J$765</f>
        <v>-0.17232923569972286</v>
      </c>
      <c r="K246" s="12">
        <f>(INDEX(Proj[],MATCH(Std[[#This Row],[Player]],Proj[Player],0),18)-K$764)/K$765</f>
        <v>0.16592301132128306</v>
      </c>
      <c r="L246" s="12">
        <f>(INDEX(Proj[],MATCH(Std[[#This Row],[Player]],Proj[Player],0),19)-L$764)/L$765</f>
        <v>5.3433155352631455E-2</v>
      </c>
      <c r="M246" s="12">
        <f>(INDEX(Proj[],MATCH(Std[[#This Row],[Player]],Proj[Player],0),20)-M$764)/M$765</f>
        <v>-0.71308883245737775</v>
      </c>
      <c r="N246" s="12">
        <f>(INDEX(Proj[],MATCH(Std[[#This Row],[Player]],Proj[Player],0),21)-N$764)/N$765</f>
        <v>-0.71186509264867659</v>
      </c>
      <c r="O246" s="12">
        <f>(INDEX(Proj[],MATCH(Std[[#This Row],[Player]],Proj[Player],0),22)-O$764)/O$765</f>
        <v>-0.66047223274486055</v>
      </c>
      <c r="P246" s="12">
        <f>((INDEX(Proj[],MATCH(Std[[#This Row],[Player]],Proj[Player],0),23)-P$764)/P$765)*IF('League Inputs'!$C$23 = "Yes",-1, 1)</f>
        <v>-0.5815930735165723</v>
      </c>
      <c r="Q246" s="12">
        <f>(INDEX(Proj[],MATCH(Std[[#This Row],[Player]],Proj[Player],0),24)-Q$764)/Q$765</f>
        <v>0.74533400965104912</v>
      </c>
      <c r="R246" s="12">
        <f>(INDEX(Proj[],MATCH(Std[[#This Row],[Player]],Proj[Player],0),25)-R$764)/R$765</f>
        <v>1.0999205708423863</v>
      </c>
      <c r="S246" s="12">
        <f>(INDEX(Proj[],MATCH(Std[[#This Row],[Player]],Proj[Player],0),26)-S$764)/S$765</f>
        <v>-0.19657916407910792</v>
      </c>
      <c r="T2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-61.829078482461085</v>
      </c>
      <c r="U246" s="11"/>
      <c r="W246" t="str">
        <v>Matthew Poitras</v>
      </c>
      <c r="AA246" t="str">
        <v>Matthew Poitras</v>
      </c>
      <c r="AB246" t="str">
        <v>Matthew Poitras</v>
      </c>
    </row>
    <row r="247" spans="1:28" x14ac:dyDescent="0.25">
      <c r="A247" t="s">
        <v>265</v>
      </c>
      <c r="B247">
        <f>INDEX(Proj[],MATCH(Std[[#This Row],[Player]],Proj[Player],0),2)</f>
        <v>30</v>
      </c>
      <c r="C247" t="s">
        <v>102</v>
      </c>
      <c r="D247" s="75" t="s">
        <v>103</v>
      </c>
      <c r="E247" s="57"/>
      <c r="F247" t="s">
        <v>29</v>
      </c>
      <c r="G247" s="12">
        <f>(INDEX(Proj[],MATCH(Std[[#This Row],[Player]],Proj[Player],0),14)-G$764)/G$765</f>
        <v>-0.34558365010818687</v>
      </c>
      <c r="H247" s="12">
        <f>(INDEX(Proj[],MATCH(Std[[#This Row],[Player]],Proj[Player],0),15)-H$764)/H$765</f>
        <v>0.60432870530087368</v>
      </c>
      <c r="I247" s="12">
        <f>(INDEX(Proj[],MATCH(Std[[#This Row],[Player]],Proj[Player],0),16)-I$764)/I$765</f>
        <v>0.22851632493986887</v>
      </c>
      <c r="J247" s="12">
        <f>(INDEX(Proj[],MATCH(Std[[#This Row],[Player]],Proj[Player],0),17)-J$764)/J$765</f>
        <v>0.12203405152491688</v>
      </c>
      <c r="K247" s="12">
        <f>(INDEX(Proj[],MATCH(Std[[#This Row],[Player]],Proj[Player],0),18)-K$764)/K$765</f>
        <v>0.62818084729017121</v>
      </c>
      <c r="L247" s="12">
        <f>(INDEX(Proj[],MATCH(Std[[#This Row],[Player]],Proj[Player],0),19)-L$764)/L$765</f>
        <v>0.48838768140370159</v>
      </c>
      <c r="M247" s="12">
        <f>(INDEX(Proj[],MATCH(Std[[#This Row],[Player]],Proj[Player],0),20)-M$764)/M$765</f>
        <v>0.31240082183847029</v>
      </c>
      <c r="N247" s="12">
        <f>(INDEX(Proj[],MATCH(Std[[#This Row],[Player]],Proj[Player],0),21)-N$764)/N$765</f>
        <v>-1.4194692108128246E-2</v>
      </c>
      <c r="O247" s="12">
        <f>(INDEX(Proj[],MATCH(Std[[#This Row],[Player]],Proj[Player],0),22)-O$764)/O$765</f>
        <v>1.9629361445831246</v>
      </c>
      <c r="P247" s="12">
        <f>((INDEX(Proj[],MATCH(Std[[#This Row],[Player]],Proj[Player],0),23)-P$764)/P$765)*IF('League Inputs'!$C$23 = "Yes",-1, 1)</f>
        <v>-0.16273510483134615</v>
      </c>
      <c r="Q247" s="12">
        <f>(INDEX(Proj[],MATCH(Std[[#This Row],[Player]],Proj[Player],0),24)-Q$764)/Q$765</f>
        <v>-0.5766103108129359</v>
      </c>
      <c r="R247" s="12">
        <f>(INDEX(Proj[],MATCH(Std[[#This Row],[Player]],Proj[Player],0),25)-R$764)/R$765</f>
        <v>-0.62531533033812681</v>
      </c>
      <c r="S247" s="12">
        <f>(INDEX(Proj[],MATCH(Std[[#This Row],[Player]],Proj[Player],0),26)-S$764)/S$765</f>
        <v>0.92251072256728295</v>
      </c>
      <c r="T2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310.75558209342546</v>
      </c>
      <c r="U247" s="11"/>
      <c r="W247" t="str">
        <v>Seth Jones</v>
      </c>
      <c r="AA247" t="str">
        <v>Seth Jones</v>
      </c>
      <c r="AB247" t="str">
        <v>Seth Jones</v>
      </c>
    </row>
    <row r="248" spans="1:28" x14ac:dyDescent="0.25">
      <c r="A248" t="s">
        <v>434</v>
      </c>
      <c r="B248">
        <f>INDEX(Proj[],MATCH(Std[[#This Row],[Player]],Proj[Player],0),2)</f>
        <v>30</v>
      </c>
      <c r="C248" t="s">
        <v>103</v>
      </c>
      <c r="D248" s="75"/>
      <c r="E248" s="57"/>
      <c r="F248" t="s">
        <v>17</v>
      </c>
      <c r="G248" s="12">
        <f>(INDEX(Proj[],MATCH(Std[[#This Row],[Player]],Proj[Player],0),14)-G$764)/G$765</f>
        <v>7.6951824922875695E-2</v>
      </c>
      <c r="H248" s="12">
        <f>(INDEX(Proj[],MATCH(Std[[#This Row],[Player]],Proj[Player],0),15)-H$764)/H$765</f>
        <v>0.30621163734781282</v>
      </c>
      <c r="I248" s="12">
        <f>(INDEX(Proj[],MATCH(Std[[#This Row],[Player]],Proj[Player],0),16)-I$764)/I$765</f>
        <v>0.22851632493986887</v>
      </c>
      <c r="J248" s="12">
        <f>(INDEX(Proj[],MATCH(Std[[#This Row],[Player]],Proj[Player],0),17)-J$764)/J$765</f>
        <v>-0.17232923569972286</v>
      </c>
      <c r="K248" s="12">
        <f>(INDEX(Proj[],MATCH(Std[[#This Row],[Player]],Proj[Player],0),18)-K$764)/K$765</f>
        <v>-0.14224887932464234</v>
      </c>
      <c r="L248" s="12">
        <f>(INDEX(Proj[],MATCH(Std[[#This Row],[Player]],Proj[Player],0),19)-L$764)/L$765</f>
        <v>-0.16404410767290362</v>
      </c>
      <c r="M248" s="12">
        <f>(INDEX(Proj[],MATCH(Std[[#This Row],[Player]],Proj[Player],0),20)-M$764)/M$765</f>
        <v>5.4398490933177106</v>
      </c>
      <c r="N248" s="12">
        <f>(INDEX(Proj[],MATCH(Std[[#This Row],[Player]],Proj[Player],0),21)-N$764)/N$765</f>
        <v>1.1292095754444371</v>
      </c>
      <c r="O248" s="12">
        <f>(INDEX(Proj[],MATCH(Std[[#This Row],[Player]],Proj[Player],0),22)-O$764)/O$765</f>
        <v>-0.12650415594358927</v>
      </c>
      <c r="P248" s="12">
        <f>((INDEX(Proj[],MATCH(Std[[#This Row],[Player]],Proj[Player],0),23)-P$764)/P$765)*IF('League Inputs'!$C$23 = "Yes",-1, 1)</f>
        <v>0.76806038113582309</v>
      </c>
      <c r="Q248" s="12">
        <f>(INDEX(Proj[],MATCH(Std[[#This Row],[Player]],Proj[Player],0),24)-Q$764)/Q$765</f>
        <v>1.9180265519981325</v>
      </c>
      <c r="R248" s="12">
        <f>(INDEX(Proj[],MATCH(Std[[#This Row],[Player]],Proj[Player],0),25)-R$764)/R$765</f>
        <v>2.1781930090802066</v>
      </c>
      <c r="S248" s="12">
        <f>(INDEX(Proj[],MATCH(Std[[#This Row],[Player]],Proj[Player],0),26)-S$764)/S$765</f>
        <v>0.48460598431434737</v>
      </c>
      <c r="T2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462.10340164868046</v>
      </c>
      <c r="U248" s="11"/>
      <c r="W248" t="str">
        <v>Scott Laughton</v>
      </c>
      <c r="AA248" t="str">
        <v>Scott Laughton</v>
      </c>
      <c r="AB248" t="str">
        <v>Scott Laughton</v>
      </c>
    </row>
    <row r="249" spans="1:28" x14ac:dyDescent="0.25">
      <c r="A249" t="s">
        <v>1096</v>
      </c>
      <c r="B249">
        <f>INDEX(Proj[],MATCH(Std[[#This Row],[Player]],Proj[Player],0),2)</f>
        <v>28</v>
      </c>
      <c r="C249" t="s">
        <v>102</v>
      </c>
      <c r="D249" s="75" t="s">
        <v>103</v>
      </c>
      <c r="E249" s="57"/>
      <c r="F249" t="s">
        <v>155</v>
      </c>
      <c r="G249" s="12">
        <f>(INDEX(Proj[],MATCH(Std[[#This Row],[Player]],Proj[Player],0),14)-G$764)/G$765</f>
        <v>1.0276566437427663</v>
      </c>
      <c r="H249" s="12">
        <f>(INDEX(Proj[],MATCH(Std[[#This Row],[Player]],Proj[Player],0),15)-H$764)/H$765</f>
        <v>-0.36455176554657409</v>
      </c>
      <c r="I249" s="12">
        <f>(INDEX(Proj[],MATCH(Std[[#This Row],[Player]],Proj[Player],0),16)-I$764)/I$765</f>
        <v>0.22851632493986887</v>
      </c>
      <c r="J249" s="12">
        <f>(INDEX(Proj[],MATCH(Std[[#This Row],[Player]],Proj[Player],0),17)-J$764)/J$765</f>
        <v>-0.46669252292436259</v>
      </c>
      <c r="K249" s="12">
        <f>(INDEX(Proj[],MATCH(Std[[#This Row],[Player]],Proj[Player],0),18)-K$764)/K$765</f>
        <v>-0.45042076997056774</v>
      </c>
      <c r="L249" s="12">
        <f>(INDEX(Proj[],MATCH(Std[[#This Row],[Player]],Proj[Player],0),19)-L$764)/L$765</f>
        <v>-0.49026000221120619</v>
      </c>
      <c r="M249" s="12">
        <f>(INDEX(Proj[],MATCH(Std[[#This Row],[Player]],Proj[Player],0),20)-M$764)/M$765</f>
        <v>-0.71308883245737775</v>
      </c>
      <c r="N249" s="12">
        <f>(INDEX(Proj[],MATCH(Std[[#This Row],[Player]],Proj[Player],0),21)-N$764)/N$765</f>
        <v>1.6912218425465455</v>
      </c>
      <c r="O249" s="12">
        <f>(INDEX(Proj[],MATCH(Std[[#This Row],[Player]],Proj[Player],0),22)-O$764)/O$765</f>
        <v>-0.68368823608404627</v>
      </c>
      <c r="P249" s="12">
        <f>((INDEX(Proj[],MATCH(Std[[#This Row],[Player]],Proj[Player],0),23)-P$764)/P$765)*IF('League Inputs'!$C$23 = "Yes",-1, 1)</f>
        <v>1.745395641401351</v>
      </c>
      <c r="Q249" s="12">
        <f>(INDEX(Proj[],MATCH(Std[[#This Row],[Player]],Proj[Player],0),24)-Q$764)/Q$765</f>
        <v>-0.35806306428461582</v>
      </c>
      <c r="R249" s="12">
        <f>(INDEX(Proj[],MATCH(Std[[#This Row],[Player]],Proj[Player],0),25)-R$764)/R$765</f>
        <v>-0.41533596078655122</v>
      </c>
      <c r="S249" s="12">
        <f>(INDEX(Proj[],MATCH(Std[[#This Row],[Player]],Proj[Player],0),26)-S$764)/S$765</f>
        <v>1.1171350506796986</v>
      </c>
      <c r="T2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391.33624351837881</v>
      </c>
      <c r="U249" s="11"/>
      <c r="W249" t="str">
        <v>Bobby McMann</v>
      </c>
      <c r="AA249" t="str">
        <v>Bobby McMann</v>
      </c>
      <c r="AB249" t="str">
        <v>Bobby McMann</v>
      </c>
    </row>
    <row r="250" spans="1:28" x14ac:dyDescent="0.25">
      <c r="A250" t="s">
        <v>433</v>
      </c>
      <c r="B250">
        <f>INDEX(Proj[],MATCH(Std[[#This Row],[Player]],Proj[Player],0),2)</f>
        <v>34</v>
      </c>
      <c r="C250" t="s">
        <v>74</v>
      </c>
      <c r="D250" s="75" t="s">
        <v>102</v>
      </c>
      <c r="E250" s="57"/>
      <c r="F250" t="s">
        <v>11</v>
      </c>
      <c r="G250" s="12">
        <f>(INDEX(Proj[],MATCH(Std[[#This Row],[Player]],Proj[Player],0),14)-G$764)/G$765</f>
        <v>-0.34558365010818687</v>
      </c>
      <c r="H250" s="12">
        <f>(INDEX(Proj[],MATCH(Std[[#This Row],[Player]],Proj[Player],0),15)-H$764)/H$765</f>
        <v>0.60432870530087368</v>
      </c>
      <c r="I250" s="12">
        <f>(INDEX(Proj[],MATCH(Std[[#This Row],[Player]],Proj[Player],0),16)-I$764)/I$765</f>
        <v>0.22851632493986887</v>
      </c>
      <c r="J250" s="12">
        <f>(INDEX(Proj[],MATCH(Std[[#This Row],[Player]],Proj[Player],0),17)-J$764)/J$765</f>
        <v>-0.46669252292436259</v>
      </c>
      <c r="K250" s="12">
        <f>(INDEX(Proj[],MATCH(Std[[#This Row],[Player]],Proj[Player],0),18)-K$764)/K$765</f>
        <v>-0.29633482464760502</v>
      </c>
      <c r="L250" s="12">
        <f>(INDEX(Proj[],MATCH(Std[[#This Row],[Player]],Proj[Player],0),19)-L$764)/L$765</f>
        <v>-0.38152137069843867</v>
      </c>
      <c r="M250" s="12">
        <f>(INDEX(Proj[],MATCH(Std[[#This Row],[Player]],Proj[Player],0),20)-M$764)/M$765</f>
        <v>0.31240082183847029</v>
      </c>
      <c r="N250" s="12">
        <f>(INDEX(Proj[],MATCH(Std[[#This Row],[Player]],Proj[Player],0),21)-N$764)/N$765</f>
        <v>0.50905810829728304</v>
      </c>
      <c r="O250" s="12">
        <f>(INDEX(Proj[],MATCH(Std[[#This Row],[Player]],Proj[Player],0),22)-O$764)/O$765</f>
        <v>0.87178398764139631</v>
      </c>
      <c r="P250" s="12">
        <f>((INDEX(Proj[],MATCH(Std[[#This Row],[Player]],Proj[Player],0),23)-P$764)/P$765)*IF('League Inputs'!$C$23 = "Yes",-1, 1)</f>
        <v>0.16304331525716309</v>
      </c>
      <c r="Q250" s="12">
        <f>(INDEX(Proj[],MATCH(Std[[#This Row],[Player]],Proj[Player],0),24)-Q$764)/Q$765</f>
        <v>-0.5766103108129359</v>
      </c>
      <c r="R250" s="12">
        <f>(INDEX(Proj[],MATCH(Std[[#This Row],[Player]],Proj[Player],0),25)-R$764)/R$765</f>
        <v>-0.62531533033812681</v>
      </c>
      <c r="S250" s="12">
        <f>(INDEX(Proj[],MATCH(Std[[#This Row],[Player]],Proj[Player],0),26)-S$764)/S$765</f>
        <v>0.43594990228624342</v>
      </c>
      <c r="T2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150.8965012103267</v>
      </c>
      <c r="U250" s="11"/>
      <c r="W250" t="str">
        <v>Mattias Ekholm</v>
      </c>
      <c r="AA250" t="str">
        <v>Mattias Ekholm</v>
      </c>
      <c r="AB250" t="str">
        <v>Mattias Ekholm</v>
      </c>
    </row>
    <row r="251" spans="1:28" x14ac:dyDescent="0.25">
      <c r="A251" t="s">
        <v>581</v>
      </c>
      <c r="B251">
        <f>INDEX(Proj[],MATCH(Std[[#This Row],[Player]],Proj[Player],0),2)</f>
        <v>33</v>
      </c>
      <c r="C251" t="s">
        <v>74</v>
      </c>
      <c r="D251" s="75" t="s">
        <v>102</v>
      </c>
      <c r="E251" s="57"/>
      <c r="F251" t="s">
        <v>153</v>
      </c>
      <c r="G251" s="12">
        <f>(INDEX(Proj[],MATCH(Std[[#This Row],[Player]],Proj[Player],0),14)-G$764)/G$765</f>
        <v>0.39385343119617261</v>
      </c>
      <c r="H251" s="12">
        <f>(INDEX(Proj[],MATCH(Std[[#This Row],[Player]],Proj[Player],0),15)-H$764)/H$765</f>
        <v>8.262383638301718E-2</v>
      </c>
      <c r="I251" s="12">
        <f>(INDEX(Proj[],MATCH(Std[[#This Row],[Player]],Proj[Player],0),16)-I$764)/I$765</f>
        <v>0.22851632493986887</v>
      </c>
      <c r="J251" s="12">
        <f>(INDEX(Proj[],MATCH(Std[[#This Row],[Player]],Proj[Player],0),17)-J$764)/J$765</f>
        <v>-0.17232923569972286</v>
      </c>
      <c r="K251" s="12">
        <f>(INDEX(Proj[],MATCH(Std[[#This Row],[Player]],Proj[Player],0),18)-K$764)/K$765</f>
        <v>-0.29633482464760502</v>
      </c>
      <c r="L251" s="12">
        <f>(INDEX(Proj[],MATCH(Std[[#This Row],[Player]],Proj[Player],0),19)-L$764)/L$765</f>
        <v>-0.27278273918567114</v>
      </c>
      <c r="M251" s="12">
        <f>(INDEX(Proj[],MATCH(Std[[#This Row],[Player]],Proj[Player],0),20)-M$764)/M$765</f>
        <v>1.3378904761343182</v>
      </c>
      <c r="N251" s="12">
        <f>(INDEX(Proj[],MATCH(Std[[#This Row],[Player]],Proj[Player],0),21)-N$764)/N$765</f>
        <v>4.3944507936917447E-2</v>
      </c>
      <c r="O251" s="12">
        <f>(INDEX(Proj[],MATCH(Std[[#This Row],[Player]],Proj[Player],0),22)-O$764)/O$765</f>
        <v>-0.33544818599626064</v>
      </c>
      <c r="P251" s="12">
        <f>((INDEX(Proj[],MATCH(Std[[#This Row],[Player]],Proj[Player],0),23)-P$764)/P$765)*IF('League Inputs'!$C$23 = "Yes",-1, 1)</f>
        <v>0.48882173534567236</v>
      </c>
      <c r="Q251" s="12">
        <f>(INDEX(Proj[],MATCH(Std[[#This Row],[Player]],Proj[Player],0),24)-Q$764)/Q$765</f>
        <v>1.9126961313511002</v>
      </c>
      <c r="R251" s="12">
        <f>(INDEX(Proj[],MATCH(Std[[#This Row],[Player]],Proj[Player],0),25)-R$764)/R$765</f>
        <v>1.5823056090014112</v>
      </c>
      <c r="S251" s="12">
        <f>(INDEX(Proj[],MATCH(Std[[#This Row],[Player]],Proj[Player],0),26)-S$764)/S$765</f>
        <v>0.40351251426750745</v>
      </c>
      <c r="T2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294.57375562383248</v>
      </c>
      <c r="U251" s="11"/>
      <c r="W251" t="str">
        <v>Erik Haula</v>
      </c>
      <c r="AA251" t="str">
        <v>Erik Haula</v>
      </c>
      <c r="AB251" t="str">
        <v>Erik Haula</v>
      </c>
    </row>
    <row r="252" spans="1:28" x14ac:dyDescent="0.25">
      <c r="A252" t="s">
        <v>505</v>
      </c>
      <c r="B252">
        <f>INDEX(Proj[],MATCH(Std[[#This Row],[Player]],Proj[Player],0),2)</f>
        <v>27</v>
      </c>
      <c r="C252" t="s">
        <v>74</v>
      </c>
      <c r="D252" s="75" t="s">
        <v>102</v>
      </c>
      <c r="E252" s="57" t="s">
        <v>103</v>
      </c>
      <c r="F252" t="s">
        <v>30</v>
      </c>
      <c r="G252" s="12">
        <f>(INDEX(Proj[],MATCH(Std[[#This Row],[Player]],Proj[Player],0),14)-G$764)/G$765</f>
        <v>0.39385343119617261</v>
      </c>
      <c r="H252" s="12">
        <f>(INDEX(Proj[],MATCH(Std[[#This Row],[Player]],Proj[Player],0),15)-H$764)/H$765</f>
        <v>8.262383638301718E-2</v>
      </c>
      <c r="I252" s="12">
        <f>(INDEX(Proj[],MATCH(Std[[#This Row],[Player]],Proj[Player],0),16)-I$764)/I$765</f>
        <v>0.22851632493986887</v>
      </c>
      <c r="J252" s="12">
        <f>(INDEX(Proj[],MATCH(Std[[#This Row],[Player]],Proj[Player],0),17)-J$764)/J$765</f>
        <v>0.12203405152491688</v>
      </c>
      <c r="K252" s="12">
        <f>(INDEX(Proj[],MATCH(Std[[#This Row],[Player]],Proj[Player],0),18)-K$764)/K$765</f>
        <v>-0.29633482464760502</v>
      </c>
      <c r="L252" s="12">
        <f>(INDEX(Proj[],MATCH(Std[[#This Row],[Player]],Proj[Player],0),19)-L$764)/L$765</f>
        <v>-0.16404410767290362</v>
      </c>
      <c r="M252" s="12">
        <f>(INDEX(Proj[],MATCH(Std[[#This Row],[Player]],Proj[Player],0),20)-M$764)/M$765</f>
        <v>0.31240082183847029</v>
      </c>
      <c r="N252" s="12">
        <f>(INDEX(Proj[],MATCH(Std[[#This Row],[Player]],Proj[Player],0),21)-N$764)/N$765</f>
        <v>-0.13047309219821965</v>
      </c>
      <c r="O252" s="12">
        <f>(INDEX(Proj[],MATCH(Std[[#This Row],[Player]],Proj[Player],0),22)-O$764)/O$765</f>
        <v>-0.45152820269218918</v>
      </c>
      <c r="P252" s="12">
        <f>((INDEX(Proj[],MATCH(Std[[#This Row],[Player]],Proj[Player],0),23)-P$764)/P$765)*IF('League Inputs'!$C$23 = "Yes",-1, 1)</f>
        <v>6.9963766660446167E-2</v>
      </c>
      <c r="Q252" s="12">
        <f>(INDEX(Proj[],MATCH(Std[[#This Row],[Player]],Proj[Player],0),24)-Q$764)/Q$765</f>
        <v>1.6035317338232329</v>
      </c>
      <c r="R252" s="12">
        <f>(INDEX(Proj[],MATCH(Std[[#This Row],[Player]],Proj[Player],0),25)-R$764)/R$765</f>
        <v>1.9909141119125853</v>
      </c>
      <c r="S252" s="12">
        <f>(INDEX(Proj[],MATCH(Std[[#This Row],[Player]],Proj[Player],0),26)-S$764)/S$765</f>
        <v>9.5357328089515775E-2</v>
      </c>
      <c r="T2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172.78010185289412</v>
      </c>
      <c r="U252" s="11"/>
      <c r="W252" t="str">
        <v>Nicolas Roy</v>
      </c>
      <c r="AA252" t="str">
        <v>Nicolas Roy</v>
      </c>
      <c r="AB252" t="str">
        <v>Nicolas Roy</v>
      </c>
    </row>
    <row r="253" spans="1:28" x14ac:dyDescent="0.25">
      <c r="A253" t="s">
        <v>406</v>
      </c>
      <c r="B253">
        <f>INDEX(Proj[],MATCH(Std[[#This Row],[Player]],Proj[Player],0),2)</f>
        <v>31</v>
      </c>
      <c r="C253" t="s">
        <v>103</v>
      </c>
      <c r="D253" s="75"/>
      <c r="E253" s="57"/>
      <c r="F253" t="s">
        <v>23</v>
      </c>
      <c r="G253" s="12">
        <f>(INDEX(Proj[],MATCH(Std[[#This Row],[Player]],Proj[Player],0),14)-G$764)/G$765</f>
        <v>7.6951824922875695E-2</v>
      </c>
      <c r="H253" s="12">
        <f>(INDEX(Proj[],MATCH(Std[[#This Row],[Player]],Proj[Player],0),15)-H$764)/H$765</f>
        <v>0.30621163734781282</v>
      </c>
      <c r="I253" s="12">
        <f>(INDEX(Proj[],MATCH(Std[[#This Row],[Player]],Proj[Player],0),16)-I$764)/I$765</f>
        <v>0.22851632493986887</v>
      </c>
      <c r="J253" s="12">
        <f>(INDEX(Proj[],MATCH(Std[[#This Row],[Player]],Proj[Player],0),17)-J$764)/J$765</f>
        <v>-0.17232923569972286</v>
      </c>
      <c r="K253" s="12">
        <f>(INDEX(Proj[],MATCH(Std[[#This Row],[Player]],Proj[Player],0),18)-K$764)/K$765</f>
        <v>0.32000895664424578</v>
      </c>
      <c r="L253" s="12">
        <f>(INDEX(Proj[],MATCH(Std[[#This Row],[Player]],Proj[Player],0),19)-L$764)/L$765</f>
        <v>0.16217178686539899</v>
      </c>
      <c r="M253" s="12">
        <f>(INDEX(Proj[],MATCH(Std[[#This Row],[Player]],Proj[Player],0),20)-M$764)/M$765</f>
        <v>-0.71308883245737775</v>
      </c>
      <c r="N253" s="12">
        <f>(INDEX(Proj[],MATCH(Std[[#This Row],[Player]],Proj[Player],0),21)-N$764)/N$765</f>
        <v>-0.67310562595197942</v>
      </c>
      <c r="O253" s="12">
        <f>(INDEX(Proj[],MATCH(Std[[#This Row],[Player]],Proj[Player],0),22)-O$764)/O$765</f>
        <v>-0.93906427281508909</v>
      </c>
      <c r="P253" s="12">
        <f>((INDEX(Proj[],MATCH(Std[[#This Row],[Player]],Proj[Player],0),23)-P$764)/P$765)*IF('League Inputs'!$C$23 = "Yes",-1, 1)</f>
        <v>1.745395641401351</v>
      </c>
      <c r="Q253" s="12">
        <f>(INDEX(Proj[],MATCH(Std[[#This Row],[Player]],Proj[Player],0),24)-Q$764)/Q$765</f>
        <v>0.77731653353324226</v>
      </c>
      <c r="R253" s="12">
        <f>(INDEX(Proj[],MATCH(Std[[#This Row],[Player]],Proj[Player],0),25)-R$764)/R$765</f>
        <v>1.1055956889383747</v>
      </c>
      <c r="S253" s="12">
        <f>(INDEX(Proj[],MATCH(Std[[#This Row],[Player]],Proj[Player],0),26)-S$764)/S$765</f>
        <v>9.5357328089515775E-2</v>
      </c>
      <c r="T2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177.97511783329969</v>
      </c>
      <c r="U253" s="11"/>
      <c r="W253" t="str">
        <v>Ryan Strome</v>
      </c>
      <c r="AA253" t="str">
        <v>Ryan Strome</v>
      </c>
      <c r="AB253" t="str">
        <v>Ryan Strome</v>
      </c>
    </row>
    <row r="254" spans="1:28" x14ac:dyDescent="0.25">
      <c r="A254" t="s">
        <v>502</v>
      </c>
      <c r="B254">
        <f>INDEX(Proj[],MATCH(Std[[#This Row],[Player]],Proj[Player],0),2)</f>
        <v>32</v>
      </c>
      <c r="C254" t="s">
        <v>102</v>
      </c>
      <c r="D254" s="75" t="s">
        <v>103</v>
      </c>
      <c r="E254" s="57"/>
      <c r="F254" t="s">
        <v>5</v>
      </c>
      <c r="G254" s="12">
        <f>(INDEX(Proj[],MATCH(Std[[#This Row],[Player]],Proj[Player],0),14)-G$764)/G$765</f>
        <v>0.92202277498500074</v>
      </c>
      <c r="H254" s="12">
        <f>(INDEX(Proj[],MATCH(Std[[#This Row],[Player]],Proj[Player],0),15)-H$764)/H$765</f>
        <v>-0.29002249855830886</v>
      </c>
      <c r="I254" s="12">
        <f>(INDEX(Proj[],MATCH(Std[[#This Row],[Player]],Proj[Player],0),16)-I$764)/I$765</f>
        <v>0.22851632493986887</v>
      </c>
      <c r="J254" s="12">
        <f>(INDEX(Proj[],MATCH(Std[[#This Row],[Player]],Proj[Player],0),17)-J$764)/J$765</f>
        <v>0.12203405152491688</v>
      </c>
      <c r="K254" s="12">
        <f>(INDEX(Proj[],MATCH(Std[[#This Row],[Player]],Proj[Player],0),18)-K$764)/K$765</f>
        <v>-0.60450671529353051</v>
      </c>
      <c r="L254" s="12">
        <f>(INDEX(Proj[],MATCH(Std[[#This Row],[Player]],Proj[Player],0),19)-L$764)/L$765</f>
        <v>-0.38152137069843867</v>
      </c>
      <c r="M254" s="12">
        <f>(INDEX(Proj[],MATCH(Std[[#This Row],[Player]],Proj[Player],0),20)-M$764)/M$765</f>
        <v>-0.71308883245737775</v>
      </c>
      <c r="N254" s="12">
        <f>(INDEX(Proj[],MATCH(Std[[#This Row],[Player]],Proj[Player],0),21)-N$764)/N$765</f>
        <v>0.66409597508407159</v>
      </c>
      <c r="O254" s="12">
        <f>(INDEX(Proj[],MATCH(Std[[#This Row],[Player]],Proj[Player],0),22)-O$764)/O$765</f>
        <v>-0.63725622940567483</v>
      </c>
      <c r="P254" s="12">
        <f>((INDEX(Proj[],MATCH(Std[[#This Row],[Player]],Proj[Player],0),23)-P$764)/P$765)*IF('League Inputs'!$C$23 = "Yes",-1, 1)</f>
        <v>-0.20927487912970463</v>
      </c>
      <c r="Q254" s="12">
        <f>(INDEX(Proj[],MATCH(Std[[#This Row],[Player]],Proj[Player],0),24)-Q$764)/Q$765</f>
        <v>-0.43268895334306656</v>
      </c>
      <c r="R254" s="12">
        <f>(INDEX(Proj[],MATCH(Std[[#This Row],[Player]],Proj[Player],0),25)-R$764)/R$765</f>
        <v>-0.45506178745847092</v>
      </c>
      <c r="S254" s="12">
        <f>(INDEX(Proj[],MATCH(Std[[#This Row],[Player]],Proj[Player],0),26)-S$764)/S$765</f>
        <v>0.72788639445486714</v>
      </c>
      <c r="T2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59.175753832861488</v>
      </c>
      <c r="U254" s="11"/>
      <c r="W254" t="str">
        <v>Nino Niederreiter</v>
      </c>
      <c r="AA254" t="str">
        <v>Nino Niederreiter</v>
      </c>
      <c r="AB254" t="str">
        <v>Nino Niederreiter</v>
      </c>
    </row>
    <row r="255" spans="1:28" x14ac:dyDescent="0.25">
      <c r="A255" t="s">
        <v>774</v>
      </c>
      <c r="B255">
        <f>INDEX(Proj[],MATCH(Std[[#This Row],[Player]],Proj[Player],0),2)</f>
        <v>25</v>
      </c>
      <c r="C255" t="s">
        <v>102</v>
      </c>
      <c r="D255" s="75" t="s">
        <v>103</v>
      </c>
      <c r="E255" s="57"/>
      <c r="F255" t="s">
        <v>10</v>
      </c>
      <c r="G255" s="12">
        <f>(INDEX(Proj[],MATCH(Std[[#This Row],[Player]],Proj[Player],0),14)-G$764)/G$765</f>
        <v>0.18258569368064134</v>
      </c>
      <c r="H255" s="12">
        <f>(INDEX(Proj[],MATCH(Std[[#This Row],[Player]],Proj[Player],0),15)-H$764)/H$765</f>
        <v>0.23168237035954761</v>
      </c>
      <c r="I255" s="12">
        <f>(INDEX(Proj[],MATCH(Std[[#This Row],[Player]],Proj[Player],0),16)-I$764)/I$765</f>
        <v>0.22851632493986887</v>
      </c>
      <c r="J255" s="12">
        <f>(INDEX(Proj[],MATCH(Std[[#This Row],[Player]],Proj[Player],0),17)-J$764)/J$765</f>
        <v>0.12203405152491688</v>
      </c>
      <c r="K255" s="12">
        <f>(INDEX(Proj[],MATCH(Std[[#This Row],[Player]],Proj[Player],0),18)-K$764)/K$765</f>
        <v>1.1837065998320361E-2</v>
      </c>
      <c r="L255" s="12">
        <f>(INDEX(Proj[],MATCH(Std[[#This Row],[Player]],Proj[Player],0),19)-L$764)/L$765</f>
        <v>5.3433155352631455E-2</v>
      </c>
      <c r="M255" s="12">
        <f>(INDEX(Proj[],MATCH(Std[[#This Row],[Player]],Proj[Player],0),20)-M$764)/M$765</f>
        <v>-0.71308883245737775</v>
      </c>
      <c r="N255" s="12">
        <f>(INDEX(Proj[],MATCH(Std[[#This Row],[Player]],Proj[Player],0),21)-N$764)/N$765</f>
        <v>-0.40178935907509955</v>
      </c>
      <c r="O255" s="12">
        <f>(INDEX(Proj[],MATCH(Std[[#This Row],[Player]],Proj[Player],0),22)-O$764)/O$765</f>
        <v>-0.1961521659611464</v>
      </c>
      <c r="P255" s="12">
        <f>((INDEX(Proj[],MATCH(Std[[#This Row],[Player]],Proj[Player],0),23)-P$764)/P$765)*IF('League Inputs'!$C$23 = "Yes",-1, 1)</f>
        <v>-0.53505329921821387</v>
      </c>
      <c r="Q255" s="12">
        <f>(INDEX(Proj[],MATCH(Std[[#This Row],[Player]],Proj[Player],0),24)-Q$764)/Q$765</f>
        <v>1.6781576228816837</v>
      </c>
      <c r="R255" s="12">
        <f>(INDEX(Proj[],MATCH(Std[[#This Row],[Player]],Proj[Player],0),25)-R$764)/R$765</f>
        <v>1.8887619861847917</v>
      </c>
      <c r="S255" s="12">
        <f>(INDEX(Proj[],MATCH(Std[[#This Row],[Player]],Proj[Player],0),26)-S$764)/S$765</f>
        <v>0.3548564322394035</v>
      </c>
      <c r="T2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159.6236775199317</v>
      </c>
      <c r="U255" s="11"/>
      <c r="W255" t="str">
        <v>Morgan Frost</v>
      </c>
      <c r="AA255" t="str">
        <v>Morgan Frost</v>
      </c>
      <c r="AB255" t="str">
        <v>Morgan Frost</v>
      </c>
    </row>
    <row r="256" spans="1:28" x14ac:dyDescent="0.25">
      <c r="A256" t="s">
        <v>866</v>
      </c>
      <c r="B256">
        <f>INDEX(Proj[],MATCH(Std[[#This Row],[Player]],Proj[Player],0),2)</f>
        <v>30</v>
      </c>
      <c r="C256" t="s">
        <v>74</v>
      </c>
      <c r="D256" s="75" t="s">
        <v>102</v>
      </c>
      <c r="E256" s="56"/>
      <c r="F256" t="s">
        <v>29</v>
      </c>
      <c r="G256" s="12">
        <f>(INDEX(Proj[],MATCH(Std[[#This Row],[Player]],Proj[Player],0),14)-G$764)/G$765</f>
        <v>7.6951824922875695E-2</v>
      </c>
      <c r="H256" s="12">
        <f>(INDEX(Proj[],MATCH(Std[[#This Row],[Player]],Proj[Player],0),15)-H$764)/H$765</f>
        <v>0.30621163734781282</v>
      </c>
      <c r="I256" s="12">
        <f>(INDEX(Proj[],MATCH(Std[[#This Row],[Player]],Proj[Player],0),16)-I$764)/I$765</f>
        <v>0.22851632493986887</v>
      </c>
      <c r="J256" s="12">
        <f>(INDEX(Proj[],MATCH(Std[[#This Row],[Player]],Proj[Player],0),17)-J$764)/J$765</f>
        <v>-0.17232923569972286</v>
      </c>
      <c r="K256" s="12">
        <f>(INDEX(Proj[],MATCH(Std[[#This Row],[Player]],Proj[Player],0),18)-K$764)/K$765</f>
        <v>-0.29633482464760502</v>
      </c>
      <c r="L256" s="12">
        <f>(INDEX(Proj[],MATCH(Std[[#This Row],[Player]],Proj[Player],0),19)-L$764)/L$765</f>
        <v>-0.27278273918567114</v>
      </c>
      <c r="M256" s="12">
        <f>(INDEX(Proj[],MATCH(Std[[#This Row],[Player]],Proj[Player],0),20)-M$764)/M$765</f>
        <v>2.3633801304301665</v>
      </c>
      <c r="N256" s="12">
        <f>(INDEX(Proj[],MATCH(Std[[#This Row],[Player]],Proj[Player],0),21)-N$764)/N$765</f>
        <v>-0.51806775916519099</v>
      </c>
      <c r="O256" s="12">
        <f>(INDEX(Proj[],MATCH(Std[[#This Row],[Player]],Proj[Player],0),22)-O$764)/O$765</f>
        <v>-0.12650415594358927</v>
      </c>
      <c r="P256" s="12">
        <f>((INDEX(Proj[],MATCH(Std[[#This Row],[Player]],Proj[Player],0),23)-P$764)/P$765)*IF('League Inputs'!$C$23 = "Yes",-1, 1)</f>
        <v>-0.39543397632313848</v>
      </c>
      <c r="Q256" s="12">
        <f>(INDEX(Proj[],MATCH(Std[[#This Row],[Player]],Proj[Player],0),24)-Q$764)/Q$765</f>
        <v>-0.1501766590503601</v>
      </c>
      <c r="R256" s="12">
        <f>(INDEX(Proj[],MATCH(Std[[#This Row],[Player]],Proj[Player],0),25)-R$764)/R$765</f>
        <v>-7.4828875027239464E-2</v>
      </c>
      <c r="S256" s="12">
        <f>(INDEX(Proj[],MATCH(Std[[#This Row],[Player]],Proj[Player],0),26)-S$764)/S$765</f>
        <v>4.6701246061411829E-2</v>
      </c>
      <c r="T2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-80.458425639598076</v>
      </c>
      <c r="U256" s="11"/>
      <c r="W256" t="str">
        <v>Alexander Kerfoot</v>
      </c>
      <c r="AA256" t="str">
        <v>Alexander Kerfoot</v>
      </c>
      <c r="AB256" t="str">
        <v>Alexander Kerfoot</v>
      </c>
    </row>
    <row r="257" spans="1:28" x14ac:dyDescent="0.25">
      <c r="A257" t="s">
        <v>453</v>
      </c>
      <c r="B257">
        <f>INDEX(Proj[],MATCH(Std[[#This Row],[Player]],Proj[Player],0),2)</f>
        <v>29</v>
      </c>
      <c r="C257" t="s">
        <v>74</v>
      </c>
      <c r="D257" s="75"/>
      <c r="E257" s="57"/>
      <c r="F257" t="s">
        <v>9</v>
      </c>
      <c r="G257" s="12">
        <f>(INDEX(Proj[],MATCH(Std[[#This Row],[Player]],Proj[Player],0),14)-G$764)/G$765</f>
        <v>0.18258569368064134</v>
      </c>
      <c r="H257" s="12">
        <f>(INDEX(Proj[],MATCH(Std[[#This Row],[Player]],Proj[Player],0),15)-H$764)/H$765</f>
        <v>0.23168237035954761</v>
      </c>
      <c r="I257" s="12">
        <f>(INDEX(Proj[],MATCH(Std[[#This Row],[Player]],Proj[Player],0),16)-I$764)/I$765</f>
        <v>0.22851632493986887</v>
      </c>
      <c r="J257" s="12">
        <f>(INDEX(Proj[],MATCH(Std[[#This Row],[Player]],Proj[Player],0),17)-J$764)/J$765</f>
        <v>0.71076062597419631</v>
      </c>
      <c r="K257" s="12">
        <f>(INDEX(Proj[],MATCH(Std[[#This Row],[Player]],Proj[Player],0),18)-K$764)/K$765</f>
        <v>0.47409490196720849</v>
      </c>
      <c r="L257" s="12">
        <f>(INDEX(Proj[],MATCH(Std[[#This Row],[Player]],Proj[Player],0),19)-L$764)/L$765</f>
        <v>0.59712631291646912</v>
      </c>
      <c r="M257" s="12">
        <f>(INDEX(Proj[],MATCH(Std[[#This Row],[Player]],Proj[Player],0),20)-M$764)/M$765</f>
        <v>-0.71308883245737775</v>
      </c>
      <c r="N257" s="12">
        <f>(INDEX(Proj[],MATCH(Std[[#This Row],[Player]],Proj[Player],0),21)-N$764)/N$765</f>
        <v>-1.1769786930090422</v>
      </c>
      <c r="O257" s="12">
        <f>(INDEX(Proj[],MATCH(Std[[#This Row],[Player]],Proj[Player],0),22)-O$764)/O$765</f>
        <v>-0.91584826947590336</v>
      </c>
      <c r="P257" s="12">
        <f>((INDEX(Proj[],MATCH(Std[[#This Row],[Player]],Proj[Player],0),23)-P$764)/P$765)*IF('League Inputs'!$C$23 = "Yes",-1, 1)</f>
        <v>-0.76775217071000623</v>
      </c>
      <c r="Q257" s="12">
        <f>(INDEX(Proj[],MATCH(Std[[#This Row],[Player]],Proj[Player],0),24)-Q$764)/Q$765</f>
        <v>-0.52330610434261393</v>
      </c>
      <c r="R257" s="12">
        <f>(INDEX(Proj[],MATCH(Std[[#This Row],[Player]],Proj[Player],0),25)-R$764)/R$765</f>
        <v>-0.56288903128225298</v>
      </c>
      <c r="S257" s="12">
        <f>(INDEX(Proj[],MATCH(Std[[#This Row],[Player]],Proj[Player],0),26)-S$764)/S$765</f>
        <v>0.25754426818319559</v>
      </c>
      <c r="T2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-188.64302674578431</v>
      </c>
      <c r="U257" s="11"/>
      <c r="W257" t="str">
        <v>Andre Burakovsky</v>
      </c>
      <c r="AA257" t="str">
        <v>Andre Burakovsky</v>
      </c>
      <c r="AB257" t="str">
        <v>Andre Burakovsky</v>
      </c>
    </row>
    <row r="258" spans="1:28" x14ac:dyDescent="0.25">
      <c r="A258" t="s">
        <v>522</v>
      </c>
      <c r="B258">
        <f>INDEX(Proj[],MATCH(Std[[#This Row],[Player]],Proj[Player],0),2)</f>
        <v>25</v>
      </c>
      <c r="C258" t="s">
        <v>102</v>
      </c>
      <c r="D258" s="75"/>
      <c r="E258" s="57"/>
      <c r="F258" t="s">
        <v>13</v>
      </c>
      <c r="G258" s="12">
        <f>(INDEX(Proj[],MATCH(Std[[#This Row],[Player]],Proj[Player],0),14)-G$764)/G$765</f>
        <v>0.60512116871170385</v>
      </c>
      <c r="H258" s="12">
        <f>(INDEX(Proj[],MATCH(Std[[#This Row],[Player]],Proj[Player],0),15)-H$764)/H$765</f>
        <v>-0.14096396458177846</v>
      </c>
      <c r="I258" s="12">
        <f>(INDEX(Proj[],MATCH(Std[[#This Row],[Player]],Proj[Player],0),16)-I$764)/I$765</f>
        <v>0.18127376597776565</v>
      </c>
      <c r="J258" s="12">
        <f>(INDEX(Proj[],MATCH(Std[[#This Row],[Player]],Proj[Player],0),17)-J$764)/J$765</f>
        <v>0.12203405152491688</v>
      </c>
      <c r="K258" s="12">
        <f>(INDEX(Proj[],MATCH(Std[[#This Row],[Player]],Proj[Player],0),18)-K$764)/K$765</f>
        <v>0.16592301132128306</v>
      </c>
      <c r="L258" s="12">
        <f>(INDEX(Proj[],MATCH(Std[[#This Row],[Player]],Proj[Player],0),19)-L$764)/L$765</f>
        <v>0.16217178686539899</v>
      </c>
      <c r="M258" s="12">
        <f>(INDEX(Proj[],MATCH(Std[[#This Row],[Player]],Proj[Player],0),20)-M$764)/M$765</f>
        <v>-0.71308883245737775</v>
      </c>
      <c r="N258" s="12">
        <f>(INDEX(Proj[],MATCH(Std[[#This Row],[Player]],Proj[Player],0),21)-N$764)/N$765</f>
        <v>1.6330826425014999</v>
      </c>
      <c r="O258" s="12">
        <f>(INDEX(Proj[],MATCH(Std[[#This Row],[Player]],Proj[Player],0),22)-O$764)/O$765</f>
        <v>8.2439874109082142E-2</v>
      </c>
      <c r="P258" s="12">
        <f>((INDEX(Proj[],MATCH(Std[[#This Row],[Player]],Proj[Player],0),23)-P$764)/P$765)*IF('League Inputs'!$C$23 = "Yes",-1, 1)</f>
        <v>-0.62813284781493084</v>
      </c>
      <c r="Q258" s="12">
        <f>(INDEX(Proj[],MATCH(Std[[#This Row],[Player]],Proj[Player],0),24)-Q$764)/Q$765</f>
        <v>-0.49665400110745295</v>
      </c>
      <c r="R258" s="12">
        <f>(INDEX(Proj[],MATCH(Std[[#This Row],[Player]],Proj[Player],0),25)-R$764)/R$765</f>
        <v>-0.49478761413039063</v>
      </c>
      <c r="S258" s="12">
        <f>(INDEX(Proj[],MATCH(Std[[#This Row],[Player]],Proj[Player],0),26)-S$764)/S$765</f>
        <v>0.61435553638929119</v>
      </c>
      <c r="T2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201.26939610505792</v>
      </c>
      <c r="U258" s="11"/>
      <c r="W258" t="str">
        <v>Eeli Tolvanen</v>
      </c>
      <c r="AA258" t="str">
        <v>Eeli Tolvanen</v>
      </c>
      <c r="AB258" t="str">
        <v>Eeli Tolvanen</v>
      </c>
    </row>
    <row r="259" spans="1:28" x14ac:dyDescent="0.25">
      <c r="A259" t="s">
        <v>1004</v>
      </c>
      <c r="B259">
        <f>INDEX(Proj[],MATCH(Std[[#This Row],[Player]],Proj[Player],0),2)</f>
        <v>22</v>
      </c>
      <c r="C259" t="s">
        <v>102</v>
      </c>
      <c r="D259" s="75" t="s">
        <v>103</v>
      </c>
      <c r="E259" s="56"/>
      <c r="F259" t="s">
        <v>23</v>
      </c>
      <c r="G259" s="12">
        <f>(INDEX(Proj[],MATCH(Std[[#This Row],[Player]],Proj[Player],0),14)-G$764)/G$765</f>
        <v>1.0276566437427663</v>
      </c>
      <c r="H259" s="12">
        <f>(INDEX(Proj[],MATCH(Std[[#This Row],[Player]],Proj[Player],0),15)-H$764)/H$765</f>
        <v>-0.43908103253483932</v>
      </c>
      <c r="I259" s="12">
        <f>(INDEX(Proj[],MATCH(Std[[#This Row],[Player]],Proj[Player],0),16)-I$764)/I$765</f>
        <v>0.18127376597776565</v>
      </c>
      <c r="J259" s="12">
        <f>(INDEX(Proj[],MATCH(Std[[#This Row],[Player]],Proj[Player],0),17)-J$764)/J$765</f>
        <v>1.0051239131988361</v>
      </c>
      <c r="K259" s="12">
        <f>(INDEX(Proj[],MATCH(Std[[#This Row],[Player]],Proj[Player],0),18)-K$764)/K$765</f>
        <v>1.1837065998320361E-2</v>
      </c>
      <c r="L259" s="12">
        <f>(INDEX(Proj[],MATCH(Std[[#This Row],[Player]],Proj[Player],0),19)-L$764)/L$765</f>
        <v>0.37964904989093406</v>
      </c>
      <c r="M259" s="12">
        <f>(INDEX(Proj[],MATCH(Std[[#This Row],[Player]],Proj[Player],0),20)-M$764)/M$765</f>
        <v>-0.71308883245737775</v>
      </c>
      <c r="N259" s="12">
        <f>(INDEX(Proj[],MATCH(Std[[#This Row],[Player]],Proj[Player],0),21)-N$764)/N$765</f>
        <v>0.95479197530930005</v>
      </c>
      <c r="O259" s="12">
        <f>(INDEX(Proj[],MATCH(Std[[#This Row],[Player]],Proj[Player],0),22)-O$764)/O$765</f>
        <v>-0.33544818599626064</v>
      </c>
      <c r="P259" s="12">
        <f>((INDEX(Proj[],MATCH(Std[[#This Row],[Player]],Proj[Player],0),23)-P$764)/P$765)*IF('League Inputs'!$C$23 = "Yes",-1, 1)</f>
        <v>0.16304331525716309</v>
      </c>
      <c r="Q259" s="12">
        <f>(INDEX(Proj[],MATCH(Std[[#This Row],[Player]],Proj[Player],0),24)-Q$764)/Q$765</f>
        <v>-0.42202811204900215</v>
      </c>
      <c r="R259" s="12">
        <f>(INDEX(Proj[],MATCH(Std[[#This Row],[Player]],Proj[Player],0),25)-R$764)/R$765</f>
        <v>-0.41533596078655122</v>
      </c>
      <c r="S259" s="12">
        <f>(INDEX(Proj[],MATCH(Std[[#This Row],[Player]],Proj[Player],0),26)-S$764)/S$765</f>
        <v>0.37107512624877148</v>
      </c>
      <c r="T2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188.09325458465986</v>
      </c>
      <c r="U259" s="11"/>
      <c r="W259" t="str">
        <v>Jake Neighbours</v>
      </c>
      <c r="AA259" t="str">
        <v>Jake Neighbours</v>
      </c>
      <c r="AB259" t="str">
        <v>Jake Neighbours</v>
      </c>
    </row>
    <row r="260" spans="1:28" x14ac:dyDescent="0.25">
      <c r="A260" t="s">
        <v>982</v>
      </c>
      <c r="B260">
        <f>INDEX(Proj[],MATCH(Std[[#This Row],[Player]],Proj[Player],0),2)</f>
        <v>38</v>
      </c>
      <c r="C260" t="s">
        <v>102</v>
      </c>
      <c r="D260" s="75"/>
      <c r="E260" s="56"/>
      <c r="F260" t="s">
        <v>8</v>
      </c>
      <c r="G260" s="12">
        <f>(INDEX(Proj[],MATCH(Std[[#This Row],[Player]],Proj[Player],0),14)-G$764)/G$765</f>
        <v>0.39385343119617261</v>
      </c>
      <c r="H260" s="12">
        <f>(INDEX(Proj[],MATCH(Std[[#This Row],[Player]],Proj[Player],0),15)-H$764)/H$765</f>
        <v>-0.29002249855830886</v>
      </c>
      <c r="I260" s="12">
        <f>(INDEX(Proj[],MATCH(Std[[#This Row],[Player]],Proj[Player],0),16)-I$764)/I$765</f>
        <v>-7.6964698706472635E-3</v>
      </c>
      <c r="J260" s="12">
        <f>(INDEX(Proj[],MATCH(Std[[#This Row],[Player]],Proj[Player],0),17)-J$764)/J$765</f>
        <v>1.5938504876481154</v>
      </c>
      <c r="K260" s="12">
        <f>(INDEX(Proj[],MATCH(Std[[#This Row],[Player]],Proj[Player],0),18)-K$764)/K$765</f>
        <v>0.16592301132128306</v>
      </c>
      <c r="L260" s="12">
        <f>(INDEX(Proj[],MATCH(Std[[#This Row],[Player]],Proj[Player],0),19)-L$764)/L$765</f>
        <v>0.70586494442923664</v>
      </c>
      <c r="M260" s="12">
        <f>(INDEX(Proj[],MATCH(Std[[#This Row],[Player]],Proj[Player],0),20)-M$764)/M$765</f>
        <v>-0.71308883245737775</v>
      </c>
      <c r="N260" s="12">
        <f>(INDEX(Proj[],MATCH(Std[[#This Row],[Player]],Proj[Player],0),21)-N$764)/N$765</f>
        <v>0.19898237472370597</v>
      </c>
      <c r="O260" s="12">
        <f>(INDEX(Proj[],MATCH(Std[[#This Row],[Player]],Proj[Player],0),22)-O$764)/O$765</f>
        <v>-0.26580017597870353</v>
      </c>
      <c r="P260" s="12">
        <f>((INDEX(Proj[],MATCH(Std[[#This Row],[Player]],Proj[Player],0),23)-P$764)/P$765)*IF('League Inputs'!$C$23 = "Yes",-1, 1)</f>
        <v>0.39574218674895539</v>
      </c>
      <c r="Q260" s="12">
        <f>(INDEX(Proj[],MATCH(Std[[#This Row],[Player]],Proj[Player],0),24)-Q$764)/Q$765</f>
        <v>-0.37938474687274459</v>
      </c>
      <c r="R260" s="12">
        <f>(INDEX(Proj[],MATCH(Std[[#This Row],[Player]],Proj[Player],0),25)-R$764)/R$765</f>
        <v>-0.27345800838683798</v>
      </c>
      <c r="S260" s="12">
        <f>(INDEX(Proj[],MATCH(Std[[#This Row],[Player]],Proj[Player],0),26)-S$764)/S$765</f>
        <v>-0.19657916407910792</v>
      </c>
      <c r="T2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55.495988173855835</v>
      </c>
      <c r="U260" s="11"/>
      <c r="W260" t="str">
        <v>TJ Oshie</v>
      </c>
      <c r="AA260" t="str">
        <v>TJ Oshie</v>
      </c>
      <c r="AB260" t="str">
        <v>TJ Oshie</v>
      </c>
    </row>
    <row r="261" spans="1:28" x14ac:dyDescent="0.25">
      <c r="A261" t="s">
        <v>576</v>
      </c>
      <c r="B261">
        <f>INDEX(Proj[],MATCH(Std[[#This Row],[Player]],Proj[Player],0),2)</f>
        <v>28</v>
      </c>
      <c r="C261" t="s">
        <v>74</v>
      </c>
      <c r="D261" s="75"/>
      <c r="E261" s="56"/>
      <c r="F261" t="s">
        <v>18</v>
      </c>
      <c r="G261" s="12">
        <f>(INDEX(Proj[],MATCH(Std[[#This Row],[Player]],Proj[Player],0),14)-G$764)/G$765</f>
        <v>0.60512116871170385</v>
      </c>
      <c r="H261" s="12">
        <f>(INDEX(Proj[],MATCH(Std[[#This Row],[Player]],Proj[Player],0),15)-H$764)/H$765</f>
        <v>-0.14096396458177846</v>
      </c>
      <c r="I261" s="12">
        <f>(INDEX(Proj[],MATCH(Std[[#This Row],[Player]],Proj[Player],0),16)-I$764)/I$765</f>
        <v>0.18127376597776565</v>
      </c>
      <c r="J261" s="12">
        <f>(INDEX(Proj[],MATCH(Std[[#This Row],[Player]],Proj[Player],0),17)-J$764)/J$765</f>
        <v>-0.17232923569972286</v>
      </c>
      <c r="K261" s="12">
        <f>(INDEX(Proj[],MATCH(Std[[#This Row],[Player]],Proj[Player],0),18)-K$764)/K$765</f>
        <v>-0.60450671529353051</v>
      </c>
      <c r="L261" s="12">
        <f>(INDEX(Proj[],MATCH(Std[[#This Row],[Player]],Proj[Player],0),19)-L$764)/L$765</f>
        <v>-0.49026000221120619</v>
      </c>
      <c r="M261" s="12">
        <f>(INDEX(Proj[],MATCH(Std[[#This Row],[Player]],Proj[Player],0),20)-M$764)/M$765</f>
        <v>0.31240082183847029</v>
      </c>
      <c r="N261" s="12">
        <f>(INDEX(Proj[],MATCH(Std[[#This Row],[Player]],Proj[Player],0),21)-N$764)/N$765</f>
        <v>0.17960264137535742</v>
      </c>
      <c r="O261" s="12">
        <f>(INDEX(Proj[],MATCH(Std[[#This Row],[Player]],Proj[Player],0),22)-O$764)/O$765</f>
        <v>-0.79976825277997488</v>
      </c>
      <c r="P261" s="12">
        <f>((INDEX(Proj[],MATCH(Std[[#This Row],[Player]],Proj[Player],0),23)-P$764)/P$765)*IF('League Inputs'!$C$23 = "Yes",-1, 1)</f>
        <v>-2.3115781936270764E-2</v>
      </c>
      <c r="Q261" s="12">
        <f>(INDEX(Proj[],MATCH(Std[[#This Row],[Player]],Proj[Player],0),24)-Q$764)/Q$765</f>
        <v>-0.50731484240151736</v>
      </c>
      <c r="R261" s="12">
        <f>(INDEX(Proj[],MATCH(Std[[#This Row],[Player]],Proj[Player],0),25)-R$764)/R$765</f>
        <v>-0.54586367699428739</v>
      </c>
      <c r="S261" s="12">
        <f>(INDEX(Proj[],MATCH(Std[[#This Row],[Player]],Proj[Player],0),26)-S$764)/S$765</f>
        <v>0.89007333454854698</v>
      </c>
      <c r="T2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-10.535193329737384</v>
      </c>
      <c r="U261" s="11"/>
      <c r="W261" t="str">
        <v>Warren Foegele</v>
      </c>
      <c r="AA261" t="str">
        <v>Warren Foegele</v>
      </c>
      <c r="AB261" t="str">
        <v>Warren Foegele</v>
      </c>
    </row>
    <row r="262" spans="1:28" x14ac:dyDescent="0.25">
      <c r="A262" t="s">
        <v>628</v>
      </c>
      <c r="B262">
        <f>INDEX(Proj[],MATCH(Std[[#This Row],[Player]],Proj[Player],0),2)</f>
        <v>36</v>
      </c>
      <c r="C262" t="s">
        <v>102</v>
      </c>
      <c r="D262" s="75" t="s">
        <v>103</v>
      </c>
      <c r="E262" s="57"/>
      <c r="F262" t="s">
        <v>8</v>
      </c>
      <c r="G262" s="12">
        <f>(INDEX(Proj[],MATCH(Std[[#This Row],[Player]],Proj[Player],0),14)-G$764)/G$765</f>
        <v>7.6951824922875695E-2</v>
      </c>
      <c r="H262" s="12">
        <f>(INDEX(Proj[],MATCH(Std[[#This Row],[Player]],Proj[Player],0),15)-H$764)/H$765</f>
        <v>0.23168237035954761</v>
      </c>
      <c r="I262" s="12">
        <f>(INDEX(Proj[],MATCH(Std[[#This Row],[Player]],Proj[Player],0),16)-I$764)/I$765</f>
        <v>0.18127376597776565</v>
      </c>
      <c r="J262" s="12">
        <f>(INDEX(Proj[],MATCH(Std[[#This Row],[Player]],Proj[Player],0),17)-J$764)/J$765</f>
        <v>0.41639733874955659</v>
      </c>
      <c r="K262" s="12">
        <f>(INDEX(Proj[],MATCH(Std[[#This Row],[Player]],Proj[Player],0),18)-K$764)/K$765</f>
        <v>0.78226679261313392</v>
      </c>
      <c r="L262" s="12">
        <f>(INDEX(Proj[],MATCH(Std[[#This Row],[Player]],Proj[Player],0),19)-L$764)/L$765</f>
        <v>0.70586494442923664</v>
      </c>
      <c r="M262" s="12">
        <f>(INDEX(Proj[],MATCH(Std[[#This Row],[Player]],Proj[Player],0),20)-M$764)/M$765</f>
        <v>-0.71308883245737775</v>
      </c>
      <c r="N262" s="12">
        <f>(INDEX(Proj[],MATCH(Std[[#This Row],[Player]],Proj[Player],0),21)-N$764)/N$765</f>
        <v>0.10208370798196315</v>
      </c>
      <c r="O262" s="12">
        <f>(INDEX(Proj[],MATCH(Std[[#This Row],[Player]],Proj[Player],0),22)-O$764)/O$765</f>
        <v>-0.75333624610160344</v>
      </c>
      <c r="P262" s="12">
        <f>((INDEX(Proj[],MATCH(Std[[#This Row],[Player]],Proj[Player],0),23)-P$764)/P$765)*IF('League Inputs'!$C$23 = "Yes",-1, 1)</f>
        <v>0.25612286385388</v>
      </c>
      <c r="Q262" s="12">
        <f>(INDEX(Proj[],MATCH(Std[[#This Row],[Player]],Proj[Player],0),24)-Q$764)/Q$765</f>
        <v>-0.47533231851932412</v>
      </c>
      <c r="R262" s="12">
        <f>(INDEX(Proj[],MATCH(Std[[#This Row],[Player]],Proj[Player],0),25)-R$764)/R$765</f>
        <v>-0.47208714174643651</v>
      </c>
      <c r="S262" s="12">
        <f>(INDEX(Proj[],MATCH(Std[[#This Row],[Player]],Proj[Player],0),26)-S$764)/S$765</f>
        <v>0.46838729030497939</v>
      </c>
      <c r="T2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79.36982032093205</v>
      </c>
      <c r="U262" s="11"/>
      <c r="W262" t="str">
        <v>Max Pacioretty</v>
      </c>
      <c r="AA262" t="str">
        <v>Max Pacioretty</v>
      </c>
      <c r="AB262" t="str">
        <v>Max Pacioretty</v>
      </c>
    </row>
    <row r="263" spans="1:28" x14ac:dyDescent="0.25">
      <c r="A263" t="s">
        <v>481</v>
      </c>
      <c r="B263">
        <f>INDEX(Proj[],MATCH(Std[[#This Row],[Player]],Proj[Player],0),2)</f>
        <v>30</v>
      </c>
      <c r="C263" t="s">
        <v>74</v>
      </c>
      <c r="D263" s="75"/>
      <c r="E263" s="57"/>
      <c r="F263" t="s">
        <v>6</v>
      </c>
      <c r="G263" s="12">
        <f>(INDEX(Proj[],MATCH(Std[[#This Row],[Player]],Proj[Player],0),14)-G$764)/G$765</f>
        <v>0.60512116871170385</v>
      </c>
      <c r="H263" s="12">
        <f>(INDEX(Proj[],MATCH(Std[[#This Row],[Player]],Proj[Player],0),15)-H$764)/H$765</f>
        <v>-0.14096396458177846</v>
      </c>
      <c r="I263" s="12">
        <f>(INDEX(Proj[],MATCH(Std[[#This Row],[Player]],Proj[Player],0),16)-I$764)/I$765</f>
        <v>0.18127376597776565</v>
      </c>
      <c r="J263" s="12">
        <f>(INDEX(Proj[],MATCH(Std[[#This Row],[Player]],Proj[Player],0),17)-J$764)/J$765</f>
        <v>-0.17232923569972286</v>
      </c>
      <c r="K263" s="12">
        <f>(INDEX(Proj[],MATCH(Std[[#This Row],[Player]],Proj[Player],0),18)-K$764)/K$765</f>
        <v>-0.60450671529353051</v>
      </c>
      <c r="L263" s="12">
        <f>(INDEX(Proj[],MATCH(Std[[#This Row],[Player]],Proj[Player],0),19)-L$764)/L$765</f>
        <v>-0.49026000221120619</v>
      </c>
      <c r="M263" s="12">
        <f>(INDEX(Proj[],MATCH(Std[[#This Row],[Player]],Proj[Player],0),20)-M$764)/M$765</f>
        <v>0.31240082183847029</v>
      </c>
      <c r="N263" s="12">
        <f>(INDEX(Proj[],MATCH(Std[[#This Row],[Player]],Proj[Player],0),21)-N$764)/N$765</f>
        <v>-0.71186509264867659</v>
      </c>
      <c r="O263" s="12">
        <f>(INDEX(Proj[],MATCH(Std[[#This Row],[Player]],Proj[Player],0),22)-O$764)/O$765</f>
        <v>-0.86941626279753204</v>
      </c>
      <c r="P263" s="12">
        <f>((INDEX(Proj[],MATCH(Std[[#This Row],[Player]],Proj[Player],0),23)-P$764)/P$765)*IF('League Inputs'!$C$23 = "Yes",-1, 1)</f>
        <v>-1.140070365096874</v>
      </c>
      <c r="Q263" s="12">
        <f>(INDEX(Proj[],MATCH(Std[[#This Row],[Player]],Proj[Player],0),24)-Q$764)/Q$765</f>
        <v>-0.50731484240151736</v>
      </c>
      <c r="R263" s="12">
        <f>(INDEX(Proj[],MATCH(Std[[#This Row],[Player]],Proj[Player],0),25)-R$764)/R$765</f>
        <v>-0.48343737793841357</v>
      </c>
      <c r="S263" s="12">
        <f>(INDEX(Proj[],MATCH(Std[[#This Row],[Player]],Proj[Player],0),26)-S$764)/S$765</f>
        <v>0.61435553638929119</v>
      </c>
      <c r="T2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-245.91400586588242</v>
      </c>
      <c r="U263" s="11"/>
      <c r="W263" t="str">
        <v>Ilya Mikheyev</v>
      </c>
      <c r="AA263" t="str">
        <v>Ilya Mikheyev</v>
      </c>
      <c r="AB263" t="str">
        <v>Ilya Mikheyev</v>
      </c>
    </row>
    <row r="264" spans="1:28" x14ac:dyDescent="0.25">
      <c r="A264" t="s">
        <v>991</v>
      </c>
      <c r="B264">
        <f>INDEX(Proj[],MATCH(Std[[#This Row],[Player]],Proj[Player],0),2)</f>
        <v>35</v>
      </c>
      <c r="C264" t="s">
        <v>103</v>
      </c>
      <c r="D264" s="75"/>
      <c r="E264" s="56"/>
      <c r="F264" t="s">
        <v>7</v>
      </c>
      <c r="G264" s="12">
        <f>(INDEX(Proj[],MATCH(Std[[#This Row],[Player]],Proj[Player],0),14)-G$764)/G$765</f>
        <v>0.28821956243840696</v>
      </c>
      <c r="H264" s="12">
        <f>(INDEX(Proj[],MATCH(Std[[#This Row],[Player]],Proj[Player],0),15)-H$764)/H$765</f>
        <v>8.262383638301718E-2</v>
      </c>
      <c r="I264" s="12">
        <f>(INDEX(Proj[],MATCH(Std[[#This Row],[Player]],Proj[Player],0),16)-I$764)/I$765</f>
        <v>0.18127376597776565</v>
      </c>
      <c r="J264" s="12">
        <f>(INDEX(Proj[],MATCH(Std[[#This Row],[Player]],Proj[Player],0),17)-J$764)/J$765</f>
        <v>1.0051239131988361</v>
      </c>
      <c r="K264" s="12">
        <f>(INDEX(Proj[],MATCH(Std[[#This Row],[Player]],Proj[Player],0),18)-K$764)/K$765</f>
        <v>1.1837065998320361E-2</v>
      </c>
      <c r="L264" s="12">
        <f>(INDEX(Proj[],MATCH(Std[[#This Row],[Player]],Proj[Player],0),19)-L$764)/L$765</f>
        <v>0.37964904989093406</v>
      </c>
      <c r="M264" s="12">
        <f>(INDEX(Proj[],MATCH(Std[[#This Row],[Player]],Proj[Player],0),20)-M$764)/M$765</f>
        <v>-0.71308883245737775</v>
      </c>
      <c r="N264" s="12">
        <f>(INDEX(Proj[],MATCH(Std[[#This Row],[Player]],Proj[Player],0),21)-N$764)/N$765</f>
        <v>-1.0219408262222536</v>
      </c>
      <c r="O264" s="12">
        <f>(INDEX(Proj[],MATCH(Std[[#This Row],[Player]],Proj[Player],0),22)-O$764)/O$765</f>
        <v>-0.91584826947590336</v>
      </c>
      <c r="P264" s="12">
        <f>((INDEX(Proj[],MATCH(Std[[#This Row],[Player]],Proj[Player],0),23)-P$764)/P$765)*IF('League Inputs'!$C$23 = "Yes",-1, 1)</f>
        <v>-0.5815930735165723</v>
      </c>
      <c r="Q264" s="12">
        <f>(INDEX(Proj[],MATCH(Std[[#This Row],[Player]],Proj[Player],0),24)-Q$764)/Q$765</f>
        <v>-0.5019844217544851</v>
      </c>
      <c r="R264" s="12">
        <f>(INDEX(Proj[],MATCH(Std[[#This Row],[Player]],Proj[Player],0),25)-R$764)/R$765</f>
        <v>-0.54018855889829887</v>
      </c>
      <c r="S264" s="12">
        <f>(INDEX(Proj[],MATCH(Std[[#This Row],[Player]],Proj[Player],0),26)-S$764)/S$765</f>
        <v>0.33863773823003551</v>
      </c>
      <c r="T2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-175.09626380490548</v>
      </c>
      <c r="U264" s="11"/>
      <c r="W264" t="str">
        <v>James van Riemsdyk</v>
      </c>
      <c r="AA264" t="str">
        <v>James van Riemsdyk</v>
      </c>
      <c r="AB264" t="str">
        <v>James van Riemsdyk</v>
      </c>
    </row>
    <row r="265" spans="1:28" x14ac:dyDescent="0.25">
      <c r="A265" t="s">
        <v>536</v>
      </c>
      <c r="B265">
        <f>INDEX(Proj[],MATCH(Std[[#This Row],[Player]],Proj[Player],0),2)</f>
        <v>23</v>
      </c>
      <c r="C265" t="s">
        <v>74</v>
      </c>
      <c r="D265" s="75" t="s">
        <v>103</v>
      </c>
      <c r="E265" s="56"/>
      <c r="F265" t="s">
        <v>156</v>
      </c>
      <c r="G265" s="12">
        <f>(INDEX(Proj[],MATCH(Std[[#This Row],[Player]],Proj[Player],0),14)-G$764)/G$765</f>
        <v>0.39385343119617261</v>
      </c>
      <c r="H265" s="12">
        <f>(INDEX(Proj[],MATCH(Std[[#This Row],[Player]],Proj[Player],0),15)-H$764)/H$765</f>
        <v>8.0945693947519649E-3</v>
      </c>
      <c r="I265" s="12">
        <f>(INDEX(Proj[],MATCH(Std[[#This Row],[Player]],Proj[Player],0),16)-I$764)/I$765</f>
        <v>0.18127376597776565</v>
      </c>
      <c r="J265" s="12">
        <f>(INDEX(Proj[],MATCH(Std[[#This Row],[Player]],Proj[Player],0),17)-J$764)/J$765</f>
        <v>0.71076062597419631</v>
      </c>
      <c r="K265" s="12">
        <f>(INDEX(Proj[],MATCH(Std[[#This Row],[Player]],Proj[Player],0),18)-K$764)/K$765</f>
        <v>1.1837065998320361E-2</v>
      </c>
      <c r="L265" s="12">
        <f>(INDEX(Proj[],MATCH(Std[[#This Row],[Player]],Proj[Player],0),19)-L$764)/L$765</f>
        <v>0.27091041837816654</v>
      </c>
      <c r="M265" s="12">
        <f>(INDEX(Proj[],MATCH(Std[[#This Row],[Player]],Proj[Player],0),20)-M$764)/M$765</f>
        <v>-0.71308883245737775</v>
      </c>
      <c r="N265" s="12">
        <f>(INDEX(Proj[],MATCH(Std[[#This Row],[Player]],Proj[Player],0),21)-N$764)/N$765</f>
        <v>-0.92504215948051083</v>
      </c>
      <c r="O265" s="12">
        <f>(INDEX(Proj[],MATCH(Std[[#This Row],[Player]],Proj[Player],0),22)-O$764)/O$765</f>
        <v>-0.91584826947590336</v>
      </c>
      <c r="P265" s="12">
        <f>((INDEX(Proj[],MATCH(Std[[#This Row],[Player]],Proj[Player],0),23)-P$764)/P$765)*IF('League Inputs'!$C$23 = "Yes",-1, 1)</f>
        <v>-1.0004510422017985</v>
      </c>
      <c r="Q265" s="12">
        <f>(INDEX(Proj[],MATCH(Std[[#This Row],[Player]],Proj[Player],0),24)-Q$764)/Q$765</f>
        <v>-0.36339348493164797</v>
      </c>
      <c r="R265" s="12">
        <f>(INDEX(Proj[],MATCH(Std[[#This Row],[Player]],Proj[Player],0),25)-R$764)/R$765</f>
        <v>-0.27345800838683798</v>
      </c>
      <c r="S265" s="12">
        <f>(INDEX(Proj[],MATCH(Std[[#This Row],[Player]],Proj[Player],0),26)-S$764)/S$765</f>
        <v>0.25754426818319559</v>
      </c>
      <c r="T2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-209.3058502959808</v>
      </c>
      <c r="U265" s="11"/>
      <c r="W265" t="str">
        <v>Cole Perfetti</v>
      </c>
      <c r="AA265" t="str">
        <v>Cole Perfetti</v>
      </c>
      <c r="AB265" t="str">
        <v>Cole Perfetti</v>
      </c>
    </row>
    <row r="266" spans="1:28" x14ac:dyDescent="0.25">
      <c r="A266" t="s">
        <v>1129</v>
      </c>
      <c r="B266">
        <f>INDEX(Proj[],MATCH(Std[[#This Row],[Player]],Proj[Player],0),2)</f>
        <v>22</v>
      </c>
      <c r="C266" t="s">
        <v>74</v>
      </c>
      <c r="D266" s="75"/>
      <c r="E266" s="56"/>
      <c r="F266" t="s">
        <v>31</v>
      </c>
      <c r="G266" s="12">
        <f>(INDEX(Proj[],MATCH(Std[[#This Row],[Player]],Proj[Player],0),14)-G$764)/G$765</f>
        <v>0.18258569368064134</v>
      </c>
      <c r="H266" s="12">
        <f>(INDEX(Proj[],MATCH(Std[[#This Row],[Player]],Proj[Player],0),15)-H$764)/H$765</f>
        <v>0.15715310337128238</v>
      </c>
      <c r="I266" s="12">
        <f>(INDEX(Proj[],MATCH(Std[[#This Row],[Player]],Proj[Player],0),16)-I$764)/I$765</f>
        <v>0.18127376597776565</v>
      </c>
      <c r="J266" s="12">
        <f>(INDEX(Proj[],MATCH(Std[[#This Row],[Player]],Proj[Player],0),17)-J$764)/J$765</f>
        <v>-0.17232923569972286</v>
      </c>
      <c r="K266" s="12">
        <f>(INDEX(Proj[],MATCH(Std[[#This Row],[Player]],Proj[Player],0),18)-K$764)/K$765</f>
        <v>0.16592301132128306</v>
      </c>
      <c r="L266" s="12">
        <f>(INDEX(Proj[],MATCH(Std[[#This Row],[Player]],Proj[Player],0),19)-L$764)/L$765</f>
        <v>5.3433155352631455E-2</v>
      </c>
      <c r="M266" s="12">
        <f>(INDEX(Proj[],MATCH(Std[[#This Row],[Player]],Proj[Player],0),20)-M$764)/M$765</f>
        <v>-0.71308883245737775</v>
      </c>
      <c r="N266" s="12">
        <f>(INDEX(Proj[],MATCH(Std[[#This Row],[Player]],Proj[Player],0),21)-N$764)/N$765</f>
        <v>-0.59558669255858521</v>
      </c>
      <c r="O266" s="12">
        <f>(INDEX(Proj[],MATCH(Std[[#This Row],[Player]],Proj[Player],0),22)-O$764)/O$765</f>
        <v>-0.35866418933544636</v>
      </c>
      <c r="P266" s="12">
        <f>((INDEX(Proj[],MATCH(Std[[#This Row],[Player]],Proj[Player],0),23)-P$764)/P$765)*IF('League Inputs'!$C$23 = "Yes",-1, 1)</f>
        <v>-1.0469908165001569</v>
      </c>
      <c r="Q266" s="12">
        <f>(INDEX(Proj[],MATCH(Std[[#This Row],[Player]],Proj[Player],0),24)-Q$764)/Q$765</f>
        <v>0.45216087406427818</v>
      </c>
      <c r="R266" s="12">
        <f>(INDEX(Proj[],MATCH(Std[[#This Row],[Player]],Proj[Player],0),25)-R$764)/R$765</f>
        <v>1.0374942717865123</v>
      </c>
      <c r="S266" s="12">
        <f>(INDEX(Proj[],MATCH(Std[[#This Row],[Player]],Proj[Player],0),26)-S$764)/S$765</f>
        <v>-0.32632871615405179</v>
      </c>
      <c r="T2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-130.09638221016414</v>
      </c>
      <c r="U266" s="11"/>
      <c r="W266" t="str">
        <v>Hendrix Lapierre</v>
      </c>
      <c r="AA266" t="str">
        <v>Hendrix Lapierre</v>
      </c>
      <c r="AB266" t="str">
        <v>Hendrix Lapierre</v>
      </c>
    </row>
    <row r="267" spans="1:28" x14ac:dyDescent="0.25">
      <c r="A267" t="s">
        <v>411</v>
      </c>
      <c r="B267">
        <f>INDEX(Proj[],MATCH(Std[[#This Row],[Player]],Proj[Player],0),2)</f>
        <v>28</v>
      </c>
      <c r="C267" t="s">
        <v>102</v>
      </c>
      <c r="D267" s="75" t="s">
        <v>103</v>
      </c>
      <c r="E267" s="57"/>
      <c r="F267" t="s">
        <v>154</v>
      </c>
      <c r="G267" s="12">
        <f>(INDEX(Proj[],MATCH(Std[[#This Row],[Player]],Proj[Player],0),14)-G$764)/G$765</f>
        <v>-0.34558365010818687</v>
      </c>
      <c r="H267" s="12">
        <f>(INDEX(Proj[],MATCH(Std[[#This Row],[Player]],Proj[Player],0),15)-H$764)/H$765</f>
        <v>0.45527017132434322</v>
      </c>
      <c r="I267" s="12">
        <f>(INDEX(Proj[],MATCH(Std[[#This Row],[Player]],Proj[Player],0),16)-I$764)/I$765</f>
        <v>0.13403120701566243</v>
      </c>
      <c r="J267" s="12">
        <f>(INDEX(Proj[],MATCH(Std[[#This Row],[Player]],Proj[Player],0),17)-J$764)/J$765</f>
        <v>-0.46669252292436259</v>
      </c>
      <c r="K267" s="12">
        <f>(INDEX(Proj[],MATCH(Std[[#This Row],[Player]],Proj[Player],0),18)-K$764)/K$765</f>
        <v>-0.29633482464760502</v>
      </c>
      <c r="L267" s="12">
        <f>(INDEX(Proj[],MATCH(Std[[#This Row],[Player]],Proj[Player],0),19)-L$764)/L$765</f>
        <v>-0.38152137069843867</v>
      </c>
      <c r="M267" s="12">
        <f>(INDEX(Proj[],MATCH(Std[[#This Row],[Player]],Proj[Player],0),20)-M$764)/M$765</f>
        <v>2.3633801304301665</v>
      </c>
      <c r="N267" s="12">
        <f>(INDEX(Proj[],MATCH(Std[[#This Row],[Player]],Proj[Player],0),21)-N$764)/N$765</f>
        <v>-0.18861229224326534</v>
      </c>
      <c r="O267" s="12">
        <f>(INDEX(Proj[],MATCH(Std[[#This Row],[Player]],Proj[Player],0),22)-O$764)/O$765</f>
        <v>2.0790161612790534</v>
      </c>
      <c r="P267" s="12">
        <f>((INDEX(Proj[],MATCH(Std[[#This Row],[Player]],Proj[Player],0),23)-P$764)/P$765)*IF('League Inputs'!$C$23 = "Yes",-1, 1)</f>
        <v>0.30266263815223848</v>
      </c>
      <c r="Q267" s="12">
        <f>(INDEX(Proj[],MATCH(Std[[#This Row],[Player]],Proj[Player],0),24)-Q$764)/Q$765</f>
        <v>-0.5766103108129359</v>
      </c>
      <c r="R267" s="12">
        <f>(INDEX(Proj[],MATCH(Std[[#This Row],[Player]],Proj[Player],0),25)-R$764)/R$765</f>
        <v>-0.62531533033812681</v>
      </c>
      <c r="S267" s="12">
        <f>(INDEX(Proj[],MATCH(Std[[#This Row],[Player]],Proj[Player],0),26)-S$764)/S$765</f>
        <v>0.11157602209888376</v>
      </c>
      <c r="T2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159.02285760073545</v>
      </c>
      <c r="U267" s="11"/>
      <c r="W267" t="str">
        <v>Travis Sanheim</v>
      </c>
      <c r="AA267" t="str">
        <v>Travis Sanheim</v>
      </c>
      <c r="AB267" t="str">
        <v>Travis Sanheim</v>
      </c>
    </row>
    <row r="268" spans="1:28" x14ac:dyDescent="0.25">
      <c r="A268" t="s">
        <v>400</v>
      </c>
      <c r="B268">
        <f>INDEX(Proj[],MATCH(Std[[#This Row],[Player]],Proj[Player],0),2)</f>
        <v>23</v>
      </c>
      <c r="C268" t="s">
        <v>103</v>
      </c>
      <c r="D268" s="75"/>
      <c r="E268" s="56"/>
      <c r="F268" t="s">
        <v>2</v>
      </c>
      <c r="G268" s="12">
        <f>(INDEX(Proj[],MATCH(Std[[#This Row],[Player]],Proj[Player],0),14)-G$764)/G$765</f>
        <v>-0.13431591259265557</v>
      </c>
      <c r="H268" s="12">
        <f>(INDEX(Proj[],MATCH(Std[[#This Row],[Player]],Proj[Player],0),15)-H$764)/H$765</f>
        <v>0.30621163734781282</v>
      </c>
      <c r="I268" s="12">
        <f>(INDEX(Proj[],MATCH(Std[[#This Row],[Player]],Proj[Player],0),16)-I$764)/I$765</f>
        <v>0.13403120701566243</v>
      </c>
      <c r="J268" s="12">
        <f>(INDEX(Proj[],MATCH(Std[[#This Row],[Player]],Proj[Player],0),17)-J$764)/J$765</f>
        <v>-0.46669252292436259</v>
      </c>
      <c r="K268" s="12">
        <f>(INDEX(Proj[],MATCH(Std[[#This Row],[Player]],Proj[Player],0),18)-K$764)/K$765</f>
        <v>-0.14224887932464234</v>
      </c>
      <c r="L268" s="12">
        <f>(INDEX(Proj[],MATCH(Std[[#This Row],[Player]],Proj[Player],0),19)-L$764)/L$765</f>
        <v>-0.27278273918567114</v>
      </c>
      <c r="M268" s="12">
        <f>(INDEX(Proj[],MATCH(Std[[#This Row],[Player]],Proj[Player],0),20)-M$764)/M$765</f>
        <v>0.31240082183847029</v>
      </c>
      <c r="N268" s="12">
        <f>(INDEX(Proj[],MATCH(Std[[#This Row],[Player]],Proj[Player],0),21)-N$764)/N$765</f>
        <v>0.43153917490388877</v>
      </c>
      <c r="O268" s="12">
        <f>(INDEX(Proj[],MATCH(Std[[#This Row],[Player]],Proj[Player],0),22)-O$764)/O$765</f>
        <v>1.0342960110156962</v>
      </c>
      <c r="P268" s="12">
        <f>((INDEX(Proj[],MATCH(Std[[#This Row],[Player]],Proj[Player],0),23)-P$764)/P$765)*IF('League Inputs'!$C$23 = "Yes",-1, 1)</f>
        <v>0.72152060683746466</v>
      </c>
      <c r="Q268" s="12">
        <f>(INDEX(Proj[],MATCH(Std[[#This Row],[Player]],Proj[Player],0),24)-Q$764)/Q$765</f>
        <v>-0.5766103108129359</v>
      </c>
      <c r="R268" s="12">
        <f>(INDEX(Proj[],MATCH(Std[[#This Row],[Player]],Proj[Player],0),25)-R$764)/R$765</f>
        <v>-0.62531533033812681</v>
      </c>
      <c r="S268" s="12">
        <f>(INDEX(Proj[],MATCH(Std[[#This Row],[Player]],Proj[Player],0),26)-S$764)/S$765</f>
        <v>-0.27767263412594784</v>
      </c>
      <c r="T2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136.62170404033145</v>
      </c>
      <c r="U268" s="11"/>
      <c r="W268" t="str">
        <v>Bowen Byram</v>
      </c>
      <c r="AA268" t="str">
        <v>Bowen Byram</v>
      </c>
      <c r="AB268" t="str">
        <v>Bowen Byram</v>
      </c>
    </row>
    <row r="269" spans="1:28" x14ac:dyDescent="0.25">
      <c r="A269" t="s">
        <v>334</v>
      </c>
      <c r="B269">
        <f>INDEX(Proj[],MATCH(Std[[#This Row],[Player]],Proj[Player],0),2)</f>
        <v>32</v>
      </c>
      <c r="C269" t="s">
        <v>103</v>
      </c>
      <c r="D269" s="75"/>
      <c r="E269" s="57"/>
      <c r="F269" t="s">
        <v>34</v>
      </c>
      <c r="G269" s="12">
        <f>(INDEX(Proj[],MATCH(Std[[#This Row],[Player]],Proj[Player],0),14)-G$764)/G$765</f>
        <v>-0.7681191251392494</v>
      </c>
      <c r="H269" s="12">
        <f>(INDEX(Proj[],MATCH(Std[[#This Row],[Player]],Proj[Player],0),15)-H$764)/H$765</f>
        <v>0.75338723927740403</v>
      </c>
      <c r="I269" s="12">
        <f>(INDEX(Proj[],MATCH(Std[[#This Row],[Player]],Proj[Player],0),16)-I$764)/I$765</f>
        <v>0.13403120701566243</v>
      </c>
      <c r="J269" s="12">
        <f>(INDEX(Proj[],MATCH(Std[[#This Row],[Player]],Proj[Player],0),17)-J$764)/J$765</f>
        <v>-0.17232923569972286</v>
      </c>
      <c r="K269" s="12">
        <f>(INDEX(Proj[],MATCH(Std[[#This Row],[Player]],Proj[Player],0),18)-K$764)/K$765</f>
        <v>1.244524628582022</v>
      </c>
      <c r="L269" s="12">
        <f>(INDEX(Proj[],MATCH(Std[[#This Row],[Player]],Proj[Player],0),19)-L$764)/L$765</f>
        <v>0.81460357594200417</v>
      </c>
      <c r="M269" s="12">
        <f>(INDEX(Proj[],MATCH(Std[[#This Row],[Player]],Proj[Player],0),20)-M$764)/M$765</f>
        <v>-0.71308883245737775</v>
      </c>
      <c r="N269" s="12">
        <f>(INDEX(Proj[],MATCH(Std[[#This Row],[Player]],Proj[Player],0),21)-N$764)/N$765</f>
        <v>-0.44054882577179671</v>
      </c>
      <c r="O269" s="12">
        <f>(INDEX(Proj[],MATCH(Std[[#This Row],[Player]],Proj[Player],0),22)-O$764)/O$765</f>
        <v>0.59319194757116778</v>
      </c>
      <c r="P269" s="12">
        <f>((INDEX(Proj[],MATCH(Std[[#This Row],[Player]],Proj[Player],0),23)-P$764)/P$765)*IF('League Inputs'!$C$23 = "Yes",-1, 1)</f>
        <v>0.16304331525716309</v>
      </c>
      <c r="Q269" s="12">
        <f>(INDEX(Proj[],MATCH(Std[[#This Row],[Player]],Proj[Player],0),24)-Q$764)/Q$765</f>
        <v>-0.5766103108129359</v>
      </c>
      <c r="R269" s="12">
        <f>(INDEX(Proj[],MATCH(Std[[#This Row],[Player]],Proj[Player],0),25)-R$764)/R$765</f>
        <v>-0.62531533033812681</v>
      </c>
      <c r="S269" s="12">
        <f>(INDEX(Proj[],MATCH(Std[[#This Row],[Player]],Proj[Player],0),26)-S$764)/S$765</f>
        <v>-0.22901655209784388</v>
      </c>
      <c r="T2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44.396247124157576</v>
      </c>
      <c r="U269" s="11"/>
      <c r="W269" t="str">
        <v>John Klingberg</v>
      </c>
      <c r="AA269" t="str">
        <v>John Klingberg</v>
      </c>
      <c r="AB269" t="str">
        <v>John Klingberg</v>
      </c>
    </row>
    <row r="270" spans="1:28" x14ac:dyDescent="0.25">
      <c r="A270" t="s">
        <v>688</v>
      </c>
      <c r="B270">
        <f>INDEX(Proj[],MATCH(Std[[#This Row],[Player]],Proj[Player],0),2)</f>
        <v>32</v>
      </c>
      <c r="C270" t="s">
        <v>74</v>
      </c>
      <c r="D270" s="75" t="s">
        <v>103</v>
      </c>
      <c r="E270" s="56"/>
      <c r="F270" t="s">
        <v>25</v>
      </c>
      <c r="G270" s="12">
        <f>(INDEX(Proj[],MATCH(Std[[#This Row],[Player]],Proj[Player],0),14)-G$764)/G$765</f>
        <v>0.71075503746946955</v>
      </c>
      <c r="H270" s="12">
        <f>(INDEX(Proj[],MATCH(Std[[#This Row],[Player]],Proj[Player],0),15)-H$764)/H$765</f>
        <v>-0.29002249855830886</v>
      </c>
      <c r="I270" s="12">
        <f>(INDEX(Proj[],MATCH(Std[[#This Row],[Player]],Proj[Player],0),16)-I$764)/I$765</f>
        <v>0.13403120701566243</v>
      </c>
      <c r="J270" s="12">
        <f>(INDEX(Proj[],MATCH(Std[[#This Row],[Player]],Proj[Player],0),17)-J$764)/J$765</f>
        <v>0.12203405152491688</v>
      </c>
      <c r="K270" s="12">
        <f>(INDEX(Proj[],MATCH(Std[[#This Row],[Player]],Proj[Player],0),18)-K$764)/K$765</f>
        <v>-0.45042076997056774</v>
      </c>
      <c r="L270" s="12">
        <f>(INDEX(Proj[],MATCH(Std[[#This Row],[Player]],Proj[Player],0),19)-L$764)/L$765</f>
        <v>-0.27278273918567114</v>
      </c>
      <c r="M270" s="12">
        <f>(INDEX(Proj[],MATCH(Std[[#This Row],[Player]],Proj[Player],0),20)-M$764)/M$765</f>
        <v>0.31240082183847029</v>
      </c>
      <c r="N270" s="12">
        <f>(INDEX(Proj[],MATCH(Std[[#This Row],[Player]],Proj[Player],0),21)-N$764)/N$765</f>
        <v>0.81913384187086002</v>
      </c>
      <c r="O270" s="12">
        <f>(INDEX(Proj[],MATCH(Std[[#This Row],[Player]],Proj[Player],0),22)-O$764)/O$765</f>
        <v>-0.4050961960138178</v>
      </c>
      <c r="P270" s="12">
        <f>((INDEX(Proj[],MATCH(Std[[#This Row],[Player]],Proj[Player],0),23)-P$764)/P$765)*IF('League Inputs'!$C$23 = "Yes",-1, 1)</f>
        <v>0.39574218674895539</v>
      </c>
      <c r="Q270" s="12">
        <f>(INDEX(Proj[],MATCH(Std[[#This Row],[Player]],Proj[Player],0),24)-Q$764)/Q$765</f>
        <v>2.4084252515250948</v>
      </c>
      <c r="R270" s="12">
        <f>(INDEX(Proj[],MATCH(Std[[#This Row],[Player]],Proj[Player],0),25)-R$764)/R$765</f>
        <v>2.6492278110472549</v>
      </c>
      <c r="S270" s="12">
        <f>(INDEX(Proj[],MATCH(Std[[#This Row],[Player]],Proj[Player],0),26)-S$764)/S$765</f>
        <v>0.64679292440802716</v>
      </c>
      <c r="T2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414.6979015280271</v>
      </c>
      <c r="U270" s="11"/>
      <c r="W270" t="str">
        <v>Nick Bjugstad</v>
      </c>
      <c r="AA270" t="str">
        <v>Nick Bjugstad</v>
      </c>
      <c r="AB270" t="str">
        <v>Nick Bjugstad</v>
      </c>
    </row>
    <row r="271" spans="1:28" x14ac:dyDescent="0.25">
      <c r="A271" t="s">
        <v>460</v>
      </c>
      <c r="B271">
        <f>INDEX(Proj[],MATCH(Std[[#This Row],[Player]],Proj[Player],0),2)</f>
        <v>29</v>
      </c>
      <c r="C271" t="s">
        <v>102</v>
      </c>
      <c r="D271" s="75"/>
      <c r="E271" s="57"/>
      <c r="F271" t="s">
        <v>28</v>
      </c>
      <c r="G271" s="12">
        <f>(INDEX(Proj[],MATCH(Std[[#This Row],[Player]],Proj[Player],0),14)-G$764)/G$765</f>
        <v>0.60512116871170385</v>
      </c>
      <c r="H271" s="12">
        <f>(INDEX(Proj[],MATCH(Std[[#This Row],[Player]],Proj[Player],0),15)-H$764)/H$765</f>
        <v>-0.21549323157004366</v>
      </c>
      <c r="I271" s="12">
        <f>(INDEX(Proj[],MATCH(Std[[#This Row],[Player]],Proj[Player],0),16)-I$764)/I$765</f>
        <v>0.13403120701566243</v>
      </c>
      <c r="J271" s="12">
        <f>(INDEX(Proj[],MATCH(Std[[#This Row],[Player]],Proj[Player],0),17)-J$764)/J$765</f>
        <v>1.0051239131988361</v>
      </c>
      <c r="K271" s="12">
        <f>(INDEX(Proj[],MATCH(Std[[#This Row],[Player]],Proj[Player],0),18)-K$764)/K$765</f>
        <v>0.47409490196720849</v>
      </c>
      <c r="L271" s="12">
        <f>(INDEX(Proj[],MATCH(Std[[#This Row],[Player]],Proj[Player],0),19)-L$764)/L$765</f>
        <v>0.70586494442923664</v>
      </c>
      <c r="M271" s="12">
        <f>(INDEX(Proj[],MATCH(Std[[#This Row],[Player]],Proj[Player],0),20)-M$764)/M$765</f>
        <v>-0.71308883245737775</v>
      </c>
      <c r="N271" s="12">
        <f>(INDEX(Proj[],MATCH(Std[[#This Row],[Player]],Proj[Player],0),21)-N$764)/N$765</f>
        <v>0.10208370798196315</v>
      </c>
      <c r="O271" s="12">
        <f>(INDEX(Proj[],MATCH(Std[[#This Row],[Player]],Proj[Player],0),22)-O$764)/O$765</f>
        <v>-0.70690423942323199</v>
      </c>
      <c r="P271" s="12">
        <f>((INDEX(Proj[],MATCH(Std[[#This Row],[Player]],Proj[Player],0),23)-P$764)/P$765)*IF('League Inputs'!$C$23 = "Yes",-1, 1)</f>
        <v>0.34920241245059697</v>
      </c>
      <c r="Q271" s="12">
        <f>(INDEX(Proj[],MATCH(Std[[#This Row],[Player]],Proj[Player],0),24)-Q$764)/Q$765</f>
        <v>-0.18215918293255329</v>
      </c>
      <c r="R271" s="12">
        <f>(INDEX(Proj[],MATCH(Std[[#This Row],[Player]],Proj[Player],0),25)-R$764)/R$765</f>
        <v>-0.29048336267480357</v>
      </c>
      <c r="S271" s="12">
        <f>(INDEX(Proj[],MATCH(Std[[#This Row],[Player]],Proj[Player],0),26)-S$764)/S$765</f>
        <v>-0.18036047006973993</v>
      </c>
      <c r="T2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61.138631659359419</v>
      </c>
      <c r="U271" s="11"/>
      <c r="W271" t="str">
        <v>Robby Fabbri</v>
      </c>
      <c r="AA271" t="str">
        <v>Robby Fabbri</v>
      </c>
      <c r="AB271" t="str">
        <v>Robby Fabbri</v>
      </c>
    </row>
    <row r="272" spans="1:28" x14ac:dyDescent="0.25">
      <c r="A272" t="s">
        <v>446</v>
      </c>
      <c r="B272">
        <f>INDEX(Proj[],MATCH(Std[[#This Row],[Player]],Proj[Player],0),2)</f>
        <v>30</v>
      </c>
      <c r="C272" t="s">
        <v>102</v>
      </c>
      <c r="D272" s="75" t="s">
        <v>103</v>
      </c>
      <c r="E272" s="57"/>
      <c r="F272" t="s">
        <v>154</v>
      </c>
      <c r="G272" s="12">
        <f>(INDEX(Proj[],MATCH(Std[[#This Row],[Player]],Proj[Player],0),14)-G$764)/G$765</f>
        <v>0.18258569368064134</v>
      </c>
      <c r="H272" s="12">
        <f>(INDEX(Proj[],MATCH(Std[[#This Row],[Player]],Proj[Player],0),15)-H$764)/H$765</f>
        <v>8.262383638301718E-2</v>
      </c>
      <c r="I272" s="12">
        <f>(INDEX(Proj[],MATCH(Std[[#This Row],[Player]],Proj[Player],0),16)-I$764)/I$765</f>
        <v>0.13403120701566243</v>
      </c>
      <c r="J272" s="12">
        <f>(INDEX(Proj[],MATCH(Std[[#This Row],[Player]],Proj[Player],0),17)-J$764)/J$765</f>
        <v>-0.46669252292436259</v>
      </c>
      <c r="K272" s="12">
        <f>(INDEX(Proj[],MATCH(Std[[#This Row],[Player]],Proj[Player],0),18)-K$764)/K$765</f>
        <v>-0.29633482464760502</v>
      </c>
      <c r="L272" s="12">
        <f>(INDEX(Proj[],MATCH(Std[[#This Row],[Player]],Proj[Player],0),19)-L$764)/L$765</f>
        <v>-0.38152137069843867</v>
      </c>
      <c r="M272" s="12">
        <f>(INDEX(Proj[],MATCH(Std[[#This Row],[Player]],Proj[Player],0),20)-M$764)/M$765</f>
        <v>1.3378904761343182</v>
      </c>
      <c r="N272" s="12">
        <f>(INDEX(Proj[],MATCH(Std[[#This Row],[Player]],Proj[Player],0),21)-N$764)/N$765</f>
        <v>-1.0607002929189508</v>
      </c>
      <c r="O272" s="12">
        <f>(INDEX(Proj[],MATCH(Std[[#This Row],[Player]],Proj[Player],0),22)-O$764)/O$765</f>
        <v>-0.33544818599626064</v>
      </c>
      <c r="P272" s="12">
        <f>((INDEX(Proj[],MATCH(Std[[#This Row],[Player]],Proj[Player],0),23)-P$764)/P$765)*IF('League Inputs'!$C$23 = "Yes",-1, 1)</f>
        <v>-0.5815930735165723</v>
      </c>
      <c r="Q272" s="12">
        <f>(INDEX(Proj[],MATCH(Std[[#This Row],[Player]],Proj[Player],0),24)-Q$764)/Q$765</f>
        <v>2.1845475843497422</v>
      </c>
      <c r="R272" s="12">
        <f>(INDEX(Proj[],MATCH(Std[[#This Row],[Player]],Proj[Player],0),25)-R$764)/R$765</f>
        <v>1.9909141119125853</v>
      </c>
      <c r="S272" s="12">
        <f>(INDEX(Proj[],MATCH(Std[[#This Row],[Player]],Proj[Player],0),26)-S$764)/S$765</f>
        <v>-8.3048306013532025E-2</v>
      </c>
      <c r="T2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14.14770922853087</v>
      </c>
      <c r="U272" s="11"/>
      <c r="W272" t="str">
        <v>Andrew Copp</v>
      </c>
      <c r="AA272" t="str">
        <v>Andrew Copp</v>
      </c>
      <c r="AB272" t="str">
        <v>Andrew Copp</v>
      </c>
    </row>
    <row r="273" spans="1:28" x14ac:dyDescent="0.25">
      <c r="A273" t="s">
        <v>718</v>
      </c>
      <c r="B273">
        <f>INDEX(Proj[],MATCH(Std[[#This Row],[Player]],Proj[Player],0),2)</f>
        <v>29</v>
      </c>
      <c r="C273" t="s">
        <v>74</v>
      </c>
      <c r="D273" s="75"/>
      <c r="E273" s="56"/>
      <c r="F273" t="s">
        <v>12</v>
      </c>
      <c r="G273" s="12">
        <f>(INDEX(Proj[],MATCH(Std[[#This Row],[Player]],Proj[Player],0),14)-G$764)/G$765</f>
        <v>0.39385343119617261</v>
      </c>
      <c r="H273" s="12">
        <f>(INDEX(Proj[],MATCH(Std[[#This Row],[Player]],Proj[Player],0),15)-H$764)/H$765</f>
        <v>-6.6434697593513253E-2</v>
      </c>
      <c r="I273" s="12">
        <f>(INDEX(Proj[],MATCH(Std[[#This Row],[Player]],Proj[Player],0),16)-I$764)/I$765</f>
        <v>0.13403120701566243</v>
      </c>
      <c r="J273" s="12">
        <f>(INDEX(Proj[],MATCH(Std[[#This Row],[Player]],Proj[Player],0),17)-J$764)/J$765</f>
        <v>-0.17232923569972286</v>
      </c>
      <c r="K273" s="12">
        <f>(INDEX(Proj[],MATCH(Std[[#This Row],[Player]],Proj[Player],0),18)-K$764)/K$765</f>
        <v>-0.45042076997056774</v>
      </c>
      <c r="L273" s="12">
        <f>(INDEX(Proj[],MATCH(Std[[#This Row],[Player]],Proj[Player],0),19)-L$764)/L$765</f>
        <v>-0.38152137069843867</v>
      </c>
      <c r="M273" s="12">
        <f>(INDEX(Proj[],MATCH(Std[[#This Row],[Player]],Proj[Player],0),20)-M$764)/M$765</f>
        <v>0.31240082183847029</v>
      </c>
      <c r="N273" s="12">
        <f>(INDEX(Proj[],MATCH(Std[[#This Row],[Player]],Proj[Player],0),21)-N$764)/N$765</f>
        <v>-5.2954158804825381E-2</v>
      </c>
      <c r="O273" s="12">
        <f>(INDEX(Proj[],MATCH(Std[[#This Row],[Player]],Proj[Player],0),22)-O$764)/O$765</f>
        <v>-0.38188019267463208</v>
      </c>
      <c r="P273" s="12">
        <f>((INDEX(Proj[],MATCH(Std[[#This Row],[Player]],Proj[Player],0),23)-P$764)/P$765)*IF('League Inputs'!$C$23 = "Yes",-1, 1)</f>
        <v>-0.5815930735165723</v>
      </c>
      <c r="Q273" s="12">
        <f>(INDEX(Proj[],MATCH(Std[[#This Row],[Player]],Proj[Player],0),24)-Q$764)/Q$765</f>
        <v>-0.47533231851932412</v>
      </c>
      <c r="R273" s="12">
        <f>(INDEX(Proj[],MATCH(Std[[#This Row],[Player]],Proj[Player],0),25)-R$764)/R$765</f>
        <v>-0.48343737793841357</v>
      </c>
      <c r="S273" s="12">
        <f>(INDEX(Proj[],MATCH(Std[[#This Row],[Player]],Proj[Player],0),26)-S$764)/S$765</f>
        <v>0.22510688016445965</v>
      </c>
      <c r="T2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-118.67242934310111</v>
      </c>
      <c r="U273" s="11"/>
      <c r="W273" t="str">
        <v>Danton Heinen</v>
      </c>
      <c r="AA273" t="str">
        <v>Danton Heinen</v>
      </c>
      <c r="AB273" t="str">
        <v>Danton Heinen</v>
      </c>
    </row>
    <row r="274" spans="1:28" x14ac:dyDescent="0.25">
      <c r="A274" t="s">
        <v>1169</v>
      </c>
      <c r="B274">
        <f>INDEX(Proj[],MATCH(Std[[#This Row],[Player]],Proj[Player],0),2)</f>
        <v>19</v>
      </c>
      <c r="C274" t="s">
        <v>74</v>
      </c>
      <c r="D274" s="75" t="s">
        <v>103</v>
      </c>
      <c r="E274" s="57"/>
      <c r="F274" t="s">
        <v>6</v>
      </c>
      <c r="G274" s="12">
        <f>(INDEX(Proj[],MATCH(Std[[#This Row],[Player]],Proj[Player],0),14)-G$764)/G$765</f>
        <v>0.39385343119617261</v>
      </c>
      <c r="H274" s="12">
        <f>(INDEX(Proj[],MATCH(Std[[#This Row],[Player]],Proj[Player],0),15)-H$764)/H$765</f>
        <v>-6.6434697593513253E-2</v>
      </c>
      <c r="I274" s="12">
        <f>(INDEX(Proj[],MATCH(Std[[#This Row],[Player]],Proj[Player],0),16)-I$764)/I$765</f>
        <v>0.13403120701566243</v>
      </c>
      <c r="J274" s="12">
        <f>(INDEX(Proj[],MATCH(Std[[#This Row],[Player]],Proj[Player],0),17)-J$764)/J$765</f>
        <v>0.12203405152491688</v>
      </c>
      <c r="K274" s="12">
        <f>(INDEX(Proj[],MATCH(Std[[#This Row],[Player]],Proj[Player],0),18)-K$764)/K$765</f>
        <v>-0.29633482464760502</v>
      </c>
      <c r="L274" s="12">
        <f>(INDEX(Proj[],MATCH(Std[[#This Row],[Player]],Proj[Player],0),19)-L$764)/L$765</f>
        <v>-0.16404410767290362</v>
      </c>
      <c r="M274" s="12">
        <f>(INDEX(Proj[],MATCH(Std[[#This Row],[Player]],Proj[Player],0),20)-M$764)/M$765</f>
        <v>-0.71308883245737775</v>
      </c>
      <c r="N274" s="12">
        <f>(INDEX(Proj[],MATCH(Std[[#This Row],[Player]],Proj[Player],0),21)-N$764)/N$765</f>
        <v>-0.86690295943546514</v>
      </c>
      <c r="O274" s="12">
        <f>(INDEX(Proj[],MATCH(Std[[#This Row],[Player]],Proj[Player],0),22)-O$764)/O$765</f>
        <v>-0.56760821938811779</v>
      </c>
      <c r="P274" s="12">
        <f>((INDEX(Proj[],MATCH(Std[[#This Row],[Player]],Proj[Player],0),23)-P$764)/P$765)*IF('League Inputs'!$C$23 = "Yes",-1, 1)</f>
        <v>0.25612286385388</v>
      </c>
      <c r="Q274" s="12">
        <f>(INDEX(Proj[],MATCH(Std[[#This Row],[Player]],Proj[Player],0),24)-Q$764)/Q$765</f>
        <v>-0.39537600881384116</v>
      </c>
      <c r="R274" s="12">
        <f>(INDEX(Proj[],MATCH(Std[[#This Row],[Player]],Proj[Player],0),25)-R$764)/R$765</f>
        <v>-0.40398572459457416</v>
      </c>
      <c r="S274" s="12">
        <f>(INDEX(Proj[],MATCH(Std[[#This Row],[Player]],Proj[Player],0),26)-S$764)/S$765</f>
        <v>-1.9548359666921177E-3</v>
      </c>
      <c r="T2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-127.83133268048181</v>
      </c>
      <c r="U274" s="11"/>
      <c r="W274" t="str">
        <v>Zach Benson</v>
      </c>
      <c r="AA274" t="str">
        <v>Zach Benson</v>
      </c>
      <c r="AB274" t="str">
        <v>Zach Benson</v>
      </c>
    </row>
    <row r="275" spans="1:28" x14ac:dyDescent="0.25">
      <c r="A275" t="s">
        <v>399</v>
      </c>
      <c r="B275">
        <f>INDEX(Proj[],MATCH(Std[[#This Row],[Player]],Proj[Player],0),2)</f>
        <v>33</v>
      </c>
      <c r="C275" t="s">
        <v>74</v>
      </c>
      <c r="D275" s="75"/>
      <c r="E275" s="57"/>
      <c r="F275" t="s">
        <v>14</v>
      </c>
      <c r="G275" s="12">
        <f>(INDEX(Proj[],MATCH(Std[[#This Row],[Player]],Proj[Player],0),14)-G$764)/G$765</f>
        <v>7.6951824922875695E-2</v>
      </c>
      <c r="H275" s="12">
        <f>(INDEX(Proj[],MATCH(Std[[#This Row],[Player]],Proj[Player],0),15)-H$764)/H$765</f>
        <v>0.15715310337128238</v>
      </c>
      <c r="I275" s="12">
        <f>(INDEX(Proj[],MATCH(Std[[#This Row],[Player]],Proj[Player],0),16)-I$764)/I$765</f>
        <v>0.13403120701566243</v>
      </c>
      <c r="J275" s="12">
        <f>(INDEX(Proj[],MATCH(Std[[#This Row],[Player]],Proj[Player],0),17)-J$764)/J$765</f>
        <v>-0.46669252292436259</v>
      </c>
      <c r="K275" s="12">
        <f>(INDEX(Proj[],MATCH(Std[[#This Row],[Player]],Proj[Player],0),18)-K$764)/K$765</f>
        <v>-0.29633482464760502</v>
      </c>
      <c r="L275" s="12">
        <f>(INDEX(Proj[],MATCH(Std[[#This Row],[Player]],Proj[Player],0),19)-L$764)/L$765</f>
        <v>-0.38152137069843867</v>
      </c>
      <c r="M275" s="12">
        <f>(INDEX(Proj[],MATCH(Std[[#This Row],[Player]],Proj[Player],0),20)-M$764)/M$765</f>
        <v>-0.71308883245737775</v>
      </c>
      <c r="N275" s="12">
        <f>(INDEX(Proj[],MATCH(Std[[#This Row],[Player]],Proj[Player],0),21)-N$764)/N$765</f>
        <v>0.10208370798196315</v>
      </c>
      <c r="O275" s="12">
        <f>(INDEX(Proj[],MATCH(Std[[#This Row],[Player]],Proj[Player],0),22)-O$764)/O$765</f>
        <v>-0.24258417263951781</v>
      </c>
      <c r="P275" s="12">
        <f>((INDEX(Proj[],MATCH(Std[[#This Row],[Player]],Proj[Player],0),23)-P$764)/P$765)*IF('League Inputs'!$C$23 = "Yes",-1, 1)</f>
        <v>-0.5815930735165723</v>
      </c>
      <c r="Q275" s="12">
        <f>(INDEX(Proj[],MATCH(Std[[#This Row],[Player]],Proj[Player],0),24)-Q$764)/Q$765</f>
        <v>-0.52863652498964608</v>
      </c>
      <c r="R275" s="12">
        <f>(INDEX(Proj[],MATCH(Std[[#This Row],[Player]],Proj[Player],0),25)-R$764)/R$765</f>
        <v>-0.51748808651434475</v>
      </c>
      <c r="S275" s="12">
        <f>(INDEX(Proj[],MATCH(Std[[#This Row],[Player]],Proj[Player],0),26)-S$764)/S$765</f>
        <v>-0.14792308205100396</v>
      </c>
      <c r="T2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-141.20383806033954</v>
      </c>
      <c r="U275" s="11"/>
      <c r="W275" t="str">
        <v>Ondrej Palat</v>
      </c>
      <c r="AA275" t="str">
        <v>Ondrej Palat</v>
      </c>
      <c r="AB275" t="str">
        <v>Ondrej Palat</v>
      </c>
    </row>
    <row r="276" spans="1:28" x14ac:dyDescent="0.25">
      <c r="A276" t="s">
        <v>550</v>
      </c>
      <c r="B276">
        <f>INDEX(Proj[],MATCH(Std[[#This Row],[Player]],Proj[Player],0),2)</f>
        <v>32</v>
      </c>
      <c r="C276" t="s">
        <v>74</v>
      </c>
      <c r="D276" s="75" t="s">
        <v>102</v>
      </c>
      <c r="E276" s="57"/>
      <c r="F276" t="s">
        <v>28</v>
      </c>
      <c r="G276" s="12">
        <f>(INDEX(Proj[],MATCH(Std[[#This Row],[Player]],Proj[Player],0),14)-G$764)/G$765</f>
        <v>0.18258569368064134</v>
      </c>
      <c r="H276" s="12">
        <f>(INDEX(Proj[],MATCH(Std[[#This Row],[Player]],Proj[Player],0),15)-H$764)/H$765</f>
        <v>8.262383638301718E-2</v>
      </c>
      <c r="I276" s="12">
        <f>(INDEX(Proj[],MATCH(Std[[#This Row],[Player]],Proj[Player],0),16)-I$764)/I$765</f>
        <v>0.13403120701566243</v>
      </c>
      <c r="J276" s="12">
        <f>(INDEX(Proj[],MATCH(Std[[#This Row],[Player]],Proj[Player],0),17)-J$764)/J$765</f>
        <v>-0.17232923569972286</v>
      </c>
      <c r="K276" s="12">
        <f>(INDEX(Proj[],MATCH(Std[[#This Row],[Player]],Proj[Player],0),18)-K$764)/K$765</f>
        <v>-0.14224887932464234</v>
      </c>
      <c r="L276" s="12">
        <f>(INDEX(Proj[],MATCH(Std[[#This Row],[Player]],Proj[Player],0),19)-L$764)/L$765</f>
        <v>-0.16404410767290362</v>
      </c>
      <c r="M276" s="12">
        <f>(INDEX(Proj[],MATCH(Std[[#This Row],[Player]],Proj[Player],0),20)-M$764)/M$765</f>
        <v>-0.71308883245737775</v>
      </c>
      <c r="N276" s="12">
        <f>(INDEX(Proj[],MATCH(Std[[#This Row],[Player]],Proj[Player],0),21)-N$764)/N$765</f>
        <v>-0.82814349273876797</v>
      </c>
      <c r="O276" s="12">
        <f>(INDEX(Proj[],MATCH(Std[[#This Row],[Player]],Proj[Player],0),22)-O$764)/O$765</f>
        <v>-0.98549627949346053</v>
      </c>
      <c r="P276" s="12">
        <f>((INDEX(Proj[],MATCH(Std[[#This Row],[Player]],Proj[Player],0),23)-P$764)/P$765)*IF('League Inputs'!$C$23 = "Yes",-1, 1)</f>
        <v>-0.81429194500836466</v>
      </c>
      <c r="Q276" s="12">
        <f>(INDEX(Proj[],MATCH(Std[[#This Row],[Player]],Proj[Player],0),24)-Q$764)/Q$765</f>
        <v>1.7847660358223276</v>
      </c>
      <c r="R276" s="12">
        <f>(INDEX(Proj[],MATCH(Std[[#This Row],[Player]],Proj[Player],0),25)-R$764)/R$765</f>
        <v>1.5085290737535604</v>
      </c>
      <c r="S276" s="12">
        <f>(INDEX(Proj[],MATCH(Std[[#This Row],[Player]],Proj[Player],0),26)-S$764)/S$765</f>
        <v>0.64679292440802716</v>
      </c>
      <c r="T2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3.8823872396178905</v>
      </c>
      <c r="U276" s="11"/>
      <c r="W276" t="str">
        <v>Kevin Hayes</v>
      </c>
      <c r="AA276" t="str">
        <v>Kevin Hayes</v>
      </c>
      <c r="AB276" t="str">
        <v>Kevin Hayes</v>
      </c>
    </row>
    <row r="277" spans="1:28" x14ac:dyDescent="0.25">
      <c r="A277" t="s">
        <v>682</v>
      </c>
      <c r="B277">
        <f>INDEX(Proj[],MATCH(Std[[#This Row],[Player]],Proj[Player],0),2)</f>
        <v>34</v>
      </c>
      <c r="C277" t="s">
        <v>74</v>
      </c>
      <c r="D277" s="75" t="s">
        <v>102</v>
      </c>
      <c r="E277" s="56"/>
      <c r="F277" t="s">
        <v>155</v>
      </c>
      <c r="G277" s="12">
        <f>(INDEX(Proj[],MATCH(Std[[#This Row],[Player]],Proj[Player],0),14)-G$764)/G$765</f>
        <v>-2.8682043834889943E-2</v>
      </c>
      <c r="H277" s="12">
        <f>(INDEX(Proj[],MATCH(Std[[#This Row],[Player]],Proj[Player],0),15)-H$764)/H$765</f>
        <v>0.23168237035954761</v>
      </c>
      <c r="I277" s="12">
        <f>(INDEX(Proj[],MATCH(Std[[#This Row],[Player]],Proj[Player],0),16)-I$764)/I$765</f>
        <v>0.13403120701566243</v>
      </c>
      <c r="J277" s="12">
        <f>(INDEX(Proj[],MATCH(Std[[#This Row],[Player]],Proj[Player],0),17)-J$764)/J$765</f>
        <v>0.12203405152491688</v>
      </c>
      <c r="K277" s="12">
        <f>(INDEX(Proj[],MATCH(Std[[#This Row],[Player]],Proj[Player],0),18)-K$764)/K$765</f>
        <v>0.47409490196720849</v>
      </c>
      <c r="L277" s="12">
        <f>(INDEX(Proj[],MATCH(Std[[#This Row],[Player]],Proj[Player],0),19)-L$764)/L$765</f>
        <v>0.37964904989093406</v>
      </c>
      <c r="M277" s="12">
        <f>(INDEX(Proj[],MATCH(Std[[#This Row],[Player]],Proj[Player],0),20)-M$764)/M$765</f>
        <v>-0.71308883245737775</v>
      </c>
      <c r="N277" s="12">
        <f>(INDEX(Proj[],MATCH(Std[[#This Row],[Player]],Proj[Player],0),21)-N$764)/N$765</f>
        <v>-0.92504215948051083</v>
      </c>
      <c r="O277" s="12">
        <f>(INDEX(Proj[],MATCH(Std[[#This Row],[Player]],Proj[Player],0),22)-O$764)/O$765</f>
        <v>-0.75333624610160344</v>
      </c>
      <c r="P277" s="12">
        <f>((INDEX(Proj[],MATCH(Std[[#This Row],[Player]],Proj[Player],0),23)-P$764)/P$765)*IF('League Inputs'!$C$23 = "Yes",-1, 1)</f>
        <v>-1.0469908165001569</v>
      </c>
      <c r="Q277" s="12">
        <f>(INDEX(Proj[],MATCH(Std[[#This Row],[Player]],Proj[Player],0),24)-Q$764)/Q$765</f>
        <v>-0.48066273916635632</v>
      </c>
      <c r="R277" s="12">
        <f>(INDEX(Proj[],MATCH(Std[[#This Row],[Player]],Proj[Player],0),25)-R$764)/R$765</f>
        <v>-0.41533596078655122</v>
      </c>
      <c r="S277" s="12">
        <f>(INDEX(Proj[],MATCH(Std[[#This Row],[Player]],Proj[Player],0),26)-S$764)/S$765</f>
        <v>-9.9267000022900009E-2</v>
      </c>
      <c r="T2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-258.86183778402733</v>
      </c>
      <c r="U277" s="11"/>
      <c r="W277" t="str">
        <v>Marcus Johansson</v>
      </c>
      <c r="AA277" t="str">
        <v>Marcus Johansson</v>
      </c>
      <c r="AB277" t="str">
        <v>Marcus Johansson</v>
      </c>
    </row>
    <row r="278" spans="1:28" x14ac:dyDescent="0.25">
      <c r="A278" t="s">
        <v>267</v>
      </c>
      <c r="B278">
        <f>INDEX(Proj[],MATCH(Std[[#This Row],[Player]],Proj[Player],0),2)</f>
        <v>29</v>
      </c>
      <c r="C278" t="s">
        <v>74</v>
      </c>
      <c r="D278" s="75" t="s">
        <v>102</v>
      </c>
      <c r="E278" s="57" t="s">
        <v>103</v>
      </c>
      <c r="F278" t="s">
        <v>2</v>
      </c>
      <c r="G278" s="12">
        <f>(INDEX(Proj[],MATCH(Std[[#This Row],[Player]],Proj[Player],0),14)-G$764)/G$765</f>
        <v>-0.23994978135042122</v>
      </c>
      <c r="H278" s="12">
        <f>(INDEX(Proj[],MATCH(Std[[#This Row],[Player]],Proj[Player],0),15)-H$764)/H$765</f>
        <v>0.30621163734781282</v>
      </c>
      <c r="I278" s="12">
        <f>(INDEX(Proj[],MATCH(Std[[#This Row],[Player]],Proj[Player],0),16)-I$764)/I$765</f>
        <v>8.6788648053559195E-2</v>
      </c>
      <c r="J278" s="12">
        <f>(INDEX(Proj[],MATCH(Std[[#This Row],[Player]],Proj[Player],0),17)-J$764)/J$765</f>
        <v>-0.46669252292436259</v>
      </c>
      <c r="K278" s="12">
        <f>(INDEX(Proj[],MATCH(Std[[#This Row],[Player]],Proj[Player],0),18)-K$764)/K$765</f>
        <v>-0.29633482464760502</v>
      </c>
      <c r="L278" s="12">
        <f>(INDEX(Proj[],MATCH(Std[[#This Row],[Player]],Proj[Player],0),19)-L$764)/L$765</f>
        <v>-0.38152137069843867</v>
      </c>
      <c r="M278" s="12">
        <f>(INDEX(Proj[],MATCH(Std[[#This Row],[Player]],Proj[Player],0),20)-M$764)/M$765</f>
        <v>1.3378904761343182</v>
      </c>
      <c r="N278" s="12">
        <f>(INDEX(Proj[],MATCH(Std[[#This Row],[Player]],Proj[Player],0),21)-N$764)/N$765</f>
        <v>1.4005258423213169</v>
      </c>
      <c r="O278" s="12">
        <f>(INDEX(Proj[],MATCH(Std[[#This Row],[Player]],Proj[Player],0),22)-O$764)/O$765</f>
        <v>2.3808242046884676</v>
      </c>
      <c r="P278" s="12">
        <f>((INDEX(Proj[],MATCH(Std[[#This Row],[Player]],Proj[Player],0),23)-P$764)/P$765)*IF('League Inputs'!$C$23 = "Yes",-1, 1)</f>
        <v>1.2799978984177662</v>
      </c>
      <c r="Q278" s="12">
        <f>(INDEX(Proj[],MATCH(Std[[#This Row],[Player]],Proj[Player],0),24)-Q$764)/Q$765</f>
        <v>-0.5766103108129359</v>
      </c>
      <c r="R278" s="12">
        <f>(INDEX(Proj[],MATCH(Std[[#This Row],[Player]],Proj[Player],0),25)-R$764)/R$765</f>
        <v>-0.62531533033812681</v>
      </c>
      <c r="S278" s="12">
        <f>(INDEX(Proj[],MATCH(Std[[#This Row],[Player]],Proj[Player],0),26)-S$764)/S$765</f>
        <v>0.93872941657665088</v>
      </c>
      <c r="T2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519.4996184543777</v>
      </c>
      <c r="U278" s="11"/>
      <c r="W278" t="str">
        <v>Darnell Nurse</v>
      </c>
      <c r="AA278" t="str">
        <v>Darnell Nurse</v>
      </c>
      <c r="AB278" t="str">
        <v>Darnell Nurse</v>
      </c>
    </row>
    <row r="279" spans="1:28" x14ac:dyDescent="0.25">
      <c r="A279" t="s">
        <v>641</v>
      </c>
      <c r="B279">
        <f>INDEX(Proj[],MATCH(Std[[#This Row],[Player]],Proj[Player],0),2)</f>
        <v>26</v>
      </c>
      <c r="C279" t="s">
        <v>102</v>
      </c>
      <c r="D279" s="75"/>
      <c r="E279" s="56"/>
      <c r="F279" t="s">
        <v>22</v>
      </c>
      <c r="G279" s="12">
        <f>(INDEX(Proj[],MATCH(Std[[#This Row],[Player]],Proj[Player],0),14)-G$764)/G$765</f>
        <v>0.49948729995393826</v>
      </c>
      <c r="H279" s="12">
        <f>(INDEX(Proj[],MATCH(Std[[#This Row],[Player]],Proj[Player],0),15)-H$764)/H$765</f>
        <v>-0.21549323157004366</v>
      </c>
      <c r="I279" s="12">
        <f>(INDEX(Proj[],MATCH(Std[[#This Row],[Player]],Proj[Player],0),16)-I$764)/I$765</f>
        <v>8.6788648053559195E-2</v>
      </c>
      <c r="J279" s="12">
        <f>(INDEX(Proj[],MATCH(Std[[#This Row],[Player]],Proj[Player],0),17)-J$764)/J$765</f>
        <v>-0.17232923569972286</v>
      </c>
      <c r="K279" s="12">
        <f>(INDEX(Proj[],MATCH(Std[[#This Row],[Player]],Proj[Player],0),18)-K$764)/K$765</f>
        <v>-0.60450671529353051</v>
      </c>
      <c r="L279" s="12">
        <f>(INDEX(Proj[],MATCH(Std[[#This Row],[Player]],Proj[Player],0),19)-L$764)/L$765</f>
        <v>-0.49026000221120619</v>
      </c>
      <c r="M279" s="12">
        <f>(INDEX(Proj[],MATCH(Std[[#This Row],[Player]],Proj[Player],0),20)-M$764)/M$765</f>
        <v>0.31240082183847029</v>
      </c>
      <c r="N279" s="12">
        <f>(INDEX(Proj[],MATCH(Std[[#This Row],[Player]],Proj[Player],0),21)-N$764)/N$765</f>
        <v>1.5361839757597571</v>
      </c>
      <c r="O279" s="12">
        <f>(INDEX(Proj[],MATCH(Std[[#This Row],[Player]],Proj[Player],0),22)-O$764)/O$765</f>
        <v>-0.42831219935300352</v>
      </c>
      <c r="P279" s="12">
        <f>((INDEX(Proj[],MATCH(Std[[#This Row],[Player]],Proj[Player],0),23)-P$764)/P$765)*IF('League Inputs'!$C$23 = "Yes",-1, 1)</f>
        <v>1.6988558671029923</v>
      </c>
      <c r="Q279" s="12">
        <f>(INDEX(Proj[],MATCH(Std[[#This Row],[Player]],Proj[Player],0),24)-Q$764)/Q$765</f>
        <v>4.4055397135736116E-3</v>
      </c>
      <c r="R279" s="12">
        <f>(INDEX(Proj[],MATCH(Std[[#This Row],[Player]],Proj[Player],0),25)-R$764)/R$765</f>
        <v>0.1465007307163132</v>
      </c>
      <c r="S279" s="12">
        <f>(INDEX(Proj[],MATCH(Std[[#This Row],[Player]],Proj[Player],0),26)-S$764)/S$765</f>
        <v>0.14401341011761973</v>
      </c>
      <c r="T2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283.5669307567187</v>
      </c>
      <c r="U279" s="11"/>
      <c r="W279" t="str">
        <v>Trent Frederic</v>
      </c>
      <c r="AA279" t="str">
        <v>Trent Frederic</v>
      </c>
      <c r="AB279" t="str">
        <v>Trent Frederic</v>
      </c>
    </row>
    <row r="280" spans="1:28" x14ac:dyDescent="0.25">
      <c r="A280" t="s">
        <v>421</v>
      </c>
      <c r="B280">
        <f>INDEX(Proj[],MATCH(Std[[#This Row],[Player]],Proj[Player],0),2)</f>
        <v>31</v>
      </c>
      <c r="C280" t="s">
        <v>74</v>
      </c>
      <c r="D280" s="75"/>
      <c r="E280" s="56"/>
      <c r="F280" t="s">
        <v>15</v>
      </c>
      <c r="G280" s="12">
        <f>(INDEX(Proj[],MATCH(Std[[#This Row],[Player]],Proj[Player],0),14)-G$764)/G$765</f>
        <v>-0.66248525638148381</v>
      </c>
      <c r="H280" s="12">
        <f>(INDEX(Proj[],MATCH(Std[[#This Row],[Player]],Proj[Player],0),15)-H$764)/H$765</f>
        <v>0.60432870530087368</v>
      </c>
      <c r="I280" s="12">
        <f>(INDEX(Proj[],MATCH(Std[[#This Row],[Player]],Proj[Player],0),16)-I$764)/I$765</f>
        <v>8.6788648053559195E-2</v>
      </c>
      <c r="J280" s="12">
        <f>(INDEX(Proj[],MATCH(Std[[#This Row],[Player]],Proj[Player],0),17)-J$764)/J$765</f>
        <v>-0.46669252292436259</v>
      </c>
      <c r="K280" s="12">
        <f>(INDEX(Proj[],MATCH(Std[[#This Row],[Player]],Proj[Player],0),18)-K$764)/K$765</f>
        <v>0.32000895664424578</v>
      </c>
      <c r="L280" s="12">
        <f>(INDEX(Proj[],MATCH(Std[[#This Row],[Player]],Proj[Player],0),19)-L$764)/L$765</f>
        <v>5.3433155352631455E-2</v>
      </c>
      <c r="M280" s="12">
        <f>(INDEX(Proj[],MATCH(Std[[#This Row],[Player]],Proj[Player],0),20)-M$764)/M$765</f>
        <v>-0.71308883245737775</v>
      </c>
      <c r="N280" s="12">
        <f>(INDEX(Proj[],MATCH(Std[[#This Row],[Player]],Proj[Player],0),21)-N$764)/N$765</f>
        <v>-0.51806775916519099</v>
      </c>
      <c r="O280" s="12">
        <f>(INDEX(Proj[],MATCH(Std[[#This Row],[Player]],Proj[Player],0),22)-O$764)/O$765</f>
        <v>1.220024037729182</v>
      </c>
      <c r="P280" s="12">
        <f>((INDEX(Proj[],MATCH(Std[[#This Row],[Player]],Proj[Player],0),23)-P$764)/P$765)*IF('League Inputs'!$C$23 = "Yes",-1, 1)</f>
        <v>0.86113992973254005</v>
      </c>
      <c r="Q280" s="12">
        <f>(INDEX(Proj[],MATCH(Std[[#This Row],[Player]],Proj[Player],0),24)-Q$764)/Q$765</f>
        <v>-0.5766103108129359</v>
      </c>
      <c r="R280" s="12">
        <f>(INDEX(Proj[],MATCH(Std[[#This Row],[Player]],Proj[Player],0),25)-R$764)/R$765</f>
        <v>-0.62531533033812681</v>
      </c>
      <c r="S280" s="12">
        <f>(INDEX(Proj[],MATCH(Std[[#This Row],[Player]],Proj[Player],0),26)-S$764)/S$765</f>
        <v>9.5357328089515775E-2</v>
      </c>
      <c r="T2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116.39084778986914</v>
      </c>
      <c r="U280" s="11"/>
      <c r="W280" t="str">
        <v>Hampus Lindholm</v>
      </c>
      <c r="AA280" t="str">
        <v>Hampus Lindholm</v>
      </c>
      <c r="AB280" t="str">
        <v>Hampus Lindholm</v>
      </c>
    </row>
    <row r="281" spans="1:28" x14ac:dyDescent="0.25">
      <c r="A281" t="s">
        <v>685</v>
      </c>
      <c r="B281">
        <f>INDEX(Proj[],MATCH(Std[[#This Row],[Player]],Proj[Player],0),2)</f>
        <v>31</v>
      </c>
      <c r="C281" t="s">
        <v>102</v>
      </c>
      <c r="D281" s="75" t="s">
        <v>103</v>
      </c>
      <c r="E281" s="57"/>
      <c r="F281" t="s">
        <v>20</v>
      </c>
      <c r="G281" s="12">
        <f>(INDEX(Proj[],MATCH(Std[[#This Row],[Player]],Proj[Player],0),14)-G$764)/G$765</f>
        <v>7.6951824922875695E-2</v>
      </c>
      <c r="H281" s="12">
        <f>(INDEX(Proj[],MATCH(Std[[#This Row],[Player]],Proj[Player],0),15)-H$764)/H$765</f>
        <v>8.262383638301718E-2</v>
      </c>
      <c r="I281" s="12">
        <f>(INDEX(Proj[],MATCH(Std[[#This Row],[Player]],Proj[Player],0),16)-I$764)/I$765</f>
        <v>8.6788648053559195E-2</v>
      </c>
      <c r="J281" s="12">
        <f>(INDEX(Proj[],MATCH(Std[[#This Row],[Player]],Proj[Player],0),17)-J$764)/J$765</f>
        <v>0.12203405152491688</v>
      </c>
      <c r="K281" s="12">
        <f>(INDEX(Proj[],MATCH(Std[[#This Row],[Player]],Proj[Player],0),18)-K$764)/K$765</f>
        <v>-0.29633482464760502</v>
      </c>
      <c r="L281" s="12">
        <f>(INDEX(Proj[],MATCH(Std[[#This Row],[Player]],Proj[Player],0),19)-L$764)/L$765</f>
        <v>-0.16404410767290362</v>
      </c>
      <c r="M281" s="12">
        <f>(INDEX(Proj[],MATCH(Std[[#This Row],[Player]],Proj[Player],0),20)-M$764)/M$765</f>
        <v>2.3633801304301665</v>
      </c>
      <c r="N281" s="12">
        <f>(INDEX(Proj[],MATCH(Std[[#This Row],[Player]],Proj[Player],0),21)-N$764)/N$765</f>
        <v>0.99355144200599721</v>
      </c>
      <c r="O281" s="12">
        <f>(INDEX(Proj[],MATCH(Std[[#This Row],[Player]],Proj[Player],0),22)-O$764)/O$765</f>
        <v>-8.0072149265217829E-2</v>
      </c>
      <c r="P281" s="12">
        <f>((INDEX(Proj[],MATCH(Std[[#This Row],[Player]],Proj[Player],0),23)-P$764)/P$765)*IF('League Inputs'!$C$23 = "Yes",-1, 1)</f>
        <v>-0.25581465342806309</v>
      </c>
      <c r="Q281" s="12">
        <f>(INDEX(Proj[],MATCH(Std[[#This Row],[Player]],Proj[Player],0),24)-Q$764)/Q$765</f>
        <v>2.6589550219356077</v>
      </c>
      <c r="R281" s="12">
        <f>(INDEX(Proj[],MATCH(Std[[#This Row],[Player]],Proj[Player],0),25)-R$764)/R$765</f>
        <v>2.4732991500716102</v>
      </c>
      <c r="S281" s="12">
        <f>(INDEX(Proj[],MATCH(Std[[#This Row],[Player]],Proj[Player],0),26)-S$764)/S$765</f>
        <v>-0.29389132813531582</v>
      </c>
      <c r="T2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310.50485347995567</v>
      </c>
      <c r="U281" s="11"/>
      <c r="W281" t="str">
        <v>Colton Sissons</v>
      </c>
      <c r="AA281" t="str">
        <v>Colton Sissons</v>
      </c>
      <c r="AB281" t="str">
        <v>Colton Sissons</v>
      </c>
    </row>
    <row r="282" spans="1:28" x14ac:dyDescent="0.25">
      <c r="A282" t="s">
        <v>777</v>
      </c>
      <c r="B282">
        <f>INDEX(Proj[],MATCH(Std[[#This Row],[Player]],Proj[Player],0),2)</f>
        <v>23</v>
      </c>
      <c r="C282" t="s">
        <v>3</v>
      </c>
      <c r="D282" s="75"/>
      <c r="E282" s="57"/>
      <c r="F282" t="s">
        <v>7</v>
      </c>
      <c r="G282" s="12">
        <f>(INDEX(Proj[],MATCH(Std[[#This Row],[Player]],Proj[Player],0),14)-G$764)/G$765</f>
        <v>-0.34558365010818687</v>
      </c>
      <c r="H282" s="12">
        <f>(INDEX(Proj[],MATCH(Std[[#This Row],[Player]],Proj[Player],0),15)-H$764)/H$765</f>
        <v>0.38074090433607805</v>
      </c>
      <c r="I282" s="12">
        <f>(INDEX(Proj[],MATCH(Std[[#This Row],[Player]],Proj[Player],0),16)-I$764)/I$765</f>
        <v>8.6788648053559195E-2</v>
      </c>
      <c r="J282" s="12">
        <f>(INDEX(Proj[],MATCH(Std[[#This Row],[Player]],Proj[Player],0),17)-J$764)/J$765</f>
        <v>-0.46669252292436259</v>
      </c>
      <c r="K282" s="12">
        <f>(INDEX(Proj[],MATCH(Std[[#This Row],[Player]],Proj[Player],0),18)-K$764)/K$765</f>
        <v>0.32000895664424578</v>
      </c>
      <c r="L282" s="12">
        <f>(INDEX(Proj[],MATCH(Std[[#This Row],[Player]],Proj[Player],0),19)-L$764)/L$765</f>
        <v>5.3433155352631455E-2</v>
      </c>
      <c r="M282" s="12">
        <f>(INDEX(Proj[],MATCH(Std[[#This Row],[Player]],Proj[Player],0),20)-M$764)/M$765</f>
        <v>0.31240082183847029</v>
      </c>
      <c r="N282" s="12">
        <f>(INDEX(Proj[],MATCH(Std[[#This Row],[Player]],Proj[Player],0),21)-N$764)/N$765</f>
        <v>-0.26613122563665959</v>
      </c>
      <c r="O282" s="12">
        <f>(INDEX(Proj[],MATCH(Std[[#This Row],[Player]],Proj[Player],0),22)-O$764)/O$765</f>
        <v>1.5682640878169676</v>
      </c>
      <c r="P282" s="12">
        <f>((INDEX(Proj[],MATCH(Std[[#This Row],[Player]],Proj[Player],0),23)-P$764)/P$765)*IF('League Inputs'!$C$23 = "Yes",-1, 1)</f>
        <v>-0.53505329921821387</v>
      </c>
      <c r="Q282" s="12">
        <f>(INDEX(Proj[],MATCH(Std[[#This Row],[Player]],Proj[Player],0),24)-Q$764)/Q$765</f>
        <v>-0.5766103108129359</v>
      </c>
      <c r="R282" s="12">
        <f>(INDEX(Proj[],MATCH(Std[[#This Row],[Player]],Proj[Player],0),25)-R$764)/R$765</f>
        <v>-0.62531533033812681</v>
      </c>
      <c r="S282" s="12">
        <f>(INDEX(Proj[],MATCH(Std[[#This Row],[Player]],Proj[Player],0),26)-S$764)/S$765</f>
        <v>0.25754426818319559</v>
      </c>
      <c r="T2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62.339257796643544</v>
      </c>
      <c r="U282" s="11"/>
      <c r="W282" t="str">
        <v>Thomas Harley</v>
      </c>
      <c r="AA282" t="str">
        <v>Thomas Harley</v>
      </c>
      <c r="AB282" t="str">
        <v>Thomas Harley</v>
      </c>
    </row>
    <row r="283" spans="1:28" x14ac:dyDescent="0.25">
      <c r="A283" t="s">
        <v>496</v>
      </c>
      <c r="B283">
        <f>INDEX(Proj[],MATCH(Std[[#This Row],[Player]],Proj[Player],0),2)</f>
        <v>32</v>
      </c>
      <c r="C283" t="s">
        <v>102</v>
      </c>
      <c r="D283" s="75"/>
      <c r="E283" s="57"/>
      <c r="F283" t="s">
        <v>22</v>
      </c>
      <c r="G283" s="12">
        <f>(INDEX(Proj[],MATCH(Std[[#This Row],[Player]],Proj[Player],0),14)-G$764)/G$765</f>
        <v>-2.8682043834889943E-2</v>
      </c>
      <c r="H283" s="12">
        <f>(INDEX(Proj[],MATCH(Std[[#This Row],[Player]],Proj[Player],0),15)-H$764)/H$765</f>
        <v>0.15715310337128238</v>
      </c>
      <c r="I283" s="12">
        <f>(INDEX(Proj[],MATCH(Std[[#This Row],[Player]],Proj[Player],0),16)-I$764)/I$765</f>
        <v>8.6788648053559195E-2</v>
      </c>
      <c r="J283" s="12">
        <f>(INDEX(Proj[],MATCH(Std[[#This Row],[Player]],Proj[Player],0),17)-J$764)/J$765</f>
        <v>-0.17232923569972286</v>
      </c>
      <c r="K283" s="12">
        <f>(INDEX(Proj[],MATCH(Std[[#This Row],[Player]],Proj[Player],0),18)-K$764)/K$765</f>
        <v>-0.45042076997056774</v>
      </c>
      <c r="L283" s="12">
        <f>(INDEX(Proj[],MATCH(Std[[#This Row],[Player]],Proj[Player],0),19)-L$764)/L$765</f>
        <v>-0.38152137069843867</v>
      </c>
      <c r="M283" s="12">
        <f>(INDEX(Proj[],MATCH(Std[[#This Row],[Player]],Proj[Player],0),20)-M$764)/M$765</f>
        <v>3.3888697847260145</v>
      </c>
      <c r="N283" s="12">
        <f>(INDEX(Proj[],MATCH(Std[[#This Row],[Player]],Proj[Player],0),21)-N$764)/N$765</f>
        <v>1.7299813092432426</v>
      </c>
      <c r="O283" s="12">
        <f>(INDEX(Proj[],MATCH(Std[[#This Row],[Player]],Proj[Player],0),22)-O$764)/O$765</f>
        <v>0.24495189748338211</v>
      </c>
      <c r="P283" s="12">
        <f>((INDEX(Proj[],MATCH(Std[[#This Row],[Player]],Proj[Player],0),23)-P$764)/P$765)*IF('League Inputs'!$C$23 = "Yes",-1, 1)</f>
        <v>-0.76775217071000623</v>
      </c>
      <c r="Q283" s="12">
        <f>(INDEX(Proj[],MATCH(Std[[#This Row],[Player]],Proj[Player],0),24)-Q$764)/Q$765</f>
        <v>3.0534061498159901</v>
      </c>
      <c r="R283" s="12">
        <f>(INDEX(Proj[],MATCH(Std[[#This Row],[Player]],Proj[Player],0),25)-R$764)/R$765</f>
        <v>2.4846493862635874</v>
      </c>
      <c r="S283" s="12">
        <f>(INDEX(Proj[],MATCH(Std[[#This Row],[Player]],Proj[Player],0),26)-S$764)/S$765</f>
        <v>-0.2127978580884759</v>
      </c>
      <c r="T2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388.1527664635646</v>
      </c>
      <c r="U283" s="11"/>
      <c r="W283" t="str">
        <v>Jean-Gabriel Pageau</v>
      </c>
      <c r="AA283" t="str">
        <v>Jean-Gabriel Pageau</v>
      </c>
      <c r="AB283" t="str">
        <v>Jean-Gabriel Pageau</v>
      </c>
    </row>
    <row r="284" spans="1:28" x14ac:dyDescent="0.25">
      <c r="A284" t="s">
        <v>936</v>
      </c>
      <c r="B284">
        <f>INDEX(Proj[],MATCH(Std[[#This Row],[Player]],Proj[Player],0),2)</f>
        <v>32</v>
      </c>
      <c r="C284" t="s">
        <v>102</v>
      </c>
      <c r="D284" s="75" t="s">
        <v>103</v>
      </c>
      <c r="E284" s="57"/>
      <c r="F284" t="s">
        <v>8</v>
      </c>
      <c r="G284" s="12">
        <f>(INDEX(Proj[],MATCH(Std[[#This Row],[Player]],Proj[Player],0),14)-G$764)/G$765</f>
        <v>-0.66248525638148381</v>
      </c>
      <c r="H284" s="12">
        <f>(INDEX(Proj[],MATCH(Std[[#This Row],[Player]],Proj[Player],0),15)-H$764)/H$765</f>
        <v>0.60432870530087368</v>
      </c>
      <c r="I284" s="12">
        <f>(INDEX(Proj[],MATCH(Std[[#This Row],[Player]],Proj[Player],0),16)-I$764)/I$765</f>
        <v>8.6788648053559195E-2</v>
      </c>
      <c r="J284" s="12">
        <f>(INDEX(Proj[],MATCH(Std[[#This Row],[Player]],Proj[Player],0),17)-J$764)/J$765</f>
        <v>-0.46669252292436259</v>
      </c>
      <c r="K284" s="12">
        <f>(INDEX(Proj[],MATCH(Std[[#This Row],[Player]],Proj[Player],0),18)-K$764)/K$765</f>
        <v>0.78226679261313392</v>
      </c>
      <c r="L284" s="12">
        <f>(INDEX(Proj[],MATCH(Std[[#This Row],[Player]],Proj[Player],0),19)-L$764)/L$765</f>
        <v>0.37964904989093406</v>
      </c>
      <c r="M284" s="12">
        <f>(INDEX(Proj[],MATCH(Std[[#This Row],[Player]],Proj[Player],0),20)-M$764)/M$765</f>
        <v>-0.71308883245737775</v>
      </c>
      <c r="N284" s="12">
        <f>(INDEX(Proj[],MATCH(Std[[#This Row],[Player]],Proj[Player],0),21)-N$764)/N$765</f>
        <v>-0.53744749251353952</v>
      </c>
      <c r="O284" s="12">
        <f>(INDEX(Proj[],MATCH(Std[[#This Row],[Player]],Proj[Player],0),22)-O$764)/O$765</f>
        <v>0.63962395424953922</v>
      </c>
      <c r="P284" s="12">
        <f>((INDEX(Proj[],MATCH(Std[[#This Row],[Player]],Proj[Player],0),23)-P$764)/P$765)*IF('League Inputs'!$C$23 = "Yes",-1, 1)</f>
        <v>-0.39543397632313848</v>
      </c>
      <c r="Q284" s="12">
        <f>(INDEX(Proj[],MATCH(Std[[#This Row],[Player]],Proj[Player],0),24)-Q$764)/Q$765</f>
        <v>-0.5766103108129359</v>
      </c>
      <c r="R284" s="12">
        <f>(INDEX(Proj[],MATCH(Std[[#This Row],[Player]],Proj[Player],0),25)-R$764)/R$765</f>
        <v>-0.62531533033812681</v>
      </c>
      <c r="S284" s="12">
        <f>(INDEX(Proj[],MATCH(Std[[#This Row],[Player]],Proj[Player],0),26)-S$764)/S$765</f>
        <v>-6.6829612004164055E-2</v>
      </c>
      <c r="T2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-52.841629054035558</v>
      </c>
      <c r="U284" s="11"/>
      <c r="W284" t="str">
        <v>Erik Gustafsson (92)</v>
      </c>
      <c r="AA284" t="str">
        <v>Erik Gustafsson (92)</v>
      </c>
      <c r="AB284" t="str">
        <v>Erik Gustafsson (92)</v>
      </c>
    </row>
    <row r="285" spans="1:28" x14ac:dyDescent="0.25">
      <c r="A285" t="s">
        <v>1254</v>
      </c>
      <c r="B285">
        <f>INDEX(Proj[],MATCH(Std[[#This Row],[Player]],Proj[Player],0),2)</f>
        <v>21</v>
      </c>
      <c r="C285" t="s">
        <v>103</v>
      </c>
      <c r="D285" s="75"/>
      <c r="E285" s="57"/>
      <c r="F285" t="s">
        <v>10</v>
      </c>
      <c r="G285" s="12">
        <f>(INDEX(Proj[],MATCH(Std[[#This Row],[Player]],Proj[Player],0),14)-G$764)/G$765</f>
        <v>0.28821956243840696</v>
      </c>
      <c r="H285" s="12">
        <f>(INDEX(Proj[],MATCH(Std[[#This Row],[Player]],Proj[Player],0),15)-H$764)/H$765</f>
        <v>-6.6434697593513253E-2</v>
      </c>
      <c r="I285" s="12">
        <f>(INDEX(Proj[],MATCH(Std[[#This Row],[Player]],Proj[Player],0),16)-I$764)/I$765</f>
        <v>8.6788648053559195E-2</v>
      </c>
      <c r="J285" s="12">
        <f>(INDEX(Proj[],MATCH(Std[[#This Row],[Player]],Proj[Player],0),17)-J$764)/J$765</f>
        <v>0.12203405152491688</v>
      </c>
      <c r="K285" s="12">
        <f>(INDEX(Proj[],MATCH(Std[[#This Row],[Player]],Proj[Player],0),18)-K$764)/K$765</f>
        <v>-0.14224887932464234</v>
      </c>
      <c r="L285" s="12">
        <f>(INDEX(Proj[],MATCH(Std[[#This Row],[Player]],Proj[Player],0),19)-L$764)/L$765</f>
        <v>-5.5305476160136084E-2</v>
      </c>
      <c r="M285" s="12">
        <f>(INDEX(Proj[],MATCH(Std[[#This Row],[Player]],Proj[Player],0),20)-M$764)/M$765</f>
        <v>-0.71308883245737775</v>
      </c>
      <c r="N285" s="12">
        <f>(INDEX(Proj[],MATCH(Std[[#This Row],[Player]],Proj[Player],0),21)-N$764)/N$765</f>
        <v>0.23774184142040311</v>
      </c>
      <c r="O285" s="12">
        <f>(INDEX(Proj[],MATCH(Std[[#This Row],[Player]],Proj[Player],0),22)-O$764)/O$765</f>
        <v>-0.59082422272730351</v>
      </c>
      <c r="P285" s="12">
        <f>((INDEX(Proj[],MATCH(Std[[#This Row],[Player]],Proj[Player],0),23)-P$764)/P$765)*IF('League Inputs'!$C$23 = "Yes",-1, 1)</f>
        <v>0.25612286385388</v>
      </c>
      <c r="Q285" s="12">
        <f>(INDEX(Proj[],MATCH(Std[[#This Row],[Player]],Proj[Player],0),24)-Q$764)/Q$765</f>
        <v>0.26026573077111909</v>
      </c>
      <c r="R285" s="12">
        <f>(INDEX(Proj[],MATCH(Std[[#This Row],[Player]],Proj[Player],0),25)-R$764)/R$765</f>
        <v>0.26567821073207232</v>
      </c>
      <c r="S285" s="12">
        <f>(INDEX(Proj[],MATCH(Std[[#This Row],[Player]],Proj[Player],0),26)-S$764)/S$765</f>
        <v>0.1764507981363557</v>
      </c>
      <c r="T2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59.302504819277125</v>
      </c>
      <c r="U285" s="11"/>
      <c r="W285" t="str">
        <v>Rutger McGroarty</v>
      </c>
      <c r="AA285" t="str">
        <v>Rutger McGroarty</v>
      </c>
      <c r="AB285" t="str">
        <v>Rutger McGroarty</v>
      </c>
    </row>
    <row r="286" spans="1:28" x14ac:dyDescent="0.25">
      <c r="A286" t="s">
        <v>414</v>
      </c>
      <c r="B286">
        <f>INDEX(Proj[],MATCH(Std[[#This Row],[Player]],Proj[Player],0),2)</f>
        <v>30</v>
      </c>
      <c r="C286" t="s">
        <v>102</v>
      </c>
      <c r="D286" s="75" t="s">
        <v>103</v>
      </c>
      <c r="E286" s="56"/>
      <c r="F286" t="s">
        <v>13</v>
      </c>
      <c r="G286" s="12">
        <f>(INDEX(Proj[],MATCH(Std[[#This Row],[Player]],Proj[Player],0),14)-G$764)/G$765</f>
        <v>-0.66248525638148381</v>
      </c>
      <c r="H286" s="12">
        <f>(INDEX(Proj[],MATCH(Std[[#This Row],[Player]],Proj[Player],0),15)-H$764)/H$765</f>
        <v>0.60432870530087368</v>
      </c>
      <c r="I286" s="12">
        <f>(INDEX(Proj[],MATCH(Std[[#This Row],[Player]],Proj[Player],0),16)-I$764)/I$765</f>
        <v>8.6788648053559195E-2</v>
      </c>
      <c r="J286" s="12">
        <f>(INDEX(Proj[],MATCH(Std[[#This Row],[Player]],Proj[Player],0),17)-J$764)/J$765</f>
        <v>-0.76105581014900237</v>
      </c>
      <c r="K286" s="12">
        <f>(INDEX(Proj[],MATCH(Std[[#This Row],[Player]],Proj[Player],0),18)-K$764)/K$765</f>
        <v>-0.45042076997056774</v>
      </c>
      <c r="L286" s="12">
        <f>(INDEX(Proj[],MATCH(Std[[#This Row],[Player]],Proj[Player],0),19)-L$764)/L$765</f>
        <v>-0.59899863372397377</v>
      </c>
      <c r="M286" s="12">
        <f>(INDEX(Proj[],MATCH(Std[[#This Row],[Player]],Proj[Player],0),20)-M$764)/M$765</f>
        <v>1.3378904761343182</v>
      </c>
      <c r="N286" s="12">
        <f>(INDEX(Proj[],MATCH(Std[[#This Row],[Player]],Proj[Player],0),21)-N$764)/N$765</f>
        <v>-0.67310562595197942</v>
      </c>
      <c r="O286" s="12">
        <f>(INDEX(Proj[],MATCH(Std[[#This Row],[Player]],Proj[Player],0),22)-O$764)/O$765</f>
        <v>1.3361040544251106</v>
      </c>
      <c r="P286" s="12">
        <f>((INDEX(Proj[],MATCH(Std[[#This Row],[Player]],Proj[Player],0),23)-P$764)/P$765)*IF('League Inputs'!$C$23 = "Yes",-1, 1)</f>
        <v>-1.140070365096874</v>
      </c>
      <c r="Q286" s="12">
        <f>(INDEX(Proj[],MATCH(Std[[#This Row],[Player]],Proj[Player],0),24)-Q$764)/Q$765</f>
        <v>-0.5766103108129359</v>
      </c>
      <c r="R286" s="12">
        <f>(INDEX(Proj[],MATCH(Std[[#This Row],[Player]],Proj[Player],0),25)-R$764)/R$765</f>
        <v>-0.62531533033812681</v>
      </c>
      <c r="S286" s="12">
        <f>(INDEX(Proj[],MATCH(Std[[#This Row],[Player]],Proj[Player],0),26)-S$764)/S$765</f>
        <v>0.30620035021129954</v>
      </c>
      <c r="T2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-131.78484339764037</v>
      </c>
      <c r="U286" s="11"/>
      <c r="W286" t="str">
        <v>Jaccob Slavin</v>
      </c>
      <c r="AA286" t="str">
        <v>Jaccob Slavin</v>
      </c>
      <c r="AB286" t="str">
        <v>Jaccob Slavin</v>
      </c>
    </row>
    <row r="287" spans="1:28" x14ac:dyDescent="0.25">
      <c r="A287" t="s">
        <v>558</v>
      </c>
      <c r="B287">
        <f>INDEX(Proj[],MATCH(Std[[#This Row],[Player]],Proj[Player],0),2)</f>
        <v>33</v>
      </c>
      <c r="C287" t="s">
        <v>74</v>
      </c>
      <c r="D287" s="75" t="s">
        <v>102</v>
      </c>
      <c r="E287" s="56"/>
      <c r="F287" t="s">
        <v>5</v>
      </c>
      <c r="G287" s="12">
        <f>(INDEX(Proj[],MATCH(Std[[#This Row],[Player]],Proj[Player],0),14)-G$764)/G$765</f>
        <v>0.49948729995393826</v>
      </c>
      <c r="H287" s="12">
        <f>(INDEX(Proj[],MATCH(Std[[#This Row],[Player]],Proj[Player],0),15)-H$764)/H$765</f>
        <v>-0.21549323157004366</v>
      </c>
      <c r="I287" s="12">
        <f>(INDEX(Proj[],MATCH(Std[[#This Row],[Player]],Proj[Player],0),16)-I$764)/I$765</f>
        <v>8.6788648053559195E-2</v>
      </c>
      <c r="J287" s="12">
        <f>(INDEX(Proj[],MATCH(Std[[#This Row],[Player]],Proj[Player],0),17)-J$764)/J$765</f>
        <v>0.41639733874955659</v>
      </c>
      <c r="K287" s="12">
        <f>(INDEX(Proj[],MATCH(Std[[#This Row],[Player]],Proj[Player],0),18)-K$764)/K$765</f>
        <v>-0.14224887932464234</v>
      </c>
      <c r="L287" s="12">
        <f>(INDEX(Proj[],MATCH(Std[[#This Row],[Player]],Proj[Player],0),19)-L$764)/L$765</f>
        <v>5.3433155352631455E-2</v>
      </c>
      <c r="M287" s="12">
        <f>(INDEX(Proj[],MATCH(Std[[#This Row],[Player]],Proj[Player],0),20)-M$764)/M$765</f>
        <v>-0.71308883245737775</v>
      </c>
      <c r="N287" s="12">
        <f>(INDEX(Proj[],MATCH(Std[[#This Row],[Player]],Proj[Player],0),21)-N$764)/N$765</f>
        <v>0.48967837494893446</v>
      </c>
      <c r="O287" s="12">
        <f>(INDEX(Proj[],MATCH(Std[[#This Row],[Player]],Proj[Player],0),22)-O$764)/O$765</f>
        <v>-0.84620025945834632</v>
      </c>
      <c r="P287" s="12">
        <f>((INDEX(Proj[],MATCH(Std[[#This Row],[Player]],Proj[Player],0),23)-P$764)/P$765)*IF('League Inputs'!$C$23 = "Yes",-1, 1)</f>
        <v>0.72152060683746466</v>
      </c>
      <c r="Q287" s="12">
        <f>(INDEX(Proj[],MATCH(Std[[#This Row],[Player]],Proj[Player],0),24)-Q$764)/Q$765</f>
        <v>-0.48599315981338853</v>
      </c>
      <c r="R287" s="12">
        <f>(INDEX(Proj[],MATCH(Std[[#This Row],[Player]],Proj[Player],0),25)-R$764)/R$765</f>
        <v>-0.48343737793841357</v>
      </c>
      <c r="S287" s="12">
        <f>(INDEX(Proj[],MATCH(Std[[#This Row],[Player]],Proj[Player],0),26)-S$764)/S$765</f>
        <v>0.7116677004454991</v>
      </c>
      <c r="T2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101.48891347502489</v>
      </c>
      <c r="U287" s="11"/>
      <c r="W287" t="str">
        <v>Jason Zucker</v>
      </c>
      <c r="AA287" t="str">
        <v>Jason Zucker</v>
      </c>
      <c r="AB287" t="str">
        <v>Jason Zucker</v>
      </c>
    </row>
    <row r="288" spans="1:28" x14ac:dyDescent="0.25">
      <c r="A288" t="s">
        <v>728</v>
      </c>
      <c r="B288">
        <f>INDEX(Proj[],MATCH(Std[[#This Row],[Player]],Proj[Player],0),2)</f>
        <v>27</v>
      </c>
      <c r="C288" t="s">
        <v>3</v>
      </c>
      <c r="D288" s="75"/>
      <c r="E288" s="56"/>
      <c r="F288" t="s">
        <v>154</v>
      </c>
      <c r="G288" s="12">
        <f>(INDEX(Proj[],MATCH(Std[[#This Row],[Player]],Proj[Player],0),14)-G$764)/G$765</f>
        <v>-2.8682043834889943E-2</v>
      </c>
      <c r="H288" s="12">
        <f>(INDEX(Proj[],MATCH(Std[[#This Row],[Player]],Proj[Player],0),15)-H$764)/H$765</f>
        <v>0.15715310337128238</v>
      </c>
      <c r="I288" s="12">
        <f>(INDEX(Proj[],MATCH(Std[[#This Row],[Player]],Proj[Player],0),16)-I$764)/I$765</f>
        <v>8.6788648053559195E-2</v>
      </c>
      <c r="J288" s="12">
        <f>(INDEX(Proj[],MATCH(Std[[#This Row],[Player]],Proj[Player],0),17)-J$764)/J$765</f>
        <v>-0.46669252292436259</v>
      </c>
      <c r="K288" s="12">
        <f>(INDEX(Proj[],MATCH(Std[[#This Row],[Player]],Proj[Player],0),18)-K$764)/K$765</f>
        <v>-0.45042076997056774</v>
      </c>
      <c r="L288" s="12">
        <f>(INDEX(Proj[],MATCH(Std[[#This Row],[Player]],Proj[Player],0),19)-L$764)/L$765</f>
        <v>-0.49026000221120619</v>
      </c>
      <c r="M288" s="12">
        <f>(INDEX(Proj[],MATCH(Std[[#This Row],[Player]],Proj[Player],0),20)-M$764)/M$765</f>
        <v>3.3888697847260145</v>
      </c>
      <c r="N288" s="12">
        <f>(INDEX(Proj[],MATCH(Std[[#This Row],[Player]],Proj[Player],0),21)-N$764)/N$765</f>
        <v>0.41215944155554018</v>
      </c>
      <c r="O288" s="12">
        <f>(INDEX(Proj[],MATCH(Std[[#This Row],[Player]],Proj[Player],0),22)-O$764)/O$765</f>
        <v>-0.35866418933544636</v>
      </c>
      <c r="P288" s="12">
        <f>((INDEX(Proj[],MATCH(Std[[#This Row],[Player]],Proj[Player],0),23)-P$764)/P$765)*IF('League Inputs'!$C$23 = "Yes",-1, 1)</f>
        <v>0.20958308955552155</v>
      </c>
      <c r="Q288" s="12">
        <f>(INDEX(Proj[],MATCH(Std[[#This Row],[Player]],Proj[Player],0),24)-Q$764)/Q$765</f>
        <v>-0.41669769140196994</v>
      </c>
      <c r="R288" s="12">
        <f>(INDEX(Proj[],MATCH(Std[[#This Row],[Player]],Proj[Player],0),25)-R$764)/R$765</f>
        <v>-0.34723454363468886</v>
      </c>
      <c r="S288" s="12">
        <f>(INDEX(Proj[],MATCH(Std[[#This Row],[Player]],Proj[Player],0),26)-S$764)/S$765</f>
        <v>-3.4392223985428086E-2</v>
      </c>
      <c r="T2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-46.30118682330373</v>
      </c>
      <c r="U288" s="11"/>
      <c r="W288" t="str">
        <v>Mathieu Joseph</v>
      </c>
      <c r="AA288" t="str">
        <v>Mathieu Joseph</v>
      </c>
      <c r="AB288" t="str">
        <v>Mathieu Joseph</v>
      </c>
    </row>
    <row r="289" spans="1:28" x14ac:dyDescent="0.25">
      <c r="A289" t="s">
        <v>554</v>
      </c>
      <c r="B289">
        <f>INDEX(Proj[],MATCH(Std[[#This Row],[Player]],Proj[Player],0),2)</f>
        <v>25</v>
      </c>
      <c r="C289" t="s">
        <v>3</v>
      </c>
      <c r="D289" s="75"/>
      <c r="E289" s="56"/>
      <c r="F289" t="s">
        <v>22</v>
      </c>
      <c r="G289" s="12">
        <f>(INDEX(Proj[],MATCH(Std[[#This Row],[Player]],Proj[Player],0),14)-G$764)/G$765</f>
        <v>0.39385343119617261</v>
      </c>
      <c r="H289" s="12">
        <f>(INDEX(Proj[],MATCH(Std[[#This Row],[Player]],Proj[Player],0),15)-H$764)/H$765</f>
        <v>-0.14096396458177846</v>
      </c>
      <c r="I289" s="12">
        <f>(INDEX(Proj[],MATCH(Std[[#This Row],[Player]],Proj[Player],0),16)-I$764)/I$765</f>
        <v>8.6788648053559195E-2</v>
      </c>
      <c r="J289" s="12">
        <f>(INDEX(Proj[],MATCH(Std[[#This Row],[Player]],Proj[Player],0),17)-J$764)/J$765</f>
        <v>-0.46669252292436259</v>
      </c>
      <c r="K289" s="12">
        <f>(INDEX(Proj[],MATCH(Std[[#This Row],[Player]],Proj[Player],0),18)-K$764)/K$765</f>
        <v>-0.29633482464760502</v>
      </c>
      <c r="L289" s="12">
        <f>(INDEX(Proj[],MATCH(Std[[#This Row],[Player]],Proj[Player],0),19)-L$764)/L$765</f>
        <v>-0.38152137069843867</v>
      </c>
      <c r="M289" s="12">
        <f>(INDEX(Proj[],MATCH(Std[[#This Row],[Player]],Proj[Player],0),20)-M$764)/M$765</f>
        <v>1.3378904761343182</v>
      </c>
      <c r="N289" s="12">
        <f>(INDEX(Proj[],MATCH(Std[[#This Row],[Player]],Proj[Player],0),21)-N$764)/N$765</f>
        <v>0.76099464182581433</v>
      </c>
      <c r="O289" s="12">
        <f>(INDEX(Proj[],MATCH(Std[[#This Row],[Player]],Proj[Player],0),22)-O$764)/O$765</f>
        <v>0.29138390416175353</v>
      </c>
      <c r="P289" s="12">
        <f>((INDEX(Proj[],MATCH(Std[[#This Row],[Player]],Proj[Player],0),23)-P$764)/P$765)*IF('League Inputs'!$C$23 = "Yes",-1, 1)</f>
        <v>1.1403785755226907</v>
      </c>
      <c r="Q289" s="12">
        <f>(INDEX(Proj[],MATCH(Std[[#This Row],[Player]],Proj[Player],0),24)-Q$764)/Q$765</f>
        <v>0.23894404818299028</v>
      </c>
      <c r="R289" s="12">
        <f>(INDEX(Proj[],MATCH(Std[[#This Row],[Player]],Proj[Player],0),25)-R$764)/R$765</f>
        <v>0.23162750215614114</v>
      </c>
      <c r="S289" s="12">
        <f>(INDEX(Proj[],MATCH(Std[[#This Row],[Player]],Proj[Player],0),26)-S$764)/S$765</f>
        <v>-1.8173529976060102E-2</v>
      </c>
      <c r="T2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237.16843836867034</v>
      </c>
      <c r="U289" s="11"/>
      <c r="W289" t="str">
        <v>Michael Rasmussen</v>
      </c>
      <c r="AA289" t="str">
        <v>Michael Rasmussen</v>
      </c>
      <c r="AB289" t="str">
        <v>Michael Rasmussen</v>
      </c>
    </row>
    <row r="290" spans="1:28" x14ac:dyDescent="0.25">
      <c r="A290" t="s">
        <v>472</v>
      </c>
      <c r="B290">
        <f>INDEX(Proj[],MATCH(Std[[#This Row],[Player]],Proj[Player],0),2)</f>
        <v>35</v>
      </c>
      <c r="C290" t="s">
        <v>74</v>
      </c>
      <c r="D290" s="75"/>
      <c r="E290" s="56"/>
      <c r="F290" t="s">
        <v>25</v>
      </c>
      <c r="G290" s="12">
        <f>(INDEX(Proj[],MATCH(Std[[#This Row],[Player]],Proj[Player],0),14)-G$764)/G$765</f>
        <v>0.49948729995393826</v>
      </c>
      <c r="H290" s="12">
        <f>(INDEX(Proj[],MATCH(Std[[#This Row],[Player]],Proj[Player],0),15)-H$764)/H$765</f>
        <v>-0.21549323157004366</v>
      </c>
      <c r="I290" s="12">
        <f>(INDEX(Proj[],MATCH(Std[[#This Row],[Player]],Proj[Player],0),16)-I$764)/I$765</f>
        <v>8.6788648053559195E-2</v>
      </c>
      <c r="J290" s="12">
        <f>(INDEX(Proj[],MATCH(Std[[#This Row],[Player]],Proj[Player],0),17)-J$764)/J$765</f>
        <v>0.12203405152491688</v>
      </c>
      <c r="K290" s="12">
        <f>(INDEX(Proj[],MATCH(Std[[#This Row],[Player]],Proj[Player],0),18)-K$764)/K$765</f>
        <v>-0.14224887932464234</v>
      </c>
      <c r="L290" s="12">
        <f>(INDEX(Proj[],MATCH(Std[[#This Row],[Player]],Proj[Player],0),19)-L$764)/L$765</f>
        <v>-5.5305476160136084E-2</v>
      </c>
      <c r="M290" s="12">
        <f>(INDEX(Proj[],MATCH(Std[[#This Row],[Player]],Proj[Player],0),20)-M$764)/M$765</f>
        <v>0.31240082183847029</v>
      </c>
      <c r="N290" s="12">
        <f>(INDEX(Proj[],MATCH(Std[[#This Row],[Player]],Proj[Player],0),21)-N$764)/N$765</f>
        <v>-1.002561092873905</v>
      </c>
      <c r="O290" s="12">
        <f>(INDEX(Proj[],MATCH(Std[[#This Row],[Player]],Proj[Player],0),22)-O$764)/O$765</f>
        <v>-0.35866418933544636</v>
      </c>
      <c r="P290" s="12">
        <f>((INDEX(Proj[],MATCH(Std[[#This Row],[Player]],Proj[Player],0),23)-P$764)/P$765)*IF('League Inputs'!$C$23 = "Yes",-1, 1)</f>
        <v>-0.67467262211328927</v>
      </c>
      <c r="Q290" s="12">
        <f>(INDEX(Proj[],MATCH(Std[[#This Row],[Player]],Proj[Player],0),24)-Q$764)/Q$765</f>
        <v>-0.46467147722525975</v>
      </c>
      <c r="R290" s="12">
        <f>(INDEX(Proj[],MATCH(Std[[#This Row],[Player]],Proj[Player],0),25)-R$764)/R$765</f>
        <v>-0.50046273222637916</v>
      </c>
      <c r="S290" s="12">
        <f>(INDEX(Proj[],MATCH(Std[[#This Row],[Player]],Proj[Player],0),26)-S$764)/S$765</f>
        <v>0.95494811058601881</v>
      </c>
      <c r="T2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-123.01440306845639</v>
      </c>
      <c r="U290" s="11"/>
      <c r="W290" t="str">
        <v>Cam Atkinson</v>
      </c>
      <c r="AA290" t="str">
        <v>Cam Atkinson</v>
      </c>
      <c r="AB290" t="str">
        <v>Cam Atkinson</v>
      </c>
    </row>
    <row r="291" spans="1:28" x14ac:dyDescent="0.25">
      <c r="A291" t="s">
        <v>686</v>
      </c>
      <c r="B291">
        <f>INDEX(Proj[],MATCH(Std[[#This Row],[Player]],Proj[Player],0),2)</f>
        <v>30</v>
      </c>
      <c r="C291" t="s">
        <v>102</v>
      </c>
      <c r="D291" s="75"/>
      <c r="E291" s="57"/>
      <c r="F291" t="s">
        <v>25</v>
      </c>
      <c r="G291" s="12">
        <f>(INDEX(Proj[],MATCH(Std[[#This Row],[Player]],Proj[Player],0),14)-G$764)/G$765</f>
        <v>-0.13431591259265557</v>
      </c>
      <c r="H291" s="12">
        <f>(INDEX(Proj[],MATCH(Std[[#This Row],[Player]],Proj[Player],0),15)-H$764)/H$765</f>
        <v>0.23168237035954761</v>
      </c>
      <c r="I291" s="12">
        <f>(INDEX(Proj[],MATCH(Std[[#This Row],[Player]],Proj[Player],0),16)-I$764)/I$765</f>
        <v>8.6788648053559195E-2</v>
      </c>
      <c r="J291" s="12">
        <f>(INDEX(Proj[],MATCH(Std[[#This Row],[Player]],Proj[Player],0),17)-J$764)/J$765</f>
        <v>0.12203405152491688</v>
      </c>
      <c r="K291" s="12">
        <f>(INDEX(Proj[],MATCH(Std[[#This Row],[Player]],Proj[Player],0),18)-K$764)/K$765</f>
        <v>1.1837065998320361E-2</v>
      </c>
      <c r="L291" s="12">
        <f>(INDEX(Proj[],MATCH(Std[[#This Row],[Player]],Proj[Player],0),19)-L$764)/L$765</f>
        <v>5.3433155352631455E-2</v>
      </c>
      <c r="M291" s="12">
        <f>(INDEX(Proj[],MATCH(Std[[#This Row],[Player]],Proj[Player],0),20)-M$764)/M$765</f>
        <v>0.31240082183847029</v>
      </c>
      <c r="N291" s="12">
        <f>(INDEX(Proj[],MATCH(Std[[#This Row],[Player]],Proj[Player],0),21)-N$764)/N$765</f>
        <v>-0.78938402604207092</v>
      </c>
      <c r="O291" s="12">
        <f>(INDEX(Proj[],MATCH(Std[[#This Row],[Player]],Proj[Player],0),22)-O$764)/O$765</f>
        <v>0.12887188078745357</v>
      </c>
      <c r="P291" s="12">
        <f>((INDEX(Proj[],MATCH(Std[[#This Row],[Player]],Proj[Player],0),23)-P$764)/P$765)*IF('League Inputs'!$C$23 = "Yes",-1, 1)</f>
        <v>-0.72121239641164769</v>
      </c>
      <c r="Q291" s="12">
        <f>(INDEX(Proj[],MATCH(Std[[#This Row],[Player]],Proj[Player],0),24)-Q$764)/Q$765</f>
        <v>2.4084252515250948</v>
      </c>
      <c r="R291" s="12">
        <f>(INDEX(Proj[],MATCH(Std[[#This Row],[Player]],Proj[Player],0),25)-R$764)/R$765</f>
        <v>3.057836313958429</v>
      </c>
      <c r="S291" s="12">
        <f>(INDEX(Proj[],MATCH(Std[[#This Row],[Player]],Proj[Player],0),26)-S$764)/S$765</f>
        <v>-0.53717173827583553</v>
      </c>
      <c r="T2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72.71172327560771</v>
      </c>
      <c r="U291" s="11"/>
      <c r="W291" t="str">
        <v>Alex Wennberg</v>
      </c>
      <c r="AA291" t="str">
        <v>Alex Wennberg</v>
      </c>
      <c r="AB291" t="str">
        <v>Alex Wennberg</v>
      </c>
    </row>
    <row r="292" spans="1:28" x14ac:dyDescent="0.25">
      <c r="A292" t="s">
        <v>647</v>
      </c>
      <c r="B292">
        <f>INDEX(Proj[],MATCH(Std[[#This Row],[Player]],Proj[Player],0),2)</f>
        <v>24</v>
      </c>
      <c r="C292" t="s">
        <v>74</v>
      </c>
      <c r="D292" s="75"/>
      <c r="E292" s="56"/>
      <c r="F292" t="s">
        <v>7</v>
      </c>
      <c r="G292" s="12">
        <f>(INDEX(Proj[],MATCH(Std[[#This Row],[Player]],Proj[Player],0),14)-G$764)/G$765</f>
        <v>0.28821956243840696</v>
      </c>
      <c r="H292" s="12">
        <f>(INDEX(Proj[],MATCH(Std[[#This Row],[Player]],Proj[Player],0),15)-H$764)/H$765</f>
        <v>-6.6434697593513253E-2</v>
      </c>
      <c r="I292" s="12">
        <f>(INDEX(Proj[],MATCH(Std[[#This Row],[Player]],Proj[Player],0),16)-I$764)/I$765</f>
        <v>8.6788648053559195E-2</v>
      </c>
      <c r="J292" s="12">
        <f>(INDEX(Proj[],MATCH(Std[[#This Row],[Player]],Proj[Player],0),17)-J$764)/J$765</f>
        <v>-0.17232923569972286</v>
      </c>
      <c r="K292" s="12">
        <f>(INDEX(Proj[],MATCH(Std[[#This Row],[Player]],Proj[Player],0),18)-K$764)/K$765</f>
        <v>-0.14224887932464234</v>
      </c>
      <c r="L292" s="12">
        <f>(INDEX(Proj[],MATCH(Std[[#This Row],[Player]],Proj[Player],0),19)-L$764)/L$765</f>
        <v>-0.16404410767290362</v>
      </c>
      <c r="M292" s="12">
        <f>(INDEX(Proj[],MATCH(Std[[#This Row],[Player]],Proj[Player],0),20)-M$764)/M$765</f>
        <v>0.31240082183847029</v>
      </c>
      <c r="N292" s="12">
        <f>(INDEX(Proj[],MATCH(Std[[#This Row],[Player]],Proj[Player],0),21)-N$764)/N$765</f>
        <v>-0.40178935907509955</v>
      </c>
      <c r="O292" s="12">
        <f>(INDEX(Proj[],MATCH(Std[[#This Row],[Player]],Proj[Player],0),22)-O$764)/O$765</f>
        <v>-0.77655224944078916</v>
      </c>
      <c r="P292" s="12">
        <f>((INDEX(Proj[],MATCH(Std[[#This Row],[Player]],Proj[Player],0),23)-P$764)/P$765)*IF('League Inputs'!$C$23 = "Yes",-1, 1)</f>
        <v>0.39574218674895539</v>
      </c>
      <c r="Q292" s="12">
        <f>(INDEX(Proj[],MATCH(Std[[#This Row],[Player]],Proj[Player],0),24)-Q$764)/Q$765</f>
        <v>1.1717676614136248</v>
      </c>
      <c r="R292" s="12">
        <f>(INDEX(Proj[],MATCH(Std[[#This Row],[Player]],Proj[Player],0),25)-R$764)/R$765</f>
        <v>1.1339712794183174</v>
      </c>
      <c r="S292" s="12">
        <f>(INDEX(Proj[],MATCH(Std[[#This Row],[Player]],Proj[Player],0),26)-S$764)/S$765</f>
        <v>7.9138634080147791E-2</v>
      </c>
      <c r="T2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61.283627895238865</v>
      </c>
      <c r="U292" s="11"/>
      <c r="W292" t="str">
        <v>Jesperi Kotkaniemi</v>
      </c>
      <c r="AA292" t="str">
        <v>Jesperi Kotkaniemi</v>
      </c>
      <c r="AB292" t="str">
        <v>Jesperi Kotkaniemi</v>
      </c>
    </row>
    <row r="293" spans="1:28" x14ac:dyDescent="0.25">
      <c r="A293" t="s">
        <v>594</v>
      </c>
      <c r="B293">
        <f>INDEX(Proj[],MATCH(Std[[#This Row],[Player]],Proj[Player],0),2)</f>
        <v>28</v>
      </c>
      <c r="C293" t="s">
        <v>74</v>
      </c>
      <c r="D293" s="75" t="s">
        <v>103</v>
      </c>
      <c r="E293" s="57"/>
      <c r="F293" t="s">
        <v>11</v>
      </c>
      <c r="G293" s="12">
        <f>(INDEX(Proj[],MATCH(Std[[#This Row],[Player]],Proj[Player],0),14)-G$764)/G$765</f>
        <v>0.18258569368064134</v>
      </c>
      <c r="H293" s="12">
        <f>(INDEX(Proj[],MATCH(Std[[#This Row],[Player]],Proj[Player],0),15)-H$764)/H$765</f>
        <v>8.0945693947519649E-3</v>
      </c>
      <c r="I293" s="12">
        <f>(INDEX(Proj[],MATCH(Std[[#This Row],[Player]],Proj[Player],0),16)-I$764)/I$765</f>
        <v>8.6788648053559195E-2</v>
      </c>
      <c r="J293" s="12">
        <f>(INDEX(Proj[],MATCH(Std[[#This Row],[Player]],Proj[Player],0),17)-J$764)/J$765</f>
        <v>0.41639733874955659</v>
      </c>
      <c r="K293" s="12">
        <f>(INDEX(Proj[],MATCH(Std[[#This Row],[Player]],Proj[Player],0),18)-K$764)/K$765</f>
        <v>-0.14224887932464234</v>
      </c>
      <c r="L293" s="12">
        <f>(INDEX(Proj[],MATCH(Std[[#This Row],[Player]],Proj[Player],0),19)-L$764)/L$765</f>
        <v>5.3433155352631455E-2</v>
      </c>
      <c r="M293" s="12">
        <f>(INDEX(Proj[],MATCH(Std[[#This Row],[Player]],Proj[Player],0),20)-M$764)/M$765</f>
        <v>0.31240082183847029</v>
      </c>
      <c r="N293" s="12">
        <f>(INDEX(Proj[],MATCH(Std[[#This Row],[Player]],Proj[Player],0),21)-N$764)/N$765</f>
        <v>-1.0219408262222536</v>
      </c>
      <c r="O293" s="12">
        <f>(INDEX(Proj[],MATCH(Std[[#This Row],[Player]],Proj[Player],0),22)-O$764)/O$765</f>
        <v>1.2791864091525006E-2</v>
      </c>
      <c r="P293" s="12">
        <f>((INDEX(Proj[],MATCH(Std[[#This Row],[Player]],Proj[Player],0),23)-P$764)/P$765)*IF('League Inputs'!$C$23 = "Yes",-1, 1)</f>
        <v>-0.76775217071000623</v>
      </c>
      <c r="Q293" s="12">
        <f>(INDEX(Proj[],MATCH(Std[[#This Row],[Player]],Proj[Player],0),24)-Q$764)/Q$765</f>
        <v>2.2911559972903861</v>
      </c>
      <c r="R293" s="12">
        <f>(INDEX(Proj[],MATCH(Std[[#This Row],[Player]],Proj[Player],0),25)-R$764)/R$765</f>
        <v>1.8490361595128721</v>
      </c>
      <c r="S293" s="12">
        <f>(INDEX(Proj[],MATCH(Std[[#This Row],[Player]],Proj[Player],0),26)-S$764)/S$765</f>
        <v>-0.26145394011657985</v>
      </c>
      <c r="T2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58.370299081465546</v>
      </c>
      <c r="U293" s="11"/>
      <c r="W293" t="str">
        <v>Christian Dvorak</v>
      </c>
      <c r="AA293" t="str">
        <v>Christian Dvorak</v>
      </c>
      <c r="AB293" t="str">
        <v>Christian Dvorak</v>
      </c>
    </row>
    <row r="294" spans="1:28" x14ac:dyDescent="0.25">
      <c r="A294" t="s">
        <v>1048</v>
      </c>
      <c r="B294">
        <f>INDEX(Proj[],MATCH(Std[[#This Row],[Player]],Proj[Player],0),2)</f>
        <v>24</v>
      </c>
      <c r="C294" t="s">
        <v>74</v>
      </c>
      <c r="D294" s="75"/>
      <c r="E294" s="57"/>
      <c r="F294" t="s">
        <v>20</v>
      </c>
      <c r="G294" s="12">
        <f>(INDEX(Proj[],MATCH(Std[[#This Row],[Player]],Proj[Player],0),14)-G$764)/G$765</f>
        <v>0.60512116871170385</v>
      </c>
      <c r="H294" s="12">
        <f>(INDEX(Proj[],MATCH(Std[[#This Row],[Player]],Proj[Player],0),15)-H$764)/H$765</f>
        <v>-0.29002249855830886</v>
      </c>
      <c r="I294" s="12">
        <f>(INDEX(Proj[],MATCH(Std[[#This Row],[Player]],Proj[Player],0),16)-I$764)/I$765</f>
        <v>8.6788648053559195E-2</v>
      </c>
      <c r="J294" s="12">
        <f>(INDEX(Proj[],MATCH(Std[[#This Row],[Player]],Proj[Player],0),17)-J$764)/J$765</f>
        <v>0.12203405152491688</v>
      </c>
      <c r="K294" s="12">
        <f>(INDEX(Proj[],MATCH(Std[[#This Row],[Player]],Proj[Player],0),18)-K$764)/K$765</f>
        <v>-0.14224887932464234</v>
      </c>
      <c r="L294" s="12">
        <f>(INDEX(Proj[],MATCH(Std[[#This Row],[Player]],Proj[Player],0),19)-L$764)/L$765</f>
        <v>-5.5305476160136084E-2</v>
      </c>
      <c r="M294" s="12">
        <f>(INDEX(Proj[],MATCH(Std[[#This Row],[Player]],Proj[Player],0),20)-M$764)/M$765</f>
        <v>0.31240082183847029</v>
      </c>
      <c r="N294" s="12">
        <f>(INDEX(Proj[],MATCH(Std[[#This Row],[Player]],Proj[Player],0),21)-N$764)/N$765</f>
        <v>-0.73124482599702512</v>
      </c>
      <c r="O294" s="12">
        <f>(INDEX(Proj[],MATCH(Std[[#This Row],[Player]],Proj[Player],0),22)-O$764)/O$765</f>
        <v>-0.54439221604893206</v>
      </c>
      <c r="P294" s="12">
        <f>((INDEX(Proj[],MATCH(Std[[#This Row],[Player]],Proj[Player],0),23)-P$764)/P$765)*IF('League Inputs'!$C$23 = "Yes",-1, 1)</f>
        <v>-0.39543397632313848</v>
      </c>
      <c r="Q294" s="12">
        <f>(INDEX(Proj[],MATCH(Std[[#This Row],[Player]],Proj[Player],0),24)-Q$764)/Q$765</f>
        <v>1.1664372407665926</v>
      </c>
      <c r="R294" s="12">
        <f>(INDEX(Proj[],MATCH(Std[[#This Row],[Player]],Proj[Player],0),25)-R$764)/R$765</f>
        <v>1.8490361595128721</v>
      </c>
      <c r="S294" s="12">
        <f>(INDEX(Proj[],MATCH(Std[[#This Row],[Player]],Proj[Player],0),26)-S$764)/S$765</f>
        <v>0.3548564322394035</v>
      </c>
      <c r="T2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19.680449668371846</v>
      </c>
      <c r="U294" s="11"/>
      <c r="W294" t="str">
        <v>Connor McMichael</v>
      </c>
      <c r="AA294" t="str">
        <v>Connor McMichael</v>
      </c>
      <c r="AB294" t="str">
        <v>Connor McMichael</v>
      </c>
    </row>
    <row r="295" spans="1:28" x14ac:dyDescent="0.25">
      <c r="A295" t="s">
        <v>704</v>
      </c>
      <c r="B295">
        <f>INDEX(Proj[],MATCH(Std[[#This Row],[Player]],Proj[Player],0),2)</f>
        <v>34</v>
      </c>
      <c r="C295" t="s">
        <v>103</v>
      </c>
      <c r="D295" s="75"/>
      <c r="E295" s="56"/>
      <c r="F295" t="s">
        <v>32</v>
      </c>
      <c r="G295" s="12">
        <f>(INDEX(Proj[],MATCH(Std[[#This Row],[Player]],Proj[Player],0),14)-G$764)/G$765</f>
        <v>0.39385343119617261</v>
      </c>
      <c r="H295" s="12">
        <f>(INDEX(Proj[],MATCH(Std[[#This Row],[Player]],Proj[Player],0),15)-H$764)/H$765</f>
        <v>-0.14096396458177846</v>
      </c>
      <c r="I295" s="12">
        <f>(INDEX(Proj[],MATCH(Std[[#This Row],[Player]],Proj[Player],0),16)-I$764)/I$765</f>
        <v>8.6788648053559195E-2</v>
      </c>
      <c r="J295" s="12">
        <f>(INDEX(Proj[],MATCH(Std[[#This Row],[Player]],Proj[Player],0),17)-J$764)/J$765</f>
        <v>1.0051239131988361</v>
      </c>
      <c r="K295" s="12">
        <f>(INDEX(Proj[],MATCH(Std[[#This Row],[Player]],Proj[Player],0),18)-K$764)/K$765</f>
        <v>0.47409490196720849</v>
      </c>
      <c r="L295" s="12">
        <f>(INDEX(Proj[],MATCH(Std[[#This Row],[Player]],Proj[Player],0),19)-L$764)/L$765</f>
        <v>0.70586494442923664</v>
      </c>
      <c r="M295" s="12">
        <f>(INDEX(Proj[],MATCH(Std[[#This Row],[Player]],Proj[Player],0),20)-M$764)/M$765</f>
        <v>-0.71308883245737775</v>
      </c>
      <c r="N295" s="12">
        <f>(INDEX(Proj[],MATCH(Std[[#This Row],[Player]],Proj[Player],0),21)-N$764)/N$765</f>
        <v>-0.42116909242344813</v>
      </c>
      <c r="O295" s="12">
        <f>(INDEX(Proj[],MATCH(Std[[#This Row],[Player]],Proj[Player],0),22)-O$764)/O$765</f>
        <v>-0.68368823608404627</v>
      </c>
      <c r="P295" s="12">
        <f>((INDEX(Proj[],MATCH(Std[[#This Row],[Player]],Proj[Player],0),23)-P$764)/P$765)*IF('League Inputs'!$C$23 = "Yes",-1, 1)</f>
        <v>-0.16273510483134615</v>
      </c>
      <c r="Q295" s="12">
        <f>(INDEX(Proj[],MATCH(Std[[#This Row],[Player]],Proj[Player],0),24)-Q$764)/Q$765</f>
        <v>0.27092657206518345</v>
      </c>
      <c r="R295" s="12">
        <f>(INDEX(Proj[],MATCH(Std[[#This Row],[Player]],Proj[Player],0),25)-R$764)/R$765</f>
        <v>0.44160687170771673</v>
      </c>
      <c r="S295" s="12">
        <f>(INDEX(Proj[],MATCH(Std[[#This Row],[Player]],Proj[Player],0),26)-S$764)/S$765</f>
        <v>0.14401341011761973</v>
      </c>
      <c r="T2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19.289060794115262</v>
      </c>
      <c r="U295" s="11"/>
      <c r="W295" t="str">
        <v>Tyler Johnson</v>
      </c>
      <c r="AA295" t="str">
        <v>Tyler Johnson</v>
      </c>
      <c r="AB295" t="str">
        <v>Tyler Johnson</v>
      </c>
    </row>
    <row r="296" spans="1:28" x14ac:dyDescent="0.25">
      <c r="A296" t="s">
        <v>665</v>
      </c>
      <c r="B296">
        <f>INDEX(Proj[],MATCH(Std[[#This Row],[Player]],Proj[Player],0),2)</f>
        <v>28</v>
      </c>
      <c r="C296" t="s">
        <v>74</v>
      </c>
      <c r="D296" s="75" t="s">
        <v>102</v>
      </c>
      <c r="E296" s="57"/>
      <c r="F296" t="s">
        <v>18</v>
      </c>
      <c r="G296" s="12">
        <f>(INDEX(Proj[],MATCH(Std[[#This Row],[Player]],Proj[Player],0),14)-G$764)/G$765</f>
        <v>0.18258569368064134</v>
      </c>
      <c r="H296" s="12">
        <f>(INDEX(Proj[],MATCH(Std[[#This Row],[Player]],Proj[Player],0),15)-H$764)/H$765</f>
        <v>8.0945693947519649E-3</v>
      </c>
      <c r="I296" s="12">
        <f>(INDEX(Proj[],MATCH(Std[[#This Row],[Player]],Proj[Player],0),16)-I$764)/I$765</f>
        <v>8.6788648053559195E-2</v>
      </c>
      <c r="J296" s="12">
        <f>(INDEX(Proj[],MATCH(Std[[#This Row],[Player]],Proj[Player],0),17)-J$764)/J$765</f>
        <v>-0.17232923569972286</v>
      </c>
      <c r="K296" s="12">
        <f>(INDEX(Proj[],MATCH(Std[[#This Row],[Player]],Proj[Player],0),18)-K$764)/K$765</f>
        <v>-0.14224887932464234</v>
      </c>
      <c r="L296" s="12">
        <f>(INDEX(Proj[],MATCH(Std[[#This Row],[Player]],Proj[Player],0),19)-L$764)/L$765</f>
        <v>-0.16404410767290362</v>
      </c>
      <c r="M296" s="12">
        <f>(INDEX(Proj[],MATCH(Std[[#This Row],[Player]],Proj[Player],0),20)-M$764)/M$765</f>
        <v>0.31240082183847029</v>
      </c>
      <c r="N296" s="12">
        <f>(INDEX(Proj[],MATCH(Std[[#This Row],[Player]],Proj[Player],0),21)-N$764)/N$765</f>
        <v>-0.92504215948051083</v>
      </c>
      <c r="O296" s="12">
        <f>(INDEX(Proj[],MATCH(Std[[#This Row],[Player]],Proj[Player],0),22)-O$764)/O$765</f>
        <v>-1.031928286171832</v>
      </c>
      <c r="P296" s="12">
        <f>((INDEX(Proj[],MATCH(Std[[#This Row],[Player]],Proj[Player],0),23)-P$764)/P$765)*IF('League Inputs'!$C$23 = "Yes",-1, 1)</f>
        <v>-0.48851352491985539</v>
      </c>
      <c r="Q296" s="12">
        <f>(INDEX(Proj[],MATCH(Std[[#This Row],[Player]],Proj[Player],0),24)-Q$764)/Q$765</f>
        <v>-0.39537600881384116</v>
      </c>
      <c r="R296" s="12">
        <f>(INDEX(Proj[],MATCH(Std[[#This Row],[Player]],Proj[Player],0),25)-R$764)/R$765</f>
        <v>-0.40398572459457416</v>
      </c>
      <c r="S296" s="12">
        <f>(INDEX(Proj[],MATCH(Std[[#This Row],[Player]],Proj[Player],0),26)-S$764)/S$765</f>
        <v>0.3548564322394035</v>
      </c>
      <c r="T2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-237.25787436905873</v>
      </c>
      <c r="U296" s="11"/>
      <c r="W296" t="str">
        <v>Pierre Engvall</v>
      </c>
      <c r="AA296" t="str">
        <v>Pierre Engvall</v>
      </c>
      <c r="AB296" t="str">
        <v>Pierre Engvall</v>
      </c>
    </row>
    <row r="297" spans="1:28" x14ac:dyDescent="0.25">
      <c r="A297" t="s">
        <v>767</v>
      </c>
      <c r="B297">
        <f>INDEX(Proj[],MATCH(Std[[#This Row],[Player]],Proj[Player],0),2)</f>
        <v>26</v>
      </c>
      <c r="C297" t="s">
        <v>103</v>
      </c>
      <c r="D297" s="75"/>
      <c r="E297" s="57"/>
      <c r="F297" t="s">
        <v>6</v>
      </c>
      <c r="G297" s="12">
        <f>(INDEX(Proj[],MATCH(Std[[#This Row],[Player]],Proj[Player],0),14)-G$764)/G$765</f>
        <v>0.28821956243840696</v>
      </c>
      <c r="H297" s="12">
        <f>(INDEX(Proj[],MATCH(Std[[#This Row],[Player]],Proj[Player],0),15)-H$764)/H$765</f>
        <v>-6.6434697593513253E-2</v>
      </c>
      <c r="I297" s="12">
        <f>(INDEX(Proj[],MATCH(Std[[#This Row],[Player]],Proj[Player],0),16)-I$764)/I$765</f>
        <v>8.6788648053559195E-2</v>
      </c>
      <c r="J297" s="12">
        <f>(INDEX(Proj[],MATCH(Std[[#This Row],[Player]],Proj[Player],0),17)-J$764)/J$765</f>
        <v>0.12203405152491688</v>
      </c>
      <c r="K297" s="12">
        <f>(INDEX(Proj[],MATCH(Std[[#This Row],[Player]],Proj[Player],0),18)-K$764)/K$765</f>
        <v>-0.29633482464760502</v>
      </c>
      <c r="L297" s="12">
        <f>(INDEX(Proj[],MATCH(Std[[#This Row],[Player]],Proj[Player],0),19)-L$764)/L$765</f>
        <v>-0.16404410767290362</v>
      </c>
      <c r="M297" s="12">
        <f>(INDEX(Proj[],MATCH(Std[[#This Row],[Player]],Proj[Player],0),20)-M$764)/M$765</f>
        <v>1.3378904761343182</v>
      </c>
      <c r="N297" s="12">
        <f>(INDEX(Proj[],MATCH(Std[[#This Row],[Player]],Proj[Player],0),21)-N$764)/N$765</f>
        <v>0.27650130811710022</v>
      </c>
      <c r="O297" s="12">
        <f>(INDEX(Proj[],MATCH(Std[[#This Row],[Player]],Proj[Player],0),22)-O$764)/O$765</f>
        <v>-0.14972015928277496</v>
      </c>
      <c r="P297" s="12">
        <f>((INDEX(Proj[],MATCH(Std[[#This Row],[Player]],Proj[Player],0),23)-P$764)/P$765)*IF('League Inputs'!$C$23 = "Yes",-1, 1)</f>
        <v>-0.62813284781493084</v>
      </c>
      <c r="Q297" s="12">
        <f>(INDEX(Proj[],MATCH(Std[[#This Row],[Player]],Proj[Player],0),24)-Q$764)/Q$765</f>
        <v>0.17497900041860392</v>
      </c>
      <c r="R297" s="12">
        <f>(INDEX(Proj[],MATCH(Std[[#This Row],[Player]],Proj[Player],0),25)-R$764)/R$765</f>
        <v>0.31107915549998055</v>
      </c>
      <c r="S297" s="12">
        <f>(INDEX(Proj[],MATCH(Std[[#This Row],[Player]],Proj[Player],0),26)-S$764)/S$765</f>
        <v>-5.0610917994796063E-2</v>
      </c>
      <c r="T2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-23.245421133124843</v>
      </c>
      <c r="U297" s="11"/>
      <c r="W297" t="str">
        <v>Eetu Luostarinen</v>
      </c>
      <c r="AA297" t="str">
        <v>Eetu Luostarinen</v>
      </c>
      <c r="AB297" t="str">
        <v>Eetu Luostarinen</v>
      </c>
    </row>
    <row r="298" spans="1:28" x14ac:dyDescent="0.25">
      <c r="A298" t="s">
        <v>898</v>
      </c>
      <c r="B298">
        <f>INDEX(Proj[],MATCH(Std[[#This Row],[Player]],Proj[Player],0),2)</f>
        <v>25</v>
      </c>
      <c r="C298" t="s">
        <v>102</v>
      </c>
      <c r="D298" s="75" t="s">
        <v>103</v>
      </c>
      <c r="E298" s="56"/>
      <c r="F298" t="s">
        <v>13</v>
      </c>
      <c r="G298" s="12">
        <f>(INDEX(Proj[],MATCH(Std[[#This Row],[Player]],Proj[Player],0),14)-G$764)/G$765</f>
        <v>0.18258569368064134</v>
      </c>
      <c r="H298" s="12">
        <f>(INDEX(Proj[],MATCH(Std[[#This Row],[Player]],Proj[Player],0),15)-H$764)/H$765</f>
        <v>8.0945693947519649E-3</v>
      </c>
      <c r="I298" s="12">
        <f>(INDEX(Proj[],MATCH(Std[[#This Row],[Player]],Proj[Player],0),16)-I$764)/I$765</f>
        <v>8.6788648053559195E-2</v>
      </c>
      <c r="J298" s="12">
        <f>(INDEX(Proj[],MATCH(Std[[#This Row],[Player]],Proj[Player],0),17)-J$764)/J$765</f>
        <v>-0.46669252292436259</v>
      </c>
      <c r="K298" s="12">
        <f>(INDEX(Proj[],MATCH(Std[[#This Row],[Player]],Proj[Player],0),18)-K$764)/K$765</f>
        <v>-0.45042076997056774</v>
      </c>
      <c r="L298" s="12">
        <f>(INDEX(Proj[],MATCH(Std[[#This Row],[Player]],Proj[Player],0),19)-L$764)/L$765</f>
        <v>-0.49026000221120619</v>
      </c>
      <c r="M298" s="12">
        <f>(INDEX(Proj[],MATCH(Std[[#This Row],[Player]],Proj[Player],0),20)-M$764)/M$765</f>
        <v>1.3378904761343182</v>
      </c>
      <c r="N298" s="12">
        <f>(INDEX(Proj[],MATCH(Std[[#This Row],[Player]],Proj[Player],0),21)-N$764)/N$765</f>
        <v>-0.44054882577179671</v>
      </c>
      <c r="O298" s="12">
        <f>(INDEX(Proj[],MATCH(Std[[#This Row],[Player]],Proj[Player],0),22)-O$764)/O$765</f>
        <v>-0.61404022606648923</v>
      </c>
      <c r="P298" s="12">
        <f>((INDEX(Proj[],MATCH(Std[[#This Row],[Player]],Proj[Player],0),23)-P$764)/P$765)*IF('League Inputs'!$C$23 = "Yes",-1, 1)</f>
        <v>-0.76775217071000623</v>
      </c>
      <c r="Q298" s="12">
        <f>(INDEX(Proj[],MATCH(Std[[#This Row],[Player]],Proj[Player],0),24)-Q$764)/Q$765</f>
        <v>1.5075841621766533</v>
      </c>
      <c r="R298" s="12">
        <f>(INDEX(Proj[],MATCH(Std[[#This Row],[Player]],Proj[Player],0),25)-R$764)/R$765</f>
        <v>1.5709553728094341</v>
      </c>
      <c r="S298" s="12">
        <f>(INDEX(Proj[],MATCH(Std[[#This Row],[Player]],Proj[Player],0),26)-S$764)/S$765</f>
        <v>-0.11548569403226799</v>
      </c>
      <c r="T2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-64.303384548616052</v>
      </c>
      <c r="U298" s="11"/>
      <c r="W298" t="str">
        <v>Ryan McLeod</v>
      </c>
      <c r="AA298" t="str">
        <v>Ryan McLeod</v>
      </c>
      <c r="AB298" t="str">
        <v>Ryan McLeod</v>
      </c>
    </row>
    <row r="299" spans="1:28" x14ac:dyDescent="0.25">
      <c r="A299" t="s">
        <v>723</v>
      </c>
      <c r="B299">
        <f>INDEX(Proj[],MATCH(Std[[#This Row],[Player]],Proj[Player],0),2)</f>
        <v>25</v>
      </c>
      <c r="C299" t="s">
        <v>103</v>
      </c>
      <c r="D299" s="75"/>
      <c r="E299" s="56"/>
      <c r="F299" t="s">
        <v>34</v>
      </c>
      <c r="G299" s="12">
        <f>(INDEX(Proj[],MATCH(Std[[#This Row],[Player]],Proj[Player],0),14)-G$764)/G$765</f>
        <v>0.49948729995393826</v>
      </c>
      <c r="H299" s="12">
        <f>(INDEX(Proj[],MATCH(Std[[#This Row],[Player]],Proj[Player],0),15)-H$764)/H$765</f>
        <v>-0.21549323157004366</v>
      </c>
      <c r="I299" s="12">
        <f>(INDEX(Proj[],MATCH(Std[[#This Row],[Player]],Proj[Player],0),16)-I$764)/I$765</f>
        <v>8.6788648053559195E-2</v>
      </c>
      <c r="J299" s="12">
        <f>(INDEX(Proj[],MATCH(Std[[#This Row],[Player]],Proj[Player],0),17)-J$764)/J$765</f>
        <v>0.12203405152491688</v>
      </c>
      <c r="K299" s="12">
        <f>(INDEX(Proj[],MATCH(Std[[#This Row],[Player]],Proj[Player],0),18)-K$764)/K$765</f>
        <v>-0.29633482464760502</v>
      </c>
      <c r="L299" s="12">
        <f>(INDEX(Proj[],MATCH(Std[[#This Row],[Player]],Proj[Player],0),19)-L$764)/L$765</f>
        <v>-0.16404410767290362</v>
      </c>
      <c r="M299" s="12">
        <f>(INDEX(Proj[],MATCH(Std[[#This Row],[Player]],Proj[Player],0),20)-M$764)/M$765</f>
        <v>-0.71308883245737775</v>
      </c>
      <c r="N299" s="12">
        <f>(INDEX(Proj[],MATCH(Std[[#This Row],[Player]],Proj[Player],0),21)-N$764)/N$765</f>
        <v>-1.002561092873905</v>
      </c>
      <c r="O299" s="12">
        <f>(INDEX(Proj[],MATCH(Std[[#This Row],[Player]],Proj[Player],0),22)-O$764)/O$765</f>
        <v>-0.61404022606648923</v>
      </c>
      <c r="P299" s="12">
        <f>((INDEX(Proj[],MATCH(Std[[#This Row],[Player]],Proj[Player],0),23)-P$764)/P$765)*IF('League Inputs'!$C$23 = "Yes",-1, 1)</f>
        <v>-0.5815930735165723</v>
      </c>
      <c r="Q299" s="12">
        <f>(INDEX(Proj[],MATCH(Std[[#This Row],[Player]],Proj[Player],0),24)-Q$764)/Q$765</f>
        <v>0.60141265218117967</v>
      </c>
      <c r="R299" s="12">
        <f>(INDEX(Proj[],MATCH(Std[[#This Row],[Player]],Proj[Player],0),25)-R$764)/R$765</f>
        <v>1.1396463975143059</v>
      </c>
      <c r="S299" s="12">
        <f>(INDEX(Proj[],MATCH(Std[[#This Row],[Player]],Proj[Player],0),26)-S$764)/S$765</f>
        <v>0.64679292440802716</v>
      </c>
      <c r="T2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-74.325020710320956</v>
      </c>
      <c r="U299" s="11"/>
      <c r="W299" t="str">
        <v>Filip Chytil</v>
      </c>
      <c r="AA299" t="str">
        <v>Filip Chytil</v>
      </c>
      <c r="AB299" t="str">
        <v>Filip Chytil</v>
      </c>
    </row>
    <row r="300" spans="1:28" x14ac:dyDescent="0.25">
      <c r="A300" t="s">
        <v>701</v>
      </c>
      <c r="B300">
        <f>INDEX(Proj[],MATCH(Std[[#This Row],[Player]],Proj[Player],0),2)</f>
        <v>31</v>
      </c>
      <c r="C300" t="s">
        <v>74</v>
      </c>
      <c r="D300" s="75" t="s">
        <v>103</v>
      </c>
      <c r="E300" s="56"/>
      <c r="F300" t="s">
        <v>29</v>
      </c>
      <c r="G300" s="12">
        <f>(INDEX(Proj[],MATCH(Std[[#This Row],[Player]],Proj[Player],0),14)-G$764)/G$765</f>
        <v>7.6951824922875695E-2</v>
      </c>
      <c r="H300" s="12">
        <f>(INDEX(Proj[],MATCH(Std[[#This Row],[Player]],Proj[Player],0),15)-H$764)/H$765</f>
        <v>8.262383638301718E-2</v>
      </c>
      <c r="I300" s="12">
        <f>(INDEX(Proj[],MATCH(Std[[#This Row],[Player]],Proj[Player],0),16)-I$764)/I$765</f>
        <v>8.6788648053559195E-2</v>
      </c>
      <c r="J300" s="12">
        <f>(INDEX(Proj[],MATCH(Std[[#This Row],[Player]],Proj[Player],0),17)-J$764)/J$765</f>
        <v>0.12203405152491688</v>
      </c>
      <c r="K300" s="12">
        <f>(INDEX(Proj[],MATCH(Std[[#This Row],[Player]],Proj[Player],0),18)-K$764)/K$765</f>
        <v>1.1837065998320361E-2</v>
      </c>
      <c r="L300" s="12">
        <f>(INDEX(Proj[],MATCH(Std[[#This Row],[Player]],Proj[Player],0),19)-L$764)/L$765</f>
        <v>5.3433155352631455E-2</v>
      </c>
      <c r="M300" s="12">
        <f>(INDEX(Proj[],MATCH(Std[[#This Row],[Player]],Proj[Player],0),20)-M$764)/M$765</f>
        <v>-0.71308883245737775</v>
      </c>
      <c r="N300" s="12">
        <f>(INDEX(Proj[],MATCH(Std[[#This Row],[Player]],Proj[Player],0),21)-N$764)/N$765</f>
        <v>-0.82814349273876797</v>
      </c>
      <c r="O300" s="12">
        <f>(INDEX(Proj[],MATCH(Std[[#This Row],[Player]],Proj[Player],0),22)-O$764)/O$765</f>
        <v>-0.26580017597870353</v>
      </c>
      <c r="P300" s="12">
        <f>((INDEX(Proj[],MATCH(Std[[#This Row],[Player]],Proj[Player],0),23)-P$764)/P$765)*IF('League Inputs'!$C$23 = "Yes",-1, 1)</f>
        <v>-0.62813284781493084</v>
      </c>
      <c r="Q300" s="12">
        <f>(INDEX(Proj[],MATCH(Std[[#This Row],[Player]],Proj[Player],0),24)-Q$764)/Q$765</f>
        <v>0.69202980318072715</v>
      </c>
      <c r="R300" s="12">
        <f>(INDEX(Proj[],MATCH(Std[[#This Row],[Player]],Proj[Player],0),25)-R$764)/R$765</f>
        <v>0.87291584700284497</v>
      </c>
      <c r="S300" s="12">
        <f>(INDEX(Proj[],MATCH(Std[[#This Row],[Player]],Proj[Player],0),26)-S$764)/S$765</f>
        <v>-0.76423345440698731</v>
      </c>
      <c r="T3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-149.44827030465788</v>
      </c>
      <c r="U300" s="11"/>
      <c r="W300" t="str">
        <v>Travis Boyd</v>
      </c>
      <c r="AA300" t="str">
        <v>Travis Boyd</v>
      </c>
      <c r="AB300" t="str">
        <v>Travis Boyd</v>
      </c>
    </row>
    <row r="301" spans="1:28" x14ac:dyDescent="0.25">
      <c r="A301" t="s">
        <v>261</v>
      </c>
      <c r="B301">
        <f>INDEX(Proj[],MATCH(Std[[#This Row],[Player]],Proj[Player],0),2)</f>
        <v>28</v>
      </c>
      <c r="C301" t="s">
        <v>102</v>
      </c>
      <c r="D301" s="75" t="s">
        <v>103</v>
      </c>
      <c r="E301" s="57"/>
      <c r="F301" t="s">
        <v>155</v>
      </c>
      <c r="G301" s="12">
        <f>(INDEX(Proj[],MATCH(Std[[#This Row],[Player]],Proj[Player],0),14)-G$764)/G$765</f>
        <v>-0.23994978135042122</v>
      </c>
      <c r="H301" s="12">
        <f>(INDEX(Proj[],MATCH(Std[[#This Row],[Player]],Proj[Player],0),15)-H$764)/H$765</f>
        <v>0.23168237035954761</v>
      </c>
      <c r="I301" s="12">
        <f>(INDEX(Proj[],MATCH(Std[[#This Row],[Player]],Proj[Player],0),16)-I$764)/I$765</f>
        <v>3.9546089091455967E-2</v>
      </c>
      <c r="J301" s="12">
        <f>(INDEX(Proj[],MATCH(Std[[#This Row],[Player]],Proj[Player],0),17)-J$764)/J$765</f>
        <v>0.41639733874955659</v>
      </c>
      <c r="K301" s="12">
        <f>(INDEX(Proj[],MATCH(Std[[#This Row],[Player]],Proj[Player],0),18)-K$764)/K$765</f>
        <v>0.16592301132128306</v>
      </c>
      <c r="L301" s="12">
        <f>(INDEX(Proj[],MATCH(Std[[#This Row],[Player]],Proj[Player],0),19)-L$764)/L$765</f>
        <v>0.27091041837816654</v>
      </c>
      <c r="M301" s="12">
        <f>(INDEX(Proj[],MATCH(Std[[#This Row],[Player]],Proj[Player],0),20)-M$764)/M$765</f>
        <v>0.31240082183847029</v>
      </c>
      <c r="N301" s="12">
        <f>(INDEX(Proj[],MATCH(Std[[#This Row],[Player]],Proj[Player],0),21)-N$764)/N$765</f>
        <v>0.17960264137535742</v>
      </c>
      <c r="O301" s="12">
        <f>(INDEX(Proj[],MATCH(Std[[#This Row],[Player]],Proj[Player],0),22)-O$764)/O$765</f>
        <v>0.63962395424953922</v>
      </c>
      <c r="P301" s="12">
        <f>((INDEX(Proj[],MATCH(Std[[#This Row],[Player]],Proj[Player],0),23)-P$764)/P$765)*IF('League Inputs'!$C$23 = "Yes",-1, 1)</f>
        <v>0.95421947832925702</v>
      </c>
      <c r="Q301" s="12">
        <f>(INDEX(Proj[],MATCH(Std[[#This Row],[Player]],Proj[Player],0),24)-Q$764)/Q$765</f>
        <v>-0.5766103108129359</v>
      </c>
      <c r="R301" s="12">
        <f>(INDEX(Proj[],MATCH(Std[[#This Row],[Player]],Proj[Player],0),25)-R$764)/R$765</f>
        <v>-0.62531533033812681</v>
      </c>
      <c r="S301" s="12">
        <f>(INDEX(Proj[],MATCH(Std[[#This Row],[Player]],Proj[Player],0),26)-S$764)/S$765</f>
        <v>0.56569945436118729</v>
      </c>
      <c r="T3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206.47243139811539</v>
      </c>
      <c r="U301" s="11"/>
      <c r="W301" t="str">
        <v>Aaron Ekblad</v>
      </c>
      <c r="AA301" t="str">
        <v>Aaron Ekblad</v>
      </c>
      <c r="AB301" t="str">
        <v>Aaron Ekblad</v>
      </c>
    </row>
    <row r="302" spans="1:28" x14ac:dyDescent="0.25">
      <c r="A302" t="s">
        <v>521</v>
      </c>
      <c r="B302">
        <f>INDEX(Proj[],MATCH(Std[[#This Row],[Player]],Proj[Player],0),2)</f>
        <v>31</v>
      </c>
      <c r="C302" t="s">
        <v>102</v>
      </c>
      <c r="D302" s="75" t="s">
        <v>103</v>
      </c>
      <c r="E302" s="57"/>
      <c r="F302" t="s">
        <v>14</v>
      </c>
      <c r="G302" s="12">
        <f>(INDEX(Proj[],MATCH(Std[[#This Row],[Player]],Proj[Player],0),14)-G$764)/G$765</f>
        <v>0.18258569368064134</v>
      </c>
      <c r="H302" s="12">
        <f>(INDEX(Proj[],MATCH(Std[[#This Row],[Player]],Proj[Player],0),15)-H$764)/H$765</f>
        <v>-6.6434697593513253E-2</v>
      </c>
      <c r="I302" s="12">
        <f>(INDEX(Proj[],MATCH(Std[[#This Row],[Player]],Proj[Player],0),16)-I$764)/I$765</f>
        <v>3.9546089091455967E-2</v>
      </c>
      <c r="J302" s="12">
        <f>(INDEX(Proj[],MATCH(Std[[#This Row],[Player]],Proj[Player],0),17)-J$764)/J$765</f>
        <v>-0.46669252292436259</v>
      </c>
      <c r="K302" s="12">
        <f>(INDEX(Proj[],MATCH(Std[[#This Row],[Player]],Proj[Player],0),18)-K$764)/K$765</f>
        <v>-0.45042076997056774</v>
      </c>
      <c r="L302" s="12">
        <f>(INDEX(Proj[],MATCH(Std[[#This Row],[Player]],Proj[Player],0),19)-L$764)/L$765</f>
        <v>-0.49026000221120619</v>
      </c>
      <c r="M302" s="12">
        <f>(INDEX(Proj[],MATCH(Std[[#This Row],[Player]],Proj[Player],0),20)-M$764)/M$765</f>
        <v>2.3633801304301665</v>
      </c>
      <c r="N302" s="12">
        <f>(INDEX(Proj[],MATCH(Std[[#This Row],[Player]],Proj[Player],0),21)-N$764)/N$765</f>
        <v>1.8462597093333339</v>
      </c>
      <c r="O302" s="12">
        <f>(INDEX(Proj[],MATCH(Std[[#This Row],[Player]],Proj[Player],0),22)-O$764)/O$765</f>
        <v>-0.12650415594358927</v>
      </c>
      <c r="P302" s="12">
        <f>((INDEX(Proj[],MATCH(Std[[#This Row],[Player]],Proj[Player],0),23)-P$764)/P$765)*IF('League Inputs'!$C$23 = "Yes",-1, 1)</f>
        <v>1.0472990269259739</v>
      </c>
      <c r="Q302" s="12">
        <f>(INDEX(Proj[],MATCH(Std[[#This Row],[Player]],Proj[Player],0),24)-Q$764)/Q$765</f>
        <v>2.8455197445817344</v>
      </c>
      <c r="R302" s="12">
        <f>(INDEX(Proj[],MATCH(Std[[#This Row],[Player]],Proj[Player],0),25)-R$764)/R$765</f>
        <v>3.09188702253436</v>
      </c>
      <c r="S302" s="12">
        <f>(INDEX(Proj[],MATCH(Std[[#This Row],[Player]],Proj[Player],0),26)-S$764)/S$765</f>
        <v>-3.4392223985428086E-2</v>
      </c>
      <c r="T3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524.36191838794025</v>
      </c>
      <c r="U302" s="11"/>
      <c r="W302" t="str">
        <v>Adam Lowry</v>
      </c>
      <c r="AA302" t="str">
        <v>Adam Lowry</v>
      </c>
      <c r="AB302" t="str">
        <v>Adam Lowry</v>
      </c>
    </row>
    <row r="303" spans="1:28" x14ac:dyDescent="0.25">
      <c r="A303" t="s">
        <v>540</v>
      </c>
      <c r="B303">
        <f>INDEX(Proj[],MATCH(Std[[#This Row],[Player]],Proj[Player],0),2)</f>
        <v>29</v>
      </c>
      <c r="C303" t="s">
        <v>74</v>
      </c>
      <c r="D303" s="75" t="s">
        <v>102</v>
      </c>
      <c r="E303" s="57" t="s">
        <v>103</v>
      </c>
      <c r="F303" t="s">
        <v>18</v>
      </c>
      <c r="G303" s="12">
        <f>(INDEX(Proj[],MATCH(Std[[#This Row],[Player]],Proj[Player],0),14)-G$764)/G$765</f>
        <v>0.28821956243840696</v>
      </c>
      <c r="H303" s="12">
        <f>(INDEX(Proj[],MATCH(Std[[#This Row],[Player]],Proj[Player],0),15)-H$764)/H$765</f>
        <v>-0.14096396458177846</v>
      </c>
      <c r="I303" s="12">
        <f>(INDEX(Proj[],MATCH(Std[[#This Row],[Player]],Proj[Player],0),16)-I$764)/I$765</f>
        <v>3.9546089091455967E-2</v>
      </c>
      <c r="J303" s="12">
        <f>(INDEX(Proj[],MATCH(Std[[#This Row],[Player]],Proj[Player],0),17)-J$764)/J$765</f>
        <v>0.12203405152491688</v>
      </c>
      <c r="K303" s="12">
        <f>(INDEX(Proj[],MATCH(Std[[#This Row],[Player]],Proj[Player],0),18)-K$764)/K$765</f>
        <v>-0.45042076997056774</v>
      </c>
      <c r="L303" s="12">
        <f>(INDEX(Proj[],MATCH(Std[[#This Row],[Player]],Proj[Player],0),19)-L$764)/L$765</f>
        <v>-0.27278273918567114</v>
      </c>
      <c r="M303" s="12">
        <f>(INDEX(Proj[],MATCH(Std[[#This Row],[Player]],Proj[Player],0),20)-M$764)/M$765</f>
        <v>0.31240082183847029</v>
      </c>
      <c r="N303" s="12">
        <f>(INDEX(Proj[],MATCH(Std[[#This Row],[Player]],Proj[Player],0),21)-N$764)/N$765</f>
        <v>0.3927797082071916</v>
      </c>
      <c r="O303" s="12">
        <f>(INDEX(Proj[],MATCH(Std[[#This Row],[Player]],Proj[Player],0),22)-O$764)/O$765</f>
        <v>-0.66047223274486055</v>
      </c>
      <c r="P303" s="12">
        <f>((INDEX(Proj[],MATCH(Std[[#This Row],[Player]],Proj[Player],0),23)-P$764)/P$765)*IF('League Inputs'!$C$23 = "Yes",-1, 1)</f>
        <v>2.2107933843849357</v>
      </c>
      <c r="Q303" s="12">
        <f>(INDEX(Proj[],MATCH(Std[[#This Row],[Player]],Proj[Player],0),24)-Q$764)/Q$765</f>
        <v>-0.43801937399009877</v>
      </c>
      <c r="R303" s="12">
        <f>(INDEX(Proj[],MATCH(Std[[#This Row],[Player]],Proj[Player],0),25)-R$764)/R$765</f>
        <v>-0.40966084269056269</v>
      </c>
      <c r="S303" s="12">
        <f>(INDEX(Proj[],MATCH(Std[[#This Row],[Player]],Proj[Player],0),26)-S$764)/S$765</f>
        <v>1.1009163566703306</v>
      </c>
      <c r="T3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252.00167902899119</v>
      </c>
      <c r="U303" s="11"/>
      <c r="W303" t="str">
        <v>Miles Wood</v>
      </c>
      <c r="AA303" t="str">
        <v>Miles Wood</v>
      </c>
      <c r="AB303" t="str">
        <v>Miles Wood</v>
      </c>
    </row>
    <row r="304" spans="1:28" x14ac:dyDescent="0.25">
      <c r="A304" t="s">
        <v>343</v>
      </c>
      <c r="B304">
        <f>INDEX(Proj[],MATCH(Std[[#This Row],[Player]],Proj[Player],0),2)</f>
        <v>30</v>
      </c>
      <c r="C304" t="s">
        <v>74</v>
      </c>
      <c r="D304" s="75" t="s">
        <v>102</v>
      </c>
      <c r="E304" s="56"/>
      <c r="F304" t="s">
        <v>154</v>
      </c>
      <c r="G304" s="12">
        <f>(INDEX(Proj[],MATCH(Std[[#This Row],[Player]],Proj[Player],0),14)-G$764)/G$765</f>
        <v>-0.45121751886595246</v>
      </c>
      <c r="H304" s="12">
        <f>(INDEX(Proj[],MATCH(Std[[#This Row],[Player]],Proj[Player],0),15)-H$764)/H$765</f>
        <v>0.38074090433607805</v>
      </c>
      <c r="I304" s="12">
        <f>(INDEX(Proj[],MATCH(Std[[#This Row],[Player]],Proj[Player],0),16)-I$764)/I$765</f>
        <v>3.9546089091455967E-2</v>
      </c>
      <c r="J304" s="12">
        <f>(INDEX(Proj[],MATCH(Std[[#This Row],[Player]],Proj[Player],0),17)-J$764)/J$765</f>
        <v>-0.46669252292436259</v>
      </c>
      <c r="K304" s="12">
        <f>(INDEX(Proj[],MATCH(Std[[#This Row],[Player]],Proj[Player],0),18)-K$764)/K$765</f>
        <v>-0.14224887932464234</v>
      </c>
      <c r="L304" s="12">
        <f>(INDEX(Proj[],MATCH(Std[[#This Row],[Player]],Proj[Player],0),19)-L$764)/L$765</f>
        <v>-0.27278273918567114</v>
      </c>
      <c r="M304" s="12">
        <f>(INDEX(Proj[],MATCH(Std[[#This Row],[Player]],Proj[Player],0),20)-M$764)/M$765</f>
        <v>1.3378904761343182</v>
      </c>
      <c r="N304" s="12">
        <f>(INDEX(Proj[],MATCH(Std[[#This Row],[Player]],Proj[Player],0),21)-N$764)/N$765</f>
        <v>-0.61496642590693373</v>
      </c>
      <c r="O304" s="12">
        <f>(INDEX(Proj[],MATCH(Std[[#This Row],[Player]],Proj[Player],0),22)-O$764)/O$765</f>
        <v>1.0342960110156962</v>
      </c>
      <c r="P304" s="12">
        <f>((INDEX(Proj[],MATCH(Std[[#This Row],[Player]],Proj[Player],0),23)-P$764)/P$765)*IF('League Inputs'!$C$23 = "Yes",-1, 1)</f>
        <v>0.76806038113582309</v>
      </c>
      <c r="Q304" s="12">
        <f>(INDEX(Proj[],MATCH(Std[[#This Row],[Player]],Proj[Player],0),24)-Q$764)/Q$765</f>
        <v>-0.5766103108129359</v>
      </c>
      <c r="R304" s="12">
        <f>(INDEX(Proj[],MATCH(Std[[#This Row],[Player]],Proj[Player],0),25)-R$764)/R$765</f>
        <v>-0.62531533033812681</v>
      </c>
      <c r="S304" s="12">
        <f>(INDEX(Proj[],MATCH(Std[[#This Row],[Player]],Proj[Player],0),26)-S$764)/S$765</f>
        <v>-0.24523524610721187</v>
      </c>
      <c r="T3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6.1831144700348233</v>
      </c>
      <c r="U304" s="11"/>
      <c r="W304" t="str">
        <v>Damon Severson</v>
      </c>
      <c r="AA304" t="str">
        <v>Damon Severson</v>
      </c>
      <c r="AB304" t="str">
        <v>Damon Severson</v>
      </c>
    </row>
    <row r="305" spans="1:28" x14ac:dyDescent="0.25">
      <c r="A305" t="s">
        <v>1015</v>
      </c>
      <c r="B305">
        <f>INDEX(Proj[],MATCH(Std[[#This Row],[Player]],Proj[Player],0),2)</f>
        <v>31</v>
      </c>
      <c r="C305" t="s">
        <v>74</v>
      </c>
      <c r="D305" s="75"/>
      <c r="E305" s="56"/>
      <c r="F305" t="s">
        <v>156</v>
      </c>
      <c r="G305" s="12">
        <f>(INDEX(Proj[],MATCH(Std[[#This Row],[Player]],Proj[Player],0),14)-G$764)/G$765</f>
        <v>0.18258569368064134</v>
      </c>
      <c r="H305" s="12">
        <f>(INDEX(Proj[],MATCH(Std[[#This Row],[Player]],Proj[Player],0),15)-H$764)/H$765</f>
        <v>-6.6434697593513253E-2</v>
      </c>
      <c r="I305" s="12">
        <f>(INDEX(Proj[],MATCH(Std[[#This Row],[Player]],Proj[Player],0),16)-I$764)/I$765</f>
        <v>3.9546089091455967E-2</v>
      </c>
      <c r="J305" s="12">
        <f>(INDEX(Proj[],MATCH(Std[[#This Row],[Player]],Proj[Player],0),17)-J$764)/J$765</f>
        <v>0.41639733874955659</v>
      </c>
      <c r="K305" s="12">
        <f>(INDEX(Proj[],MATCH(Std[[#This Row],[Player]],Proj[Player],0),18)-K$764)/K$765</f>
        <v>0.16592301132128306</v>
      </c>
      <c r="L305" s="12">
        <f>(INDEX(Proj[],MATCH(Std[[#This Row],[Player]],Proj[Player],0),19)-L$764)/L$765</f>
        <v>0.27091041837816654</v>
      </c>
      <c r="M305" s="12">
        <f>(INDEX(Proj[],MATCH(Std[[#This Row],[Player]],Proj[Player],0),20)-M$764)/M$765</f>
        <v>-0.71308883245737775</v>
      </c>
      <c r="N305" s="12">
        <f>(INDEX(Proj[],MATCH(Std[[#This Row],[Player]],Proj[Player],0),21)-N$764)/N$765</f>
        <v>0.3927797082071916</v>
      </c>
      <c r="O305" s="12">
        <f>(INDEX(Proj[],MATCH(Std[[#This Row],[Player]],Proj[Player],0),22)-O$764)/O$765</f>
        <v>-0.93906427281508909</v>
      </c>
      <c r="P305" s="12">
        <f>((INDEX(Proj[],MATCH(Std[[#This Row],[Player]],Proj[Player],0),23)-P$764)/P$765)*IF('League Inputs'!$C$23 = "Yes",-1, 1)</f>
        <v>-0.16273510483134615</v>
      </c>
      <c r="Q305" s="12">
        <f>(INDEX(Proj[],MATCH(Std[[#This Row],[Player]],Proj[Player],0),24)-Q$764)/Q$765</f>
        <v>-0.29942843716726164</v>
      </c>
      <c r="R305" s="12">
        <f>(INDEX(Proj[],MATCH(Std[[#This Row],[Player]],Proj[Player],0),25)-R$764)/R$765</f>
        <v>-0.25643265409887239</v>
      </c>
      <c r="S305" s="12">
        <f>(INDEX(Proj[],MATCH(Std[[#This Row],[Player]],Proj[Player],0),26)-S$764)/S$765</f>
        <v>-0.13170438804163598</v>
      </c>
      <c r="T3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-71.35449910913907</v>
      </c>
      <c r="U305" s="11"/>
      <c r="W305" t="str">
        <v>Stefan Noesen</v>
      </c>
      <c r="AA305" t="str">
        <v>Stefan Noesen</v>
      </c>
      <c r="AB305" t="str">
        <v>Stefan Noesen</v>
      </c>
    </row>
    <row r="306" spans="1:28" x14ac:dyDescent="0.25">
      <c r="A306" t="s">
        <v>454</v>
      </c>
      <c r="B306">
        <f>INDEX(Proj[],MATCH(Std[[#This Row],[Player]],Proj[Player],0),2)</f>
        <v>25</v>
      </c>
      <c r="C306" t="s">
        <v>74</v>
      </c>
      <c r="D306" s="75" t="s">
        <v>102</v>
      </c>
      <c r="E306" s="56" t="s">
        <v>103</v>
      </c>
      <c r="F306" t="s">
        <v>5</v>
      </c>
      <c r="G306" s="12">
        <f>(INDEX(Proj[],MATCH(Std[[#This Row],[Player]],Proj[Player],0),14)-G$764)/G$765</f>
        <v>-0.45121751886595246</v>
      </c>
      <c r="H306" s="12">
        <f>(INDEX(Proj[],MATCH(Std[[#This Row],[Player]],Proj[Player],0),15)-H$764)/H$765</f>
        <v>0.30621163734781282</v>
      </c>
      <c r="I306" s="12">
        <f>(INDEX(Proj[],MATCH(Std[[#This Row],[Player]],Proj[Player],0),16)-I$764)/I$765</f>
        <v>-7.6964698706472635E-3</v>
      </c>
      <c r="J306" s="12">
        <f>(INDEX(Proj[],MATCH(Std[[#This Row],[Player]],Proj[Player],0),17)-J$764)/J$765</f>
        <v>-0.76105581014900237</v>
      </c>
      <c r="K306" s="12">
        <f>(INDEX(Proj[],MATCH(Std[[#This Row],[Player]],Proj[Player],0),18)-K$764)/K$765</f>
        <v>-0.29633482464760502</v>
      </c>
      <c r="L306" s="12">
        <f>(INDEX(Proj[],MATCH(Std[[#This Row],[Player]],Proj[Player],0),19)-L$764)/L$765</f>
        <v>-0.49026000221120619</v>
      </c>
      <c r="M306" s="12">
        <f>(INDEX(Proj[],MATCH(Std[[#This Row],[Player]],Proj[Player],0),20)-M$764)/M$765</f>
        <v>1.3378904761343182</v>
      </c>
      <c r="N306" s="12">
        <f>(INDEX(Proj[],MATCH(Std[[#This Row],[Player]],Proj[Player],0),21)-N$764)/N$765</f>
        <v>1.0323109087026943</v>
      </c>
      <c r="O306" s="12">
        <f>(INDEX(Proj[],MATCH(Std[[#This Row],[Player]],Proj[Player],0),22)-O$764)/O$765</f>
        <v>1.3593200577642963</v>
      </c>
      <c r="P306" s="12">
        <f>((INDEX(Proj[],MATCH(Std[[#This Row],[Player]],Proj[Player],0),23)-P$764)/P$765)*IF('League Inputs'!$C$23 = "Yes",-1, 1)</f>
        <v>0.16304331525716309</v>
      </c>
      <c r="Q306" s="12">
        <f>(INDEX(Proj[],MATCH(Std[[#This Row],[Player]],Proj[Player],0),24)-Q$764)/Q$765</f>
        <v>-0.5766103108129359</v>
      </c>
      <c r="R306" s="12">
        <f>(INDEX(Proj[],MATCH(Std[[#This Row],[Player]],Proj[Player],0),25)-R$764)/R$765</f>
        <v>-0.62531533033812681</v>
      </c>
      <c r="S306" s="12">
        <f>(INDEX(Proj[],MATCH(Std[[#This Row],[Player]],Proj[Player],0),26)-S$764)/S$765</f>
        <v>-0.26145394011657985</v>
      </c>
      <c r="T3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107.36476771946448</v>
      </c>
      <c r="U306" s="11"/>
      <c r="W306" t="str">
        <v>K'Andre Miller</v>
      </c>
      <c r="AA306" t="str">
        <v>K'Andre Miller</v>
      </c>
      <c r="AB306" t="str">
        <v>K'Andre Miller</v>
      </c>
    </row>
    <row r="307" spans="1:28" x14ac:dyDescent="0.25">
      <c r="A307" t="s">
        <v>418</v>
      </c>
      <c r="B307">
        <f>INDEX(Proj[],MATCH(Std[[#This Row],[Player]],Proj[Player],0),2)</f>
        <v>35</v>
      </c>
      <c r="C307" t="s">
        <v>74</v>
      </c>
      <c r="D307" s="75"/>
      <c r="E307" s="57"/>
      <c r="F307" t="s">
        <v>155</v>
      </c>
      <c r="G307" s="12">
        <f>(INDEX(Proj[],MATCH(Std[[#This Row],[Player]],Proj[Player],0),14)-G$764)/G$765</f>
        <v>-0.66248525638148381</v>
      </c>
      <c r="H307" s="12">
        <f>(INDEX(Proj[],MATCH(Std[[#This Row],[Player]],Proj[Player],0),15)-H$764)/H$765</f>
        <v>0.45527017132434322</v>
      </c>
      <c r="I307" s="12">
        <f>(INDEX(Proj[],MATCH(Std[[#This Row],[Player]],Proj[Player],0),16)-I$764)/I$765</f>
        <v>-7.6964698706472635E-3</v>
      </c>
      <c r="J307" s="12">
        <f>(INDEX(Proj[],MATCH(Std[[#This Row],[Player]],Proj[Player],0),17)-J$764)/J$765</f>
        <v>-0.46669252292436259</v>
      </c>
      <c r="K307" s="12">
        <f>(INDEX(Proj[],MATCH(Std[[#This Row],[Player]],Proj[Player],0),18)-K$764)/K$765</f>
        <v>1.0904386832590593</v>
      </c>
      <c r="L307" s="12">
        <f>(INDEX(Proj[],MATCH(Std[[#This Row],[Player]],Proj[Player],0),19)-L$764)/L$765</f>
        <v>0.59712631291646912</v>
      </c>
      <c r="M307" s="12">
        <f>(INDEX(Proj[],MATCH(Std[[#This Row],[Player]],Proj[Player],0),20)-M$764)/M$765</f>
        <v>-0.71308883245737775</v>
      </c>
      <c r="N307" s="12">
        <f>(INDEX(Proj[],MATCH(Std[[#This Row],[Player]],Proj[Player],0),21)-N$764)/N$765</f>
        <v>-0.47930829246849382</v>
      </c>
      <c r="O307" s="12">
        <f>(INDEX(Proj[],MATCH(Std[[#This Row],[Player]],Proj[Player],0),22)-O$764)/O$765</f>
        <v>2.009368151261496</v>
      </c>
      <c r="P307" s="12">
        <f>((INDEX(Proj[],MATCH(Std[[#This Row],[Player]],Proj[Player],0),23)-P$764)/P$765)*IF('League Inputs'!$C$23 = "Yes",-1, 1)</f>
        <v>-0.95391126790344005</v>
      </c>
      <c r="Q307" s="12">
        <f>(INDEX(Proj[],MATCH(Std[[#This Row],[Player]],Proj[Player],0),24)-Q$764)/Q$765</f>
        <v>-0.5766103108129359</v>
      </c>
      <c r="R307" s="12">
        <f>(INDEX(Proj[],MATCH(Std[[#This Row],[Player]],Proj[Player],0),25)-R$764)/R$765</f>
        <v>-0.62531533033812681</v>
      </c>
      <c r="S307" s="12">
        <f>(INDEX(Proj[],MATCH(Std[[#This Row],[Player]],Proj[Player],0),26)-S$764)/S$765</f>
        <v>-8.3048306013532025E-2</v>
      </c>
      <c r="T3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29.87047320517755</v>
      </c>
      <c r="U307" s="11"/>
      <c r="W307" t="str">
        <v>Jared Spurgeon</v>
      </c>
      <c r="AA307" t="str">
        <v>Jared Spurgeon</v>
      </c>
      <c r="AB307" t="str">
        <v>Jared Spurgeon</v>
      </c>
    </row>
    <row r="308" spans="1:28" x14ac:dyDescent="0.25">
      <c r="A308" t="s">
        <v>1199</v>
      </c>
      <c r="B308">
        <f>INDEX(Proj[],MATCH(Std[[#This Row],[Player]],Proj[Player],0),2)</f>
        <v>21</v>
      </c>
      <c r="C308" t="s">
        <v>103</v>
      </c>
      <c r="D308" s="75"/>
      <c r="E308" s="57"/>
      <c r="F308" t="s">
        <v>6</v>
      </c>
      <c r="G308" s="12">
        <f>(INDEX(Proj[],MATCH(Std[[#This Row],[Player]],Proj[Player],0),14)-G$764)/G$765</f>
        <v>-0.66248525638148381</v>
      </c>
      <c r="H308" s="12">
        <f>(INDEX(Proj[],MATCH(Std[[#This Row],[Player]],Proj[Player],0),15)-H$764)/H$765</f>
        <v>0.45527017132434322</v>
      </c>
      <c r="I308" s="12">
        <f>(INDEX(Proj[],MATCH(Std[[#This Row],[Player]],Proj[Player],0),16)-I$764)/I$765</f>
        <v>-7.6964698706472635E-3</v>
      </c>
      <c r="J308" s="12">
        <f>(INDEX(Proj[],MATCH(Std[[#This Row],[Player]],Proj[Player],0),17)-J$764)/J$765</f>
        <v>-0.46669252292436259</v>
      </c>
      <c r="K308" s="12">
        <f>(INDEX(Proj[],MATCH(Std[[#This Row],[Player]],Proj[Player],0),18)-K$764)/K$765</f>
        <v>0.47409490196720849</v>
      </c>
      <c r="L308" s="12">
        <f>(INDEX(Proj[],MATCH(Std[[#This Row],[Player]],Proj[Player],0),19)-L$764)/L$765</f>
        <v>0.16217178686539899</v>
      </c>
      <c r="M308" s="12">
        <f>(INDEX(Proj[],MATCH(Std[[#This Row],[Player]],Proj[Player],0),20)-M$764)/M$765</f>
        <v>0.31240082183847029</v>
      </c>
      <c r="N308" s="12">
        <f>(INDEX(Proj[],MATCH(Std[[#This Row],[Player]],Proj[Player],0),21)-N$764)/N$765</f>
        <v>0.35402024151049449</v>
      </c>
      <c r="O308" s="12">
        <f>(INDEX(Proj[],MATCH(Std[[#This Row],[Player]],Proj[Player],0),22)-O$764)/O$765</f>
        <v>0.66283995758872494</v>
      </c>
      <c r="P308" s="12">
        <f>((INDEX(Proj[],MATCH(Std[[#This Row],[Player]],Proj[Player],0),23)-P$764)/P$765)*IF('League Inputs'!$C$23 = "Yes",-1, 1)</f>
        <v>-0.1161953305329877</v>
      </c>
      <c r="Q308" s="12">
        <f>(INDEX(Proj[],MATCH(Std[[#This Row],[Player]],Proj[Player],0),24)-Q$764)/Q$765</f>
        <v>-0.5766103108129359</v>
      </c>
      <c r="R308" s="12">
        <f>(INDEX(Proj[],MATCH(Std[[#This Row],[Player]],Proj[Player],0),25)-R$764)/R$765</f>
        <v>-0.62531533033812681</v>
      </c>
      <c r="S308" s="12">
        <f>(INDEX(Proj[],MATCH(Std[[#This Row],[Player]],Proj[Player],0),26)-S$764)/S$765</f>
        <v>-6.6829612004164055E-2</v>
      </c>
      <c r="T3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20.448517768674289</v>
      </c>
      <c r="U308" s="11"/>
      <c r="W308" t="str">
        <v>Pavel Mintyukov</v>
      </c>
      <c r="AA308" t="str">
        <v>Pavel Mintyukov</v>
      </c>
      <c r="AB308" t="str">
        <v>Pavel Mintyukov</v>
      </c>
    </row>
    <row r="309" spans="1:28" x14ac:dyDescent="0.25">
      <c r="A309" t="s">
        <v>864</v>
      </c>
      <c r="B309">
        <f>INDEX(Proj[],MATCH(Std[[#This Row],[Player]],Proj[Player],0),2)</f>
        <v>22</v>
      </c>
      <c r="C309" t="s">
        <v>74</v>
      </c>
      <c r="D309" s="75"/>
      <c r="E309" s="56"/>
      <c r="F309" t="s">
        <v>21</v>
      </c>
      <c r="G309" s="12">
        <f>(INDEX(Proj[],MATCH(Std[[#This Row],[Player]],Proj[Player],0),14)-G$764)/G$765</f>
        <v>-0.66248525638148381</v>
      </c>
      <c r="H309" s="12">
        <f>(INDEX(Proj[],MATCH(Std[[#This Row],[Player]],Proj[Player],0),15)-H$764)/H$765</f>
        <v>0.45527017132434322</v>
      </c>
      <c r="I309" s="12">
        <f>(INDEX(Proj[],MATCH(Std[[#This Row],[Player]],Proj[Player],0),16)-I$764)/I$765</f>
        <v>-7.6964698706472635E-3</v>
      </c>
      <c r="J309" s="12">
        <f>(INDEX(Proj[],MATCH(Std[[#This Row],[Player]],Proj[Player],0),17)-J$764)/J$765</f>
        <v>-0.46669252292436259</v>
      </c>
      <c r="K309" s="12">
        <f>(INDEX(Proj[],MATCH(Std[[#This Row],[Player]],Proj[Player],0),18)-K$764)/K$765</f>
        <v>0.16592301132128306</v>
      </c>
      <c r="L309" s="12">
        <f>(INDEX(Proj[],MATCH(Std[[#This Row],[Player]],Proj[Player],0),19)-L$764)/L$765</f>
        <v>-5.5305476160136084E-2</v>
      </c>
      <c r="M309" s="12">
        <f>(INDEX(Proj[],MATCH(Std[[#This Row],[Player]],Proj[Player],0),20)-M$764)/M$765</f>
        <v>0.31240082183847029</v>
      </c>
      <c r="N309" s="12">
        <f>(INDEX(Proj[],MATCH(Std[[#This Row],[Player]],Proj[Player],0),21)-N$764)/N$765</f>
        <v>-0.82814349273876797</v>
      </c>
      <c r="O309" s="12">
        <f>(INDEX(Proj[],MATCH(Std[[#This Row],[Player]],Proj[Player],0),22)-O$764)/O$765</f>
        <v>1.0807280176940677</v>
      </c>
      <c r="P309" s="12">
        <f>((INDEX(Proj[],MATCH(Std[[#This Row],[Player]],Proj[Player],0),23)-P$764)/P$765)*IF('League Inputs'!$C$23 = "Yes",-1, 1)</f>
        <v>-0.20927487912970463</v>
      </c>
      <c r="Q309" s="12">
        <f>(INDEX(Proj[],MATCH(Std[[#This Row],[Player]],Proj[Player],0),24)-Q$764)/Q$765</f>
        <v>-0.5766103108129359</v>
      </c>
      <c r="R309" s="12">
        <f>(INDEX(Proj[],MATCH(Std[[#This Row],[Player]],Proj[Player],0),25)-R$764)/R$765</f>
        <v>-0.62531533033812681</v>
      </c>
      <c r="S309" s="12">
        <f>(INDEX(Proj[],MATCH(Std[[#This Row],[Player]],Proj[Player],0),26)-S$764)/S$765</f>
        <v>-6.6829612004164055E-2</v>
      </c>
      <c r="T3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-87.034730807942879</v>
      </c>
      <c r="U309" s="11"/>
      <c r="W309" t="str">
        <v>Owen Power</v>
      </c>
      <c r="AA309" t="str">
        <v>Owen Power</v>
      </c>
      <c r="AB309" t="str">
        <v>Owen Power</v>
      </c>
    </row>
    <row r="310" spans="1:28" x14ac:dyDescent="0.25">
      <c r="A310" t="s">
        <v>1211</v>
      </c>
      <c r="B310">
        <f>INDEX(Proj[],MATCH(Std[[#This Row],[Player]],Proj[Player],0),2)</f>
        <v>26</v>
      </c>
      <c r="C310" t="s">
        <v>74</v>
      </c>
      <c r="D310" s="75"/>
      <c r="E310" s="56"/>
      <c r="F310" t="s">
        <v>28</v>
      </c>
      <c r="G310" s="12">
        <f>(INDEX(Proj[],MATCH(Std[[#This Row],[Player]],Proj[Player],0),14)-G$764)/G$765</f>
        <v>0.18258569368064134</v>
      </c>
      <c r="H310" s="12">
        <f>(INDEX(Proj[],MATCH(Std[[#This Row],[Player]],Proj[Player],0),15)-H$764)/H$765</f>
        <v>-0.14096396458177846</v>
      </c>
      <c r="I310" s="12">
        <f>(INDEX(Proj[],MATCH(Std[[#This Row],[Player]],Proj[Player],0),16)-I$764)/I$765</f>
        <v>-7.6964698706472635E-3</v>
      </c>
      <c r="J310" s="12">
        <f>(INDEX(Proj[],MATCH(Std[[#This Row],[Player]],Proj[Player],0),17)-J$764)/J$765</f>
        <v>-0.17232923569972286</v>
      </c>
      <c r="K310" s="12">
        <f>(INDEX(Proj[],MATCH(Std[[#This Row],[Player]],Proj[Player],0),18)-K$764)/K$765</f>
        <v>-0.29633482464760502</v>
      </c>
      <c r="L310" s="12">
        <f>(INDEX(Proj[],MATCH(Std[[#This Row],[Player]],Proj[Player],0),19)-L$764)/L$765</f>
        <v>-0.27278273918567114</v>
      </c>
      <c r="M310" s="12">
        <f>(INDEX(Proj[],MATCH(Std[[#This Row],[Player]],Proj[Player],0),20)-M$764)/M$765</f>
        <v>-0.71308883245737775</v>
      </c>
      <c r="N310" s="12">
        <f>(INDEX(Proj[],MATCH(Std[[#This Row],[Player]],Proj[Player],0),21)-N$764)/N$765</f>
        <v>0.62533650838737442</v>
      </c>
      <c r="O310" s="12">
        <f>(INDEX(Proj[],MATCH(Std[[#This Row],[Player]],Proj[Player],0),22)-O$764)/O$765</f>
        <v>-0.66047223274486055</v>
      </c>
      <c r="P310" s="12">
        <f>((INDEX(Proj[],MATCH(Std[[#This Row],[Player]],Proj[Player],0),23)-P$764)/P$765)*IF('League Inputs'!$C$23 = "Yes",-1, 1)</f>
        <v>0.11650354095880462</v>
      </c>
      <c r="Q310" s="12">
        <f>(INDEX(Proj[],MATCH(Std[[#This Row],[Player]],Proj[Player],0),24)-Q$764)/Q$765</f>
        <v>-0.20881128616771427</v>
      </c>
      <c r="R310" s="12">
        <f>(INDEX(Proj[],MATCH(Std[[#This Row],[Player]],Proj[Player],0),25)-R$764)/R$765</f>
        <v>-0.18265611885102151</v>
      </c>
      <c r="S310" s="12">
        <f>(INDEX(Proj[],MATCH(Std[[#This Row],[Player]],Proj[Player],0),26)-S$764)/S$765</f>
        <v>-1.9548359666921177E-3</v>
      </c>
      <c r="T3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-36.825578549054342</v>
      </c>
      <c r="U310" s="11"/>
      <c r="W310" t="str">
        <v>Maxim Tsyplakov</v>
      </c>
      <c r="AA310" t="str">
        <v>Maxim Tsyplakov</v>
      </c>
      <c r="AB310" t="str">
        <v>Maxim Tsyplakov</v>
      </c>
    </row>
    <row r="311" spans="1:28" x14ac:dyDescent="0.25">
      <c r="A311" t="s">
        <v>548</v>
      </c>
      <c r="B311">
        <f>INDEX(Proj[],MATCH(Std[[#This Row],[Player]],Proj[Player],0),2)</f>
        <v>36</v>
      </c>
      <c r="C311" t="s">
        <v>103</v>
      </c>
      <c r="D311" s="75"/>
      <c r="E311" s="56"/>
      <c r="F311" t="s">
        <v>153</v>
      </c>
      <c r="G311" s="12">
        <f>(INDEX(Proj[],MATCH(Std[[#This Row],[Player]],Proj[Player],0),14)-G$764)/G$765</f>
        <v>0.18258569368064134</v>
      </c>
      <c r="H311" s="12">
        <f>(INDEX(Proj[],MATCH(Std[[#This Row],[Player]],Proj[Player],0),15)-H$764)/H$765</f>
        <v>-0.14096396458177846</v>
      </c>
      <c r="I311" s="12">
        <f>(INDEX(Proj[],MATCH(Std[[#This Row],[Player]],Proj[Player],0),16)-I$764)/I$765</f>
        <v>-7.6964698706472635E-3</v>
      </c>
      <c r="J311" s="12">
        <f>(INDEX(Proj[],MATCH(Std[[#This Row],[Player]],Proj[Player],0),17)-J$764)/J$765</f>
        <v>-0.76105581014900237</v>
      </c>
      <c r="K311" s="12">
        <f>(INDEX(Proj[],MATCH(Std[[#This Row],[Player]],Proj[Player],0),18)-K$764)/K$765</f>
        <v>-0.75859266061649311</v>
      </c>
      <c r="L311" s="12">
        <f>(INDEX(Proj[],MATCH(Std[[#This Row],[Player]],Proj[Player],0),19)-L$764)/L$765</f>
        <v>-0.81647589674950882</v>
      </c>
      <c r="M311" s="12">
        <f>(INDEX(Proj[],MATCH(Std[[#This Row],[Player]],Proj[Player],0),20)-M$764)/M$765</f>
        <v>2.3633801304301665</v>
      </c>
      <c r="N311" s="12">
        <f>(INDEX(Proj[],MATCH(Std[[#This Row],[Player]],Proj[Player],0),21)-N$764)/N$765</f>
        <v>0.93541224196095141</v>
      </c>
      <c r="O311" s="12">
        <f>(INDEX(Proj[],MATCH(Std[[#This Row],[Player]],Proj[Player],0),22)-O$764)/O$765</f>
        <v>-0.56760821938811779</v>
      </c>
      <c r="P311" s="12">
        <f>((INDEX(Proj[],MATCH(Std[[#This Row],[Player]],Proj[Player],0),23)-P$764)/P$765)*IF('League Inputs'!$C$23 = "Yes",-1, 1)</f>
        <v>-0.25581465342806309</v>
      </c>
      <c r="Q311" s="12">
        <f>(INDEX(Proj[],MATCH(Std[[#This Row],[Player]],Proj[Player],0),24)-Q$764)/Q$765</f>
        <v>3.4371964364023082</v>
      </c>
      <c r="R311" s="12">
        <f>(INDEX(Proj[],MATCH(Std[[#This Row],[Player]],Proj[Player],0),25)-R$764)/R$765</f>
        <v>2.524375212935507</v>
      </c>
      <c r="S311" s="12">
        <f>(INDEX(Proj[],MATCH(Std[[#This Row],[Player]],Proj[Player],0),26)-S$764)/S$765</f>
        <v>-1.8173529976060102E-2</v>
      </c>
      <c r="T3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274.84616380497255</v>
      </c>
      <c r="U311" s="11"/>
      <c r="W311" t="str">
        <v>Jordan Staal</v>
      </c>
      <c r="AA311" t="str">
        <v>Jordan Staal</v>
      </c>
      <c r="AB311" t="str">
        <v>Jordan Staal</v>
      </c>
    </row>
    <row r="312" spans="1:28" x14ac:dyDescent="0.25">
      <c r="A312" t="s">
        <v>1210</v>
      </c>
      <c r="B312">
        <f>INDEX(Proj[],MATCH(Std[[#This Row],[Player]],Proj[Player],0),2)</f>
        <v>22</v>
      </c>
      <c r="C312" t="s">
        <v>74</v>
      </c>
      <c r="D312" s="75" t="s">
        <v>103</v>
      </c>
      <c r="E312" s="56"/>
      <c r="F312" t="s">
        <v>30</v>
      </c>
      <c r="G312" s="12">
        <f>(INDEX(Proj[],MATCH(Std[[#This Row],[Player]],Proj[Player],0),14)-G$764)/G$765</f>
        <v>0.18258569368064134</v>
      </c>
      <c r="H312" s="12">
        <f>(INDEX(Proj[],MATCH(Std[[#This Row],[Player]],Proj[Player],0),15)-H$764)/H$765</f>
        <v>-0.14096396458177846</v>
      </c>
      <c r="I312" s="12">
        <f>(INDEX(Proj[],MATCH(Std[[#This Row],[Player]],Proj[Player],0),16)-I$764)/I$765</f>
        <v>-7.6964698706472635E-3</v>
      </c>
      <c r="J312" s="12">
        <f>(INDEX(Proj[],MATCH(Std[[#This Row],[Player]],Proj[Player],0),17)-J$764)/J$765</f>
        <v>0.12203405152491688</v>
      </c>
      <c r="K312" s="12">
        <f>(INDEX(Proj[],MATCH(Std[[#This Row],[Player]],Proj[Player],0),18)-K$764)/K$765</f>
        <v>-0.14224887932464234</v>
      </c>
      <c r="L312" s="12">
        <f>(INDEX(Proj[],MATCH(Std[[#This Row],[Player]],Proj[Player],0),19)-L$764)/L$765</f>
        <v>-5.5305476160136084E-2</v>
      </c>
      <c r="M312" s="12">
        <f>(INDEX(Proj[],MATCH(Std[[#This Row],[Player]],Proj[Player],0),20)-M$764)/M$765</f>
        <v>-0.71308883245737775</v>
      </c>
      <c r="N312" s="12">
        <f>(INDEX(Proj[],MATCH(Std[[#This Row],[Player]],Proj[Player],0),21)-N$764)/N$765</f>
        <v>0.10208370798196315</v>
      </c>
      <c r="O312" s="12">
        <f>(INDEX(Proj[],MATCH(Std[[#This Row],[Player]],Proj[Player],0),22)-O$764)/O$765</f>
        <v>-0.66047223274486055</v>
      </c>
      <c r="P312" s="12">
        <f>((INDEX(Proj[],MATCH(Std[[#This Row],[Player]],Proj[Player],0),23)-P$764)/P$765)*IF('League Inputs'!$C$23 = "Yes",-1, 1)</f>
        <v>0.11650354095880462</v>
      </c>
      <c r="Q312" s="12">
        <f>(INDEX(Proj[],MATCH(Std[[#This Row],[Player]],Proj[Player],0),24)-Q$764)/Q$765</f>
        <v>-0.41669769140196994</v>
      </c>
      <c r="R312" s="12">
        <f>(INDEX(Proj[],MATCH(Std[[#This Row],[Player]],Proj[Player],0),25)-R$764)/R$765</f>
        <v>-0.45506178745847092</v>
      </c>
      <c r="S312" s="12">
        <f>(INDEX(Proj[],MATCH(Std[[#This Row],[Player]],Proj[Player],0),26)-S$764)/S$765</f>
        <v>3.0482552052043848E-2</v>
      </c>
      <c r="T3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-84.948034008593936</v>
      </c>
      <c r="U312" s="11"/>
      <c r="W312" t="str">
        <v>Josh Doan</v>
      </c>
      <c r="AA312" t="str">
        <v>Josh Doan</v>
      </c>
      <c r="AB312" t="str">
        <v>Josh Doan</v>
      </c>
    </row>
    <row r="313" spans="1:28" x14ac:dyDescent="0.25">
      <c r="A313" t="s">
        <v>633</v>
      </c>
      <c r="B313">
        <f>INDEX(Proj[],MATCH(Std[[#This Row],[Player]],Proj[Player],0),2)</f>
        <v>35</v>
      </c>
      <c r="C313" t="s">
        <v>74</v>
      </c>
      <c r="D313" s="75"/>
      <c r="E313" s="57"/>
      <c r="F313" t="s">
        <v>4</v>
      </c>
      <c r="G313" s="12">
        <f>(INDEX(Proj[],MATCH(Std[[#This Row],[Player]],Proj[Player],0),14)-G$764)/G$765</f>
        <v>0.28821956243840696</v>
      </c>
      <c r="H313" s="12">
        <f>(INDEX(Proj[],MATCH(Std[[#This Row],[Player]],Proj[Player],0),15)-H$764)/H$765</f>
        <v>-0.21549323157004366</v>
      </c>
      <c r="I313" s="12">
        <f>(INDEX(Proj[],MATCH(Std[[#This Row],[Player]],Proj[Player],0),16)-I$764)/I$765</f>
        <v>-7.6964698706472635E-3</v>
      </c>
      <c r="J313" s="12">
        <f>(INDEX(Proj[],MATCH(Std[[#This Row],[Player]],Proj[Player],0),17)-J$764)/J$765</f>
        <v>0.12203405152491688</v>
      </c>
      <c r="K313" s="12">
        <f>(INDEX(Proj[],MATCH(Std[[#This Row],[Player]],Proj[Player],0),18)-K$764)/K$765</f>
        <v>-0.29633482464760502</v>
      </c>
      <c r="L313" s="12">
        <f>(INDEX(Proj[],MATCH(Std[[#This Row],[Player]],Proj[Player],0),19)-L$764)/L$765</f>
        <v>-0.16404410767290362</v>
      </c>
      <c r="M313" s="12">
        <f>(INDEX(Proj[],MATCH(Std[[#This Row],[Player]],Proj[Player],0),20)-M$764)/M$765</f>
        <v>1.3378904761343182</v>
      </c>
      <c r="N313" s="12">
        <f>(INDEX(Proj[],MATCH(Std[[#This Row],[Player]],Proj[Player],0),21)-N$764)/N$765</f>
        <v>-0.44054882577179671</v>
      </c>
      <c r="O313" s="12">
        <f>(INDEX(Proj[],MATCH(Std[[#This Row],[Player]],Proj[Player],0),22)-O$764)/O$765</f>
        <v>-0.31223218265707492</v>
      </c>
      <c r="P313" s="12">
        <f>((INDEX(Proj[],MATCH(Std[[#This Row],[Player]],Proj[Player],0),23)-P$764)/P$765)*IF('League Inputs'!$C$23 = "Yes",-1, 1)</f>
        <v>6.9963766660446167E-2</v>
      </c>
      <c r="Q313" s="12">
        <f>(INDEX(Proj[],MATCH(Std[[#This Row],[Player]],Proj[Player],0),24)-Q$764)/Q$765</f>
        <v>2.0299653855858084</v>
      </c>
      <c r="R313" s="12">
        <f>(INDEX(Proj[],MATCH(Std[[#This Row],[Player]],Proj[Player],0),25)-R$764)/R$765</f>
        <v>1.9341629309527</v>
      </c>
      <c r="S313" s="12">
        <f>(INDEX(Proj[],MATCH(Std[[#This Row],[Player]],Proj[Player],0),26)-S$764)/S$765</f>
        <v>0.32241904422066753</v>
      </c>
      <c r="T3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157.05529413628631</v>
      </c>
      <c r="U313" s="11"/>
      <c r="W313" t="str">
        <v>Lars Eller</v>
      </c>
      <c r="AA313" t="str">
        <v>Lars Eller</v>
      </c>
      <c r="AB313" t="str">
        <v>Lars Eller</v>
      </c>
    </row>
    <row r="314" spans="1:28" x14ac:dyDescent="0.25">
      <c r="A314" t="s">
        <v>1008</v>
      </c>
      <c r="B314">
        <f>INDEX(Proj[],MATCH(Std[[#This Row],[Player]],Proj[Player],0),2)</f>
        <v>24</v>
      </c>
      <c r="C314" t="s">
        <v>74</v>
      </c>
      <c r="D314" s="75" t="s">
        <v>103</v>
      </c>
      <c r="E314" s="57"/>
      <c r="F314" t="s">
        <v>28</v>
      </c>
      <c r="G314" s="12">
        <f>(INDEX(Proj[],MATCH(Std[[#This Row],[Player]],Proj[Player],0),14)-G$764)/G$765</f>
        <v>0.39385343119617261</v>
      </c>
      <c r="H314" s="12">
        <f>(INDEX(Proj[],MATCH(Std[[#This Row],[Player]],Proj[Player],0),15)-H$764)/H$765</f>
        <v>-0.29002249855830886</v>
      </c>
      <c r="I314" s="12">
        <f>(INDEX(Proj[],MATCH(Std[[#This Row],[Player]],Proj[Player],0),16)-I$764)/I$765</f>
        <v>-7.6964698706472635E-3</v>
      </c>
      <c r="J314" s="12">
        <f>(INDEX(Proj[],MATCH(Std[[#This Row],[Player]],Proj[Player],0),17)-J$764)/J$765</f>
        <v>0.71076062597419631</v>
      </c>
      <c r="K314" s="12">
        <f>(INDEX(Proj[],MATCH(Std[[#This Row],[Player]],Proj[Player],0),18)-K$764)/K$765</f>
        <v>1.1837065998320361E-2</v>
      </c>
      <c r="L314" s="12">
        <f>(INDEX(Proj[],MATCH(Std[[#This Row],[Player]],Proj[Player],0),19)-L$764)/L$765</f>
        <v>0.27091041837816654</v>
      </c>
      <c r="M314" s="12">
        <f>(INDEX(Proj[],MATCH(Std[[#This Row],[Player]],Proj[Player],0),20)-M$764)/M$765</f>
        <v>-0.71308883245737775</v>
      </c>
      <c r="N314" s="12">
        <f>(INDEX(Proj[],MATCH(Std[[#This Row],[Player]],Proj[Player],0),21)-N$764)/N$765</f>
        <v>-0.98318135952555652</v>
      </c>
      <c r="O314" s="12">
        <f>(INDEX(Proj[],MATCH(Std[[#This Row],[Player]],Proj[Player],0),22)-O$764)/O$765</f>
        <v>-0.63725622940567483</v>
      </c>
      <c r="P314" s="12">
        <f>((INDEX(Proj[],MATCH(Std[[#This Row],[Player]],Proj[Player],0),23)-P$764)/P$765)*IF('League Inputs'!$C$23 = "Yes",-1, 1)</f>
        <v>-0.5815930735165723</v>
      </c>
      <c r="Q314" s="12">
        <f>(INDEX(Proj[],MATCH(Std[[#This Row],[Player]],Proj[Player],0),24)-Q$764)/Q$765</f>
        <v>-0.41136727075493779</v>
      </c>
      <c r="R314" s="12">
        <f>(INDEX(Proj[],MATCH(Std[[#This Row],[Player]],Proj[Player],0),25)-R$764)/R$765</f>
        <v>-0.45506178745847092</v>
      </c>
      <c r="S314" s="12">
        <f>(INDEX(Proj[],MATCH(Std[[#This Row],[Player]],Proj[Player],0),26)-S$764)/S$765</f>
        <v>1.4263858042675865E-2</v>
      </c>
      <c r="T3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-223.20891940146828</v>
      </c>
      <c r="U314" s="11"/>
      <c r="W314" t="str">
        <v>Jonatan Berggren</v>
      </c>
      <c r="AA314" t="str">
        <v>Jonatan Berggren</v>
      </c>
      <c r="AB314" t="str">
        <v>Jonatan Berggren</v>
      </c>
    </row>
    <row r="315" spans="1:28" x14ac:dyDescent="0.25">
      <c r="A315" t="s">
        <v>1068</v>
      </c>
      <c r="B315">
        <f>INDEX(Proj[],MATCH(Std[[#This Row],[Player]],Proj[Player],0),2)</f>
        <v>21</v>
      </c>
      <c r="C315" t="s">
        <v>74</v>
      </c>
      <c r="D315" s="75" t="s">
        <v>102</v>
      </c>
      <c r="E315" s="57"/>
      <c r="F315" t="s">
        <v>12</v>
      </c>
      <c r="G315" s="12">
        <f>(INDEX(Proj[],MATCH(Std[[#This Row],[Player]],Proj[Player],0),14)-G$764)/G$765</f>
        <v>0.18258569368064134</v>
      </c>
      <c r="H315" s="12">
        <f>(INDEX(Proj[],MATCH(Std[[#This Row],[Player]],Proj[Player],0),15)-H$764)/H$765</f>
        <v>-0.14096396458177846</v>
      </c>
      <c r="I315" s="12">
        <f>(INDEX(Proj[],MATCH(Std[[#This Row],[Player]],Proj[Player],0),16)-I$764)/I$765</f>
        <v>-7.6964698706472635E-3</v>
      </c>
      <c r="J315" s="12">
        <f>(INDEX(Proj[],MATCH(Std[[#This Row],[Player]],Proj[Player],0),17)-J$764)/J$765</f>
        <v>0.12203405152491688</v>
      </c>
      <c r="K315" s="12">
        <f>(INDEX(Proj[],MATCH(Std[[#This Row],[Player]],Proj[Player],0),18)-K$764)/K$765</f>
        <v>1.1837065998320361E-2</v>
      </c>
      <c r="L315" s="12">
        <f>(INDEX(Proj[],MATCH(Std[[#This Row],[Player]],Proj[Player],0),19)-L$764)/L$765</f>
        <v>5.3433155352631455E-2</v>
      </c>
      <c r="M315" s="12">
        <f>(INDEX(Proj[],MATCH(Std[[#This Row],[Player]],Proj[Player],0),20)-M$764)/M$765</f>
        <v>-0.71308883245737775</v>
      </c>
      <c r="N315" s="12">
        <f>(INDEX(Proj[],MATCH(Std[[#This Row],[Player]],Proj[Player],0),21)-N$764)/N$765</f>
        <v>-0.26613122563665959</v>
      </c>
      <c r="O315" s="12">
        <f>(INDEX(Proj[],MATCH(Std[[#This Row],[Player]],Proj[Player],0),22)-O$764)/O$765</f>
        <v>-0.70690423942323199</v>
      </c>
      <c r="P315" s="12">
        <f>((INDEX(Proj[],MATCH(Std[[#This Row],[Player]],Proj[Player],0),23)-P$764)/P$765)*IF('League Inputs'!$C$23 = "Yes",-1, 1)</f>
        <v>6.9963766660446167E-2</v>
      </c>
      <c r="Q315" s="12">
        <f>(INDEX(Proj[],MATCH(Std[[#This Row],[Player]],Proj[Player],0),24)-Q$764)/Q$765</f>
        <v>0.54277802506382555</v>
      </c>
      <c r="R315" s="12">
        <f>(INDEX(Proj[],MATCH(Std[[#This Row],[Player]],Proj[Player],0),25)-R$764)/R$765</f>
        <v>0.71968765841115467</v>
      </c>
      <c r="S315" s="12">
        <f>(INDEX(Proj[],MATCH(Std[[#This Row],[Player]],Proj[Player],0),26)-S$764)/S$765</f>
        <v>-1.8173529976060102E-2</v>
      </c>
      <c r="T3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-29.110878873083283</v>
      </c>
      <c r="U315" s="11"/>
      <c r="W315" t="str">
        <v>Shane Wright</v>
      </c>
      <c r="AA315" t="str">
        <v>Shane Wright</v>
      </c>
      <c r="AB315" t="str">
        <v>Shane Wright</v>
      </c>
    </row>
    <row r="316" spans="1:28" x14ac:dyDescent="0.25">
      <c r="A316" t="s">
        <v>1150</v>
      </c>
      <c r="B316">
        <f>INDEX(Proj[],MATCH(Std[[#This Row],[Player]],Proj[Player],0),2)</f>
        <v>25</v>
      </c>
      <c r="C316" t="s">
        <v>74</v>
      </c>
      <c r="D316" s="75" t="s">
        <v>103</v>
      </c>
      <c r="E316" s="57"/>
      <c r="F316" t="s">
        <v>12</v>
      </c>
      <c r="G316" s="12">
        <f>(INDEX(Proj[],MATCH(Std[[#This Row],[Player]],Proj[Player],0),14)-G$764)/G$765</f>
        <v>7.6951824922875695E-2</v>
      </c>
      <c r="H316" s="12">
        <f>(INDEX(Proj[],MATCH(Std[[#This Row],[Player]],Proj[Player],0),15)-H$764)/H$765</f>
        <v>-0.14096396458177846</v>
      </c>
      <c r="I316" s="12">
        <f>(INDEX(Proj[],MATCH(Std[[#This Row],[Player]],Proj[Player],0),16)-I$764)/I$765</f>
        <v>-5.4939028832750494E-2</v>
      </c>
      <c r="J316" s="12">
        <f>(INDEX(Proj[],MATCH(Std[[#This Row],[Player]],Proj[Player],0),17)-J$764)/J$765</f>
        <v>-0.46669252292436259</v>
      </c>
      <c r="K316" s="12">
        <f>(INDEX(Proj[],MATCH(Std[[#This Row],[Player]],Proj[Player],0),18)-K$764)/K$765</f>
        <v>-0.60450671529353051</v>
      </c>
      <c r="L316" s="12">
        <f>(INDEX(Proj[],MATCH(Std[[#This Row],[Player]],Proj[Player],0),19)-L$764)/L$765</f>
        <v>-0.59899863372397377</v>
      </c>
      <c r="M316" s="12">
        <f>(INDEX(Proj[],MATCH(Std[[#This Row],[Player]],Proj[Player],0),20)-M$764)/M$765</f>
        <v>-0.71308883245737775</v>
      </c>
      <c r="N316" s="12">
        <f>(INDEX(Proj[],MATCH(Std[[#This Row],[Player]],Proj[Player],0),21)-N$764)/N$765</f>
        <v>3.435397843897916</v>
      </c>
      <c r="O316" s="12">
        <f>(INDEX(Proj[],MATCH(Std[[#This Row],[Player]],Proj[Player],0),22)-O$764)/O$765</f>
        <v>-0.77655224944078916</v>
      </c>
      <c r="P316" s="12">
        <f>((INDEX(Proj[],MATCH(Std[[#This Row],[Player]],Proj[Player],0),23)-P$764)/P$765)*IF('League Inputs'!$C$23 = "Yes",-1, 1)</f>
        <v>3.9327650334241988</v>
      </c>
      <c r="Q316" s="12">
        <f>(INDEX(Proj[],MATCH(Std[[#This Row],[Player]],Proj[Player],0),24)-Q$764)/Q$765</f>
        <v>-0.310089278461326</v>
      </c>
      <c r="R316" s="12">
        <f>(INDEX(Proj[],MATCH(Std[[#This Row],[Player]],Proj[Player],0),25)-R$764)/R$765</f>
        <v>-0.31318383505875769</v>
      </c>
      <c r="S316" s="12">
        <f>(INDEX(Proj[],MATCH(Std[[#This Row],[Player]],Proj[Player],0),26)-S$764)/S$765</f>
        <v>0.46838729030497939</v>
      </c>
      <c r="T3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603.1958837509352</v>
      </c>
      <c r="U316" s="11"/>
      <c r="W316" t="str">
        <v>Martin Pospisil</v>
      </c>
      <c r="AA316" t="str">
        <v>Martin Pospisil</v>
      </c>
      <c r="AB316" t="str">
        <v>Martin Pospisil</v>
      </c>
    </row>
    <row r="317" spans="1:28" x14ac:dyDescent="0.25">
      <c r="A317" t="s">
        <v>700</v>
      </c>
      <c r="B317">
        <f>INDEX(Proj[],MATCH(Std[[#This Row],[Player]],Proj[Player],0),2)</f>
        <v>28</v>
      </c>
      <c r="C317" t="s">
        <v>102</v>
      </c>
      <c r="D317" s="75"/>
      <c r="E317" s="57"/>
      <c r="F317" t="s">
        <v>15</v>
      </c>
      <c r="G317" s="12">
        <f>(INDEX(Proj[],MATCH(Std[[#This Row],[Player]],Proj[Player],0),14)-G$764)/G$765</f>
        <v>-0.13431591259265557</v>
      </c>
      <c r="H317" s="12">
        <f>(INDEX(Proj[],MATCH(Std[[#This Row],[Player]],Proj[Player],0),15)-H$764)/H$765</f>
        <v>8.0945693947519649E-3</v>
      </c>
      <c r="I317" s="12">
        <f>(INDEX(Proj[],MATCH(Std[[#This Row],[Player]],Proj[Player],0),16)-I$764)/I$765</f>
        <v>-5.4939028832750494E-2</v>
      </c>
      <c r="J317" s="12">
        <f>(INDEX(Proj[],MATCH(Std[[#This Row],[Player]],Proj[Player],0),17)-J$764)/J$765</f>
        <v>-0.17232923569972286</v>
      </c>
      <c r="K317" s="12">
        <f>(INDEX(Proj[],MATCH(Std[[#This Row],[Player]],Proj[Player],0),18)-K$764)/K$765</f>
        <v>0.47409490196720849</v>
      </c>
      <c r="L317" s="12">
        <f>(INDEX(Proj[],MATCH(Std[[#This Row],[Player]],Proj[Player],0),19)-L$764)/L$765</f>
        <v>0.27091041837816654</v>
      </c>
      <c r="M317" s="12">
        <f>(INDEX(Proj[],MATCH(Std[[#This Row],[Player]],Proj[Player],0),20)-M$764)/M$765</f>
        <v>0.31240082183847029</v>
      </c>
      <c r="N317" s="12">
        <f>(INDEX(Proj[],MATCH(Std[[#This Row],[Player]],Proj[Player],0),21)-N$764)/N$765</f>
        <v>-0.49868802581684241</v>
      </c>
      <c r="O317" s="12">
        <f>(INDEX(Proj[],MATCH(Std[[#This Row],[Player]],Proj[Player],0),22)-O$764)/O$765</f>
        <v>2.4040402080276531</v>
      </c>
      <c r="P317" s="12">
        <f>((INDEX(Proj[],MATCH(Std[[#This Row],[Player]],Proj[Player],0),23)-P$764)/P$765)*IF('League Inputs'!$C$23 = "Yes",-1, 1)</f>
        <v>0.44228196104731388</v>
      </c>
      <c r="Q317" s="12">
        <f>(INDEX(Proj[],MATCH(Std[[#This Row],[Player]],Proj[Player],0),24)-Q$764)/Q$765</f>
        <v>-0.5766103108129359</v>
      </c>
      <c r="R317" s="12">
        <f>(INDEX(Proj[],MATCH(Std[[#This Row],[Player]],Proj[Player],0),25)-R$764)/R$765</f>
        <v>-0.62531533033812681</v>
      </c>
      <c r="S317" s="12">
        <f>(INDEX(Proj[],MATCH(Std[[#This Row],[Player]],Proj[Player],0),26)-S$764)/S$765</f>
        <v>0.61435553638929119</v>
      </c>
      <c r="T3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247.51294151819928</v>
      </c>
      <c r="U317" s="11"/>
      <c r="W317" t="str">
        <v>Jake Walman</v>
      </c>
      <c r="AA317" t="str">
        <v>Jake Walman</v>
      </c>
      <c r="AB317" t="str">
        <v>Jake Walman</v>
      </c>
    </row>
    <row r="318" spans="1:28" x14ac:dyDescent="0.25">
      <c r="A318" t="s">
        <v>1001</v>
      </c>
      <c r="B318">
        <f>INDEX(Proj[],MATCH(Std[[#This Row],[Player]],Proj[Player],0),2)</f>
        <v>23</v>
      </c>
      <c r="C318" t="s">
        <v>74</v>
      </c>
      <c r="D318" s="75"/>
      <c r="E318" s="57"/>
      <c r="F318" t="s">
        <v>155</v>
      </c>
      <c r="G318" s="12">
        <f>(INDEX(Proj[],MATCH(Std[[#This Row],[Player]],Proj[Player],0),14)-G$764)/G$765</f>
        <v>0.18258569368064134</v>
      </c>
      <c r="H318" s="12">
        <f>(INDEX(Proj[],MATCH(Std[[#This Row],[Player]],Proj[Player],0),15)-H$764)/H$765</f>
        <v>-0.21549323157004366</v>
      </c>
      <c r="I318" s="12">
        <f>(INDEX(Proj[],MATCH(Std[[#This Row],[Player]],Proj[Player],0),16)-I$764)/I$765</f>
        <v>-5.4939028832750494E-2</v>
      </c>
      <c r="J318" s="12">
        <f>(INDEX(Proj[],MATCH(Std[[#This Row],[Player]],Proj[Player],0),17)-J$764)/J$765</f>
        <v>0.12203405152491688</v>
      </c>
      <c r="K318" s="12">
        <f>(INDEX(Proj[],MATCH(Std[[#This Row],[Player]],Proj[Player],0),18)-K$764)/K$765</f>
        <v>-0.14224887932464234</v>
      </c>
      <c r="L318" s="12">
        <f>(INDEX(Proj[],MATCH(Std[[#This Row],[Player]],Proj[Player],0),19)-L$764)/L$765</f>
        <v>-5.5305476160136084E-2</v>
      </c>
      <c r="M318" s="12">
        <f>(INDEX(Proj[],MATCH(Std[[#This Row],[Player]],Proj[Player],0),20)-M$764)/M$765</f>
        <v>-0.71308883245737775</v>
      </c>
      <c r="N318" s="12">
        <f>(INDEX(Proj[],MATCH(Std[[#This Row],[Player]],Proj[Player],0),21)-N$764)/N$765</f>
        <v>2.3113733096936997</v>
      </c>
      <c r="O318" s="12">
        <f>(INDEX(Proj[],MATCH(Std[[#This Row],[Player]],Proj[Player],0),22)-O$764)/O$765</f>
        <v>-0.68368823608404627</v>
      </c>
      <c r="P318" s="12">
        <f>((INDEX(Proj[],MATCH(Std[[#This Row],[Player]],Proj[Player],0),23)-P$764)/P$765)*IF('League Inputs'!$C$23 = "Yes",-1, 1)</f>
        <v>1.3265376727161247</v>
      </c>
      <c r="Q318" s="12">
        <f>(INDEX(Proj[],MATCH(Std[[#This Row],[Player]],Proj[Player],0),24)-Q$764)/Q$765</f>
        <v>-0.11819413516816692</v>
      </c>
      <c r="R318" s="12">
        <f>(INDEX(Proj[],MATCH(Std[[#This Row],[Player]],Proj[Player],0),25)-R$764)/R$765</f>
        <v>-0.14860541027509033</v>
      </c>
      <c r="S318" s="12">
        <f>(INDEX(Proj[],MATCH(Std[[#This Row],[Player]],Proj[Player],0),26)-S$764)/S$765</f>
        <v>0.25754426818319559</v>
      </c>
      <c r="T3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295.04208364585179</v>
      </c>
      <c r="U318" s="11"/>
      <c r="W318" t="str">
        <v>Dylan Holloway</v>
      </c>
      <c r="AA318" t="str">
        <v>Dylan Holloway</v>
      </c>
      <c r="AB318" t="str">
        <v>Dylan Holloway</v>
      </c>
    </row>
    <row r="319" spans="1:28" x14ac:dyDescent="0.25">
      <c r="A319" t="s">
        <v>348</v>
      </c>
      <c r="B319">
        <f>INDEX(Proj[],MATCH(Std[[#This Row],[Player]],Proj[Player],0),2)</f>
        <v>33</v>
      </c>
      <c r="C319" t="s">
        <v>3</v>
      </c>
      <c r="D319" s="75"/>
      <c r="E319" s="56"/>
      <c r="F319" t="s">
        <v>11</v>
      </c>
      <c r="G319" s="12">
        <f>(INDEX(Proj[],MATCH(Std[[#This Row],[Player]],Proj[Player],0),14)-G$764)/G$765</f>
        <v>-0.66248525638148381</v>
      </c>
      <c r="H319" s="12">
        <f>(INDEX(Proj[],MATCH(Std[[#This Row],[Player]],Proj[Player],0),15)-H$764)/H$765</f>
        <v>0.38074090433607805</v>
      </c>
      <c r="I319" s="12">
        <f>(INDEX(Proj[],MATCH(Std[[#This Row],[Player]],Proj[Player],0),16)-I$764)/I$765</f>
        <v>-5.4939028832750494E-2</v>
      </c>
      <c r="J319" s="12">
        <f>(INDEX(Proj[],MATCH(Std[[#This Row],[Player]],Proj[Player],0),17)-J$764)/J$765</f>
        <v>-0.46669252292436259</v>
      </c>
      <c r="K319" s="12">
        <f>(INDEX(Proj[],MATCH(Std[[#This Row],[Player]],Proj[Player],0),18)-K$764)/K$765</f>
        <v>0.78226679261313392</v>
      </c>
      <c r="L319" s="12">
        <f>(INDEX(Proj[],MATCH(Std[[#This Row],[Player]],Proj[Player],0),19)-L$764)/L$765</f>
        <v>0.37964904989093406</v>
      </c>
      <c r="M319" s="12">
        <f>(INDEX(Proj[],MATCH(Std[[#This Row],[Player]],Proj[Player],0),20)-M$764)/M$765</f>
        <v>-0.71308883245737775</v>
      </c>
      <c r="N319" s="12">
        <f>(INDEX(Proj[],MATCH(Std[[#This Row],[Player]],Proj[Player],0),21)-N$764)/N$765</f>
        <v>8.2703974633614577E-2</v>
      </c>
      <c r="O319" s="12">
        <f>(INDEX(Proj[],MATCH(Std[[#This Row],[Player]],Proj[Player],0),22)-O$764)/O$765</f>
        <v>0.24495189748338211</v>
      </c>
      <c r="P319" s="12">
        <f>((INDEX(Proj[],MATCH(Std[[#This Row],[Player]],Proj[Player],0),23)-P$764)/P$765)*IF('League Inputs'!$C$23 = "Yes",-1, 1)</f>
        <v>0.6284410582407477</v>
      </c>
      <c r="Q319" s="12">
        <f>(INDEX(Proj[],MATCH(Std[[#This Row],[Player]],Proj[Player],0),24)-Q$764)/Q$765</f>
        <v>-0.5766103108129359</v>
      </c>
      <c r="R319" s="12">
        <f>(INDEX(Proj[],MATCH(Std[[#This Row],[Player]],Proj[Player],0),25)-R$764)/R$765</f>
        <v>-0.62531533033812681</v>
      </c>
      <c r="S319" s="12">
        <f>(INDEX(Proj[],MATCH(Std[[#This Row],[Player]],Proj[Player],0),26)-S$764)/S$765</f>
        <v>-1.8173529976060102E-2</v>
      </c>
      <c r="T3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40.427875858152618</v>
      </c>
      <c r="U319" s="11"/>
      <c r="W319" t="str">
        <v>Oliver Ekman-Larsson</v>
      </c>
      <c r="AA319" t="str">
        <v>Oliver Ekman-Larsson</v>
      </c>
      <c r="AB319" t="str">
        <v>Oliver Ekman-Larsson</v>
      </c>
    </row>
    <row r="320" spans="1:28" x14ac:dyDescent="0.25">
      <c r="A320" t="s">
        <v>1164</v>
      </c>
      <c r="B320">
        <f>INDEX(Proj[],MATCH(Std[[#This Row],[Player]],Proj[Player],0),2)</f>
        <v>25</v>
      </c>
      <c r="C320" t="s">
        <v>102</v>
      </c>
      <c r="D320" s="75" t="s">
        <v>103</v>
      </c>
      <c r="E320" s="57"/>
      <c r="F320" t="s">
        <v>15</v>
      </c>
      <c r="G320" s="12">
        <f>(INDEX(Proj[],MATCH(Std[[#This Row],[Player]],Proj[Player],0),14)-G$764)/G$765</f>
        <v>-0.13431591259265557</v>
      </c>
      <c r="H320" s="12">
        <f>(INDEX(Proj[],MATCH(Std[[#This Row],[Player]],Proj[Player],0),15)-H$764)/H$765</f>
        <v>8.0945693947519649E-3</v>
      </c>
      <c r="I320" s="12">
        <f>(INDEX(Proj[],MATCH(Std[[#This Row],[Player]],Proj[Player],0),16)-I$764)/I$765</f>
        <v>-5.4939028832750494E-2</v>
      </c>
      <c r="J320" s="12">
        <f>(INDEX(Proj[],MATCH(Std[[#This Row],[Player]],Proj[Player],0),17)-J$764)/J$765</f>
        <v>0.12203405152491688</v>
      </c>
      <c r="K320" s="12">
        <f>(INDEX(Proj[],MATCH(Std[[#This Row],[Player]],Proj[Player],0),18)-K$764)/K$765</f>
        <v>1.1837065998320361E-2</v>
      </c>
      <c r="L320" s="12">
        <f>(INDEX(Proj[],MATCH(Std[[#This Row],[Player]],Proj[Player],0),19)-L$764)/L$765</f>
        <v>5.3433155352631455E-2</v>
      </c>
      <c r="M320" s="12">
        <f>(INDEX(Proj[],MATCH(Std[[#This Row],[Player]],Proj[Player],0),20)-M$764)/M$765</f>
        <v>-0.71308883245737775</v>
      </c>
      <c r="N320" s="12">
        <f>(INDEX(Proj[],MATCH(Std[[#This Row],[Player]],Proj[Player],0),21)-N$764)/N$765</f>
        <v>-0.45992855912014524</v>
      </c>
      <c r="O320" s="12">
        <f>(INDEX(Proj[],MATCH(Std[[#This Row],[Player]],Proj[Player],0),22)-O$764)/O$765</f>
        <v>-0.49796020937056062</v>
      </c>
      <c r="P320" s="12">
        <f>((INDEX(Proj[],MATCH(Std[[#This Row],[Player]],Proj[Player],0),23)-P$764)/P$765)*IF('League Inputs'!$C$23 = "Yes",-1, 1)</f>
        <v>-0.90737149360508162</v>
      </c>
      <c r="Q320" s="12">
        <f>(INDEX(Proj[],MATCH(Std[[#This Row],[Player]],Proj[Player],0),24)-Q$764)/Q$765</f>
        <v>-0.40070642946087337</v>
      </c>
      <c r="R320" s="12">
        <f>(INDEX(Proj[],MATCH(Std[[#This Row],[Player]],Proj[Player],0),25)-R$764)/R$765</f>
        <v>-0.43236131507451681</v>
      </c>
      <c r="S320" s="12">
        <f>(INDEX(Proj[],MATCH(Std[[#This Row],[Player]],Proj[Player],0),26)-S$764)/S$765</f>
        <v>0.1764507981363557</v>
      </c>
      <c r="T3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-221.72431100983277</v>
      </c>
      <c r="U320" s="11"/>
      <c r="W320" t="str">
        <v>Valtteri Puustinen</v>
      </c>
      <c r="AA320" t="str">
        <v>Valtteri Puustinen</v>
      </c>
      <c r="AB320" t="str">
        <v>Valtteri Puustinen</v>
      </c>
    </row>
    <row r="321" spans="1:28" x14ac:dyDescent="0.25">
      <c r="A321" t="s">
        <v>523</v>
      </c>
      <c r="B321">
        <f>INDEX(Proj[],MATCH(Std[[#This Row],[Player]],Proj[Player],0),2)</f>
        <v>31</v>
      </c>
      <c r="C321" t="s">
        <v>3</v>
      </c>
      <c r="D321" s="75"/>
      <c r="E321" s="57"/>
      <c r="F321" t="s">
        <v>87</v>
      </c>
      <c r="G321" s="12">
        <f>(INDEX(Proj[],MATCH(Std[[#This Row],[Player]],Proj[Player],0),14)-G$764)/G$765</f>
        <v>0.18258569368064134</v>
      </c>
      <c r="H321" s="12">
        <f>(INDEX(Proj[],MATCH(Std[[#This Row],[Player]],Proj[Player],0),15)-H$764)/H$765</f>
        <v>-0.21549323157004366</v>
      </c>
      <c r="I321" s="12">
        <f>(INDEX(Proj[],MATCH(Std[[#This Row],[Player]],Proj[Player],0),16)-I$764)/I$765</f>
        <v>-5.4939028832750494E-2</v>
      </c>
      <c r="J321" s="12">
        <f>(INDEX(Proj[],MATCH(Std[[#This Row],[Player]],Proj[Player],0),17)-J$764)/J$765</f>
        <v>0.41639733874955659</v>
      </c>
      <c r="K321" s="12">
        <f>(INDEX(Proj[],MATCH(Std[[#This Row],[Player]],Proj[Player],0),18)-K$764)/K$765</f>
        <v>-0.45042076997056774</v>
      </c>
      <c r="L321" s="12">
        <f>(INDEX(Proj[],MATCH(Std[[#This Row],[Player]],Proj[Player],0),19)-L$764)/L$765</f>
        <v>-0.16404410767290362</v>
      </c>
      <c r="M321" s="12">
        <f>(INDEX(Proj[],MATCH(Std[[#This Row],[Player]],Proj[Player],0),20)-M$764)/M$765</f>
        <v>0.31240082183847029</v>
      </c>
      <c r="N321" s="12">
        <f>(INDEX(Proj[],MATCH(Std[[#This Row],[Player]],Proj[Player],0),21)-N$764)/N$765</f>
        <v>-0.92504215948051083</v>
      </c>
      <c r="O321" s="12">
        <f>(INDEX(Proj[],MATCH(Std[[#This Row],[Player]],Proj[Player],0),22)-O$764)/O$765</f>
        <v>-0.14972015928277496</v>
      </c>
      <c r="P321" s="12">
        <f>((INDEX(Proj[],MATCH(Std[[#This Row],[Player]],Proj[Player],0),23)-P$764)/P$765)*IF('League Inputs'!$C$23 = "Yes",-1, 1)</f>
        <v>-1.0469908165001569</v>
      </c>
      <c r="Q321" s="12">
        <f>(INDEX(Proj[],MATCH(Std[[#This Row],[Player]],Proj[Player],0),24)-Q$764)/Q$765</f>
        <v>-0.5019844217544851</v>
      </c>
      <c r="R321" s="12">
        <f>(INDEX(Proj[],MATCH(Std[[#This Row],[Player]],Proj[Player],0),25)-R$764)/R$765</f>
        <v>-0.50613785032236769</v>
      </c>
      <c r="S321" s="12">
        <f>(INDEX(Proj[],MATCH(Std[[#This Row],[Player]],Proj[Player],0),26)-S$764)/S$765</f>
        <v>0.25754426818319559</v>
      </c>
      <c r="T3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-261.80839632297887</v>
      </c>
      <c r="U321" s="11"/>
      <c r="W321" t="str">
        <v>Alex Iafallo</v>
      </c>
      <c r="AA321" t="str">
        <v>Alex Iafallo</v>
      </c>
      <c r="AB321" t="str">
        <v>Alex Iafallo</v>
      </c>
    </row>
    <row r="322" spans="1:28" x14ac:dyDescent="0.25">
      <c r="A322" t="s">
        <v>916</v>
      </c>
      <c r="B322">
        <f>INDEX(Proj[],MATCH(Std[[#This Row],[Player]],Proj[Player],0),2)</f>
        <v>25</v>
      </c>
      <c r="C322" t="s">
        <v>102</v>
      </c>
      <c r="D322" s="75" t="s">
        <v>103</v>
      </c>
      <c r="E322" s="56"/>
      <c r="F322" t="s">
        <v>16</v>
      </c>
      <c r="G322" s="12">
        <f>(INDEX(Proj[],MATCH(Std[[#This Row],[Player]],Proj[Player],0),14)-G$764)/G$765</f>
        <v>-2.8682043834889943E-2</v>
      </c>
      <c r="H322" s="12">
        <f>(INDEX(Proj[],MATCH(Std[[#This Row],[Player]],Proj[Player],0),15)-H$764)/H$765</f>
        <v>-6.6434697593513253E-2</v>
      </c>
      <c r="I322" s="12">
        <f>(INDEX(Proj[],MATCH(Std[[#This Row],[Player]],Proj[Player],0),16)-I$764)/I$765</f>
        <v>-5.4939028832750494E-2</v>
      </c>
      <c r="J322" s="12">
        <f>(INDEX(Proj[],MATCH(Std[[#This Row],[Player]],Proj[Player],0),17)-J$764)/J$765</f>
        <v>-0.17232923569972286</v>
      </c>
      <c r="K322" s="12">
        <f>(INDEX(Proj[],MATCH(Std[[#This Row],[Player]],Proj[Player],0),18)-K$764)/K$765</f>
        <v>-0.45042076997056774</v>
      </c>
      <c r="L322" s="12">
        <f>(INDEX(Proj[],MATCH(Std[[#This Row],[Player]],Proj[Player],0),19)-L$764)/L$765</f>
        <v>-0.38152137069843867</v>
      </c>
      <c r="M322" s="12">
        <f>(INDEX(Proj[],MATCH(Std[[#This Row],[Player]],Proj[Player],0),20)-M$764)/M$765</f>
        <v>1.3378904761343182</v>
      </c>
      <c r="N322" s="12">
        <f>(INDEX(Proj[],MATCH(Std[[#This Row],[Player]],Proj[Player],0),21)-N$764)/N$765</f>
        <v>-0.20799202559161389</v>
      </c>
      <c r="O322" s="12">
        <f>(INDEX(Proj[],MATCH(Std[[#This Row],[Player]],Proj[Player],0),22)-O$764)/O$765</f>
        <v>-0.35866418933544636</v>
      </c>
      <c r="P322" s="12">
        <f>((INDEX(Proj[],MATCH(Std[[#This Row],[Player]],Proj[Player],0),23)-P$764)/P$765)*IF('League Inputs'!$C$23 = "Yes",-1, 1)</f>
        <v>-1.140070365096874</v>
      </c>
      <c r="Q322" s="12">
        <f>(INDEX(Proj[],MATCH(Std[[#This Row],[Player]],Proj[Player],0),24)-Q$764)/Q$765</f>
        <v>0.500134659887568</v>
      </c>
      <c r="R322" s="12">
        <f>(INDEX(Proj[],MATCH(Std[[#This Row],[Player]],Proj[Player],0),25)-R$764)/R$765</f>
        <v>0.83319002033092526</v>
      </c>
      <c r="S322" s="12">
        <f>(INDEX(Proj[],MATCH(Std[[#This Row],[Player]],Proj[Player],0),26)-S$764)/S$765</f>
        <v>-0.26145394011657985</v>
      </c>
      <c r="T3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-199.96230012125383</v>
      </c>
      <c r="U322" s="11"/>
      <c r="W322" t="str">
        <v>Noah Cates</v>
      </c>
      <c r="AA322" t="str">
        <v>Noah Cates</v>
      </c>
      <c r="AB322" t="str">
        <v>Noah Cates</v>
      </c>
    </row>
    <row r="323" spans="1:28" x14ac:dyDescent="0.25">
      <c r="A323" t="s">
        <v>938</v>
      </c>
      <c r="B323">
        <f>INDEX(Proj[],MATCH(Std[[#This Row],[Player]],Proj[Player],0),2)</f>
        <v>35</v>
      </c>
      <c r="C323" t="s">
        <v>103</v>
      </c>
      <c r="D323" s="75"/>
      <c r="E323" s="56"/>
      <c r="F323" t="s">
        <v>156</v>
      </c>
      <c r="G323" s="12">
        <f>(INDEX(Proj[],MATCH(Std[[#This Row],[Player]],Proj[Player],0),14)-G$764)/G$765</f>
        <v>0.18258569368064134</v>
      </c>
      <c r="H323" s="12">
        <f>(INDEX(Proj[],MATCH(Std[[#This Row],[Player]],Proj[Player],0),15)-H$764)/H$765</f>
        <v>-0.21549323157004366</v>
      </c>
      <c r="I323" s="12">
        <f>(INDEX(Proj[],MATCH(Std[[#This Row],[Player]],Proj[Player],0),16)-I$764)/I$765</f>
        <v>-5.4939028832750494E-2</v>
      </c>
      <c r="J323" s="12">
        <f>(INDEX(Proj[],MATCH(Std[[#This Row],[Player]],Proj[Player],0),17)-J$764)/J$765</f>
        <v>-0.46669252292436259</v>
      </c>
      <c r="K323" s="12">
        <f>(INDEX(Proj[],MATCH(Std[[#This Row],[Player]],Proj[Player],0),18)-K$764)/K$765</f>
        <v>-0.45042076997056774</v>
      </c>
      <c r="L323" s="12">
        <f>(INDEX(Proj[],MATCH(Std[[#This Row],[Player]],Proj[Player],0),19)-L$764)/L$765</f>
        <v>-0.49026000221120619</v>
      </c>
      <c r="M323" s="12">
        <f>(INDEX(Proj[],MATCH(Std[[#This Row],[Player]],Proj[Player],0),20)-M$764)/M$765</f>
        <v>-0.71308883245737775</v>
      </c>
      <c r="N323" s="12">
        <f>(INDEX(Proj[],MATCH(Std[[#This Row],[Player]],Proj[Player],0),21)-N$764)/N$765</f>
        <v>-0.80876375939041945</v>
      </c>
      <c r="O323" s="12">
        <f>(INDEX(Proj[],MATCH(Std[[#This Row],[Player]],Proj[Player],0),22)-O$764)/O$765</f>
        <v>-0.61404022606648923</v>
      </c>
      <c r="P323" s="12">
        <f>((INDEX(Proj[],MATCH(Std[[#This Row],[Player]],Proj[Player],0),23)-P$764)/P$765)*IF('League Inputs'!$C$23 = "Yes",-1, 1)</f>
        <v>-0.86083171930672309</v>
      </c>
      <c r="Q323" s="12">
        <f>(INDEX(Proj[],MATCH(Std[[#This Row],[Player]],Proj[Player],0),24)-Q$764)/Q$765</f>
        <v>-0.52863652498964608</v>
      </c>
      <c r="R323" s="12">
        <f>(INDEX(Proj[],MATCH(Std[[#This Row],[Player]],Proj[Player],0),25)-R$764)/R$765</f>
        <v>-0.54018855889829887</v>
      </c>
      <c r="S323" s="12">
        <f>(INDEX(Proj[],MATCH(Std[[#This Row],[Player]],Proj[Player],0),26)-S$764)/S$765</f>
        <v>-0.11548569403226799</v>
      </c>
      <c r="T3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-350.5864492718905</v>
      </c>
      <c r="U323" s="11"/>
      <c r="W323" t="str">
        <v>Evgenii Dadonov</v>
      </c>
      <c r="AA323" t="str">
        <v>Evgenii Dadonov</v>
      </c>
      <c r="AB323" t="str">
        <v>Evgenii Dadonov</v>
      </c>
    </row>
    <row r="324" spans="1:28" x14ac:dyDescent="0.25">
      <c r="A324" t="s">
        <v>638</v>
      </c>
      <c r="B324">
        <f>INDEX(Proj[],MATCH(Std[[#This Row],[Player]],Proj[Player],0),2)</f>
        <v>28</v>
      </c>
      <c r="C324" t="s">
        <v>74</v>
      </c>
      <c r="D324" s="75" t="s">
        <v>103</v>
      </c>
      <c r="E324" s="57"/>
      <c r="F324" t="s">
        <v>12</v>
      </c>
      <c r="G324" s="12">
        <f>(INDEX(Proj[],MATCH(Std[[#This Row],[Player]],Proj[Player],0),14)-G$764)/G$765</f>
        <v>0.28821956243840696</v>
      </c>
      <c r="H324" s="12">
        <f>(INDEX(Proj[],MATCH(Std[[#This Row],[Player]],Proj[Player],0),15)-H$764)/H$765</f>
        <v>-0.29002249855830886</v>
      </c>
      <c r="I324" s="12">
        <f>(INDEX(Proj[],MATCH(Std[[#This Row],[Player]],Proj[Player],0),16)-I$764)/I$765</f>
        <v>-5.4939028832750494E-2</v>
      </c>
      <c r="J324" s="12">
        <f>(INDEX(Proj[],MATCH(Std[[#This Row],[Player]],Proj[Player],0),17)-J$764)/J$765</f>
        <v>-0.17232923569972286</v>
      </c>
      <c r="K324" s="12">
        <f>(INDEX(Proj[],MATCH(Std[[#This Row],[Player]],Proj[Player],0),18)-K$764)/K$765</f>
        <v>-0.14224887932464234</v>
      </c>
      <c r="L324" s="12">
        <f>(INDEX(Proj[],MATCH(Std[[#This Row],[Player]],Proj[Player],0),19)-L$764)/L$765</f>
        <v>-0.16404410767290362</v>
      </c>
      <c r="M324" s="12">
        <f>(INDEX(Proj[],MATCH(Std[[#This Row],[Player]],Proj[Player],0),20)-M$764)/M$765</f>
        <v>0.31240082183847029</v>
      </c>
      <c r="N324" s="12">
        <f>(INDEX(Proj[],MATCH(Std[[#This Row],[Player]],Proj[Player],0),21)-N$764)/N$765</f>
        <v>-0.73124482599702512</v>
      </c>
      <c r="O324" s="12">
        <f>(INDEX(Proj[],MATCH(Std[[#This Row],[Player]],Proj[Player],0),22)-O$764)/O$765</f>
        <v>-0.73012024276241771</v>
      </c>
      <c r="P324" s="12">
        <f>((INDEX(Proj[],MATCH(Std[[#This Row],[Player]],Proj[Player],0),23)-P$764)/P$765)*IF('League Inputs'!$C$23 = "Yes",-1, 1)</f>
        <v>-0.95391126790344005</v>
      </c>
      <c r="Q324" s="12">
        <f>(INDEX(Proj[],MATCH(Std[[#This Row],[Player]],Proj[Player],0),24)-Q$764)/Q$765</f>
        <v>0.64938643800446949</v>
      </c>
      <c r="R324" s="12">
        <f>(INDEX(Proj[],MATCH(Std[[#This Row],[Player]],Proj[Player],0),25)-R$764)/R$765</f>
        <v>0.74806324889109732</v>
      </c>
      <c r="S324" s="12">
        <f>(INDEX(Proj[],MATCH(Std[[#This Row],[Player]],Proj[Player],0),26)-S$764)/S$765</f>
        <v>-1.9548359666921177E-3</v>
      </c>
      <c r="T3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-198.86308072506614</v>
      </c>
      <c r="U324" s="11"/>
      <c r="W324" t="str">
        <v>Pius Suter</v>
      </c>
      <c r="AA324" t="str">
        <v>Pius Suter</v>
      </c>
      <c r="AB324" t="str">
        <v>Pius Suter</v>
      </c>
    </row>
    <row r="325" spans="1:28" x14ac:dyDescent="0.25">
      <c r="A325" t="s">
        <v>662</v>
      </c>
      <c r="B325">
        <f>INDEX(Proj[],MATCH(Std[[#This Row],[Player]],Proj[Player],0),2)</f>
        <v>28</v>
      </c>
      <c r="C325" t="s">
        <v>103</v>
      </c>
      <c r="D325" s="75"/>
      <c r="E325" s="57"/>
      <c r="F325" t="s">
        <v>87</v>
      </c>
      <c r="G325" s="12">
        <f>(INDEX(Proj[],MATCH(Std[[#This Row],[Player]],Proj[Player],0),14)-G$764)/G$765</f>
        <v>0.28821956243840696</v>
      </c>
      <c r="H325" s="12">
        <f>(INDEX(Proj[],MATCH(Std[[#This Row],[Player]],Proj[Player],0),15)-H$764)/H$765</f>
        <v>-0.29002249855830886</v>
      </c>
      <c r="I325" s="12">
        <f>(INDEX(Proj[],MATCH(Std[[#This Row],[Player]],Proj[Player],0),16)-I$764)/I$765</f>
        <v>-5.4939028832750494E-2</v>
      </c>
      <c r="J325" s="12">
        <f>(INDEX(Proj[],MATCH(Std[[#This Row],[Player]],Proj[Player],0),17)-J$764)/J$765</f>
        <v>0.12203405152491688</v>
      </c>
      <c r="K325" s="12">
        <f>(INDEX(Proj[],MATCH(Std[[#This Row],[Player]],Proj[Player],0),18)-K$764)/K$765</f>
        <v>-0.45042076997056774</v>
      </c>
      <c r="L325" s="12">
        <f>(INDEX(Proj[],MATCH(Std[[#This Row],[Player]],Proj[Player],0),19)-L$764)/L$765</f>
        <v>-0.27278273918567114</v>
      </c>
      <c r="M325" s="12">
        <f>(INDEX(Proj[],MATCH(Std[[#This Row],[Player]],Proj[Player],0),20)-M$764)/M$765</f>
        <v>-0.71308883245737775</v>
      </c>
      <c r="N325" s="12">
        <f>(INDEX(Proj[],MATCH(Std[[#This Row],[Player]],Proj[Player],0),21)-N$764)/N$765</f>
        <v>-1.0219408262222536</v>
      </c>
      <c r="O325" s="12">
        <f>(INDEX(Proj[],MATCH(Std[[#This Row],[Player]],Proj[Player],0),22)-O$764)/O$765</f>
        <v>-0.96228027615427481</v>
      </c>
      <c r="P325" s="12">
        <f>((INDEX(Proj[],MATCH(Std[[#This Row],[Player]],Proj[Player],0),23)-P$764)/P$765)*IF('League Inputs'!$C$23 = "Yes",-1, 1)</f>
        <v>-1.0004510422017985</v>
      </c>
      <c r="Q325" s="12">
        <f>(INDEX(Proj[],MATCH(Std[[#This Row],[Player]],Proj[Player],0),24)-Q$764)/Q$765</f>
        <v>-0.54995820757777492</v>
      </c>
      <c r="R325" s="12">
        <f>(INDEX(Proj[],MATCH(Std[[#This Row],[Player]],Proj[Player],0),25)-R$764)/R$765</f>
        <v>-0.59693973985818416</v>
      </c>
      <c r="S325" s="12">
        <f>(INDEX(Proj[],MATCH(Std[[#This Row],[Player]],Proj[Player],0),26)-S$764)/S$765</f>
        <v>-0.66692129035077941</v>
      </c>
      <c r="T3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-453.10763466452045</v>
      </c>
      <c r="U325" s="11"/>
      <c r="W325" t="str">
        <v>Sonny Milano</v>
      </c>
      <c r="AA325" t="str">
        <v>Sonny Milano</v>
      </c>
      <c r="AB325" t="str">
        <v>Sonny Milano</v>
      </c>
    </row>
    <row r="326" spans="1:28" x14ac:dyDescent="0.25">
      <c r="A326" t="s">
        <v>323</v>
      </c>
      <c r="B326">
        <f>INDEX(Proj[],MATCH(Std[[#This Row],[Player]],Proj[Player],0),2)</f>
        <v>29</v>
      </c>
      <c r="C326" t="s">
        <v>102</v>
      </c>
      <c r="D326" s="75" t="s">
        <v>103</v>
      </c>
      <c r="E326" s="57"/>
      <c r="F326" t="s">
        <v>20</v>
      </c>
      <c r="G326" s="12">
        <f>(INDEX(Proj[],MATCH(Std[[#This Row],[Player]],Proj[Player],0),14)-G$764)/G$765</f>
        <v>-0.66248525638148381</v>
      </c>
      <c r="H326" s="12">
        <f>(INDEX(Proj[],MATCH(Std[[#This Row],[Player]],Proj[Player],0),15)-H$764)/H$765</f>
        <v>0.30621163734781282</v>
      </c>
      <c r="I326" s="12">
        <f>(INDEX(Proj[],MATCH(Std[[#This Row],[Player]],Proj[Player],0),16)-I$764)/I$765</f>
        <v>-0.10218158779485371</v>
      </c>
      <c r="J326" s="12">
        <f>(INDEX(Proj[],MATCH(Std[[#This Row],[Player]],Proj[Player],0),17)-J$764)/J$765</f>
        <v>-0.46669252292436259</v>
      </c>
      <c r="K326" s="12">
        <f>(INDEX(Proj[],MATCH(Std[[#This Row],[Player]],Proj[Player],0),18)-K$764)/K$765</f>
        <v>-0.14224887932464234</v>
      </c>
      <c r="L326" s="12">
        <f>(INDEX(Proj[],MATCH(Std[[#This Row],[Player]],Proj[Player],0),19)-L$764)/L$765</f>
        <v>-0.27278273918567114</v>
      </c>
      <c r="M326" s="12">
        <f>(INDEX(Proj[],MATCH(Std[[#This Row],[Player]],Proj[Player],0),20)-M$764)/M$765</f>
        <v>-0.71308883245737775</v>
      </c>
      <c r="N326" s="12">
        <f>(INDEX(Proj[],MATCH(Std[[#This Row],[Player]],Proj[Player],0),21)-N$764)/N$765</f>
        <v>2.0788165095135169</v>
      </c>
      <c r="O326" s="12">
        <f>(INDEX(Proj[],MATCH(Std[[#This Row],[Player]],Proj[Player],0),22)-O$764)/O$765</f>
        <v>1.3593200577642963</v>
      </c>
      <c r="P326" s="12">
        <f>((INDEX(Proj[],MATCH(Std[[#This Row],[Player]],Proj[Player],0),23)-P$764)/P$765)*IF('League Inputs'!$C$23 = "Yes",-1, 1)</f>
        <v>0.72152060683746466</v>
      </c>
      <c r="Q326" s="12">
        <f>(INDEX(Proj[],MATCH(Std[[#This Row],[Player]],Proj[Player],0),24)-Q$764)/Q$765</f>
        <v>-0.5766103108129359</v>
      </c>
      <c r="R326" s="12">
        <f>(INDEX(Proj[],MATCH(Std[[#This Row],[Player]],Proj[Player],0),25)-R$764)/R$765</f>
        <v>-0.62531533033812681</v>
      </c>
      <c r="S326" s="12">
        <f>(INDEX(Proj[],MATCH(Std[[#This Row],[Player]],Proj[Player],0),26)-S$764)/S$765</f>
        <v>0.25754426818319559</v>
      </c>
      <c r="T3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310.93531854713422</v>
      </c>
      <c r="U326" s="11"/>
      <c r="W326" t="str">
        <v>Neal Pionk</v>
      </c>
      <c r="AA326" t="str">
        <v>Neal Pionk</v>
      </c>
      <c r="AB326" t="str">
        <v>Neal Pionk</v>
      </c>
    </row>
    <row r="327" spans="1:28" x14ac:dyDescent="0.25">
      <c r="A327" t="s">
        <v>933</v>
      </c>
      <c r="B327">
        <f>INDEX(Proj[],MATCH(Std[[#This Row],[Player]],Proj[Player],0),2)</f>
        <v>28</v>
      </c>
      <c r="C327" t="s">
        <v>74</v>
      </c>
      <c r="D327" s="75" t="s">
        <v>102</v>
      </c>
      <c r="E327" s="57"/>
      <c r="F327" t="s">
        <v>25</v>
      </c>
      <c r="G327" s="12">
        <f>(INDEX(Proj[],MATCH(Std[[#This Row],[Player]],Proj[Player],0),14)-G$764)/G$765</f>
        <v>0.28821956243840696</v>
      </c>
      <c r="H327" s="12">
        <f>(INDEX(Proj[],MATCH(Std[[#This Row],[Player]],Proj[Player],0),15)-H$764)/H$765</f>
        <v>-0.36455176554657409</v>
      </c>
      <c r="I327" s="12">
        <f>(INDEX(Proj[],MATCH(Std[[#This Row],[Player]],Proj[Player],0),16)-I$764)/I$765</f>
        <v>-0.10218158779485371</v>
      </c>
      <c r="J327" s="12">
        <f>(INDEX(Proj[],MATCH(Std[[#This Row],[Player]],Proj[Player],0),17)-J$764)/J$765</f>
        <v>-0.76105581014900237</v>
      </c>
      <c r="K327" s="12">
        <f>(INDEX(Proj[],MATCH(Std[[#This Row],[Player]],Proj[Player],0),18)-K$764)/K$765</f>
        <v>-0.75859266061649311</v>
      </c>
      <c r="L327" s="12">
        <f>(INDEX(Proj[],MATCH(Std[[#This Row],[Player]],Proj[Player],0),19)-L$764)/L$765</f>
        <v>-0.81647589674950882</v>
      </c>
      <c r="M327" s="12">
        <f>(INDEX(Proj[],MATCH(Std[[#This Row],[Player]],Proj[Player],0),20)-M$764)/M$765</f>
        <v>0.31240082183847029</v>
      </c>
      <c r="N327" s="12">
        <f>(INDEX(Proj[],MATCH(Std[[#This Row],[Player]],Proj[Player],0),21)-N$764)/N$765</f>
        <v>3.3191194438078249</v>
      </c>
      <c r="O327" s="12">
        <f>(INDEX(Proj[],MATCH(Std[[#This Row],[Player]],Proj[Player],0),22)-O$764)/O$765</f>
        <v>-0.42831219935300352</v>
      </c>
      <c r="P327" s="12">
        <f>((INDEX(Proj[],MATCH(Std[[#This Row],[Player]],Proj[Player],0),23)-P$764)/P$765)*IF('League Inputs'!$C$23 = "Yes",-1, 1)</f>
        <v>1.3265376727161247</v>
      </c>
      <c r="Q327" s="12">
        <f>(INDEX(Proj[],MATCH(Std[[#This Row],[Player]],Proj[Player],0),24)-Q$764)/Q$765</f>
        <v>-0.28343717522616502</v>
      </c>
      <c r="R327" s="12">
        <f>(INDEX(Proj[],MATCH(Std[[#This Row],[Player]],Proj[Player],0),25)-R$764)/R$765</f>
        <v>-0.29048336267480357</v>
      </c>
      <c r="S327" s="12">
        <f>(INDEX(Proj[],MATCH(Std[[#This Row],[Player]],Proj[Player],0),26)-S$764)/S$765</f>
        <v>-0.47229696223836359</v>
      </c>
      <c r="T3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246.66210920538879</v>
      </c>
      <c r="U327" s="11"/>
      <c r="W327" t="str">
        <v>Dakota Joshua</v>
      </c>
      <c r="AA327" t="str">
        <v>Dakota Joshua</v>
      </c>
      <c r="AB327" t="str">
        <v>Dakota Joshua</v>
      </c>
    </row>
    <row r="328" spans="1:28" x14ac:dyDescent="0.25">
      <c r="A328" t="s">
        <v>897</v>
      </c>
      <c r="B328">
        <f>INDEX(Proj[],MATCH(Std[[#This Row],[Player]],Proj[Player],0),2)</f>
        <v>35</v>
      </c>
      <c r="C328" t="s">
        <v>3</v>
      </c>
      <c r="D328" s="75"/>
      <c r="E328" s="57"/>
      <c r="F328" t="s">
        <v>28</v>
      </c>
      <c r="G328" s="12">
        <f>(INDEX(Proj[],MATCH(Std[[#This Row],[Player]],Proj[Player],0),14)-G$764)/G$765</f>
        <v>-0.873752993897015</v>
      </c>
      <c r="H328" s="12">
        <f>(INDEX(Proj[],MATCH(Std[[#This Row],[Player]],Proj[Player],0),15)-H$764)/H$765</f>
        <v>0.45527017132434322</v>
      </c>
      <c r="I328" s="12">
        <f>(INDEX(Proj[],MATCH(Std[[#This Row],[Player]],Proj[Player],0),16)-I$764)/I$765</f>
        <v>-0.10218158779485371</v>
      </c>
      <c r="J328" s="12">
        <f>(INDEX(Proj[],MATCH(Std[[#This Row],[Player]],Proj[Player],0),17)-J$764)/J$765</f>
        <v>-0.76105581014900237</v>
      </c>
      <c r="K328" s="12">
        <f>(INDEX(Proj[],MATCH(Std[[#This Row],[Player]],Proj[Player],0),18)-K$764)/K$765</f>
        <v>-0.14224887932464234</v>
      </c>
      <c r="L328" s="12">
        <f>(INDEX(Proj[],MATCH(Std[[#This Row],[Player]],Proj[Player],0),19)-L$764)/L$765</f>
        <v>-0.38152137069843867</v>
      </c>
      <c r="M328" s="12">
        <f>(INDEX(Proj[],MATCH(Std[[#This Row],[Player]],Proj[Player],0),20)-M$764)/M$765</f>
        <v>-0.71308883245737775</v>
      </c>
      <c r="N328" s="12">
        <f>(INDEX(Proj[],MATCH(Std[[#This Row],[Player]],Proj[Player],0),21)-N$764)/N$765</f>
        <v>-0.6537258926036309</v>
      </c>
      <c r="O328" s="12">
        <f>(INDEX(Proj[],MATCH(Std[[#This Row],[Player]],Proj[Player],0),22)-O$764)/O$765</f>
        <v>2.2879601913317247</v>
      </c>
      <c r="P328" s="12">
        <f>((INDEX(Proj[],MATCH(Std[[#This Row],[Player]],Proj[Player],0),23)-P$764)/P$765)*IF('League Inputs'!$C$23 = "Yes",-1, 1)</f>
        <v>-0.5815930735165723</v>
      </c>
      <c r="Q328" s="12">
        <f>(INDEX(Proj[],MATCH(Std[[#This Row],[Player]],Proj[Player],0),24)-Q$764)/Q$765</f>
        <v>-0.5766103108129359</v>
      </c>
      <c r="R328" s="12">
        <f>(INDEX(Proj[],MATCH(Std[[#This Row],[Player]],Proj[Player],0),25)-R$764)/R$765</f>
        <v>-0.62531533033812681</v>
      </c>
      <c r="S328" s="12">
        <f>(INDEX(Proj[],MATCH(Std[[#This Row],[Player]],Proj[Player],0),26)-S$764)/S$765</f>
        <v>-0.48851565624773158</v>
      </c>
      <c r="T3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-91.46705229151101</v>
      </c>
      <c r="U328" s="11"/>
      <c r="W328" t="str">
        <v>Ryan McDonagh</v>
      </c>
      <c r="AA328" t="str">
        <v>Ryan McDonagh</v>
      </c>
      <c r="AB328" t="str">
        <v>Ryan McDonagh</v>
      </c>
    </row>
    <row r="329" spans="1:28" x14ac:dyDescent="0.25">
      <c r="A329" t="s">
        <v>1109</v>
      </c>
      <c r="B329">
        <f>INDEX(Proj[],MATCH(Std[[#This Row],[Player]],Proj[Player],0),2)</f>
        <v>23</v>
      </c>
      <c r="C329" t="s">
        <v>103</v>
      </c>
      <c r="D329" s="75"/>
      <c r="E329" s="56"/>
      <c r="F329" t="s">
        <v>87</v>
      </c>
      <c r="G329" s="12">
        <f>(INDEX(Proj[],MATCH(Std[[#This Row],[Player]],Proj[Player],0),14)-G$764)/G$765</f>
        <v>0.28821956243840696</v>
      </c>
      <c r="H329" s="12">
        <f>(INDEX(Proj[],MATCH(Std[[#This Row],[Player]],Proj[Player],0),15)-H$764)/H$765</f>
        <v>-0.36455176554657409</v>
      </c>
      <c r="I329" s="12">
        <f>(INDEX(Proj[],MATCH(Std[[#This Row],[Player]],Proj[Player],0),16)-I$764)/I$765</f>
        <v>-0.10218158779485371</v>
      </c>
      <c r="J329" s="12">
        <f>(INDEX(Proj[],MATCH(Std[[#This Row],[Player]],Proj[Player],0),17)-J$764)/J$765</f>
        <v>-0.17232923569972286</v>
      </c>
      <c r="K329" s="12">
        <f>(INDEX(Proj[],MATCH(Std[[#This Row],[Player]],Proj[Player],0),18)-K$764)/K$765</f>
        <v>1.1837065998320361E-2</v>
      </c>
      <c r="L329" s="12">
        <f>(INDEX(Proj[],MATCH(Std[[#This Row],[Player]],Proj[Player],0),19)-L$764)/L$765</f>
        <v>-5.5305476160136084E-2</v>
      </c>
      <c r="M329" s="12">
        <f>(INDEX(Proj[],MATCH(Std[[#This Row],[Player]],Proj[Player],0),20)-M$764)/M$765</f>
        <v>-0.71308883245737775</v>
      </c>
      <c r="N329" s="12">
        <f>(INDEX(Proj[],MATCH(Std[[#This Row],[Player]],Proj[Player],0),21)-N$764)/N$765</f>
        <v>0.43153917490388877</v>
      </c>
      <c r="O329" s="12">
        <f>(INDEX(Proj[],MATCH(Std[[#This Row],[Player]],Proj[Player],0),22)-O$764)/O$765</f>
        <v>-0.79976825277997488</v>
      </c>
      <c r="P329" s="12">
        <f>((INDEX(Proj[],MATCH(Std[[#This Row],[Player]],Proj[Player],0),23)-P$764)/P$765)*IF('League Inputs'!$C$23 = "Yes",-1, 1)</f>
        <v>0.53536150964403084</v>
      </c>
      <c r="Q329" s="12">
        <f>(INDEX(Proj[],MATCH(Std[[#This Row],[Player]],Proj[Player],0),24)-Q$764)/Q$765</f>
        <v>-0.40603685010790558</v>
      </c>
      <c r="R329" s="12">
        <f>(INDEX(Proj[],MATCH(Std[[#This Row],[Player]],Proj[Player],0),25)-R$764)/R$765</f>
        <v>-0.46641202365044798</v>
      </c>
      <c r="S329" s="12">
        <f>(INDEX(Proj[],MATCH(Std[[#This Row],[Player]],Proj[Player],0),26)-S$764)/S$765</f>
        <v>0.50082467832371536</v>
      </c>
      <c r="T3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2.8100992920597645</v>
      </c>
      <c r="U329" s="11"/>
      <c r="W329" t="str">
        <v>Alex Laferriere</v>
      </c>
      <c r="AA329" t="str">
        <v>Alex Laferriere</v>
      </c>
      <c r="AB329" t="str">
        <v>Alex Laferriere</v>
      </c>
    </row>
    <row r="330" spans="1:28" x14ac:dyDescent="0.25">
      <c r="A330" t="s">
        <v>381</v>
      </c>
      <c r="B330">
        <f>INDEX(Proj[],MATCH(Std[[#This Row],[Player]],Proj[Player],0),2)</f>
        <v>33</v>
      </c>
      <c r="C330" t="s">
        <v>103</v>
      </c>
      <c r="D330" s="75"/>
      <c r="E330" s="57"/>
      <c r="F330" t="s">
        <v>29</v>
      </c>
      <c r="G330" s="12">
        <f>(INDEX(Proj[],MATCH(Std[[#This Row],[Player]],Proj[Player],0),14)-G$764)/G$765</f>
        <v>-0.66248525638148381</v>
      </c>
      <c r="H330" s="12">
        <f>(INDEX(Proj[],MATCH(Std[[#This Row],[Player]],Proj[Player],0),15)-H$764)/H$765</f>
        <v>0.30621163734781282</v>
      </c>
      <c r="I330" s="12">
        <f>(INDEX(Proj[],MATCH(Std[[#This Row],[Player]],Proj[Player],0),16)-I$764)/I$765</f>
        <v>-0.10218158779485371</v>
      </c>
      <c r="J330" s="12">
        <f>(INDEX(Proj[],MATCH(Std[[#This Row],[Player]],Proj[Player],0),17)-J$764)/J$765</f>
        <v>-0.17232923569972286</v>
      </c>
      <c r="K330" s="12">
        <f>(INDEX(Proj[],MATCH(Std[[#This Row],[Player]],Proj[Player],0),18)-K$764)/K$765</f>
        <v>1.0904386832590593</v>
      </c>
      <c r="L330" s="12">
        <f>(INDEX(Proj[],MATCH(Std[[#This Row],[Player]],Proj[Player],0),19)-L$764)/L$765</f>
        <v>0.70586494442923664</v>
      </c>
      <c r="M330" s="12">
        <f>(INDEX(Proj[],MATCH(Std[[#This Row],[Player]],Proj[Player],0),20)-M$764)/M$765</f>
        <v>0.31240082183847029</v>
      </c>
      <c r="N330" s="12">
        <f>(INDEX(Proj[],MATCH(Std[[#This Row],[Player]],Proj[Player],0),21)-N$764)/N$765</f>
        <v>-1.138219226312345</v>
      </c>
      <c r="O330" s="12">
        <f>(INDEX(Proj[],MATCH(Std[[#This Row],[Player]],Proj[Player],0),22)-O$764)/O$765</f>
        <v>0.33781591084012497</v>
      </c>
      <c r="P330" s="12">
        <f>((INDEX(Proj[],MATCH(Std[[#This Row],[Player]],Proj[Player],0),23)-P$764)/P$765)*IF('League Inputs'!$C$23 = "Yes",-1, 1)</f>
        <v>-0.62813284781493084</v>
      </c>
      <c r="Q330" s="12">
        <f>(INDEX(Proj[],MATCH(Std[[#This Row],[Player]],Proj[Player],0),24)-Q$764)/Q$765</f>
        <v>-0.5766103108129359</v>
      </c>
      <c r="R330" s="12">
        <f>(INDEX(Proj[],MATCH(Std[[#This Row],[Player]],Proj[Player],0),25)-R$764)/R$765</f>
        <v>-0.62531533033812681</v>
      </c>
      <c r="S330" s="12">
        <f>(INDEX(Proj[],MATCH(Std[[#This Row],[Player]],Proj[Player],0),26)-S$764)/S$765</f>
        <v>-0.26145394011657985</v>
      </c>
      <c r="T3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-201.91906766159545</v>
      </c>
      <c r="U330" s="11"/>
      <c r="W330" t="str">
        <v>Tyson Barrie</v>
      </c>
      <c r="AA330" t="str">
        <v>Tyson Barrie</v>
      </c>
      <c r="AB330" t="str">
        <v>Tyson Barrie</v>
      </c>
    </row>
    <row r="331" spans="1:28" x14ac:dyDescent="0.25">
      <c r="A331" t="s">
        <v>778</v>
      </c>
      <c r="B331">
        <f>INDEX(Proj[],MATCH(Std[[#This Row],[Player]],Proj[Player],0),2)</f>
        <v>28</v>
      </c>
      <c r="C331" t="s">
        <v>102</v>
      </c>
      <c r="D331" s="75"/>
      <c r="E331" s="56"/>
      <c r="F331" t="s">
        <v>6</v>
      </c>
      <c r="G331" s="12">
        <f>(INDEX(Proj[],MATCH(Std[[#This Row],[Player]],Proj[Player],0),14)-G$764)/G$765</f>
        <v>0.28821956243840696</v>
      </c>
      <c r="H331" s="12">
        <f>(INDEX(Proj[],MATCH(Std[[#This Row],[Player]],Proj[Player],0),15)-H$764)/H$765</f>
        <v>-0.36455176554657409</v>
      </c>
      <c r="I331" s="12">
        <f>(INDEX(Proj[],MATCH(Std[[#This Row],[Player]],Proj[Player],0),16)-I$764)/I$765</f>
        <v>-0.10218158779485371</v>
      </c>
      <c r="J331" s="12">
        <f>(INDEX(Proj[],MATCH(Std[[#This Row],[Player]],Proj[Player],0),17)-J$764)/J$765</f>
        <v>-0.17232923569972286</v>
      </c>
      <c r="K331" s="12">
        <f>(INDEX(Proj[],MATCH(Std[[#This Row],[Player]],Proj[Player],0),18)-K$764)/K$765</f>
        <v>-0.45042076997056774</v>
      </c>
      <c r="L331" s="12">
        <f>(INDEX(Proj[],MATCH(Std[[#This Row],[Player]],Proj[Player],0),19)-L$764)/L$765</f>
        <v>-0.38152137069843867</v>
      </c>
      <c r="M331" s="12">
        <f>(INDEX(Proj[],MATCH(Std[[#This Row],[Player]],Proj[Player],0),20)-M$764)/M$765</f>
        <v>-0.71308883245737775</v>
      </c>
      <c r="N331" s="12">
        <f>(INDEX(Proj[],MATCH(Std[[#This Row],[Player]],Proj[Player],0),21)-N$764)/N$765</f>
        <v>0.14084317467866028</v>
      </c>
      <c r="O331" s="12">
        <f>(INDEX(Proj[],MATCH(Std[[#This Row],[Player]],Proj[Player],0),22)-O$764)/O$765</f>
        <v>-0.91584826947590336</v>
      </c>
      <c r="P331" s="12">
        <f>((INDEX(Proj[],MATCH(Std[[#This Row],[Player]],Proj[Player],0),23)-P$764)/P$765)*IF('League Inputs'!$C$23 = "Yes",-1, 1)</f>
        <v>0.39574218674895539</v>
      </c>
      <c r="Q331" s="12">
        <f>(INDEX(Proj[],MATCH(Std[[#This Row],[Player]],Proj[Player],0),24)-Q$764)/Q$765</f>
        <v>-0.10753329387410253</v>
      </c>
      <c r="R331" s="12">
        <f>(INDEX(Proj[],MATCH(Std[[#This Row],[Player]],Proj[Player],0),25)-R$764)/R$765</f>
        <v>4.6227783165999582E-3</v>
      </c>
      <c r="S331" s="12">
        <f>(INDEX(Proj[],MATCH(Std[[#This Row],[Player]],Proj[Player],0),26)-S$764)/S$765</f>
        <v>0.43594990228624342</v>
      </c>
      <c r="T3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-61.088146123760609</v>
      </c>
      <c r="U331" s="11"/>
      <c r="W331" t="str">
        <v>Ryan Donato</v>
      </c>
      <c r="AA331" t="str">
        <v>Ryan Donato</v>
      </c>
      <c r="AB331" t="str">
        <v>Ryan Donato</v>
      </c>
    </row>
    <row r="332" spans="1:28" x14ac:dyDescent="0.25">
      <c r="A332" t="s">
        <v>669</v>
      </c>
      <c r="B332">
        <f>INDEX(Proj[],MATCH(Std[[#This Row],[Player]],Proj[Player],0),2)</f>
        <v>32</v>
      </c>
      <c r="C332" t="s">
        <v>74</v>
      </c>
      <c r="D332" s="75" t="s">
        <v>102</v>
      </c>
      <c r="E332" s="57"/>
      <c r="F332" t="s">
        <v>9</v>
      </c>
      <c r="G332" s="12">
        <f>(INDEX(Proj[],MATCH(Std[[#This Row],[Player]],Proj[Player],0),14)-G$764)/G$765</f>
        <v>-0.13431591259265557</v>
      </c>
      <c r="H332" s="12">
        <f>(INDEX(Proj[],MATCH(Std[[#This Row],[Player]],Proj[Player],0),15)-H$764)/H$765</f>
        <v>-6.6434697593513253E-2</v>
      </c>
      <c r="I332" s="12">
        <f>(INDEX(Proj[],MATCH(Std[[#This Row],[Player]],Proj[Player],0),16)-I$764)/I$765</f>
        <v>-0.10218158779485371</v>
      </c>
      <c r="J332" s="12">
        <f>(INDEX(Proj[],MATCH(Std[[#This Row],[Player]],Proj[Player],0),17)-J$764)/J$765</f>
        <v>-0.17232923569972286</v>
      </c>
      <c r="K332" s="12">
        <f>(INDEX(Proj[],MATCH(Std[[#This Row],[Player]],Proj[Player],0),18)-K$764)/K$765</f>
        <v>-0.45042076997056774</v>
      </c>
      <c r="L332" s="12">
        <f>(INDEX(Proj[],MATCH(Std[[#This Row],[Player]],Proj[Player],0),19)-L$764)/L$765</f>
        <v>-0.38152137069843867</v>
      </c>
      <c r="M332" s="12">
        <f>(INDEX(Proj[],MATCH(Std[[#This Row],[Player]],Proj[Player],0),20)-M$764)/M$765</f>
        <v>0.31240082183847029</v>
      </c>
      <c r="N332" s="12">
        <f>(INDEX(Proj[],MATCH(Std[[#This Row],[Player]],Proj[Player],0),21)-N$764)/N$765</f>
        <v>2.4564774588568886E-2</v>
      </c>
      <c r="O332" s="12">
        <f>(INDEX(Proj[],MATCH(Std[[#This Row],[Player]],Proj[Player],0),22)-O$764)/O$765</f>
        <v>-0.42831219935300352</v>
      </c>
      <c r="P332" s="12">
        <f>((INDEX(Proj[],MATCH(Std[[#This Row],[Player]],Proj[Player],0),23)-P$764)/P$765)*IF('League Inputs'!$C$23 = "Yes",-1, 1)</f>
        <v>0.16304331525716309</v>
      </c>
      <c r="Q332" s="12">
        <f>(INDEX(Proj[],MATCH(Std[[#This Row],[Player]],Proj[Player],0),24)-Q$764)/Q$765</f>
        <v>0.18030942106563611</v>
      </c>
      <c r="R332" s="12">
        <f>(INDEX(Proj[],MATCH(Std[[#This Row],[Player]],Proj[Player],0),25)-R$764)/R$765</f>
        <v>0.74238813079510879</v>
      </c>
      <c r="S332" s="12">
        <f>(INDEX(Proj[],MATCH(Std[[#This Row],[Player]],Proj[Player],0),26)-S$764)/S$765</f>
        <v>-0.42364088021025964</v>
      </c>
      <c r="T3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-116.84891373313562</v>
      </c>
      <c r="U332" s="11"/>
      <c r="W332" t="str">
        <v>Vladislav Namestnikov</v>
      </c>
      <c r="AA332" t="str">
        <v>Vladislav Namestnikov</v>
      </c>
      <c r="AB332" t="str">
        <v>Vladislav Namestnikov</v>
      </c>
    </row>
    <row r="333" spans="1:28" x14ac:dyDescent="0.25">
      <c r="A333" t="s">
        <v>739</v>
      </c>
      <c r="B333">
        <f>INDEX(Proj[],MATCH(Std[[#This Row],[Player]],Proj[Player],0),2)</f>
        <v>32</v>
      </c>
      <c r="C333" t="s">
        <v>3</v>
      </c>
      <c r="D333" s="75"/>
      <c r="E333" s="57"/>
      <c r="F333" t="s">
        <v>10</v>
      </c>
      <c r="G333" s="12">
        <f>(INDEX(Proj[],MATCH(Std[[#This Row],[Player]],Proj[Player],0),14)-G$764)/G$765</f>
        <v>0.18258569368064134</v>
      </c>
      <c r="H333" s="12">
        <f>(INDEX(Proj[],MATCH(Std[[#This Row],[Player]],Proj[Player],0),15)-H$764)/H$765</f>
        <v>-0.29002249855830886</v>
      </c>
      <c r="I333" s="12">
        <f>(INDEX(Proj[],MATCH(Std[[#This Row],[Player]],Proj[Player],0),16)-I$764)/I$765</f>
        <v>-0.10218158779485371</v>
      </c>
      <c r="J333" s="12">
        <f>(INDEX(Proj[],MATCH(Std[[#This Row],[Player]],Proj[Player],0),17)-J$764)/J$765</f>
        <v>-0.76105581014900237</v>
      </c>
      <c r="K333" s="12">
        <f>(INDEX(Proj[],MATCH(Std[[#This Row],[Player]],Proj[Player],0),18)-K$764)/K$765</f>
        <v>-0.75859266061649311</v>
      </c>
      <c r="L333" s="12">
        <f>(INDEX(Proj[],MATCH(Std[[#This Row],[Player]],Proj[Player],0),19)-L$764)/L$765</f>
        <v>-0.81647589674950882</v>
      </c>
      <c r="M333" s="12">
        <f>(INDEX(Proj[],MATCH(Std[[#This Row],[Player]],Proj[Player],0),20)-M$764)/M$765</f>
        <v>1.3378904761343182</v>
      </c>
      <c r="N333" s="12">
        <f>(INDEX(Proj[],MATCH(Std[[#This Row],[Player]],Proj[Player],0),21)-N$764)/N$765</f>
        <v>-0.32427042568170528</v>
      </c>
      <c r="O333" s="12">
        <f>(INDEX(Proj[],MATCH(Std[[#This Row],[Player]],Proj[Player],0),22)-O$764)/O$765</f>
        <v>-0.70690423942323199</v>
      </c>
      <c r="P333" s="12">
        <f>((INDEX(Proj[],MATCH(Std[[#This Row],[Player]],Proj[Player],0),23)-P$764)/P$765)*IF('League Inputs'!$C$23 = "Yes",-1, 1)</f>
        <v>0.39574218674895539</v>
      </c>
      <c r="Q333" s="12">
        <f>(INDEX(Proj[],MATCH(Std[[#This Row],[Player]],Proj[Player],0),24)-Q$764)/Q$765</f>
        <v>-0.32608054040242263</v>
      </c>
      <c r="R333" s="12">
        <f>(INDEX(Proj[],MATCH(Std[[#This Row],[Player]],Proj[Player],0),25)-R$764)/R$765</f>
        <v>-0.34723454363468886</v>
      </c>
      <c r="S333" s="12">
        <f>(INDEX(Proj[],MATCH(Std[[#This Row],[Player]],Proj[Player],0),26)-S$764)/S$765</f>
        <v>0.33863773823003551</v>
      </c>
      <c r="T3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-164.89695699503989</v>
      </c>
      <c r="U333" s="11"/>
      <c r="W333" t="str">
        <v>Jordan Martinook</v>
      </c>
      <c r="AA333" t="str">
        <v>Jordan Martinook</v>
      </c>
      <c r="AB333" t="str">
        <v>Jordan Martinook</v>
      </c>
    </row>
    <row r="334" spans="1:28" x14ac:dyDescent="0.25">
      <c r="A334" t="s">
        <v>744</v>
      </c>
      <c r="B334">
        <f>INDEX(Proj[],MATCH(Std[[#This Row],[Player]],Proj[Player],0),2)</f>
        <v>23</v>
      </c>
      <c r="C334" t="s">
        <v>102</v>
      </c>
      <c r="D334" s="75" t="s">
        <v>103</v>
      </c>
      <c r="E334" s="56"/>
      <c r="F334" t="s">
        <v>2</v>
      </c>
      <c r="G334" s="12">
        <f>(INDEX(Proj[],MATCH(Std[[#This Row],[Player]],Proj[Player],0),14)-G$764)/G$765</f>
        <v>0.28821956243840696</v>
      </c>
      <c r="H334" s="12">
        <f>(INDEX(Proj[],MATCH(Std[[#This Row],[Player]],Proj[Player],0),15)-H$764)/H$765</f>
        <v>-0.36455176554657409</v>
      </c>
      <c r="I334" s="12">
        <f>(INDEX(Proj[],MATCH(Std[[#This Row],[Player]],Proj[Player],0),16)-I$764)/I$765</f>
        <v>-0.10218158779485371</v>
      </c>
      <c r="J334" s="12">
        <f>(INDEX(Proj[],MATCH(Std[[#This Row],[Player]],Proj[Player],0),17)-J$764)/J$765</f>
        <v>0.12203405152491688</v>
      </c>
      <c r="K334" s="12">
        <f>(INDEX(Proj[],MATCH(Std[[#This Row],[Player]],Proj[Player],0),18)-K$764)/K$765</f>
        <v>-0.45042076997056774</v>
      </c>
      <c r="L334" s="12">
        <f>(INDEX(Proj[],MATCH(Std[[#This Row],[Player]],Proj[Player],0),19)-L$764)/L$765</f>
        <v>-0.27278273918567114</v>
      </c>
      <c r="M334" s="12">
        <f>(INDEX(Proj[],MATCH(Std[[#This Row],[Player]],Proj[Player],0),20)-M$764)/M$765</f>
        <v>-0.71308883245737775</v>
      </c>
      <c r="N334" s="12">
        <f>(INDEX(Proj[],MATCH(Std[[#This Row],[Player]],Proj[Player],0),21)-N$764)/N$765</f>
        <v>-0.53744749251353952</v>
      </c>
      <c r="O334" s="12">
        <f>(INDEX(Proj[],MATCH(Std[[#This Row],[Player]],Proj[Player],0),22)-O$764)/O$765</f>
        <v>-0.54439221604893206</v>
      </c>
      <c r="P334" s="12">
        <f>((INDEX(Proj[],MATCH(Std[[#This Row],[Player]],Proj[Player],0),23)-P$764)/P$765)*IF('League Inputs'!$C$23 = "Yes",-1, 1)</f>
        <v>-0.86083171930672309</v>
      </c>
      <c r="Q334" s="12">
        <f>(INDEX(Proj[],MATCH(Std[[#This Row],[Player]],Proj[Player],0),24)-Q$764)/Q$765</f>
        <v>-0.51797568369558167</v>
      </c>
      <c r="R334" s="12">
        <f>(INDEX(Proj[],MATCH(Std[[#This Row],[Player]],Proj[Player],0),25)-R$764)/R$765</f>
        <v>-0.4891124960344021</v>
      </c>
      <c r="S334" s="12">
        <f>(INDEX(Proj[],MATCH(Std[[#This Row],[Player]],Proj[Player],0),26)-S$764)/S$765</f>
        <v>0.25754426818319559</v>
      </c>
      <c r="T3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-265.43993734702724</v>
      </c>
      <c r="U334" s="11"/>
      <c r="W334" t="str">
        <v>Yegor Chinakhov</v>
      </c>
      <c r="AA334" t="str">
        <v>Yegor Chinakhov</v>
      </c>
      <c r="AB334" t="str">
        <v>Yegor Chinakhov</v>
      </c>
    </row>
    <row r="335" spans="1:28" x14ac:dyDescent="0.25">
      <c r="A335" t="s">
        <v>680</v>
      </c>
      <c r="B335">
        <f>INDEX(Proj[],MATCH(Std[[#This Row],[Player]],Proj[Player],0),2)</f>
        <v>29</v>
      </c>
      <c r="C335" t="s">
        <v>102</v>
      </c>
      <c r="D335" s="75" t="s">
        <v>103</v>
      </c>
      <c r="E335" s="56"/>
      <c r="F335" t="s">
        <v>155</v>
      </c>
      <c r="G335" s="12">
        <f>(INDEX(Proj[],MATCH(Std[[#This Row],[Player]],Proj[Player],0),14)-G$764)/G$765</f>
        <v>-0.23994978135042122</v>
      </c>
      <c r="H335" s="12">
        <f>(INDEX(Proj[],MATCH(Std[[#This Row],[Player]],Proj[Player],0),15)-H$764)/H$765</f>
        <v>8.0945693947519649E-3</v>
      </c>
      <c r="I335" s="12">
        <f>(INDEX(Proj[],MATCH(Std[[#This Row],[Player]],Proj[Player],0),16)-I$764)/I$765</f>
        <v>-0.10218158779485371</v>
      </c>
      <c r="J335" s="12">
        <f>(INDEX(Proj[],MATCH(Std[[#This Row],[Player]],Proj[Player],0),17)-J$764)/J$765</f>
        <v>-0.76105581014900237</v>
      </c>
      <c r="K335" s="12">
        <f>(INDEX(Proj[],MATCH(Std[[#This Row],[Player]],Proj[Player],0),18)-K$764)/K$765</f>
        <v>-0.75859266061649311</v>
      </c>
      <c r="L335" s="12">
        <f>(INDEX(Proj[],MATCH(Std[[#This Row],[Player]],Proj[Player],0),19)-L$764)/L$765</f>
        <v>-0.81647589674950882</v>
      </c>
      <c r="M335" s="12">
        <f>(INDEX(Proj[],MATCH(Std[[#This Row],[Player]],Proj[Player],0),20)-M$764)/M$765</f>
        <v>0.31240082183847029</v>
      </c>
      <c r="N335" s="12">
        <f>(INDEX(Proj[],MATCH(Std[[#This Row],[Player]],Proj[Player],0),21)-N$764)/N$765</f>
        <v>6.3324241285266009E-2</v>
      </c>
      <c r="O335" s="12">
        <f>(INDEX(Proj[],MATCH(Std[[#This Row],[Player]],Proj[Player],0),22)-O$764)/O$765</f>
        <v>-0.63725622940567483</v>
      </c>
      <c r="P335" s="12">
        <f>((INDEX(Proj[],MATCH(Std[[#This Row],[Player]],Proj[Player],0),23)-P$764)/P$765)*IF('League Inputs'!$C$23 = "Yes",-1, 1)</f>
        <v>-0.67467262211328927</v>
      </c>
      <c r="Q335" s="12">
        <f>(INDEX(Proj[],MATCH(Std[[#This Row],[Player]],Proj[Player],0),24)-Q$764)/Q$765</f>
        <v>-0.50731484240151736</v>
      </c>
      <c r="R335" s="12">
        <f>(INDEX(Proj[],MATCH(Std[[#This Row],[Player]],Proj[Player],0),25)-R$764)/R$765</f>
        <v>-0.53451344080231034</v>
      </c>
      <c r="S335" s="12">
        <f>(INDEX(Proj[],MATCH(Std[[#This Row],[Player]],Proj[Player],0),26)-S$764)/S$765</f>
        <v>-9.9267000022900009E-2</v>
      </c>
      <c r="T3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-300.56991491581471</v>
      </c>
      <c r="U335" s="11"/>
      <c r="W335" t="str">
        <v>Mason Appleton</v>
      </c>
      <c r="AA335" t="str">
        <v>Mason Appleton</v>
      </c>
      <c r="AB335" t="str">
        <v>Mason Appleton</v>
      </c>
    </row>
    <row r="336" spans="1:28" x14ac:dyDescent="0.25">
      <c r="A336" t="s">
        <v>1069</v>
      </c>
      <c r="B336">
        <f>INDEX(Proj[],MATCH(Std[[#This Row],[Player]],Proj[Player],0),2)</f>
        <v>23</v>
      </c>
      <c r="C336" t="s">
        <v>74</v>
      </c>
      <c r="D336" s="75"/>
      <c r="E336" s="57"/>
      <c r="F336" t="s">
        <v>5</v>
      </c>
      <c r="G336" s="12">
        <f>(INDEX(Proj[],MATCH(Std[[#This Row],[Player]],Proj[Player],0),14)-G$764)/G$765</f>
        <v>0.28821956243840696</v>
      </c>
      <c r="H336" s="12">
        <f>(INDEX(Proj[],MATCH(Std[[#This Row],[Player]],Proj[Player],0),15)-H$764)/H$765</f>
        <v>-0.36455176554657409</v>
      </c>
      <c r="I336" s="12">
        <f>(INDEX(Proj[],MATCH(Std[[#This Row],[Player]],Proj[Player],0),16)-I$764)/I$765</f>
        <v>-0.10218158779485371</v>
      </c>
      <c r="J336" s="12">
        <f>(INDEX(Proj[],MATCH(Std[[#This Row],[Player]],Proj[Player],0),17)-J$764)/J$765</f>
        <v>-0.17232923569972286</v>
      </c>
      <c r="K336" s="12">
        <f>(INDEX(Proj[],MATCH(Std[[#This Row],[Player]],Proj[Player],0),18)-K$764)/K$765</f>
        <v>-0.14224887932464234</v>
      </c>
      <c r="L336" s="12">
        <f>(INDEX(Proj[],MATCH(Std[[#This Row],[Player]],Proj[Player],0),19)-L$764)/L$765</f>
        <v>-0.16404410767290362</v>
      </c>
      <c r="M336" s="12">
        <f>(INDEX(Proj[],MATCH(Std[[#This Row],[Player]],Proj[Player],0),20)-M$764)/M$765</f>
        <v>-0.71308883245737775</v>
      </c>
      <c r="N336" s="12">
        <f>(INDEX(Proj[],MATCH(Std[[#This Row],[Player]],Proj[Player],0),21)-N$764)/N$765</f>
        <v>-0.80876375939041945</v>
      </c>
      <c r="O336" s="12">
        <f>(INDEX(Proj[],MATCH(Std[[#This Row],[Player]],Proj[Player],0),22)-O$764)/O$765</f>
        <v>-0.8229842561191606</v>
      </c>
      <c r="P336" s="12">
        <f>((INDEX(Proj[],MATCH(Std[[#This Row],[Player]],Proj[Player],0),23)-P$764)/P$765)*IF('League Inputs'!$C$23 = "Yes",-1, 1)</f>
        <v>-1.140070365096874</v>
      </c>
      <c r="Q336" s="12">
        <f>(INDEX(Proj[],MATCH(Std[[#This Row],[Player]],Proj[Player],0),24)-Q$764)/Q$765</f>
        <v>-0.41669769140196994</v>
      </c>
      <c r="R336" s="12">
        <f>(INDEX(Proj[],MATCH(Std[[#This Row],[Player]],Proj[Player],0),25)-R$764)/R$765</f>
        <v>-0.43236131507451681</v>
      </c>
      <c r="S336" s="12">
        <f>(INDEX(Proj[],MATCH(Std[[#This Row],[Player]],Proj[Player],0),26)-S$764)/S$765</f>
        <v>-1.9548359666921177E-3</v>
      </c>
      <c r="T3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-353.3028806551041</v>
      </c>
      <c r="U336" s="11"/>
      <c r="W336" t="str">
        <v>Nicholas Robertson</v>
      </c>
      <c r="AA336" t="str">
        <v>Nicholas Robertson</v>
      </c>
      <c r="AB336" t="str">
        <v>Nicholas Robertson</v>
      </c>
    </row>
    <row r="337" spans="1:28" x14ac:dyDescent="0.25">
      <c r="A337" t="s">
        <v>859</v>
      </c>
      <c r="B337">
        <f>INDEX(Proj[],MATCH(Std[[#This Row],[Player]],Proj[Player],0),2)</f>
        <v>22</v>
      </c>
      <c r="C337" t="s">
        <v>3</v>
      </c>
      <c r="D337" s="75"/>
      <c r="E337" s="57"/>
      <c r="F337" t="s">
        <v>32</v>
      </c>
      <c r="G337" s="12">
        <f>(INDEX(Proj[],MATCH(Std[[#This Row],[Player]],Proj[Player],0),14)-G$764)/G$765</f>
        <v>-2.8682043834889943E-2</v>
      </c>
      <c r="H337" s="12">
        <f>(INDEX(Proj[],MATCH(Std[[#This Row],[Player]],Proj[Player],0),15)-H$764)/H$765</f>
        <v>-0.14096396458177846</v>
      </c>
      <c r="I337" s="12">
        <f>(INDEX(Proj[],MATCH(Std[[#This Row],[Player]],Proj[Player],0),16)-I$764)/I$765</f>
        <v>-0.10218158779485371</v>
      </c>
      <c r="J337" s="12">
        <f>(INDEX(Proj[],MATCH(Std[[#This Row],[Player]],Proj[Player],0),17)-J$764)/J$765</f>
        <v>0.12203405152491688</v>
      </c>
      <c r="K337" s="12">
        <f>(INDEX(Proj[],MATCH(Std[[#This Row],[Player]],Proj[Player],0),18)-K$764)/K$765</f>
        <v>-0.14224887932464234</v>
      </c>
      <c r="L337" s="12">
        <f>(INDEX(Proj[],MATCH(Std[[#This Row],[Player]],Proj[Player],0),19)-L$764)/L$765</f>
        <v>-5.5305476160136084E-2</v>
      </c>
      <c r="M337" s="12">
        <f>(INDEX(Proj[],MATCH(Std[[#This Row],[Player]],Proj[Player],0),20)-M$764)/M$765</f>
        <v>-0.71308883245737775</v>
      </c>
      <c r="N337" s="12">
        <f>(INDEX(Proj[],MATCH(Std[[#This Row],[Player]],Proj[Player],0),21)-N$764)/N$765</f>
        <v>-1.2738773597507851</v>
      </c>
      <c r="O337" s="12">
        <f>(INDEX(Proj[],MATCH(Std[[#This Row],[Player]],Proj[Player],0),22)-O$764)/O$765</f>
        <v>-0.8229842561191606</v>
      </c>
      <c r="P337" s="12">
        <f>((INDEX(Proj[],MATCH(Std[[#This Row],[Player]],Proj[Player],0),23)-P$764)/P$765)*IF('League Inputs'!$C$23 = "Yes",-1, 1)</f>
        <v>-1.0004510422017985</v>
      </c>
      <c r="Q337" s="12">
        <f>(INDEX(Proj[],MATCH(Std[[#This Row],[Player]],Proj[Player],0),24)-Q$764)/Q$765</f>
        <v>-0.42202811204900215</v>
      </c>
      <c r="R337" s="12">
        <f>(INDEX(Proj[],MATCH(Std[[#This Row],[Player]],Proj[Player],0),25)-R$764)/R$765</f>
        <v>-0.37561013411463151</v>
      </c>
      <c r="S337" s="12">
        <f>(INDEX(Proj[],MATCH(Std[[#This Row],[Player]],Proj[Player],0),26)-S$764)/S$765</f>
        <v>-0.18036047006973993</v>
      </c>
      <c r="T3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-402.68343125621442</v>
      </c>
      <c r="U337" s="11"/>
      <c r="W337" t="str">
        <v>Kent Johnson</v>
      </c>
      <c r="AA337" t="str">
        <v>Kent Johnson</v>
      </c>
      <c r="AB337" t="str">
        <v>Kent Johnson</v>
      </c>
    </row>
    <row r="338" spans="1:28" x14ac:dyDescent="0.25">
      <c r="A338" t="s">
        <v>365</v>
      </c>
      <c r="B338">
        <f>INDEX(Proj[],MATCH(Std[[#This Row],[Player]],Proj[Player],0),2)</f>
        <v>31</v>
      </c>
      <c r="C338" t="s">
        <v>3</v>
      </c>
      <c r="D338" s="75"/>
      <c r="E338" s="57"/>
      <c r="F338" t="s">
        <v>8</v>
      </c>
      <c r="G338" s="12">
        <f>(INDEX(Proj[],MATCH(Std[[#This Row],[Player]],Proj[Player],0),14)-G$764)/G$765</f>
        <v>-0.55685138762371811</v>
      </c>
      <c r="H338" s="12">
        <f>(INDEX(Proj[],MATCH(Std[[#This Row],[Player]],Proj[Player],0),15)-H$764)/H$765</f>
        <v>0.15715310337128238</v>
      </c>
      <c r="I338" s="12">
        <f>(INDEX(Proj[],MATCH(Std[[#This Row],[Player]],Proj[Player],0),16)-I$764)/I$765</f>
        <v>-0.14942414675695695</v>
      </c>
      <c r="J338" s="12">
        <f>(INDEX(Proj[],MATCH(Std[[#This Row],[Player]],Proj[Player],0),17)-J$764)/J$765</f>
        <v>-0.76105581014900237</v>
      </c>
      <c r="K338" s="12">
        <f>(INDEX(Proj[],MATCH(Std[[#This Row],[Player]],Proj[Player],0),18)-K$764)/K$765</f>
        <v>-0.29633482464760502</v>
      </c>
      <c r="L338" s="12">
        <f>(INDEX(Proj[],MATCH(Std[[#This Row],[Player]],Proj[Player],0),19)-L$764)/L$765</f>
        <v>-0.49026000221120619</v>
      </c>
      <c r="M338" s="12">
        <f>(INDEX(Proj[],MATCH(Std[[#This Row],[Player]],Proj[Player],0),20)-M$764)/M$765</f>
        <v>0.31240082183847029</v>
      </c>
      <c r="N338" s="12">
        <f>(INDEX(Proj[],MATCH(Std[[#This Row],[Player]],Proj[Player],0),21)-N$764)/N$765</f>
        <v>0.33464050816214591</v>
      </c>
      <c r="O338" s="12">
        <f>(INDEX(Proj[],MATCH(Std[[#This Row],[Player]],Proj[Player],0),22)-O$764)/O$765</f>
        <v>3.0540883015248532</v>
      </c>
      <c r="P338" s="12">
        <f>((INDEX(Proj[],MATCH(Std[[#This Row],[Player]],Proj[Player],0),23)-P$764)/P$765)*IF('League Inputs'!$C$23 = "Yes",-1, 1)</f>
        <v>-0.44197375062149696</v>
      </c>
      <c r="Q338" s="12">
        <f>(INDEX(Proj[],MATCH(Std[[#This Row],[Player]],Proj[Player],0),24)-Q$764)/Q$765</f>
        <v>-0.5766103108129359</v>
      </c>
      <c r="R338" s="12">
        <f>(INDEX(Proj[],MATCH(Std[[#This Row],[Player]],Proj[Player],0),25)-R$764)/R$765</f>
        <v>-0.62531533033812681</v>
      </c>
      <c r="S338" s="12">
        <f>(INDEX(Proj[],MATCH(Std[[#This Row],[Player]],Proj[Player],0),26)-S$764)/S$765</f>
        <v>0.33863773823003551</v>
      </c>
      <c r="T3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166.94000532620032</v>
      </c>
      <c r="U338" s="11"/>
      <c r="W338" t="str">
        <v>Colton Parayko</v>
      </c>
      <c r="AA338" t="str">
        <v>Colton Parayko</v>
      </c>
      <c r="AB338" t="str">
        <v>Colton Parayko</v>
      </c>
    </row>
    <row r="339" spans="1:28" x14ac:dyDescent="0.25">
      <c r="A339" t="s">
        <v>610</v>
      </c>
      <c r="B339">
        <f>INDEX(Proj[],MATCH(Std[[#This Row],[Player]],Proj[Player],0),2)</f>
        <v>28</v>
      </c>
      <c r="C339" t="s">
        <v>103</v>
      </c>
      <c r="D339" s="75"/>
      <c r="E339" s="57"/>
      <c r="F339" t="s">
        <v>6</v>
      </c>
      <c r="G339" s="12">
        <f>(INDEX(Proj[],MATCH(Std[[#This Row],[Player]],Proj[Player],0),14)-G$764)/G$765</f>
        <v>-0.873752993897015</v>
      </c>
      <c r="H339" s="12">
        <f>(INDEX(Proj[],MATCH(Std[[#This Row],[Player]],Proj[Player],0),15)-H$764)/H$765</f>
        <v>0.38074090433607805</v>
      </c>
      <c r="I339" s="12">
        <f>(INDEX(Proj[],MATCH(Std[[#This Row],[Player]],Proj[Player],0),16)-I$764)/I$765</f>
        <v>-0.14942414675695695</v>
      </c>
      <c r="J339" s="12">
        <f>(INDEX(Proj[],MATCH(Std[[#This Row],[Player]],Proj[Player],0),17)-J$764)/J$765</f>
        <v>-0.76105581014900237</v>
      </c>
      <c r="K339" s="12">
        <f>(INDEX(Proj[],MATCH(Std[[#This Row],[Player]],Proj[Player],0),18)-K$764)/K$765</f>
        <v>-0.75859266061649311</v>
      </c>
      <c r="L339" s="12">
        <f>(INDEX(Proj[],MATCH(Std[[#This Row],[Player]],Proj[Player],0),19)-L$764)/L$765</f>
        <v>-0.81647589674950882</v>
      </c>
      <c r="M339" s="12">
        <f>(INDEX(Proj[],MATCH(Std[[#This Row],[Player]],Proj[Player],0),20)-M$764)/M$765</f>
        <v>-0.71308883245737775</v>
      </c>
      <c r="N339" s="12">
        <f>(INDEX(Proj[],MATCH(Std[[#This Row],[Player]],Proj[Player],0),21)-N$764)/N$765</f>
        <v>0.78037437517416297</v>
      </c>
      <c r="O339" s="12">
        <f>(INDEX(Proj[],MATCH(Std[[#This Row],[Player]],Proj[Player],0),22)-O$764)/O$765</f>
        <v>2.1486641712966104</v>
      </c>
      <c r="P339" s="12">
        <f>((INDEX(Proj[],MATCH(Std[[#This Row],[Player]],Proj[Player],0),23)-P$764)/P$765)*IF('League Inputs'!$C$23 = "Yes",-1, 1)</f>
        <v>1.0007592526276154</v>
      </c>
      <c r="Q339" s="12">
        <f>(INDEX(Proj[],MATCH(Std[[#This Row],[Player]],Proj[Player],0),24)-Q$764)/Q$765</f>
        <v>-0.5766103108129359</v>
      </c>
      <c r="R339" s="12">
        <f>(INDEX(Proj[],MATCH(Std[[#This Row],[Player]],Proj[Player],0),25)-R$764)/R$765</f>
        <v>-0.62531533033812681</v>
      </c>
      <c r="S339" s="12">
        <f>(INDEX(Proj[],MATCH(Std[[#This Row],[Player]],Proj[Player],0),26)-S$764)/S$765</f>
        <v>-0.24523524610721187</v>
      </c>
      <c r="T3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164.90401091108384</v>
      </c>
      <c r="U339" s="11"/>
      <c r="W339" t="str">
        <v>Marcus Pettersson</v>
      </c>
      <c r="AA339" t="str">
        <v>Marcus Pettersson</v>
      </c>
      <c r="AB339" t="str">
        <v>Marcus Pettersson</v>
      </c>
    </row>
    <row r="340" spans="1:28" x14ac:dyDescent="0.25">
      <c r="A340" t="s">
        <v>461</v>
      </c>
      <c r="B340">
        <f>INDEX(Proj[],MATCH(Std[[#This Row],[Player]],Proj[Player],0),2)</f>
        <v>30</v>
      </c>
      <c r="C340" t="s">
        <v>102</v>
      </c>
      <c r="D340" s="75" t="s">
        <v>103</v>
      </c>
      <c r="E340" s="56"/>
      <c r="F340" t="s">
        <v>6</v>
      </c>
      <c r="G340" s="12">
        <f>(INDEX(Proj[],MATCH(Std[[#This Row],[Player]],Proj[Player],0),14)-G$764)/G$765</f>
        <v>0.49948729995393826</v>
      </c>
      <c r="H340" s="12">
        <f>(INDEX(Proj[],MATCH(Std[[#This Row],[Player]],Proj[Player],0),15)-H$764)/H$765</f>
        <v>-0.58813956651136978</v>
      </c>
      <c r="I340" s="12">
        <f>(INDEX(Proj[],MATCH(Std[[#This Row],[Player]],Proj[Player],0),16)-I$764)/I$765</f>
        <v>-0.14942414675695695</v>
      </c>
      <c r="J340" s="12">
        <f>(INDEX(Proj[],MATCH(Std[[#This Row],[Player]],Proj[Player],0),17)-J$764)/J$765</f>
        <v>0.12203405152491688</v>
      </c>
      <c r="K340" s="12">
        <f>(INDEX(Proj[],MATCH(Std[[#This Row],[Player]],Proj[Player],0),18)-K$764)/K$765</f>
        <v>-0.60450671529353051</v>
      </c>
      <c r="L340" s="12">
        <f>(INDEX(Proj[],MATCH(Std[[#This Row],[Player]],Proj[Player],0),19)-L$764)/L$765</f>
        <v>-0.38152137069843867</v>
      </c>
      <c r="M340" s="12">
        <f>(INDEX(Proj[],MATCH(Std[[#This Row],[Player]],Proj[Player],0),20)-M$764)/M$765</f>
        <v>0.31240082183847029</v>
      </c>
      <c r="N340" s="12">
        <f>(INDEX(Proj[],MATCH(Std[[#This Row],[Player]],Proj[Player],0),21)-N$764)/N$765</f>
        <v>1.4005258423213169</v>
      </c>
      <c r="O340" s="12">
        <f>(INDEX(Proj[],MATCH(Std[[#This Row],[Player]],Proj[Player],0),22)-O$764)/O$765</f>
        <v>-0.26580017597870353</v>
      </c>
      <c r="P340" s="12">
        <f>((INDEX(Proj[],MATCH(Std[[#This Row],[Player]],Proj[Player],0),23)-P$764)/P$765)*IF('League Inputs'!$C$23 = "Yes",-1, 1)</f>
        <v>1.6523160928046339</v>
      </c>
      <c r="Q340" s="12">
        <f>(INDEX(Proj[],MATCH(Std[[#This Row],[Player]],Proj[Player],0),24)-Q$764)/Q$765</f>
        <v>-0.45401063593119534</v>
      </c>
      <c r="R340" s="12">
        <f>(INDEX(Proj[],MATCH(Std[[#This Row],[Player]],Proj[Player],0),25)-R$764)/R$765</f>
        <v>-0.46073690555445945</v>
      </c>
      <c r="S340" s="12">
        <f>(INDEX(Proj[],MATCH(Std[[#This Row],[Player]],Proj[Player],0),26)-S$764)/S$765</f>
        <v>0.59813684237992326</v>
      </c>
      <c r="T3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231.15701815831483</v>
      </c>
      <c r="U340" s="11"/>
      <c r="W340" t="str">
        <v>Josh Anderson</v>
      </c>
      <c r="AA340" t="str">
        <v>Josh Anderson</v>
      </c>
      <c r="AB340" t="str">
        <v>Josh Anderson</v>
      </c>
    </row>
    <row r="341" spans="1:28" x14ac:dyDescent="0.25">
      <c r="A341" t="s">
        <v>612</v>
      </c>
      <c r="B341">
        <f>INDEX(Proj[],MATCH(Std[[#This Row],[Player]],Proj[Player],0),2)</f>
        <v>37</v>
      </c>
      <c r="C341" t="s">
        <v>3</v>
      </c>
      <c r="D341" s="75"/>
      <c r="E341" s="57"/>
      <c r="F341" t="s">
        <v>156</v>
      </c>
      <c r="G341" s="12">
        <f>(INDEX(Proj[],MATCH(Std[[#This Row],[Player]],Proj[Player],0),14)-G$764)/G$765</f>
        <v>-2.8682043834889943E-2</v>
      </c>
      <c r="H341" s="12">
        <f>(INDEX(Proj[],MATCH(Std[[#This Row],[Player]],Proj[Player],0),15)-H$764)/H$765</f>
        <v>-0.21549323157004366</v>
      </c>
      <c r="I341" s="12">
        <f>(INDEX(Proj[],MATCH(Std[[#This Row],[Player]],Proj[Player],0),16)-I$764)/I$765</f>
        <v>-0.14942414675695695</v>
      </c>
      <c r="J341" s="12">
        <f>(INDEX(Proj[],MATCH(Std[[#This Row],[Player]],Proj[Player],0),17)-J$764)/J$765</f>
        <v>0.12203405152491688</v>
      </c>
      <c r="K341" s="12">
        <f>(INDEX(Proj[],MATCH(Std[[#This Row],[Player]],Proj[Player],0),18)-K$764)/K$765</f>
        <v>-0.29633482464760502</v>
      </c>
      <c r="L341" s="12">
        <f>(INDEX(Proj[],MATCH(Std[[#This Row],[Player]],Proj[Player],0),19)-L$764)/L$765</f>
        <v>-0.16404410767290362</v>
      </c>
      <c r="M341" s="12">
        <f>(INDEX(Proj[],MATCH(Std[[#This Row],[Player]],Proj[Player],0),20)-M$764)/M$765</f>
        <v>0.31240082183847029</v>
      </c>
      <c r="N341" s="12">
        <f>(INDEX(Proj[],MATCH(Std[[#This Row],[Player]],Proj[Player],0),21)-N$764)/N$765</f>
        <v>1.9819178427717741</v>
      </c>
      <c r="O341" s="12">
        <f>(INDEX(Proj[],MATCH(Std[[#This Row],[Player]],Proj[Player],0),22)-O$764)/O$765</f>
        <v>-0.38188019267463208</v>
      </c>
      <c r="P341" s="12">
        <f>((INDEX(Proj[],MATCH(Std[[#This Row],[Player]],Proj[Player],0),23)-P$764)/P$765)*IF('League Inputs'!$C$23 = "Yes",-1, 1)</f>
        <v>1.559236544207917</v>
      </c>
      <c r="Q341" s="12">
        <f>(INDEX(Proj[],MATCH(Std[[#This Row],[Player]],Proj[Player],0),24)-Q$764)/Q$765</f>
        <v>0.26026573077111909</v>
      </c>
      <c r="R341" s="12">
        <f>(INDEX(Proj[],MATCH(Std[[#This Row],[Player]],Proj[Player],0),25)-R$764)/R$765</f>
        <v>0.18055143929224438</v>
      </c>
      <c r="S341" s="12">
        <f>(INDEX(Proj[],MATCH(Std[[#This Row],[Player]],Proj[Player],0),26)-S$764)/S$765</f>
        <v>0.14401341011761973</v>
      </c>
      <c r="T3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300.59098053590037</v>
      </c>
      <c r="U341" s="11"/>
      <c r="W341" t="str">
        <v>Nick Foligno</v>
      </c>
      <c r="AA341" t="str">
        <v>Nick Foligno</v>
      </c>
      <c r="AB341" t="str">
        <v>Nick Foligno</v>
      </c>
    </row>
    <row r="342" spans="1:28" x14ac:dyDescent="0.25">
      <c r="A342" t="s">
        <v>509</v>
      </c>
      <c r="B342">
        <f>INDEX(Proj[],MATCH(Std[[#This Row],[Player]],Proj[Player],0),2)</f>
        <v>24</v>
      </c>
      <c r="C342" t="s">
        <v>74</v>
      </c>
      <c r="D342" s="75" t="s">
        <v>102</v>
      </c>
      <c r="E342" s="57"/>
      <c r="F342" t="s">
        <v>9</v>
      </c>
      <c r="G342" s="12">
        <f>(INDEX(Proj[],MATCH(Std[[#This Row],[Player]],Proj[Player],0),14)-G$764)/G$765</f>
        <v>-0.45121751886595246</v>
      </c>
      <c r="H342" s="12">
        <f>(INDEX(Proj[],MATCH(Std[[#This Row],[Player]],Proj[Player],0),15)-H$764)/H$765</f>
        <v>8.262383638301718E-2</v>
      </c>
      <c r="I342" s="12">
        <f>(INDEX(Proj[],MATCH(Std[[#This Row],[Player]],Proj[Player],0),16)-I$764)/I$765</f>
        <v>-0.14942414675695695</v>
      </c>
      <c r="J342" s="12">
        <f>(INDEX(Proj[],MATCH(Std[[#This Row],[Player]],Proj[Player],0),17)-J$764)/J$765</f>
        <v>-0.46669252292436259</v>
      </c>
      <c r="K342" s="12">
        <f>(INDEX(Proj[],MATCH(Std[[#This Row],[Player]],Proj[Player],0),18)-K$764)/K$765</f>
        <v>1.1837065998320361E-2</v>
      </c>
      <c r="L342" s="12">
        <f>(INDEX(Proj[],MATCH(Std[[#This Row],[Player]],Proj[Player],0),19)-L$764)/L$765</f>
        <v>-0.16404410767290362</v>
      </c>
      <c r="M342" s="12">
        <f>(INDEX(Proj[],MATCH(Std[[#This Row],[Player]],Proj[Player],0),20)-M$764)/M$765</f>
        <v>1.3378904761343182</v>
      </c>
      <c r="N342" s="12">
        <f>(INDEX(Proj[],MATCH(Std[[#This Row],[Player]],Proj[Player],0),21)-N$764)/N$765</f>
        <v>-0.38240962572675097</v>
      </c>
      <c r="O342" s="12">
        <f>(INDEX(Proj[],MATCH(Std[[#This Row],[Player]],Proj[Player],0),22)-O$764)/O$765</f>
        <v>2.0558001579398675</v>
      </c>
      <c r="P342" s="12">
        <f>((INDEX(Proj[],MATCH(Std[[#This Row],[Player]],Proj[Player],0),23)-P$764)/P$765)*IF('League Inputs'!$C$23 = "Yes",-1, 1)</f>
        <v>-0.16273510483134615</v>
      </c>
      <c r="Q342" s="12">
        <f>(INDEX(Proj[],MATCH(Std[[#This Row],[Player]],Proj[Player],0),24)-Q$764)/Q$765</f>
        <v>-0.5766103108129359</v>
      </c>
      <c r="R342" s="12">
        <f>(INDEX(Proj[],MATCH(Std[[#This Row],[Player]],Proj[Player],0),25)-R$764)/R$765</f>
        <v>-0.62531533033812681</v>
      </c>
      <c r="S342" s="12">
        <f>(INDEX(Proj[],MATCH(Std[[#This Row],[Player]],Proj[Player],0),26)-S$764)/S$765</f>
        <v>-0.29389132813531582</v>
      </c>
      <c r="T3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-4.1908148479277072</v>
      </c>
      <c r="U342" s="11"/>
      <c r="W342" t="str">
        <v>Cam York</v>
      </c>
      <c r="AA342" t="str">
        <v>Cam York</v>
      </c>
      <c r="AB342" t="str">
        <v>Cam York</v>
      </c>
    </row>
    <row r="343" spans="1:28" x14ac:dyDescent="0.25">
      <c r="A343" t="s">
        <v>443</v>
      </c>
      <c r="B343">
        <f>INDEX(Proj[],MATCH(Std[[#This Row],[Player]],Proj[Player],0),2)</f>
        <v>29</v>
      </c>
      <c r="C343" t="s">
        <v>74</v>
      </c>
      <c r="D343" s="75"/>
      <c r="E343" s="57"/>
      <c r="F343" t="s">
        <v>21</v>
      </c>
      <c r="G343" s="12">
        <f>(INDEX(Proj[],MATCH(Std[[#This Row],[Player]],Proj[Player],0),14)-G$764)/G$765</f>
        <v>-0.55685138762371811</v>
      </c>
      <c r="H343" s="12">
        <f>(INDEX(Proj[],MATCH(Std[[#This Row],[Player]],Proj[Player],0),15)-H$764)/H$765</f>
        <v>0.15715310337128238</v>
      </c>
      <c r="I343" s="12">
        <f>(INDEX(Proj[],MATCH(Std[[#This Row],[Player]],Proj[Player],0),16)-I$764)/I$765</f>
        <v>-0.14942414675695695</v>
      </c>
      <c r="J343" s="12">
        <f>(INDEX(Proj[],MATCH(Std[[#This Row],[Player]],Proj[Player],0),17)-J$764)/J$765</f>
        <v>-0.46669252292436259</v>
      </c>
      <c r="K343" s="12">
        <f>(INDEX(Proj[],MATCH(Std[[#This Row],[Player]],Proj[Player],0),18)-K$764)/K$765</f>
        <v>-0.14224887932464234</v>
      </c>
      <c r="L343" s="12">
        <f>(INDEX(Proj[],MATCH(Std[[#This Row],[Player]],Proj[Player],0),19)-L$764)/L$765</f>
        <v>-0.27278273918567114</v>
      </c>
      <c r="M343" s="12">
        <f>(INDEX(Proj[],MATCH(Std[[#This Row],[Player]],Proj[Player],0),20)-M$764)/M$765</f>
        <v>0.31240082183847029</v>
      </c>
      <c r="N343" s="12">
        <f>(INDEX(Proj[],MATCH(Std[[#This Row],[Player]],Proj[Player],0),21)-N$764)/N$765</f>
        <v>-0.42116909242344813</v>
      </c>
      <c r="O343" s="12">
        <f>(INDEX(Proj[],MATCH(Std[[#This Row],[Player]],Proj[Player],0),22)-O$764)/O$765</f>
        <v>1.5218320811385961</v>
      </c>
      <c r="P343" s="12">
        <f>((INDEX(Proj[],MATCH(Std[[#This Row],[Player]],Proj[Player],0),23)-P$764)/P$765)*IF('League Inputs'!$C$23 = "Yes",-1, 1)</f>
        <v>0.30266263815223848</v>
      </c>
      <c r="Q343" s="12">
        <f>(INDEX(Proj[],MATCH(Std[[#This Row],[Player]],Proj[Player],0),24)-Q$764)/Q$765</f>
        <v>-0.5766103108129359</v>
      </c>
      <c r="R343" s="12">
        <f>(INDEX(Proj[],MATCH(Std[[#This Row],[Player]],Proj[Player],0),25)-R$764)/R$765</f>
        <v>-0.62531533033812681</v>
      </c>
      <c r="S343" s="12">
        <f>(INDEX(Proj[],MATCH(Std[[#This Row],[Player]],Proj[Player],0),26)-S$764)/S$765</f>
        <v>-0.13170438804163598</v>
      </c>
      <c r="T3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-12.689424218224909</v>
      </c>
      <c r="U343" s="11"/>
      <c r="W343" t="str">
        <v>Vladislav Gavrikov</v>
      </c>
      <c r="AA343" t="str">
        <v>Vladislav Gavrikov</v>
      </c>
      <c r="AB343" t="str">
        <v>Vladislav Gavrikov</v>
      </c>
    </row>
    <row r="344" spans="1:28" x14ac:dyDescent="0.25">
      <c r="A344" t="s">
        <v>440</v>
      </c>
      <c r="B344">
        <f>INDEX(Proj[],MATCH(Std[[#This Row],[Player]],Proj[Player],0),2)</f>
        <v>32</v>
      </c>
      <c r="C344" t="s">
        <v>102</v>
      </c>
      <c r="D344" s="75" t="s">
        <v>103</v>
      </c>
      <c r="E344" s="57"/>
      <c r="F344" t="s">
        <v>34</v>
      </c>
      <c r="G344" s="12">
        <f>(INDEX(Proj[],MATCH(Std[[#This Row],[Player]],Proj[Player],0),14)-G$764)/G$765</f>
        <v>0.39385343119617261</v>
      </c>
      <c r="H344" s="12">
        <f>(INDEX(Proj[],MATCH(Std[[#This Row],[Player]],Proj[Player],0),15)-H$764)/H$765</f>
        <v>-0.51361029952310455</v>
      </c>
      <c r="I344" s="12">
        <f>(INDEX(Proj[],MATCH(Std[[#This Row],[Player]],Proj[Player],0),16)-I$764)/I$765</f>
        <v>-0.14942414675695695</v>
      </c>
      <c r="J344" s="12">
        <f>(INDEX(Proj[],MATCH(Std[[#This Row],[Player]],Proj[Player],0),17)-J$764)/J$765</f>
        <v>-0.17232923569972286</v>
      </c>
      <c r="K344" s="12">
        <f>(INDEX(Proj[],MATCH(Std[[#This Row],[Player]],Proj[Player],0),18)-K$764)/K$765</f>
        <v>-0.29633482464760502</v>
      </c>
      <c r="L344" s="12">
        <f>(INDEX(Proj[],MATCH(Std[[#This Row],[Player]],Proj[Player],0),19)-L$764)/L$765</f>
        <v>-0.27278273918567114</v>
      </c>
      <c r="M344" s="12">
        <f>(INDEX(Proj[],MATCH(Std[[#This Row],[Player]],Proj[Player],0),20)-M$764)/M$765</f>
        <v>-0.71308883245737775</v>
      </c>
      <c r="N344" s="12">
        <f>(INDEX(Proj[],MATCH(Std[[#This Row],[Player]],Proj[Player],0),21)-N$764)/N$765</f>
        <v>-0.49868802581684241</v>
      </c>
      <c r="O344" s="12">
        <f>(INDEX(Proj[],MATCH(Std[[#This Row],[Player]],Proj[Player],0),22)-O$764)/O$765</f>
        <v>-0.63725622940567483</v>
      </c>
      <c r="P344" s="12">
        <f>((INDEX(Proj[],MATCH(Std[[#This Row],[Player]],Proj[Player],0),23)-P$764)/P$765)*IF('League Inputs'!$C$23 = "Yes",-1, 1)</f>
        <v>2.2573331586832941</v>
      </c>
      <c r="Q344" s="12">
        <f>(INDEX(Proj[],MATCH(Std[[#This Row],[Player]],Proj[Player],0),24)-Q$764)/Q$765</f>
        <v>-0.47533231851932412</v>
      </c>
      <c r="R344" s="12">
        <f>(INDEX(Proj[],MATCH(Std[[#This Row],[Player]],Proj[Player],0),25)-R$764)/R$765</f>
        <v>-0.47776225984242504</v>
      </c>
      <c r="S344" s="12">
        <f>(INDEX(Proj[],MATCH(Std[[#This Row],[Player]],Proj[Player],0),26)-S$764)/S$765</f>
        <v>0.72788639445486714</v>
      </c>
      <c r="T3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83.197922512675973</v>
      </c>
      <c r="U344" s="11"/>
      <c r="W344" t="str">
        <v>Brendan Gallagher</v>
      </c>
      <c r="AA344" t="str">
        <v>Brendan Gallagher</v>
      </c>
      <c r="AB344" t="str">
        <v>Brendan Gallagher</v>
      </c>
    </row>
    <row r="345" spans="1:28" x14ac:dyDescent="0.25">
      <c r="A345" t="s">
        <v>449</v>
      </c>
      <c r="B345">
        <f>INDEX(Proj[],MATCH(Std[[#This Row],[Player]],Proj[Player],0),2)</f>
        <v>33</v>
      </c>
      <c r="C345" t="s">
        <v>3</v>
      </c>
      <c r="D345" s="75"/>
      <c r="E345" s="56"/>
      <c r="F345" t="s">
        <v>32</v>
      </c>
      <c r="G345" s="12">
        <f>(INDEX(Proj[],MATCH(Std[[#This Row],[Player]],Proj[Player],0),14)-G$764)/G$765</f>
        <v>-0.55685138762371811</v>
      </c>
      <c r="H345" s="12">
        <f>(INDEX(Proj[],MATCH(Std[[#This Row],[Player]],Proj[Player],0),15)-H$764)/H$765</f>
        <v>0.15715310337128238</v>
      </c>
      <c r="I345" s="12">
        <f>(INDEX(Proj[],MATCH(Std[[#This Row],[Player]],Proj[Player],0),16)-I$764)/I$765</f>
        <v>-0.14942414675695695</v>
      </c>
      <c r="J345" s="12">
        <f>(INDEX(Proj[],MATCH(Std[[#This Row],[Player]],Proj[Player],0),17)-J$764)/J$765</f>
        <v>-0.46669252292436259</v>
      </c>
      <c r="K345" s="12">
        <f>(INDEX(Proj[],MATCH(Std[[#This Row],[Player]],Proj[Player],0),18)-K$764)/K$765</f>
        <v>1.1837065998320361E-2</v>
      </c>
      <c r="L345" s="12">
        <f>(INDEX(Proj[],MATCH(Std[[#This Row],[Player]],Proj[Player],0),19)-L$764)/L$765</f>
        <v>-0.16404410767290362</v>
      </c>
      <c r="M345" s="12">
        <f>(INDEX(Proj[],MATCH(Std[[#This Row],[Player]],Proj[Player],0),20)-M$764)/M$765</f>
        <v>0.31240082183847029</v>
      </c>
      <c r="N345" s="12">
        <f>(INDEX(Proj[],MATCH(Std[[#This Row],[Player]],Proj[Player],0),21)-N$764)/N$765</f>
        <v>0.35402024151049449</v>
      </c>
      <c r="O345" s="12">
        <f>(INDEX(Proj[],MATCH(Std[[#This Row],[Player]],Proj[Player],0),22)-O$764)/O$765</f>
        <v>0.38424791751849635</v>
      </c>
      <c r="P345" s="12">
        <f>((INDEX(Proj[],MATCH(Std[[#This Row],[Player]],Proj[Player],0),23)-P$764)/P$765)*IF('League Inputs'!$C$23 = "Yes",-1, 1)</f>
        <v>-0.16273510483134615</v>
      </c>
      <c r="Q345" s="12">
        <f>(INDEX(Proj[],MATCH(Std[[#This Row],[Player]],Proj[Player],0),24)-Q$764)/Q$765</f>
        <v>-0.5766103108129359</v>
      </c>
      <c r="R345" s="12">
        <f>(INDEX(Proj[],MATCH(Std[[#This Row],[Player]],Proj[Player],0),25)-R$764)/R$765</f>
        <v>-0.62531533033812681</v>
      </c>
      <c r="S345" s="12">
        <f>(INDEX(Proj[],MATCH(Std[[#This Row],[Player]],Proj[Player],0),26)-S$764)/S$765</f>
        <v>-1.8173529976060102E-2</v>
      </c>
      <c r="T3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-73.241732527364761</v>
      </c>
      <c r="U345" s="11"/>
      <c r="W345" t="str">
        <v>Dmitry Orlov</v>
      </c>
      <c r="AA345" t="str">
        <v>Dmitry Orlov</v>
      </c>
      <c r="AB345" t="str">
        <v>Dmitry Orlov</v>
      </c>
    </row>
    <row r="346" spans="1:28" x14ac:dyDescent="0.25">
      <c r="A346" t="s">
        <v>1010</v>
      </c>
      <c r="B346">
        <f>INDEX(Proj[],MATCH(Std[[#This Row],[Player]],Proj[Player],0),2)</f>
        <v>29</v>
      </c>
      <c r="C346" t="s">
        <v>74</v>
      </c>
      <c r="D346" s="75" t="s">
        <v>102</v>
      </c>
      <c r="E346" s="57"/>
      <c r="F346" t="s">
        <v>8</v>
      </c>
      <c r="G346" s="12">
        <f>(INDEX(Proj[],MATCH(Std[[#This Row],[Player]],Proj[Player],0),14)-G$764)/G$765</f>
        <v>7.6951824922875695E-2</v>
      </c>
      <c r="H346" s="12">
        <f>(INDEX(Proj[],MATCH(Std[[#This Row],[Player]],Proj[Player],0),15)-H$764)/H$765</f>
        <v>-0.29002249855830886</v>
      </c>
      <c r="I346" s="12">
        <f>(INDEX(Proj[],MATCH(Std[[#This Row],[Player]],Proj[Player],0),16)-I$764)/I$765</f>
        <v>-0.14942414675695695</v>
      </c>
      <c r="J346" s="12">
        <f>(INDEX(Proj[],MATCH(Std[[#This Row],[Player]],Proj[Player],0),17)-J$764)/J$765</f>
        <v>0.12203405152491688</v>
      </c>
      <c r="K346" s="12">
        <f>(INDEX(Proj[],MATCH(Std[[#This Row],[Player]],Proj[Player],0),18)-K$764)/K$765</f>
        <v>-0.14224887932464234</v>
      </c>
      <c r="L346" s="12">
        <f>(INDEX(Proj[],MATCH(Std[[#This Row],[Player]],Proj[Player],0),19)-L$764)/L$765</f>
        <v>-5.5305476160136084E-2</v>
      </c>
      <c r="M346" s="12">
        <f>(INDEX(Proj[],MATCH(Std[[#This Row],[Player]],Proj[Player],0),20)-M$764)/M$765</f>
        <v>-0.71308883245737775</v>
      </c>
      <c r="N346" s="12">
        <f>(INDEX(Proj[],MATCH(Std[[#This Row],[Player]],Proj[Player],0),21)-N$764)/N$765</f>
        <v>2.3501327763903967</v>
      </c>
      <c r="O346" s="12">
        <f>(INDEX(Proj[],MATCH(Std[[#This Row],[Player]],Proj[Player],0),22)-O$764)/O$765</f>
        <v>-0.79976825277997488</v>
      </c>
      <c r="P346" s="12">
        <f>((INDEX(Proj[],MATCH(Std[[#This Row],[Player]],Proj[Player],0),23)-P$764)/P$765)*IF('League Inputs'!$C$23 = "Yes",-1, 1)</f>
        <v>0.67498083253910623</v>
      </c>
      <c r="Q346" s="12">
        <f>(INDEX(Proj[],MATCH(Std[[#This Row],[Player]],Proj[Player],0),24)-Q$764)/Q$765</f>
        <v>-0.39537600881384116</v>
      </c>
      <c r="R346" s="12">
        <f>(INDEX(Proj[],MATCH(Std[[#This Row],[Player]],Proj[Player],0),25)-R$764)/R$765</f>
        <v>-0.43803643317050533</v>
      </c>
      <c r="S346" s="12">
        <f>(INDEX(Proj[],MATCH(Std[[#This Row],[Player]],Proj[Player],0),26)-S$764)/S$765</f>
        <v>1.4263858042675865E-2</v>
      </c>
      <c r="T3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142.64329088258367</v>
      </c>
      <c r="U346" s="11"/>
      <c r="W346" t="str">
        <v>Kiefer Sherwood</v>
      </c>
      <c r="AA346" t="str">
        <v>Kiefer Sherwood</v>
      </c>
      <c r="AB346" t="str">
        <v>Kiefer Sherwood</v>
      </c>
    </row>
    <row r="347" spans="1:28" x14ac:dyDescent="0.25">
      <c r="A347" t="s">
        <v>572</v>
      </c>
      <c r="B347">
        <f>INDEX(Proj[],MATCH(Std[[#This Row],[Player]],Proj[Player],0),2)</f>
        <v>24</v>
      </c>
      <c r="C347" t="s">
        <v>74</v>
      </c>
      <c r="D347" s="75"/>
      <c r="E347" s="57"/>
      <c r="F347" t="s">
        <v>9</v>
      </c>
      <c r="G347" s="12">
        <f>(INDEX(Proj[],MATCH(Std[[#This Row],[Player]],Proj[Player],0),14)-G$764)/G$765</f>
        <v>-0.66248525638148381</v>
      </c>
      <c r="H347" s="12">
        <f>(INDEX(Proj[],MATCH(Std[[#This Row],[Player]],Proj[Player],0),15)-H$764)/H$765</f>
        <v>0.23168237035954761</v>
      </c>
      <c r="I347" s="12">
        <f>(INDEX(Proj[],MATCH(Std[[#This Row],[Player]],Proj[Player],0),16)-I$764)/I$765</f>
        <v>-0.14942414675695695</v>
      </c>
      <c r="J347" s="12">
        <f>(INDEX(Proj[],MATCH(Std[[#This Row],[Player]],Proj[Player],0),17)-J$764)/J$765</f>
        <v>-0.76105581014900237</v>
      </c>
      <c r="K347" s="12">
        <f>(INDEX(Proj[],MATCH(Std[[#This Row],[Player]],Proj[Player],0),18)-K$764)/K$765</f>
        <v>0.32000895664424578</v>
      </c>
      <c r="L347" s="12">
        <f>(INDEX(Proj[],MATCH(Std[[#This Row],[Player]],Proj[Player],0),19)-L$764)/L$765</f>
        <v>-5.5305476160136084E-2</v>
      </c>
      <c r="M347" s="12">
        <f>(INDEX(Proj[],MATCH(Std[[#This Row],[Player]],Proj[Player],0),20)-M$764)/M$765</f>
        <v>-0.71308883245737775</v>
      </c>
      <c r="N347" s="12">
        <f>(INDEX(Proj[],MATCH(Std[[#This Row],[Player]],Proj[Player],0),21)-N$764)/N$765</f>
        <v>0.14084317467866028</v>
      </c>
      <c r="O347" s="12">
        <f>(INDEX(Proj[],MATCH(Std[[#This Row],[Player]],Proj[Player],0),22)-O$764)/O$765</f>
        <v>1.057512014354882</v>
      </c>
      <c r="P347" s="12">
        <f>((INDEX(Proj[],MATCH(Std[[#This Row],[Player]],Proj[Player],0),23)-P$764)/P$765)*IF('League Inputs'!$C$23 = "Yes",-1, 1)</f>
        <v>-0.44197375062149696</v>
      </c>
      <c r="Q347" s="12">
        <f>(INDEX(Proj[],MATCH(Std[[#This Row],[Player]],Proj[Player],0),24)-Q$764)/Q$765</f>
        <v>-0.5766103108129359</v>
      </c>
      <c r="R347" s="12">
        <f>(INDEX(Proj[],MATCH(Std[[#This Row],[Player]],Proj[Player],0),25)-R$764)/R$765</f>
        <v>-0.62531533033812681</v>
      </c>
      <c r="S347" s="12">
        <f>(INDEX(Proj[],MATCH(Std[[#This Row],[Player]],Proj[Player],0),26)-S$764)/S$765</f>
        <v>-0.55339043228520357</v>
      </c>
      <c r="T3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-100.91518136251231</v>
      </c>
      <c r="U347" s="11"/>
      <c r="W347" t="str">
        <v>Rasmus Sandin</v>
      </c>
      <c r="AA347" t="str">
        <v>Rasmus Sandin</v>
      </c>
      <c r="AB347" t="str">
        <v>Rasmus Sandin</v>
      </c>
    </row>
    <row r="348" spans="1:28" x14ac:dyDescent="0.25">
      <c r="A348" t="s">
        <v>771</v>
      </c>
      <c r="B348">
        <f>INDEX(Proj[],MATCH(Std[[#This Row],[Player]],Proj[Player],0),2)</f>
        <v>29</v>
      </c>
      <c r="C348" t="s">
        <v>74</v>
      </c>
      <c r="D348" s="75" t="s">
        <v>102</v>
      </c>
      <c r="E348" s="57" t="s">
        <v>103</v>
      </c>
      <c r="F348" t="s">
        <v>10</v>
      </c>
      <c r="G348" s="12">
        <f>(INDEX(Proj[],MATCH(Std[[#This Row],[Player]],Proj[Player],0),14)-G$764)/G$765</f>
        <v>0.28821956243840696</v>
      </c>
      <c r="H348" s="12">
        <f>(INDEX(Proj[],MATCH(Std[[#This Row],[Player]],Proj[Player],0),15)-H$764)/H$765</f>
        <v>-0.43908103253483932</v>
      </c>
      <c r="I348" s="12">
        <f>(INDEX(Proj[],MATCH(Std[[#This Row],[Player]],Proj[Player],0),16)-I$764)/I$765</f>
        <v>-0.14942414675695695</v>
      </c>
      <c r="J348" s="12">
        <f>(INDEX(Proj[],MATCH(Std[[#This Row],[Player]],Proj[Player],0),17)-J$764)/J$765</f>
        <v>-0.17232923569972286</v>
      </c>
      <c r="K348" s="12">
        <f>(INDEX(Proj[],MATCH(Std[[#This Row],[Player]],Proj[Player],0),18)-K$764)/K$765</f>
        <v>-0.45042076997056774</v>
      </c>
      <c r="L348" s="12">
        <f>(INDEX(Proj[],MATCH(Std[[#This Row],[Player]],Proj[Player],0),19)-L$764)/L$765</f>
        <v>-0.38152137069843867</v>
      </c>
      <c r="M348" s="12">
        <f>(INDEX(Proj[],MATCH(Std[[#This Row],[Player]],Proj[Player],0),20)-M$764)/M$765</f>
        <v>0.31240082183847029</v>
      </c>
      <c r="N348" s="12">
        <f>(INDEX(Proj[],MATCH(Std[[#This Row],[Player]],Proj[Player],0),21)-N$764)/N$765</f>
        <v>0.87727304191590572</v>
      </c>
      <c r="O348" s="12">
        <f>(INDEX(Proj[],MATCH(Std[[#This Row],[Player]],Proj[Player],0),22)-O$764)/O$765</f>
        <v>0.31459990750093925</v>
      </c>
      <c r="P348" s="12">
        <f>((INDEX(Proj[],MATCH(Std[[#This Row],[Player]],Proj[Player],0),23)-P$764)/P$765)*IF('League Inputs'!$C$23 = "Yes",-1, 1)</f>
        <v>-6.9655556234629226E-2</v>
      </c>
      <c r="Q348" s="12">
        <f>(INDEX(Proj[],MATCH(Std[[#This Row],[Player]],Proj[Player],0),24)-Q$764)/Q$765</f>
        <v>2.1472346398205171</v>
      </c>
      <c r="R348" s="12">
        <f>(INDEX(Proj[],MATCH(Std[[#This Row],[Player]],Proj[Player],0),25)-R$764)/R$765</f>
        <v>2.3597967881518396</v>
      </c>
      <c r="S348" s="12">
        <f>(INDEX(Proj[],MATCH(Std[[#This Row],[Player]],Proj[Player],0),26)-S$764)/S$765</f>
        <v>-3.4392223985428086E-2</v>
      </c>
      <c r="T3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255.32528214654769</v>
      </c>
      <c r="U348" s="11"/>
      <c r="W348" t="str">
        <v>Jason Dickinson</v>
      </c>
      <c r="AA348" t="str">
        <v>Jason Dickinson</v>
      </c>
      <c r="AB348" t="str">
        <v>Jason Dickinson</v>
      </c>
    </row>
    <row r="349" spans="1:28" x14ac:dyDescent="0.25">
      <c r="A349" t="s">
        <v>1043</v>
      </c>
      <c r="B349">
        <f>INDEX(Proj[],MATCH(Std[[#This Row],[Player]],Proj[Player],0),2)</f>
        <v>22</v>
      </c>
      <c r="C349" t="s">
        <v>102</v>
      </c>
      <c r="D349" s="75"/>
      <c r="E349" s="57"/>
      <c r="F349" t="s">
        <v>4</v>
      </c>
      <c r="G349" s="12">
        <f>(INDEX(Proj[],MATCH(Std[[#This Row],[Player]],Proj[Player],0),14)-G$764)/G$765</f>
        <v>7.6951824922875695E-2</v>
      </c>
      <c r="H349" s="12">
        <f>(INDEX(Proj[],MATCH(Std[[#This Row],[Player]],Proj[Player],0),15)-H$764)/H$765</f>
        <v>-0.29002249855830886</v>
      </c>
      <c r="I349" s="12">
        <f>(INDEX(Proj[],MATCH(Std[[#This Row],[Player]],Proj[Player],0),16)-I$764)/I$765</f>
        <v>-0.14942414675695695</v>
      </c>
      <c r="J349" s="12">
        <f>(INDEX(Proj[],MATCH(Std[[#This Row],[Player]],Proj[Player],0),17)-J$764)/J$765</f>
        <v>0.12203405152491688</v>
      </c>
      <c r="K349" s="12">
        <f>(INDEX(Proj[],MATCH(Std[[#This Row],[Player]],Proj[Player],0),18)-K$764)/K$765</f>
        <v>-0.29633482464760502</v>
      </c>
      <c r="L349" s="12">
        <f>(INDEX(Proj[],MATCH(Std[[#This Row],[Player]],Proj[Player],0),19)-L$764)/L$765</f>
        <v>-0.16404410767290362</v>
      </c>
      <c r="M349" s="12">
        <f>(INDEX(Proj[],MATCH(Std[[#This Row],[Player]],Proj[Player],0),20)-M$764)/M$765</f>
        <v>0.31240082183847029</v>
      </c>
      <c r="N349" s="12">
        <f>(INDEX(Proj[],MATCH(Std[[#This Row],[Player]],Proj[Player],0),21)-N$764)/N$765</f>
        <v>0.66409597508407159</v>
      </c>
      <c r="O349" s="12">
        <f>(INDEX(Proj[],MATCH(Std[[#This Row],[Player]],Proj[Player],0),22)-O$764)/O$765</f>
        <v>-0.66047223274486055</v>
      </c>
      <c r="P349" s="12">
        <f>((INDEX(Proj[],MATCH(Std[[#This Row],[Player]],Proj[Player],0),23)-P$764)/P$765)*IF('League Inputs'!$C$23 = "Yes",-1, 1)</f>
        <v>1.0007592526276154</v>
      </c>
      <c r="Q349" s="12">
        <f>(INDEX(Proj[],MATCH(Std[[#This Row],[Player]],Proj[Player],0),24)-Q$764)/Q$765</f>
        <v>0.47348255665240696</v>
      </c>
      <c r="R349" s="12">
        <f>(INDEX(Proj[],MATCH(Std[[#This Row],[Player]],Proj[Player],0),25)-R$764)/R$765</f>
        <v>0.82751490223493673</v>
      </c>
      <c r="S349" s="12">
        <f>(INDEX(Proj[],MATCH(Std[[#This Row],[Player]],Proj[Player],0),26)-S$764)/S$765</f>
        <v>-0.19657916407910792</v>
      </c>
      <c r="T3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75.4747459474832</v>
      </c>
      <c r="U349" s="11"/>
      <c r="W349" t="str">
        <v>Ridly Greig</v>
      </c>
      <c r="AA349" t="str">
        <v>Ridly Greig</v>
      </c>
      <c r="AB349" t="str">
        <v>Ridly Greig</v>
      </c>
    </row>
    <row r="350" spans="1:28" x14ac:dyDescent="0.25">
      <c r="A350" t="s">
        <v>959</v>
      </c>
      <c r="B350">
        <f>INDEX(Proj[],MATCH(Std[[#This Row],[Player]],Proj[Player],0),2)</f>
        <v>26</v>
      </c>
      <c r="C350" t="s">
        <v>74</v>
      </c>
      <c r="D350" s="75"/>
      <c r="E350" s="57"/>
      <c r="F350" t="s">
        <v>5</v>
      </c>
      <c r="G350" s="12">
        <f>(INDEX(Proj[],MATCH(Std[[#This Row],[Player]],Proj[Player],0),14)-G$764)/G$765</f>
        <v>7.6951824922875695E-2</v>
      </c>
      <c r="H350" s="12">
        <f>(INDEX(Proj[],MATCH(Std[[#This Row],[Player]],Proj[Player],0),15)-H$764)/H$765</f>
        <v>-0.51361029952310455</v>
      </c>
      <c r="I350" s="12">
        <f>(INDEX(Proj[],MATCH(Std[[#This Row],[Player]],Proj[Player],0),16)-I$764)/I$765</f>
        <v>-0.29115182364326664</v>
      </c>
      <c r="J350" s="12">
        <f>(INDEX(Proj[],MATCH(Std[[#This Row],[Player]],Proj[Player],0),17)-J$764)/J$765</f>
        <v>0.71076062597419631</v>
      </c>
      <c r="K350" s="12">
        <f>(INDEX(Proj[],MATCH(Std[[#This Row],[Player]],Proj[Player],0),18)-K$764)/K$765</f>
        <v>-0.14224887932464234</v>
      </c>
      <c r="L350" s="12">
        <f>(INDEX(Proj[],MATCH(Std[[#This Row],[Player]],Proj[Player],0),19)-L$764)/L$765</f>
        <v>0.16217178686539899</v>
      </c>
      <c r="M350" s="12">
        <f>(INDEX(Proj[],MATCH(Std[[#This Row],[Player]],Proj[Player],0),20)-M$764)/M$765</f>
        <v>0.31240082183847029</v>
      </c>
      <c r="N350" s="12">
        <f>(INDEX(Proj[],MATCH(Std[[#This Row],[Player]],Proj[Player],0),21)-N$764)/N$765</f>
        <v>-0.18861229224326534</v>
      </c>
      <c r="O350" s="12">
        <f>(INDEX(Proj[],MATCH(Std[[#This Row],[Player]],Proj[Player],0),22)-O$764)/O$765</f>
        <v>0.1985198908050107</v>
      </c>
      <c r="P350" s="12">
        <f>((INDEX(Proj[],MATCH(Std[[#This Row],[Player]],Proj[Player],0),23)-P$764)/P$765)*IF('League Inputs'!$C$23 = "Yes",-1, 1)</f>
        <v>-0.95391126790344005</v>
      </c>
      <c r="Q350" s="12">
        <f>(INDEX(Proj[],MATCH(Std[[#This Row],[Player]],Proj[Player],0),24)-Q$764)/Q$765</f>
        <v>-0.39004558816680895</v>
      </c>
      <c r="R350" s="12">
        <f>(INDEX(Proj[],MATCH(Std[[#This Row],[Player]],Proj[Player],0),25)-R$764)/R$765</f>
        <v>-0.34723454363468886</v>
      </c>
      <c r="S350" s="12">
        <f>(INDEX(Proj[],MATCH(Std[[#This Row],[Player]],Proj[Player],0),26)-S$764)/S$765</f>
        <v>-0.78045214841635524</v>
      </c>
      <c r="T3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-268.01399173029552</v>
      </c>
      <c r="U350" s="11"/>
      <c r="W350" t="str">
        <v>Rafael Harvey-Pinard</v>
      </c>
      <c r="AA350" t="str">
        <v>Rafael Harvey-Pinard</v>
      </c>
      <c r="AB350" t="str">
        <v>Rafael Harvey-Pinard</v>
      </c>
    </row>
    <row r="351" spans="1:28" x14ac:dyDescent="0.25">
      <c r="A351" t="s">
        <v>997</v>
      </c>
      <c r="B351">
        <f>INDEX(Proj[],MATCH(Std[[#This Row],[Player]],Proj[Player],0),2)</f>
        <v>23</v>
      </c>
      <c r="C351" t="s">
        <v>103</v>
      </c>
      <c r="D351" s="75"/>
      <c r="E351" s="57"/>
      <c r="F351" t="s">
        <v>156</v>
      </c>
      <c r="G351" s="12">
        <f>(INDEX(Proj[],MATCH(Std[[#This Row],[Player]],Proj[Player],0),14)-G$764)/G$765</f>
        <v>0.28821956243840696</v>
      </c>
      <c r="H351" s="12">
        <f>(INDEX(Proj[],MATCH(Std[[#This Row],[Player]],Proj[Player],0),15)-H$764)/H$765</f>
        <v>-0.43908103253483932</v>
      </c>
      <c r="I351" s="12">
        <f>(INDEX(Proj[],MATCH(Std[[#This Row],[Player]],Proj[Player],0),16)-I$764)/I$765</f>
        <v>-0.14942414675695695</v>
      </c>
      <c r="J351" s="12">
        <f>(INDEX(Proj[],MATCH(Std[[#This Row],[Player]],Proj[Player],0),17)-J$764)/J$765</f>
        <v>0.12203405152491688</v>
      </c>
      <c r="K351" s="12">
        <f>(INDEX(Proj[],MATCH(Std[[#This Row],[Player]],Proj[Player],0),18)-K$764)/K$765</f>
        <v>-0.45042076997056774</v>
      </c>
      <c r="L351" s="12">
        <f>(INDEX(Proj[],MATCH(Std[[#This Row],[Player]],Proj[Player],0),19)-L$764)/L$765</f>
        <v>-0.27278273918567114</v>
      </c>
      <c r="M351" s="12">
        <f>(INDEX(Proj[],MATCH(Std[[#This Row],[Player]],Proj[Player],0),20)-M$764)/M$765</f>
        <v>-0.71308883245737775</v>
      </c>
      <c r="N351" s="12">
        <f>(INDEX(Proj[],MATCH(Std[[#This Row],[Player]],Proj[Player],0),21)-N$764)/N$765</f>
        <v>-0.71186509264867659</v>
      </c>
      <c r="O351" s="12">
        <f>(INDEX(Proj[],MATCH(Std[[#This Row],[Player]],Proj[Player],0),22)-O$764)/O$765</f>
        <v>-0.91584826947590336</v>
      </c>
      <c r="P351" s="12">
        <f>((INDEX(Proj[],MATCH(Std[[#This Row],[Player]],Proj[Player],0),23)-P$764)/P$765)*IF('League Inputs'!$C$23 = "Yes",-1, 1)</f>
        <v>-0.20927487912970463</v>
      </c>
      <c r="Q351" s="12">
        <f>(INDEX(Proj[],MATCH(Std[[#This Row],[Player]],Proj[Player],0),24)-Q$764)/Q$765</f>
        <v>-0.44868021528416313</v>
      </c>
      <c r="R351" s="12">
        <f>(INDEX(Proj[],MATCH(Std[[#This Row],[Player]],Proj[Player],0),25)-R$764)/R$765</f>
        <v>-0.44371155126649386</v>
      </c>
      <c r="S351" s="12">
        <f>(INDEX(Proj[],MATCH(Std[[#This Row],[Player]],Proj[Player],0),26)-S$764)/S$765</f>
        <v>0.11157602209888376</v>
      </c>
      <c r="T3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-274.71607904786248</v>
      </c>
      <c r="U351" s="11"/>
      <c r="W351" t="str">
        <v>Alexander Holtz</v>
      </c>
      <c r="AA351" t="str">
        <v>Alexander Holtz</v>
      </c>
      <c r="AB351" t="str">
        <v>Alexander Holtz</v>
      </c>
    </row>
    <row r="352" spans="1:28" x14ac:dyDescent="0.25">
      <c r="A352" t="s">
        <v>1041</v>
      </c>
      <c r="B352">
        <f>INDEX(Proj[],MATCH(Std[[#This Row],[Player]],Proj[Player],0),2)</f>
        <v>25</v>
      </c>
      <c r="C352" t="s">
        <v>74</v>
      </c>
      <c r="D352" s="75" t="s">
        <v>102</v>
      </c>
      <c r="E352" s="56"/>
      <c r="F352" t="s">
        <v>16</v>
      </c>
      <c r="G352" s="12">
        <f>(INDEX(Proj[],MATCH(Std[[#This Row],[Player]],Proj[Player],0),14)-G$764)/G$765</f>
        <v>7.6951824922875695E-2</v>
      </c>
      <c r="H352" s="12">
        <f>(INDEX(Proj[],MATCH(Std[[#This Row],[Player]],Proj[Player],0),15)-H$764)/H$765</f>
        <v>-0.29002249855830886</v>
      </c>
      <c r="I352" s="12">
        <f>(INDEX(Proj[],MATCH(Std[[#This Row],[Player]],Proj[Player],0),16)-I$764)/I$765</f>
        <v>-0.14942414675695695</v>
      </c>
      <c r="J352" s="12">
        <f>(INDEX(Proj[],MATCH(Std[[#This Row],[Player]],Proj[Player],0),17)-J$764)/J$765</f>
        <v>0.12203405152491688</v>
      </c>
      <c r="K352" s="12">
        <f>(INDEX(Proj[],MATCH(Std[[#This Row],[Player]],Proj[Player],0),18)-K$764)/K$765</f>
        <v>-0.14224887932464234</v>
      </c>
      <c r="L352" s="12">
        <f>(INDEX(Proj[],MATCH(Std[[#This Row],[Player]],Proj[Player],0),19)-L$764)/L$765</f>
        <v>-5.5305476160136084E-2</v>
      </c>
      <c r="M352" s="12">
        <f>(INDEX(Proj[],MATCH(Std[[#This Row],[Player]],Proj[Player],0),20)-M$764)/M$765</f>
        <v>-0.71308883245737775</v>
      </c>
      <c r="N352" s="12">
        <f>(INDEX(Proj[],MATCH(Std[[#This Row],[Player]],Proj[Player],0),21)-N$764)/N$765</f>
        <v>2.505170643177185</v>
      </c>
      <c r="O352" s="12">
        <f>(INDEX(Proj[],MATCH(Std[[#This Row],[Player]],Proj[Player],0),22)-O$764)/O$765</f>
        <v>-0.8229842561191606</v>
      </c>
      <c r="P352" s="12">
        <f>((INDEX(Proj[],MATCH(Std[[#This Row],[Player]],Proj[Player],0),23)-P$764)/P$765)*IF('League Inputs'!$C$23 = "Yes",-1, 1)</f>
        <v>-0.39543397632313848</v>
      </c>
      <c r="Q352" s="12">
        <f>(INDEX(Proj[],MATCH(Std[[#This Row],[Player]],Proj[Player],0),24)-Q$764)/Q$765</f>
        <v>-0.36872390557868018</v>
      </c>
      <c r="R352" s="12">
        <f>(INDEX(Proj[],MATCH(Std[[#This Row],[Player]],Proj[Player],0),25)-R$764)/R$765</f>
        <v>-0.39831060649858563</v>
      </c>
      <c r="S352" s="12">
        <f>(INDEX(Proj[],MATCH(Std[[#This Row],[Player]],Proj[Player],0),26)-S$764)/S$765</f>
        <v>-0.19657916407910792</v>
      </c>
      <c r="T3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30.364904452457164</v>
      </c>
      <c r="U352" s="11"/>
      <c r="W352" t="str">
        <v>Paul Cotter</v>
      </c>
      <c r="AA352" t="str">
        <v>Paul Cotter</v>
      </c>
      <c r="AB352" t="str">
        <v>Paul Cotter</v>
      </c>
    </row>
    <row r="353" spans="1:28" x14ac:dyDescent="0.25">
      <c r="A353" t="s">
        <v>473</v>
      </c>
      <c r="B353">
        <f>INDEX(Proj[],MATCH(Std[[#This Row],[Player]],Proj[Player],0),2)</f>
        <v>32</v>
      </c>
      <c r="C353" t="s">
        <v>102</v>
      </c>
      <c r="D353" s="75"/>
      <c r="E353" s="56"/>
      <c r="F353" t="s">
        <v>21</v>
      </c>
      <c r="G353" s="12">
        <f>(INDEX(Proj[],MATCH(Std[[#This Row],[Player]],Proj[Player],0),14)-G$764)/G$765</f>
        <v>0.18258569368064134</v>
      </c>
      <c r="H353" s="12">
        <f>(INDEX(Proj[],MATCH(Std[[#This Row],[Player]],Proj[Player],0),15)-H$764)/H$765</f>
        <v>-0.36455176554657409</v>
      </c>
      <c r="I353" s="12">
        <f>(INDEX(Proj[],MATCH(Std[[#This Row],[Player]],Proj[Player],0),16)-I$764)/I$765</f>
        <v>-0.14942414675695695</v>
      </c>
      <c r="J353" s="12">
        <f>(INDEX(Proj[],MATCH(Std[[#This Row],[Player]],Proj[Player],0),17)-J$764)/J$765</f>
        <v>0.71076062597419631</v>
      </c>
      <c r="K353" s="12">
        <f>(INDEX(Proj[],MATCH(Std[[#This Row],[Player]],Proj[Player],0),18)-K$764)/K$765</f>
        <v>-0.14224887932464234</v>
      </c>
      <c r="L353" s="12">
        <f>(INDEX(Proj[],MATCH(Std[[#This Row],[Player]],Proj[Player],0),19)-L$764)/L$765</f>
        <v>0.16217178686539899</v>
      </c>
      <c r="M353" s="12">
        <f>(INDEX(Proj[],MATCH(Std[[#This Row],[Player]],Proj[Player],0),20)-M$764)/M$765</f>
        <v>-0.71308883245737775</v>
      </c>
      <c r="N353" s="12">
        <f>(INDEX(Proj[],MATCH(Std[[#This Row],[Player]],Proj[Player],0),21)-N$764)/N$765</f>
        <v>-0.51806775916519099</v>
      </c>
      <c r="O353" s="12">
        <f>(INDEX(Proj[],MATCH(Std[[#This Row],[Player]],Proj[Player],0),22)-O$764)/O$765</f>
        <v>-0.89263226613671776</v>
      </c>
      <c r="P353" s="12">
        <f>((INDEX(Proj[],MATCH(Std[[#This Row],[Player]],Proj[Player],0),23)-P$764)/P$765)*IF('League Inputs'!$C$23 = "Yes",-1, 1)</f>
        <v>6.9963766660446167E-2</v>
      </c>
      <c r="Q353" s="12">
        <f>(INDEX(Proj[],MATCH(Std[[#This Row],[Player]],Proj[Player],0),24)-Q$764)/Q$765</f>
        <v>2.088600012703163</v>
      </c>
      <c r="R353" s="12">
        <f>(INDEX(Proj[],MATCH(Std[[#This Row],[Player]],Proj[Player],0),25)-R$764)/R$765</f>
        <v>1.8376859233208951</v>
      </c>
      <c r="S353" s="12">
        <f>(INDEX(Proj[],MATCH(Std[[#This Row],[Player]],Proj[Player],0),26)-S$764)/S$765</f>
        <v>-0.55339043228520357</v>
      </c>
      <c r="T3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2.5254890019006311</v>
      </c>
      <c r="U353" s="11"/>
      <c r="W353" t="str">
        <v>Ryan Johansen</v>
      </c>
      <c r="AA353" t="str">
        <v>Ryan Johansen</v>
      </c>
      <c r="AB353" t="str">
        <v>Ryan Johansen</v>
      </c>
    </row>
    <row r="354" spans="1:28" x14ac:dyDescent="0.25">
      <c r="A354" t="s">
        <v>804</v>
      </c>
      <c r="B354">
        <f>INDEX(Proj[],MATCH(Std[[#This Row],[Player]],Proj[Player],0),2)</f>
        <v>28</v>
      </c>
      <c r="C354" t="s">
        <v>102</v>
      </c>
      <c r="D354" s="75" t="s">
        <v>103</v>
      </c>
      <c r="E354" s="56"/>
      <c r="F354" t="s">
        <v>17</v>
      </c>
      <c r="G354" s="12">
        <f>(INDEX(Proj[],MATCH(Std[[#This Row],[Player]],Proj[Player],0),14)-G$764)/G$765</f>
        <v>0.39385343119617261</v>
      </c>
      <c r="H354" s="12">
        <f>(INDEX(Proj[],MATCH(Std[[#This Row],[Player]],Proj[Player],0),15)-H$764)/H$765</f>
        <v>-0.51361029952310455</v>
      </c>
      <c r="I354" s="12">
        <f>(INDEX(Proj[],MATCH(Std[[#This Row],[Player]],Proj[Player],0),16)-I$764)/I$765</f>
        <v>-0.14942414675695695</v>
      </c>
      <c r="J354" s="12">
        <f>(INDEX(Proj[],MATCH(Std[[#This Row],[Player]],Proj[Player],0),17)-J$764)/J$765</f>
        <v>0.12203405152491688</v>
      </c>
      <c r="K354" s="12">
        <f>(INDEX(Proj[],MATCH(Std[[#This Row],[Player]],Proj[Player],0),18)-K$764)/K$765</f>
        <v>-0.29633482464760502</v>
      </c>
      <c r="L354" s="12">
        <f>(INDEX(Proj[],MATCH(Std[[#This Row],[Player]],Proj[Player],0),19)-L$764)/L$765</f>
        <v>-0.16404410767290362</v>
      </c>
      <c r="M354" s="12">
        <f>(INDEX(Proj[],MATCH(Std[[#This Row],[Player]],Proj[Player],0),20)-M$764)/M$765</f>
        <v>-0.71308883245737775</v>
      </c>
      <c r="N354" s="12">
        <f>(INDEX(Proj[],MATCH(Std[[#This Row],[Player]],Proj[Player],0),21)-N$764)/N$765</f>
        <v>-0.78938402604207092</v>
      </c>
      <c r="O354" s="12">
        <f>(INDEX(Proj[],MATCH(Std[[#This Row],[Player]],Proj[Player],0),22)-O$764)/O$765</f>
        <v>-0.73012024276241771</v>
      </c>
      <c r="P354" s="12">
        <f>((INDEX(Proj[],MATCH(Std[[#This Row],[Player]],Proj[Player],0),23)-P$764)/P$765)*IF('League Inputs'!$C$23 = "Yes",-1, 1)</f>
        <v>-0.90737149360508162</v>
      </c>
      <c r="Q354" s="12">
        <f>(INDEX(Proj[],MATCH(Std[[#This Row],[Player]],Proj[Player],0),24)-Q$764)/Q$765</f>
        <v>-0.21947212746177866</v>
      </c>
      <c r="R354" s="12">
        <f>(INDEX(Proj[],MATCH(Std[[#This Row],[Player]],Proj[Player],0),25)-R$764)/R$765</f>
        <v>-0.25075753600288386</v>
      </c>
      <c r="S354" s="12">
        <f>(INDEX(Proj[],MATCH(Std[[#This Row],[Player]],Proj[Player],0),26)-S$764)/S$765</f>
        <v>-8.3048306013532025E-2</v>
      </c>
      <c r="T3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-316.26213186416732</v>
      </c>
      <c r="U354" s="11"/>
      <c r="W354" t="str">
        <v>Michael Amadio</v>
      </c>
      <c r="AA354" t="str">
        <v>Michael Amadio</v>
      </c>
      <c r="AB354" t="str">
        <v>Michael Amadio</v>
      </c>
    </row>
    <row r="355" spans="1:28" x14ac:dyDescent="0.25">
      <c r="A355" t="s">
        <v>793</v>
      </c>
      <c r="B355">
        <f>INDEX(Proj[],MATCH(Std[[#This Row],[Player]],Proj[Player],0),2)</f>
        <v>26</v>
      </c>
      <c r="C355" t="s">
        <v>103</v>
      </c>
      <c r="D355" s="75"/>
      <c r="E355" s="57"/>
      <c r="F355" t="s">
        <v>16</v>
      </c>
      <c r="G355" s="12">
        <f>(INDEX(Proj[],MATCH(Std[[#This Row],[Player]],Proj[Player],0),14)-G$764)/G$765</f>
        <v>-2.8682043834889943E-2</v>
      </c>
      <c r="H355" s="12">
        <f>(INDEX(Proj[],MATCH(Std[[#This Row],[Player]],Proj[Player],0),15)-H$764)/H$765</f>
        <v>-0.21549323157004366</v>
      </c>
      <c r="I355" s="12">
        <f>(INDEX(Proj[],MATCH(Std[[#This Row],[Player]],Proj[Player],0),16)-I$764)/I$765</f>
        <v>-0.14942414675695695</v>
      </c>
      <c r="J355" s="12">
        <f>(INDEX(Proj[],MATCH(Std[[#This Row],[Player]],Proj[Player],0),17)-J$764)/J$765</f>
        <v>-0.17232923569972286</v>
      </c>
      <c r="K355" s="12">
        <f>(INDEX(Proj[],MATCH(Std[[#This Row],[Player]],Proj[Player],0),18)-K$764)/K$765</f>
        <v>-0.29633482464760502</v>
      </c>
      <c r="L355" s="12">
        <f>(INDEX(Proj[],MATCH(Std[[#This Row],[Player]],Proj[Player],0),19)-L$764)/L$765</f>
        <v>-0.27278273918567114</v>
      </c>
      <c r="M355" s="12">
        <f>(INDEX(Proj[],MATCH(Std[[#This Row],[Player]],Proj[Player],0),20)-M$764)/M$765</f>
        <v>2.3633801304301665</v>
      </c>
      <c r="N355" s="12">
        <f>(INDEX(Proj[],MATCH(Std[[#This Row],[Player]],Proj[Player],0),21)-N$764)/N$765</f>
        <v>-0.40178935907509955</v>
      </c>
      <c r="O355" s="12">
        <f>(INDEX(Proj[],MATCH(Std[[#This Row],[Player]],Proj[Player],0),22)-O$764)/O$765</f>
        <v>0.36103191417931069</v>
      </c>
      <c r="P355" s="12">
        <f>((INDEX(Proj[],MATCH(Std[[#This Row],[Player]],Proj[Player],0),23)-P$764)/P$765)*IF('League Inputs'!$C$23 = "Yes",-1, 1)</f>
        <v>-1.140070365096874</v>
      </c>
      <c r="Q355" s="12">
        <f>(INDEX(Proj[],MATCH(Std[[#This Row],[Player]],Proj[Player],0),24)-Q$764)/Q$765</f>
        <v>1.6728272022346513</v>
      </c>
      <c r="R355" s="12">
        <f>(INDEX(Proj[],MATCH(Std[[#This Row],[Player]],Proj[Player],0),25)-R$764)/R$765</f>
        <v>1.9511882852406657</v>
      </c>
      <c r="S355" s="12">
        <f>(INDEX(Proj[],MATCH(Std[[#This Row],[Player]],Proj[Player],0),26)-S$764)/S$765</f>
        <v>7.9138634080147791E-2</v>
      </c>
      <c r="T3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-9.5244135025425614</v>
      </c>
      <c r="U355" s="11"/>
      <c r="W355" t="str">
        <v>Ryan Poehling</v>
      </c>
      <c r="AA355" t="str">
        <v>Ryan Poehling</v>
      </c>
      <c r="AB355" t="str">
        <v>Ryan Poehling</v>
      </c>
    </row>
    <row r="356" spans="1:28" x14ac:dyDescent="0.25">
      <c r="A356" t="s">
        <v>603</v>
      </c>
      <c r="B356">
        <f>INDEX(Proj[],MATCH(Std[[#This Row],[Player]],Proj[Player],0),2)</f>
        <v>24</v>
      </c>
      <c r="C356" t="s">
        <v>102</v>
      </c>
      <c r="D356" s="75"/>
      <c r="E356" s="56"/>
      <c r="F356" t="s">
        <v>87</v>
      </c>
      <c r="G356" s="12">
        <f>(INDEX(Proj[],MATCH(Std[[#This Row],[Player]],Proj[Player],0),14)-G$764)/G$765</f>
        <v>0.49948729995393826</v>
      </c>
      <c r="H356" s="12">
        <f>(INDEX(Proj[],MATCH(Std[[#This Row],[Player]],Proj[Player],0),15)-H$764)/H$765</f>
        <v>-0.58813956651136978</v>
      </c>
      <c r="I356" s="12">
        <f>(INDEX(Proj[],MATCH(Std[[#This Row],[Player]],Proj[Player],0),16)-I$764)/I$765</f>
        <v>-0.14942414675695695</v>
      </c>
      <c r="J356" s="12">
        <f>(INDEX(Proj[],MATCH(Std[[#This Row],[Player]],Proj[Player],0),17)-J$764)/J$765</f>
        <v>-0.17232923569972286</v>
      </c>
      <c r="K356" s="12">
        <f>(INDEX(Proj[],MATCH(Std[[#This Row],[Player]],Proj[Player],0),18)-K$764)/K$765</f>
        <v>-0.60450671529353051</v>
      </c>
      <c r="L356" s="12">
        <f>(INDEX(Proj[],MATCH(Std[[#This Row],[Player]],Proj[Player],0),19)-L$764)/L$765</f>
        <v>-0.49026000221120619</v>
      </c>
      <c r="M356" s="12">
        <f>(INDEX(Proj[],MATCH(Std[[#This Row],[Player]],Proj[Player],0),20)-M$764)/M$765</f>
        <v>-0.71308883245737775</v>
      </c>
      <c r="N356" s="12">
        <f>(INDEX(Proj[],MATCH(Std[[#This Row],[Player]],Proj[Player],0),21)-N$764)/N$765</f>
        <v>-7.2333892153173943E-2</v>
      </c>
      <c r="O356" s="12">
        <f>(INDEX(Proj[],MATCH(Std[[#This Row],[Player]],Proj[Player],0),22)-O$764)/O$765</f>
        <v>-0.98549627949346053</v>
      </c>
      <c r="P356" s="12">
        <f>((INDEX(Proj[],MATCH(Std[[#This Row],[Player]],Proj[Player],0),23)-P$764)/P$765)*IF('League Inputs'!$C$23 = "Yes",-1, 1)</f>
        <v>-0.25581465342806309</v>
      </c>
      <c r="Q356" s="12">
        <f>(INDEX(Proj[],MATCH(Std[[#This Row],[Player]],Proj[Player],0),24)-Q$764)/Q$765</f>
        <v>-0.52863652498964608</v>
      </c>
      <c r="R356" s="12">
        <f>(INDEX(Proj[],MATCH(Std[[#This Row],[Player]],Proj[Player],0),25)-R$764)/R$765</f>
        <v>-0.57991438557021857</v>
      </c>
      <c r="S356" s="12">
        <f>(INDEX(Proj[],MATCH(Std[[#This Row],[Player]],Proj[Player],0),26)-S$764)/S$765</f>
        <v>4.6701246061411829E-2</v>
      </c>
      <c r="T3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-252.39165195285267</v>
      </c>
      <c r="U356" s="11"/>
      <c r="W356" t="str">
        <v>Nils Hoglander</v>
      </c>
      <c r="AA356" t="str">
        <v>Nils Hoglander</v>
      </c>
      <c r="AB356" t="str">
        <v>Nils Hoglander</v>
      </c>
    </row>
    <row r="357" spans="1:28" x14ac:dyDescent="0.25">
      <c r="A357" t="s">
        <v>1019</v>
      </c>
      <c r="B357">
        <f>INDEX(Proj[],MATCH(Std[[#This Row],[Player]],Proj[Player],0),2)</f>
        <v>23</v>
      </c>
      <c r="C357" t="s">
        <v>74</v>
      </c>
      <c r="D357" s="75" t="s">
        <v>102</v>
      </c>
      <c r="E357" s="56"/>
      <c r="F357" t="s">
        <v>18</v>
      </c>
      <c r="G357" s="12">
        <f>(INDEX(Proj[],MATCH(Std[[#This Row],[Player]],Proj[Player],0),14)-G$764)/G$765</f>
        <v>7.6951824922875695E-2</v>
      </c>
      <c r="H357" s="12">
        <f>(INDEX(Proj[],MATCH(Std[[#This Row],[Player]],Proj[Player],0),15)-H$764)/H$765</f>
        <v>-0.29002249855830886</v>
      </c>
      <c r="I357" s="12">
        <f>(INDEX(Proj[],MATCH(Std[[#This Row],[Player]],Proj[Player],0),16)-I$764)/I$765</f>
        <v>-0.14942414675695695</v>
      </c>
      <c r="J357" s="12">
        <f>(INDEX(Proj[],MATCH(Std[[#This Row],[Player]],Proj[Player],0),17)-J$764)/J$765</f>
        <v>0.12203405152491688</v>
      </c>
      <c r="K357" s="12">
        <f>(INDEX(Proj[],MATCH(Std[[#This Row],[Player]],Proj[Player],0),18)-K$764)/K$765</f>
        <v>1.1837065998320361E-2</v>
      </c>
      <c r="L357" s="12">
        <f>(INDEX(Proj[],MATCH(Std[[#This Row],[Player]],Proj[Player],0),19)-L$764)/L$765</f>
        <v>5.3433155352631455E-2</v>
      </c>
      <c r="M357" s="12">
        <f>(INDEX(Proj[],MATCH(Std[[#This Row],[Player]],Proj[Player],0),20)-M$764)/M$765</f>
        <v>-0.71308883245737775</v>
      </c>
      <c r="N357" s="12">
        <f>(INDEX(Proj[],MATCH(Std[[#This Row],[Player]],Proj[Player],0),21)-N$764)/N$765</f>
        <v>-0.78938402604207092</v>
      </c>
      <c r="O357" s="12">
        <f>(INDEX(Proj[],MATCH(Std[[#This Row],[Player]],Proj[Player],0),22)-O$764)/O$765</f>
        <v>-0.8229842561191606</v>
      </c>
      <c r="P357" s="12">
        <f>((INDEX(Proj[],MATCH(Std[[#This Row],[Player]],Proj[Player],0),23)-P$764)/P$765)*IF('League Inputs'!$C$23 = "Yes",-1, 1)</f>
        <v>-0.90737149360508162</v>
      </c>
      <c r="Q357" s="12">
        <f>(INDEX(Proj[],MATCH(Std[[#This Row],[Player]],Proj[Player],0),24)-Q$764)/Q$765</f>
        <v>-0.42735853269603435</v>
      </c>
      <c r="R357" s="12">
        <f>(INDEX(Proj[],MATCH(Std[[#This Row],[Player]],Proj[Player],0),25)-R$764)/R$765</f>
        <v>-0.47776225984242504</v>
      </c>
      <c r="S357" s="12">
        <f>(INDEX(Proj[],MATCH(Std[[#This Row],[Player]],Proj[Player],0),26)-S$764)/S$765</f>
        <v>-0.37498479818215574</v>
      </c>
      <c r="T3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-363.11447716842616</v>
      </c>
      <c r="U357" s="11"/>
      <c r="W357" t="str">
        <v>Bobby Brink</v>
      </c>
      <c r="AA357" t="str">
        <v>Bobby Brink</v>
      </c>
      <c r="AB357" t="str">
        <v>Bobby Brink</v>
      </c>
    </row>
    <row r="358" spans="1:28" x14ac:dyDescent="0.25">
      <c r="A358" t="s">
        <v>1094</v>
      </c>
      <c r="B358">
        <f>INDEX(Proj[],MATCH(Std[[#This Row],[Player]],Proj[Player],0),2)</f>
        <v>23</v>
      </c>
      <c r="C358" t="s">
        <v>102</v>
      </c>
      <c r="D358" s="75" t="s">
        <v>103</v>
      </c>
      <c r="E358" s="56"/>
      <c r="F358" t="s">
        <v>23</v>
      </c>
      <c r="G358" s="12">
        <f>(INDEX(Proj[],MATCH(Std[[#This Row],[Player]],Proj[Player],0),14)-G$764)/G$765</f>
        <v>0.18258569368064134</v>
      </c>
      <c r="H358" s="12">
        <f>(INDEX(Proj[],MATCH(Std[[#This Row],[Player]],Proj[Player],0),15)-H$764)/H$765</f>
        <v>-0.36455176554657409</v>
      </c>
      <c r="I358" s="12">
        <f>(INDEX(Proj[],MATCH(Std[[#This Row],[Player]],Proj[Player],0),16)-I$764)/I$765</f>
        <v>-0.14942414675695695</v>
      </c>
      <c r="J358" s="12">
        <f>(INDEX(Proj[],MATCH(Std[[#This Row],[Player]],Proj[Player],0),17)-J$764)/J$765</f>
        <v>1.0051239131988361</v>
      </c>
      <c r="K358" s="12">
        <f>(INDEX(Proj[],MATCH(Std[[#This Row],[Player]],Proj[Player],0),18)-K$764)/K$765</f>
        <v>0.32000895664424578</v>
      </c>
      <c r="L358" s="12">
        <f>(INDEX(Proj[],MATCH(Std[[#This Row],[Player]],Proj[Player],0),19)-L$764)/L$765</f>
        <v>0.59712631291646912</v>
      </c>
      <c r="M358" s="12">
        <f>(INDEX(Proj[],MATCH(Std[[#This Row],[Player]],Proj[Player],0),20)-M$764)/M$765</f>
        <v>-0.71308883245737775</v>
      </c>
      <c r="N358" s="12">
        <f>(INDEX(Proj[],MATCH(Std[[#This Row],[Player]],Proj[Player],0),21)-N$764)/N$765</f>
        <v>-0.88628269278381366</v>
      </c>
      <c r="O358" s="12">
        <f>(INDEX(Proj[],MATCH(Std[[#This Row],[Player]],Proj[Player],0),22)-O$764)/O$765</f>
        <v>-0.61404022606648923</v>
      </c>
      <c r="P358" s="12">
        <f>((INDEX(Proj[],MATCH(Std[[#This Row],[Player]],Proj[Player],0),23)-P$764)/P$765)*IF('League Inputs'!$C$23 = "Yes",-1, 1)</f>
        <v>0.25612286385388</v>
      </c>
      <c r="Q358" s="12">
        <f>(INDEX(Proj[],MATCH(Std[[#This Row],[Player]],Proj[Player],0),24)-Q$764)/Q$765</f>
        <v>0.1963006830067327</v>
      </c>
      <c r="R358" s="12">
        <f>(INDEX(Proj[],MATCH(Std[[#This Row],[Player]],Proj[Player],0),25)-R$764)/R$765</f>
        <v>0.12947537642834761</v>
      </c>
      <c r="S358" s="12">
        <f>(INDEX(Proj[],MATCH(Std[[#This Row],[Player]],Proj[Player],0),26)-S$764)/S$765</f>
        <v>-8.3048306013532025E-2</v>
      </c>
      <c r="T3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-86.521158370964301</v>
      </c>
      <c r="U358" s="11"/>
      <c r="W358" t="str">
        <v>Thomas Bordeleau</v>
      </c>
      <c r="AA358" t="str">
        <v>Thomas Bordeleau</v>
      </c>
      <c r="AB358" t="str">
        <v>Thomas Bordeleau</v>
      </c>
    </row>
    <row r="359" spans="1:28" x14ac:dyDescent="0.25">
      <c r="A359" t="s">
        <v>725</v>
      </c>
      <c r="B359">
        <f>INDEX(Proj[],MATCH(Std[[#This Row],[Player]],Proj[Player],0),2)</f>
        <v>23</v>
      </c>
      <c r="C359" t="s">
        <v>102</v>
      </c>
      <c r="D359" s="75" t="s">
        <v>103</v>
      </c>
      <c r="E359" s="56"/>
      <c r="F359" t="s">
        <v>154</v>
      </c>
      <c r="G359" s="12">
        <f>(INDEX(Proj[],MATCH(Std[[#This Row],[Player]],Proj[Player],0),14)-G$764)/G$765</f>
        <v>0.28821956243840696</v>
      </c>
      <c r="H359" s="12">
        <f>(INDEX(Proj[],MATCH(Std[[#This Row],[Player]],Proj[Player],0),15)-H$764)/H$765</f>
        <v>-0.43908103253483932</v>
      </c>
      <c r="I359" s="12">
        <f>(INDEX(Proj[],MATCH(Std[[#This Row],[Player]],Proj[Player],0),16)-I$764)/I$765</f>
        <v>-0.14942414675695695</v>
      </c>
      <c r="J359" s="12">
        <f>(INDEX(Proj[],MATCH(Std[[#This Row],[Player]],Proj[Player],0),17)-J$764)/J$765</f>
        <v>-0.17232923569972286</v>
      </c>
      <c r="K359" s="12">
        <f>(INDEX(Proj[],MATCH(Std[[#This Row],[Player]],Proj[Player],0),18)-K$764)/K$765</f>
        <v>-0.45042076997056774</v>
      </c>
      <c r="L359" s="12">
        <f>(INDEX(Proj[],MATCH(Std[[#This Row],[Player]],Proj[Player],0),19)-L$764)/L$765</f>
        <v>-0.38152137069843867</v>
      </c>
      <c r="M359" s="12">
        <f>(INDEX(Proj[],MATCH(Std[[#This Row],[Player]],Proj[Player],0),20)-M$764)/M$765</f>
        <v>-0.71308883245737775</v>
      </c>
      <c r="N359" s="12">
        <f>(INDEX(Proj[],MATCH(Std[[#This Row],[Player]],Proj[Player],0),21)-N$764)/N$765</f>
        <v>-1.0800800262672994</v>
      </c>
      <c r="O359" s="12">
        <f>(INDEX(Proj[],MATCH(Std[[#This Row],[Player]],Proj[Player],0),22)-O$764)/O$765</f>
        <v>-0.8229842561191606</v>
      </c>
      <c r="P359" s="12">
        <f>((INDEX(Proj[],MATCH(Std[[#This Row],[Player]],Proj[Player],0),23)-P$764)/P$765)*IF('League Inputs'!$C$23 = "Yes",-1, 1)</f>
        <v>-0.81429194500836466</v>
      </c>
      <c r="Q359" s="12">
        <f>(INDEX(Proj[],MATCH(Std[[#This Row],[Player]],Proj[Player],0),24)-Q$764)/Q$765</f>
        <v>-0.47000189787229196</v>
      </c>
      <c r="R359" s="12">
        <f>(INDEX(Proj[],MATCH(Std[[#This Row],[Player]],Proj[Player],0),25)-R$764)/R$765</f>
        <v>-0.51748808651434475</v>
      </c>
      <c r="S359" s="12">
        <f>(INDEX(Proj[],MATCH(Std[[#This Row],[Player]],Proj[Player],0),26)-S$764)/S$765</f>
        <v>-9.9267000022900009E-2</v>
      </c>
      <c r="T3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-396.84321128418446</v>
      </c>
      <c r="U359" s="11"/>
      <c r="W359" t="str">
        <v>Kaapo Kakko</v>
      </c>
      <c r="AA359" t="str">
        <v>Kaapo Kakko</v>
      </c>
      <c r="AB359" t="str">
        <v>Kaapo Kakko</v>
      </c>
    </row>
    <row r="360" spans="1:28" x14ac:dyDescent="0.25">
      <c r="A360" t="s">
        <v>591</v>
      </c>
      <c r="B360">
        <f>INDEX(Proj[],MATCH(Std[[#This Row],[Player]],Proj[Player],0),2)</f>
        <v>30</v>
      </c>
      <c r="C360" t="s">
        <v>103</v>
      </c>
      <c r="D360" s="75"/>
      <c r="E360" s="56"/>
      <c r="F360" t="s">
        <v>4</v>
      </c>
      <c r="G360" s="12">
        <f>(INDEX(Proj[],MATCH(Std[[#This Row],[Player]],Proj[Player],0),14)-G$764)/G$765</f>
        <v>7.6951824922875695E-2</v>
      </c>
      <c r="H360" s="12">
        <f>(INDEX(Proj[],MATCH(Std[[#This Row],[Player]],Proj[Player],0),15)-H$764)/H$765</f>
        <v>-0.29002249855830886</v>
      </c>
      <c r="I360" s="12">
        <f>(INDEX(Proj[],MATCH(Std[[#This Row],[Player]],Proj[Player],0),16)-I$764)/I$765</f>
        <v>-0.14942414675695695</v>
      </c>
      <c r="J360" s="12">
        <f>(INDEX(Proj[],MATCH(Std[[#This Row],[Player]],Proj[Player],0),17)-J$764)/J$765</f>
        <v>-0.17232923569972286</v>
      </c>
      <c r="K360" s="12">
        <f>(INDEX(Proj[],MATCH(Std[[#This Row],[Player]],Proj[Player],0),18)-K$764)/K$765</f>
        <v>-0.29633482464760502</v>
      </c>
      <c r="L360" s="12">
        <f>(INDEX(Proj[],MATCH(Std[[#This Row],[Player]],Proj[Player],0),19)-L$764)/L$765</f>
        <v>-0.27278273918567114</v>
      </c>
      <c r="M360" s="12">
        <f>(INDEX(Proj[],MATCH(Std[[#This Row],[Player]],Proj[Player],0),20)-M$764)/M$765</f>
        <v>-0.71308883245737775</v>
      </c>
      <c r="N360" s="12">
        <f>(INDEX(Proj[],MATCH(Std[[#This Row],[Player]],Proj[Player],0),21)-N$764)/N$765</f>
        <v>-1.0800800262672994</v>
      </c>
      <c r="O360" s="12">
        <f>(INDEX(Proj[],MATCH(Std[[#This Row],[Player]],Proj[Player],0),22)-O$764)/O$765</f>
        <v>-0.42831219935300352</v>
      </c>
      <c r="P360" s="12">
        <f>((INDEX(Proj[],MATCH(Std[[#This Row],[Player]],Proj[Player],0),23)-P$764)/P$765)*IF('League Inputs'!$C$23 = "Yes",-1, 1)</f>
        <v>-0.76775217071000623</v>
      </c>
      <c r="Q360" s="12">
        <f>(INDEX(Proj[],MATCH(Std[[#This Row],[Player]],Proj[Player],0),24)-Q$764)/Q$765</f>
        <v>0.34555246112363425</v>
      </c>
      <c r="R360" s="12">
        <f>(INDEX(Proj[],MATCH(Std[[#This Row],[Player]],Proj[Player],0),25)-R$764)/R$765</f>
        <v>0.50403317076359055</v>
      </c>
      <c r="S360" s="12">
        <f>(INDEX(Proj[],MATCH(Std[[#This Row],[Player]],Proj[Player],0),26)-S$764)/S$765</f>
        <v>0.24132557417382763</v>
      </c>
      <c r="T3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-232.45439206109086</v>
      </c>
      <c r="U360" s="11"/>
      <c r="W360" t="str">
        <v>Andreas Athanasiou</v>
      </c>
      <c r="AA360" t="str">
        <v>Andreas Athanasiou</v>
      </c>
      <c r="AB360" t="str">
        <v>Andreas Athanasiou</v>
      </c>
    </row>
    <row r="361" spans="1:28" x14ac:dyDescent="0.25">
      <c r="A361" t="s">
        <v>600</v>
      </c>
      <c r="B361">
        <f>INDEX(Proj[],MATCH(Std[[#This Row],[Player]],Proj[Player],0),2)</f>
        <v>29</v>
      </c>
      <c r="C361" t="s">
        <v>102</v>
      </c>
      <c r="D361" s="75" t="s">
        <v>103</v>
      </c>
      <c r="E361" s="57"/>
      <c r="F361" t="s">
        <v>87</v>
      </c>
      <c r="G361" s="12">
        <f>(INDEX(Proj[],MATCH(Std[[#This Row],[Player]],Proj[Player],0),14)-G$764)/G$765</f>
        <v>0.28821956243840696</v>
      </c>
      <c r="H361" s="12">
        <f>(INDEX(Proj[],MATCH(Std[[#This Row],[Player]],Proj[Player],0),15)-H$764)/H$765</f>
        <v>-0.43908103253483932</v>
      </c>
      <c r="I361" s="12">
        <f>(INDEX(Proj[],MATCH(Std[[#This Row],[Player]],Proj[Player],0),16)-I$764)/I$765</f>
        <v>-0.14942414675695695</v>
      </c>
      <c r="J361" s="12">
        <f>(INDEX(Proj[],MATCH(Std[[#This Row],[Player]],Proj[Player],0),17)-J$764)/J$765</f>
        <v>0.12203405152491688</v>
      </c>
      <c r="K361" s="12">
        <f>(INDEX(Proj[],MATCH(Std[[#This Row],[Player]],Proj[Player],0),18)-K$764)/K$765</f>
        <v>-0.29633482464760502</v>
      </c>
      <c r="L361" s="12">
        <f>(INDEX(Proj[],MATCH(Std[[#This Row],[Player]],Proj[Player],0),19)-L$764)/L$765</f>
        <v>-0.16404410767290362</v>
      </c>
      <c r="M361" s="12">
        <f>(INDEX(Proj[],MATCH(Std[[#This Row],[Player]],Proj[Player],0),20)-M$764)/M$765</f>
        <v>-0.71308883245737775</v>
      </c>
      <c r="N361" s="12">
        <f>(INDEX(Proj[],MATCH(Std[[#This Row],[Player]],Proj[Player],0),21)-N$764)/N$765</f>
        <v>-1.0413205595706023</v>
      </c>
      <c r="O361" s="12">
        <f>(INDEX(Proj[],MATCH(Std[[#This Row],[Player]],Proj[Player],0),22)-O$764)/O$765</f>
        <v>-1.0783602928502034</v>
      </c>
      <c r="P361" s="12">
        <f>((INDEX(Proj[],MATCH(Std[[#This Row],[Player]],Proj[Player],0),23)-P$764)/P$765)*IF('League Inputs'!$C$23 = "Yes",-1, 1)</f>
        <v>-1.3727692365886661</v>
      </c>
      <c r="Q361" s="12">
        <f>(INDEX(Proj[],MATCH(Std[[#This Row],[Player]],Proj[Player],0),24)-Q$764)/Q$765</f>
        <v>-0.54995820757777492</v>
      </c>
      <c r="R361" s="12">
        <f>(INDEX(Proj[],MATCH(Std[[#This Row],[Player]],Proj[Player],0),25)-R$764)/R$765</f>
        <v>-0.57991438557021857</v>
      </c>
      <c r="S361" s="12">
        <f>(INDEX(Proj[],MATCH(Std[[#This Row],[Player]],Proj[Player],0),26)-S$764)/S$765</f>
        <v>-1.9548359666921177E-3</v>
      </c>
      <c r="T3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-450.86928570802314</v>
      </c>
      <c r="U361" s="11"/>
      <c r="W361" t="str">
        <v>Victor Olofsson</v>
      </c>
      <c r="AA361" t="str">
        <v>Victor Olofsson</v>
      </c>
      <c r="AB361" t="str">
        <v>Victor Olofsson</v>
      </c>
    </row>
    <row r="362" spans="1:28" x14ac:dyDescent="0.25">
      <c r="A362" t="s">
        <v>808</v>
      </c>
      <c r="B362">
        <f>INDEX(Proj[],MATCH(Std[[#This Row],[Player]],Proj[Player],0),2)</f>
        <v>26</v>
      </c>
      <c r="C362" t="s">
        <v>102</v>
      </c>
      <c r="D362" s="75" t="s">
        <v>103</v>
      </c>
      <c r="E362" s="57"/>
      <c r="F362" t="s">
        <v>154</v>
      </c>
      <c r="G362" s="12">
        <f>(INDEX(Proj[],MATCH(Std[[#This Row],[Player]],Proj[Player],0),14)-G$764)/G$765</f>
        <v>-0.23994978135042122</v>
      </c>
      <c r="H362" s="12">
        <f>(INDEX(Proj[],MATCH(Std[[#This Row],[Player]],Proj[Player],0),15)-H$764)/H$765</f>
        <v>-6.6434697593513253E-2</v>
      </c>
      <c r="I362" s="12">
        <f>(INDEX(Proj[],MATCH(Std[[#This Row],[Player]],Proj[Player],0),16)-I$764)/I$765</f>
        <v>-0.14942414675695695</v>
      </c>
      <c r="J362" s="12">
        <f>(INDEX(Proj[],MATCH(Std[[#This Row],[Player]],Proj[Player],0),17)-J$764)/J$765</f>
        <v>-0.46669252292436259</v>
      </c>
      <c r="K362" s="12">
        <f>(INDEX(Proj[],MATCH(Std[[#This Row],[Player]],Proj[Player],0),18)-K$764)/K$765</f>
        <v>-0.14224887932464234</v>
      </c>
      <c r="L362" s="12">
        <f>(INDEX(Proj[],MATCH(Std[[#This Row],[Player]],Proj[Player],0),19)-L$764)/L$765</f>
        <v>-0.27278273918567114</v>
      </c>
      <c r="M362" s="12">
        <f>(INDEX(Proj[],MATCH(Std[[#This Row],[Player]],Proj[Player],0),20)-M$764)/M$765</f>
        <v>1.3378904761343182</v>
      </c>
      <c r="N362" s="12">
        <f>(INDEX(Proj[],MATCH(Std[[#This Row],[Player]],Proj[Player],0),21)-N$764)/N$765</f>
        <v>-0.61496642590693373</v>
      </c>
      <c r="O362" s="12">
        <f>(INDEX(Proj[],MATCH(Std[[#This Row],[Player]],Proj[Player],0),22)-O$764)/O$765</f>
        <v>-0.77655224944078916</v>
      </c>
      <c r="P362" s="12">
        <f>((INDEX(Proj[],MATCH(Std[[#This Row],[Player]],Proj[Player],0),23)-P$764)/P$765)*IF('League Inputs'!$C$23 = "Yes",-1, 1)</f>
        <v>-0.53505329921821387</v>
      </c>
      <c r="Q362" s="12">
        <f>(INDEX(Proj[],MATCH(Std[[#This Row],[Player]],Proj[Player],0),24)-Q$764)/Q$765</f>
        <v>0.29224825465331228</v>
      </c>
      <c r="R362" s="12">
        <f>(INDEX(Proj[],MATCH(Std[[#This Row],[Player]],Proj[Player],0),25)-R$764)/R$765</f>
        <v>0.40188104503579702</v>
      </c>
      <c r="S362" s="12">
        <f>(INDEX(Proj[],MATCH(Std[[#This Row],[Player]],Proj[Player],0),26)-S$764)/S$765</f>
        <v>-0.5209530442664676</v>
      </c>
      <c r="T3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-288.38681290656541</v>
      </c>
      <c r="U362" s="11"/>
      <c r="W362" t="str">
        <v>Sam Steel</v>
      </c>
      <c r="AA362" t="str">
        <v>Sam Steel</v>
      </c>
      <c r="AB362" t="str">
        <v>Sam Steel</v>
      </c>
    </row>
    <row r="363" spans="1:28" x14ac:dyDescent="0.25">
      <c r="A363" t="s">
        <v>707</v>
      </c>
      <c r="B363">
        <f>INDEX(Proj[],MATCH(Std[[#This Row],[Player]],Proj[Player],0),2)</f>
        <v>33</v>
      </c>
      <c r="C363" t="s">
        <v>74</v>
      </c>
      <c r="D363" s="75" t="s">
        <v>102</v>
      </c>
      <c r="E363" s="56"/>
      <c r="F363" t="s">
        <v>11</v>
      </c>
      <c r="G363" s="12">
        <f>(INDEX(Proj[],MATCH(Std[[#This Row],[Player]],Proj[Player],0),14)-G$764)/G$765</f>
        <v>7.6951824922875695E-2</v>
      </c>
      <c r="H363" s="12">
        <f>(INDEX(Proj[],MATCH(Std[[#This Row],[Player]],Proj[Player],0),15)-H$764)/H$765</f>
        <v>-0.29002249855830886</v>
      </c>
      <c r="I363" s="12">
        <f>(INDEX(Proj[],MATCH(Std[[#This Row],[Player]],Proj[Player],0),16)-I$764)/I$765</f>
        <v>-0.14942414675695695</v>
      </c>
      <c r="J363" s="12">
        <f>(INDEX(Proj[],MATCH(Std[[#This Row],[Player]],Proj[Player],0),17)-J$764)/J$765</f>
        <v>-0.17232923569972286</v>
      </c>
      <c r="K363" s="12">
        <f>(INDEX(Proj[],MATCH(Std[[#This Row],[Player]],Proj[Player],0),18)-K$764)/K$765</f>
        <v>-0.45042076997056774</v>
      </c>
      <c r="L363" s="12">
        <f>(INDEX(Proj[],MATCH(Std[[#This Row],[Player]],Proj[Player],0),19)-L$764)/L$765</f>
        <v>-0.38152137069843867</v>
      </c>
      <c r="M363" s="12">
        <f>(INDEX(Proj[],MATCH(Std[[#This Row],[Player]],Proj[Player],0),20)-M$764)/M$765</f>
        <v>1.3378904761343182</v>
      </c>
      <c r="N363" s="12">
        <f>(INDEX(Proj[],MATCH(Std[[#This Row],[Player]],Proj[Player],0),21)-N$764)/N$765</f>
        <v>-0.63434615925528237</v>
      </c>
      <c r="O363" s="12">
        <f>(INDEX(Proj[],MATCH(Std[[#This Row],[Player]],Proj[Player],0),22)-O$764)/O$765</f>
        <v>-1.031928286171832</v>
      </c>
      <c r="P363" s="12">
        <f>((INDEX(Proj[],MATCH(Std[[#This Row],[Player]],Proj[Player],0),23)-P$764)/P$765)*IF('League Inputs'!$C$23 = "Yes",-1, 1)</f>
        <v>-1.0004510422017985</v>
      </c>
      <c r="Q363" s="12">
        <f>(INDEX(Proj[],MATCH(Std[[#This Row],[Player]],Proj[Player],0),24)-Q$764)/Q$765</f>
        <v>-9.687245258003814E-2</v>
      </c>
      <c r="R363" s="12">
        <f>(INDEX(Proj[],MATCH(Std[[#This Row],[Player]],Proj[Player],0),25)-R$764)/R$765</f>
        <v>-9.1854229315205052E-2</v>
      </c>
      <c r="S363" s="12">
        <f>(INDEX(Proj[],MATCH(Std[[#This Row],[Player]],Proj[Player],0),26)-S$764)/S$765</f>
        <v>-0.32632871615405179</v>
      </c>
      <c r="T3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-383.39428474538317</v>
      </c>
      <c r="U363" s="11"/>
      <c r="W363" t="str">
        <v>Calle Jarnkrok</v>
      </c>
      <c r="AA363" t="str">
        <v>Calle Jarnkrok</v>
      </c>
      <c r="AB363" t="str">
        <v>Calle Jarnkrok</v>
      </c>
    </row>
    <row r="364" spans="1:28" x14ac:dyDescent="0.25">
      <c r="A364" t="s">
        <v>1224</v>
      </c>
      <c r="B364">
        <f>INDEX(Proj[],MATCH(Std[[#This Row],[Player]],Proj[Player],0),2)</f>
        <v>19</v>
      </c>
      <c r="C364" t="s">
        <v>74</v>
      </c>
      <c r="D364" s="75" t="s">
        <v>103</v>
      </c>
      <c r="E364" s="57"/>
      <c r="F364" t="s">
        <v>14</v>
      </c>
      <c r="G364" s="12">
        <f>(INDEX(Proj[],MATCH(Std[[#This Row],[Player]],Proj[Player],0),14)-G$764)/G$765</f>
        <v>-0.66248525638148381</v>
      </c>
      <c r="H364" s="12">
        <f>(INDEX(Proj[],MATCH(Std[[#This Row],[Player]],Proj[Player],0),15)-H$764)/H$765</f>
        <v>0.15715310337128238</v>
      </c>
      <c r="I364" s="12">
        <f>(INDEX(Proj[],MATCH(Std[[#This Row],[Player]],Proj[Player],0),16)-I$764)/I$765</f>
        <v>-0.19666670571906017</v>
      </c>
      <c r="J364" s="12">
        <f>(INDEX(Proj[],MATCH(Std[[#This Row],[Player]],Proj[Player],0),17)-J$764)/J$765</f>
        <v>-0.46669252292436259</v>
      </c>
      <c r="K364" s="12">
        <f>(INDEX(Proj[],MATCH(Std[[#This Row],[Player]],Proj[Player],0),18)-K$764)/K$765</f>
        <v>0.47409490196720849</v>
      </c>
      <c r="L364" s="12">
        <f>(INDEX(Proj[],MATCH(Std[[#This Row],[Player]],Proj[Player],0),19)-L$764)/L$765</f>
        <v>0.16217178686539899</v>
      </c>
      <c r="M364" s="12">
        <f>(INDEX(Proj[],MATCH(Std[[#This Row],[Player]],Proj[Player],0),20)-M$764)/M$765</f>
        <v>-0.71308883245737775</v>
      </c>
      <c r="N364" s="12">
        <f>(INDEX(Proj[],MATCH(Std[[#This Row],[Player]],Proj[Player],0),21)-N$764)/N$765</f>
        <v>0.56719730834232873</v>
      </c>
      <c r="O364" s="12">
        <f>(INDEX(Proj[],MATCH(Std[[#This Row],[Player]],Proj[Player],0),22)-O$764)/O$765</f>
        <v>1.4986160777994104</v>
      </c>
      <c r="P364" s="12">
        <f>((INDEX(Proj[],MATCH(Std[[#This Row],[Player]],Proj[Player],0),23)-P$764)/P$765)*IF('League Inputs'!$C$23 = "Yes",-1, 1)</f>
        <v>0.39574218674895539</v>
      </c>
      <c r="Q364" s="12">
        <f>(INDEX(Proj[],MATCH(Std[[#This Row],[Player]],Proj[Player],0),24)-Q$764)/Q$765</f>
        <v>-0.5766103108129359</v>
      </c>
      <c r="R364" s="12">
        <f>(INDEX(Proj[],MATCH(Std[[#This Row],[Player]],Proj[Player],0),25)-R$764)/R$765</f>
        <v>-0.62531533033812681</v>
      </c>
      <c r="S364" s="12">
        <f>(INDEX(Proj[],MATCH(Std[[#This Row],[Player]],Proj[Player],0),26)-S$764)/S$765</f>
        <v>0.14401341011761973</v>
      </c>
      <c r="T3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148.91316003315157</v>
      </c>
      <c r="U364" s="11"/>
      <c r="W364" t="str">
        <v>Artyom Levshunov</v>
      </c>
      <c r="AA364" t="str">
        <v>Artyom Levshunov</v>
      </c>
      <c r="AB364" t="str">
        <v>Artyom Levshunov</v>
      </c>
    </row>
    <row r="365" spans="1:28" x14ac:dyDescent="0.25">
      <c r="A365" t="s">
        <v>560</v>
      </c>
      <c r="B365">
        <f>INDEX(Proj[],MATCH(Std[[#This Row],[Player]],Proj[Player],0),2)</f>
        <v>25</v>
      </c>
      <c r="C365" t="s">
        <v>74</v>
      </c>
      <c r="D365" s="75"/>
      <c r="E365" s="56"/>
      <c r="F365" t="s">
        <v>11</v>
      </c>
      <c r="G365" s="12">
        <f>(INDEX(Proj[],MATCH(Std[[#This Row],[Player]],Proj[Player],0),14)-G$764)/G$765</f>
        <v>-0.7681191251392494</v>
      </c>
      <c r="H365" s="12">
        <f>(INDEX(Proj[],MATCH(Std[[#This Row],[Player]],Proj[Player],0),15)-H$764)/H$765</f>
        <v>0.23168237035954761</v>
      </c>
      <c r="I365" s="12">
        <f>(INDEX(Proj[],MATCH(Std[[#This Row],[Player]],Proj[Player],0),16)-I$764)/I$765</f>
        <v>-0.19666670571906017</v>
      </c>
      <c r="J365" s="12">
        <f>(INDEX(Proj[],MATCH(Std[[#This Row],[Player]],Proj[Player],0),17)-J$764)/J$765</f>
        <v>-0.46669252292436259</v>
      </c>
      <c r="K365" s="12">
        <f>(INDEX(Proj[],MATCH(Std[[#This Row],[Player]],Proj[Player],0),18)-K$764)/K$765</f>
        <v>0.16592301132128306</v>
      </c>
      <c r="L365" s="12">
        <f>(INDEX(Proj[],MATCH(Std[[#This Row],[Player]],Proj[Player],0),19)-L$764)/L$765</f>
        <v>-5.5305476160136084E-2</v>
      </c>
      <c r="M365" s="12">
        <f>(INDEX(Proj[],MATCH(Std[[#This Row],[Player]],Proj[Player],0),20)-M$764)/M$765</f>
        <v>1.3378904761343182</v>
      </c>
      <c r="N365" s="12">
        <f>(INDEX(Proj[],MATCH(Std[[#This Row],[Player]],Proj[Player],0),21)-N$764)/N$765</f>
        <v>0.62533650838737442</v>
      </c>
      <c r="O365" s="12">
        <f>(INDEX(Proj[],MATCH(Std[[#This Row],[Player]],Proj[Player],0),22)-O$764)/O$765</f>
        <v>1.6379120978345247</v>
      </c>
      <c r="P365" s="12">
        <f>((INDEX(Proj[],MATCH(Std[[#This Row],[Player]],Proj[Player],0),23)-P$764)/P$765)*IF('League Inputs'!$C$23 = "Yes",-1, 1)</f>
        <v>-0.44197375062149696</v>
      </c>
      <c r="Q365" s="12">
        <f>(INDEX(Proj[],MATCH(Std[[#This Row],[Player]],Proj[Player],0),24)-Q$764)/Q$765</f>
        <v>-0.5766103108129359</v>
      </c>
      <c r="R365" s="12">
        <f>(INDEX(Proj[],MATCH(Std[[#This Row],[Player]],Proj[Player],0),25)-R$764)/R$765</f>
        <v>-0.62531533033812681</v>
      </c>
      <c r="S365" s="12">
        <f>(INDEX(Proj[],MATCH(Std[[#This Row],[Player]],Proj[Player],0),26)-S$764)/S$765</f>
        <v>-0.43985957421962762</v>
      </c>
      <c r="T3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1.6396033908940788</v>
      </c>
      <c r="U365" s="11"/>
      <c r="W365" t="str">
        <v>Timothy Liljegren</v>
      </c>
      <c r="AA365" t="str">
        <v>Timothy Liljegren</v>
      </c>
      <c r="AB365" t="str">
        <v>Timothy Liljegren</v>
      </c>
    </row>
    <row r="366" spans="1:28" x14ac:dyDescent="0.25">
      <c r="A366" t="s">
        <v>305</v>
      </c>
      <c r="B366">
        <f>INDEX(Proj[],MATCH(Std[[#This Row],[Player]],Proj[Player],0),2)</f>
        <v>28</v>
      </c>
      <c r="C366" t="s">
        <v>74</v>
      </c>
      <c r="D366" s="75" t="s">
        <v>102</v>
      </c>
      <c r="E366" s="56"/>
      <c r="F366" t="s">
        <v>21</v>
      </c>
      <c r="G366" s="12">
        <f>(INDEX(Proj[],MATCH(Std[[#This Row],[Player]],Proj[Player],0),14)-G$764)/G$765</f>
        <v>-0.66248525638148381</v>
      </c>
      <c r="H366" s="12">
        <f>(INDEX(Proj[],MATCH(Std[[#This Row],[Player]],Proj[Player],0),15)-H$764)/H$765</f>
        <v>0.15715310337128238</v>
      </c>
      <c r="I366" s="12">
        <f>(INDEX(Proj[],MATCH(Std[[#This Row],[Player]],Proj[Player],0),16)-I$764)/I$765</f>
        <v>-0.19666670571906017</v>
      </c>
      <c r="J366" s="12">
        <f>(INDEX(Proj[],MATCH(Std[[#This Row],[Player]],Proj[Player],0),17)-J$764)/J$765</f>
        <v>-0.46669252292436259</v>
      </c>
      <c r="K366" s="12">
        <f>(INDEX(Proj[],MATCH(Std[[#This Row],[Player]],Proj[Player],0),18)-K$764)/K$765</f>
        <v>1.1837065998320361E-2</v>
      </c>
      <c r="L366" s="12">
        <f>(INDEX(Proj[],MATCH(Std[[#This Row],[Player]],Proj[Player],0),19)-L$764)/L$765</f>
        <v>-0.16404410767290362</v>
      </c>
      <c r="M366" s="12">
        <f>(INDEX(Proj[],MATCH(Std[[#This Row],[Player]],Proj[Player],0),20)-M$764)/M$765</f>
        <v>0.31240082183847029</v>
      </c>
      <c r="N366" s="12">
        <f>(INDEX(Proj[],MATCH(Std[[#This Row],[Player]],Proj[Player],0),21)-N$764)/N$765</f>
        <v>-0.32427042568170528</v>
      </c>
      <c r="O366" s="12">
        <f>(INDEX(Proj[],MATCH(Std[[#This Row],[Player]],Proj[Player],0),22)-O$764)/O$765</f>
        <v>2.3343921980100961</v>
      </c>
      <c r="P366" s="12">
        <f>((INDEX(Proj[],MATCH(Std[[#This Row],[Player]],Proj[Player],0),23)-P$764)/P$765)*IF('League Inputs'!$C$23 = "Yes",-1, 1)</f>
        <v>-0.44197375062149696</v>
      </c>
      <c r="Q366" s="12">
        <f>(INDEX(Proj[],MATCH(Std[[#This Row],[Player]],Proj[Player],0),24)-Q$764)/Q$765</f>
        <v>-0.5766103108129359</v>
      </c>
      <c r="R366" s="12">
        <f>(INDEX(Proj[],MATCH(Std[[#This Row],[Player]],Proj[Player],0),25)-R$764)/R$765</f>
        <v>-0.62531533033812681</v>
      </c>
      <c r="S366" s="12">
        <f>(INDEX(Proj[],MATCH(Std[[#This Row],[Player]],Proj[Player],0),26)-S$764)/S$765</f>
        <v>-0.14792308205100396</v>
      </c>
      <c r="T3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-2.2428337559211196</v>
      </c>
      <c r="U366" s="11"/>
      <c r="W366" t="str">
        <v>Ivan Provorov</v>
      </c>
      <c r="AA366" t="str">
        <v>Ivan Provorov</v>
      </c>
      <c r="AB366" t="str">
        <v>Ivan Provorov</v>
      </c>
    </row>
    <row r="367" spans="1:28" x14ac:dyDescent="0.25">
      <c r="A367" t="s">
        <v>912</v>
      </c>
      <c r="B367">
        <f>INDEX(Proj[],MATCH(Std[[#This Row],[Player]],Proj[Player],0),2)</f>
        <v>24</v>
      </c>
      <c r="C367" t="s">
        <v>102</v>
      </c>
      <c r="D367" s="75" t="s">
        <v>103</v>
      </c>
      <c r="E367" s="57"/>
      <c r="F367" t="s">
        <v>14</v>
      </c>
      <c r="G367" s="12">
        <f>(INDEX(Proj[],MATCH(Std[[#This Row],[Player]],Proj[Player],0),14)-G$764)/G$765</f>
        <v>-0.66248525638148381</v>
      </c>
      <c r="H367" s="12">
        <f>(INDEX(Proj[],MATCH(Std[[#This Row],[Player]],Proj[Player],0),15)-H$764)/H$765</f>
        <v>0.15715310337128238</v>
      </c>
      <c r="I367" s="12">
        <f>(INDEX(Proj[],MATCH(Std[[#This Row],[Player]],Proj[Player],0),16)-I$764)/I$765</f>
        <v>-0.19666670571906017</v>
      </c>
      <c r="J367" s="12">
        <f>(INDEX(Proj[],MATCH(Std[[#This Row],[Player]],Proj[Player],0),17)-J$764)/J$765</f>
        <v>-0.46669252292436259</v>
      </c>
      <c r="K367" s="12">
        <f>(INDEX(Proj[],MATCH(Std[[#This Row],[Player]],Proj[Player],0),18)-K$764)/K$765</f>
        <v>-0.14224887932464234</v>
      </c>
      <c r="L367" s="12">
        <f>(INDEX(Proj[],MATCH(Std[[#This Row],[Player]],Proj[Player],0),19)-L$764)/L$765</f>
        <v>-0.27278273918567114</v>
      </c>
      <c r="M367" s="12">
        <f>(INDEX(Proj[],MATCH(Std[[#This Row],[Player]],Proj[Player],0),20)-M$764)/M$765</f>
        <v>0.31240082183847029</v>
      </c>
      <c r="N367" s="12">
        <f>(INDEX(Proj[],MATCH(Std[[#This Row],[Player]],Proj[Player],0),21)-N$764)/N$765</f>
        <v>4.3944507936917447E-2</v>
      </c>
      <c r="O367" s="12">
        <f>(INDEX(Proj[],MATCH(Std[[#This Row],[Player]],Proj[Player],0),22)-O$764)/O$765</f>
        <v>1.4986160777994104</v>
      </c>
      <c r="P367" s="12">
        <f>((INDEX(Proj[],MATCH(Std[[#This Row],[Player]],Proj[Player],0),23)-P$764)/P$765)*IF('League Inputs'!$C$23 = "Yes",-1, 1)</f>
        <v>6.9963766660446167E-2</v>
      </c>
      <c r="Q367" s="12">
        <f>(INDEX(Proj[],MATCH(Std[[#This Row],[Player]],Proj[Player],0),24)-Q$764)/Q$765</f>
        <v>-0.5766103108129359</v>
      </c>
      <c r="R367" s="12">
        <f>(INDEX(Proj[],MATCH(Std[[#This Row],[Player]],Proj[Player],0),25)-R$764)/R$765</f>
        <v>-0.62531533033812681</v>
      </c>
      <c r="S367" s="12">
        <f>(INDEX(Proj[],MATCH(Std[[#This Row],[Player]],Proj[Player],0),26)-S$764)/S$765</f>
        <v>-0.63448390233204344</v>
      </c>
      <c r="T3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-57.335145866313816</v>
      </c>
      <c r="U367" s="11"/>
      <c r="W367" t="str">
        <v>JJ Moser</v>
      </c>
      <c r="AA367" t="str">
        <v>JJ Moser</v>
      </c>
      <c r="AB367" t="str">
        <v>JJ Moser</v>
      </c>
    </row>
    <row r="368" spans="1:28" x14ac:dyDescent="0.25">
      <c r="A368" t="s">
        <v>476</v>
      </c>
      <c r="B368">
        <f>INDEX(Proj[],MATCH(Std[[#This Row],[Player]],Proj[Player],0),2)</f>
        <v>27</v>
      </c>
      <c r="C368" t="s">
        <v>74</v>
      </c>
      <c r="D368" s="75" t="s">
        <v>102</v>
      </c>
      <c r="E368" s="57"/>
      <c r="F368" t="s">
        <v>32</v>
      </c>
      <c r="G368" s="12">
        <f>(INDEX(Proj[],MATCH(Std[[#This Row],[Player]],Proj[Player],0),14)-G$764)/G$765</f>
        <v>-2.8682043834889943E-2</v>
      </c>
      <c r="H368" s="12">
        <f>(INDEX(Proj[],MATCH(Std[[#This Row],[Player]],Proj[Player],0),15)-H$764)/H$765</f>
        <v>-0.29002249855830886</v>
      </c>
      <c r="I368" s="12">
        <f>(INDEX(Proj[],MATCH(Std[[#This Row],[Player]],Proj[Player],0),16)-I$764)/I$765</f>
        <v>-0.19666670571906017</v>
      </c>
      <c r="J368" s="12">
        <f>(INDEX(Proj[],MATCH(Std[[#This Row],[Player]],Proj[Player],0),17)-J$764)/J$765</f>
        <v>-0.46669252292436259</v>
      </c>
      <c r="K368" s="12">
        <f>(INDEX(Proj[],MATCH(Std[[#This Row],[Player]],Proj[Player],0),18)-K$764)/K$765</f>
        <v>-0.45042076997056774</v>
      </c>
      <c r="L368" s="12">
        <f>(INDEX(Proj[],MATCH(Std[[#This Row],[Player]],Proj[Player],0),19)-L$764)/L$765</f>
        <v>-0.49026000221120619</v>
      </c>
      <c r="M368" s="12">
        <f>(INDEX(Proj[],MATCH(Std[[#This Row],[Player]],Proj[Player],0),20)-M$764)/M$765</f>
        <v>0.31240082183847029</v>
      </c>
      <c r="N368" s="12">
        <f>(INDEX(Proj[],MATCH(Std[[#This Row],[Player]],Proj[Player],0),21)-N$764)/N$765</f>
        <v>1.264867708882877</v>
      </c>
      <c r="O368" s="12">
        <f>(INDEX(Proj[],MATCH(Std[[#This Row],[Player]],Proj[Player],0),22)-O$764)/O$765</f>
        <v>8.2439874109082142E-2</v>
      </c>
      <c r="P368" s="12">
        <f>((INDEX(Proj[],MATCH(Std[[#This Row],[Player]],Proj[Player],0),23)-P$764)/P$765)*IF('League Inputs'!$C$23 = "Yes",-1, 1)</f>
        <v>1.2334581241194078</v>
      </c>
      <c r="Q368" s="12">
        <f>(INDEX(Proj[],MATCH(Std[[#This Row],[Player]],Proj[Player],0),24)-Q$764)/Q$765</f>
        <v>-0.45401063593119534</v>
      </c>
      <c r="R368" s="12">
        <f>(INDEX(Proj[],MATCH(Std[[#This Row],[Player]],Proj[Player],0),25)-R$764)/R$765</f>
        <v>-0.36425989792265445</v>
      </c>
      <c r="S368" s="12">
        <f>(INDEX(Proj[],MATCH(Std[[#This Row],[Player]],Proj[Player],0),26)-S$764)/S$765</f>
        <v>0.12779471610825174</v>
      </c>
      <c r="T3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124.89185369649583</v>
      </c>
      <c r="U368" s="11"/>
      <c r="W368" t="str">
        <v>Jordan Greenway</v>
      </c>
      <c r="AA368" t="str">
        <v>Jordan Greenway</v>
      </c>
      <c r="AB368" t="str">
        <v>Jordan Greenway</v>
      </c>
    </row>
    <row r="369" spans="1:28" x14ac:dyDescent="0.25">
      <c r="A369" t="s">
        <v>1205</v>
      </c>
      <c r="B369">
        <f>INDEX(Proj[],MATCH(Std[[#This Row],[Player]],Proj[Player],0),2)</f>
        <v>20</v>
      </c>
      <c r="C369" t="s">
        <v>103</v>
      </c>
      <c r="D369" s="75"/>
      <c r="E369" s="56"/>
      <c r="F369" t="s">
        <v>20</v>
      </c>
      <c r="G369" s="12">
        <f>(INDEX(Proj[],MATCH(Std[[#This Row],[Player]],Proj[Player],0),14)-G$764)/G$765</f>
        <v>-0.66248525638148381</v>
      </c>
      <c r="H369" s="12">
        <f>(INDEX(Proj[],MATCH(Std[[#This Row],[Player]],Proj[Player],0),15)-H$764)/H$765</f>
        <v>0.15715310337128238</v>
      </c>
      <c r="I369" s="12">
        <f>(INDEX(Proj[],MATCH(Std[[#This Row],[Player]],Proj[Player],0),16)-I$764)/I$765</f>
        <v>-0.19666670571906017</v>
      </c>
      <c r="J369" s="12">
        <f>(INDEX(Proj[],MATCH(Std[[#This Row],[Player]],Proj[Player],0),17)-J$764)/J$765</f>
        <v>-0.46669252292436259</v>
      </c>
      <c r="K369" s="12">
        <f>(INDEX(Proj[],MATCH(Std[[#This Row],[Player]],Proj[Player],0),18)-K$764)/K$765</f>
        <v>-0.14224887932464234</v>
      </c>
      <c r="L369" s="12">
        <f>(INDEX(Proj[],MATCH(Std[[#This Row],[Player]],Proj[Player],0),19)-L$764)/L$765</f>
        <v>-0.27278273918567114</v>
      </c>
      <c r="M369" s="12">
        <f>(INDEX(Proj[],MATCH(Std[[#This Row],[Player]],Proj[Player],0),20)-M$764)/M$765</f>
        <v>-0.71308883245737775</v>
      </c>
      <c r="N369" s="12">
        <f>(INDEX(Proj[],MATCH(Std[[#This Row],[Player]],Proj[Player],0),21)-N$764)/N$765</f>
        <v>-1.002561092873905</v>
      </c>
      <c r="O369" s="12">
        <f>(INDEX(Proj[],MATCH(Std[[#This Row],[Player]],Proj[Player],0),22)-O$764)/O$765</f>
        <v>1.4754000744602247</v>
      </c>
      <c r="P369" s="12">
        <f>((INDEX(Proj[],MATCH(Std[[#This Row],[Player]],Proj[Player],0),23)-P$764)/P$765)*IF('League Inputs'!$C$23 = "Yes",-1, 1)</f>
        <v>0.25612286385388</v>
      </c>
      <c r="Q369" s="12">
        <f>(INDEX(Proj[],MATCH(Std[[#This Row],[Player]],Proj[Player],0),24)-Q$764)/Q$765</f>
        <v>-0.5766103108129359</v>
      </c>
      <c r="R369" s="12">
        <f>(INDEX(Proj[],MATCH(Std[[#This Row],[Player]],Proj[Player],0),25)-R$764)/R$765</f>
        <v>-0.62531533033812681</v>
      </c>
      <c r="S369" s="12">
        <f>(INDEX(Proj[],MATCH(Std[[#This Row],[Player]],Proj[Player],0),26)-S$764)/S$765</f>
        <v>-0.34254741016341977</v>
      </c>
      <c r="T3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-116.49774734510889</v>
      </c>
      <c r="U369" s="11"/>
      <c r="W369" t="str">
        <v>Simon Nemec</v>
      </c>
      <c r="AA369" t="str">
        <v>Simon Nemec</v>
      </c>
      <c r="AB369" t="str">
        <v>Simon Nemec</v>
      </c>
    </row>
    <row r="370" spans="1:28" x14ac:dyDescent="0.25">
      <c r="A370" t="s">
        <v>533</v>
      </c>
      <c r="B370">
        <f>INDEX(Proj[],MATCH(Std[[#This Row],[Player]],Proj[Player],0),2)</f>
        <v>21</v>
      </c>
      <c r="C370" t="s">
        <v>103</v>
      </c>
      <c r="D370" s="75"/>
      <c r="E370" s="56"/>
      <c r="F370" t="s">
        <v>31</v>
      </c>
      <c r="G370" s="12">
        <f>(INDEX(Proj[],MATCH(Std[[#This Row],[Player]],Proj[Player],0),14)-G$764)/G$765</f>
        <v>0.18258569368064134</v>
      </c>
      <c r="H370" s="12">
        <f>(INDEX(Proj[],MATCH(Std[[#This Row],[Player]],Proj[Player],0),15)-H$764)/H$765</f>
        <v>-0.43908103253483932</v>
      </c>
      <c r="I370" s="12">
        <f>(INDEX(Proj[],MATCH(Std[[#This Row],[Player]],Proj[Player],0),16)-I$764)/I$765</f>
        <v>-0.19666670571906017</v>
      </c>
      <c r="J370" s="12">
        <f>(INDEX(Proj[],MATCH(Std[[#This Row],[Player]],Proj[Player],0),17)-J$764)/J$765</f>
        <v>0.12203405152491688</v>
      </c>
      <c r="K370" s="12">
        <f>(INDEX(Proj[],MATCH(Std[[#This Row],[Player]],Proj[Player],0),18)-K$764)/K$765</f>
        <v>-0.45042076997056774</v>
      </c>
      <c r="L370" s="12">
        <f>(INDEX(Proj[],MATCH(Std[[#This Row],[Player]],Proj[Player],0),19)-L$764)/L$765</f>
        <v>-0.27278273918567114</v>
      </c>
      <c r="M370" s="12">
        <f>(INDEX(Proj[],MATCH(Std[[#This Row],[Player]],Proj[Player],0),20)-M$764)/M$765</f>
        <v>0.31240082183847029</v>
      </c>
      <c r="N370" s="12">
        <f>(INDEX(Proj[],MATCH(Std[[#This Row],[Player]],Proj[Player],0),21)-N$764)/N$765</f>
        <v>0.54781757499398021</v>
      </c>
      <c r="O370" s="12">
        <f>(INDEX(Proj[],MATCH(Std[[#This Row],[Player]],Proj[Player],0),22)-O$764)/O$765</f>
        <v>3.6007867430710716E-2</v>
      </c>
      <c r="P370" s="12">
        <f>((INDEX(Proj[],MATCH(Std[[#This Row],[Player]],Proj[Player],0),23)-P$764)/P$765)*IF('League Inputs'!$C$23 = "Yes",-1, 1)</f>
        <v>0.16304331525716309</v>
      </c>
      <c r="Q370" s="12">
        <f>(INDEX(Proj[],MATCH(Std[[#This Row],[Player]],Proj[Player],0),24)-Q$764)/Q$765</f>
        <v>1.7261314087049733</v>
      </c>
      <c r="R370" s="12">
        <f>(INDEX(Proj[],MATCH(Std[[#This Row],[Player]],Proj[Player],0),25)-R$764)/R$765</f>
        <v>2.2746700167120117</v>
      </c>
      <c r="S370" s="12">
        <f>(INDEX(Proj[],MATCH(Std[[#This Row],[Player]],Proj[Player],0),26)-S$764)/S$765</f>
        <v>0.54948076035181925</v>
      </c>
      <c r="T3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229.6536142979717</v>
      </c>
      <c r="U370" s="11"/>
      <c r="W370" t="str">
        <v>Cole Sillinger</v>
      </c>
      <c r="AA370" t="str">
        <v>Cole Sillinger</v>
      </c>
      <c r="AB370" t="str">
        <v>Cole Sillinger</v>
      </c>
    </row>
    <row r="371" spans="1:28" x14ac:dyDescent="0.25">
      <c r="A371" t="s">
        <v>787</v>
      </c>
      <c r="B371">
        <f>INDEX(Proj[],MATCH(Std[[#This Row],[Player]],Proj[Player],0),2)</f>
        <v>30</v>
      </c>
      <c r="C371" t="s">
        <v>74</v>
      </c>
      <c r="D371" s="75" t="s">
        <v>102</v>
      </c>
      <c r="E371" s="56"/>
      <c r="F371" t="s">
        <v>34</v>
      </c>
      <c r="G371" s="12">
        <f>(INDEX(Proj[],MATCH(Std[[#This Row],[Player]],Proj[Player],0),14)-G$764)/G$765</f>
        <v>0.39385343119617261</v>
      </c>
      <c r="H371" s="12">
        <f>(INDEX(Proj[],MATCH(Std[[#This Row],[Player]],Proj[Player],0),15)-H$764)/H$765</f>
        <v>-0.58813956651136978</v>
      </c>
      <c r="I371" s="12">
        <f>(INDEX(Proj[],MATCH(Std[[#This Row],[Player]],Proj[Player],0),16)-I$764)/I$765</f>
        <v>-0.19666670571906017</v>
      </c>
      <c r="J371" s="12">
        <f>(INDEX(Proj[],MATCH(Std[[#This Row],[Player]],Proj[Player],0),17)-J$764)/J$765</f>
        <v>-0.17232923569972286</v>
      </c>
      <c r="K371" s="12">
        <f>(INDEX(Proj[],MATCH(Std[[#This Row],[Player]],Proj[Player],0),18)-K$764)/K$765</f>
        <v>-0.29633482464760502</v>
      </c>
      <c r="L371" s="12">
        <f>(INDEX(Proj[],MATCH(Std[[#This Row],[Player]],Proj[Player],0),19)-L$764)/L$765</f>
        <v>-0.27278273918567114</v>
      </c>
      <c r="M371" s="12">
        <f>(INDEX(Proj[],MATCH(Std[[#This Row],[Player]],Proj[Player],0),20)-M$764)/M$765</f>
        <v>-0.71308883245737775</v>
      </c>
      <c r="N371" s="12">
        <f>(INDEX(Proj[],MATCH(Std[[#This Row],[Player]],Proj[Player],0),21)-N$764)/N$765</f>
        <v>1.3811461089729684</v>
      </c>
      <c r="O371" s="12">
        <f>(INDEX(Proj[],MATCH(Std[[#This Row],[Player]],Proj[Player],0),22)-O$764)/O$765</f>
        <v>-0.79976825277997488</v>
      </c>
      <c r="P371" s="12">
        <f>((INDEX(Proj[],MATCH(Std[[#This Row],[Player]],Proj[Player],0),23)-P$764)/P$765)*IF('League Inputs'!$C$23 = "Yes",-1, 1)</f>
        <v>6.9963766660446167E-2</v>
      </c>
      <c r="Q371" s="12">
        <f>(INDEX(Proj[],MATCH(Std[[#This Row],[Player]],Proj[Player],0),24)-Q$764)/Q$765</f>
        <v>-0.44334979463713092</v>
      </c>
      <c r="R371" s="12">
        <f>(INDEX(Proj[],MATCH(Std[[#This Row],[Player]],Proj[Player],0),25)-R$764)/R$765</f>
        <v>-0.47776225984242504</v>
      </c>
      <c r="S371" s="12">
        <f>(INDEX(Proj[],MATCH(Std[[#This Row],[Player]],Proj[Player],0),26)-S$764)/S$765</f>
        <v>0.37107512624877148</v>
      </c>
      <c r="T3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-8.4668625754848144</v>
      </c>
      <c r="U371" s="11"/>
      <c r="W371" t="str">
        <v>William Carrier</v>
      </c>
      <c r="AA371" t="str">
        <v>William Carrier</v>
      </c>
      <c r="AB371" t="str">
        <v>William Carrier</v>
      </c>
    </row>
    <row r="372" spans="1:28" x14ac:dyDescent="0.25">
      <c r="A372" t="s">
        <v>608</v>
      </c>
      <c r="B372">
        <f>INDEX(Proj[],MATCH(Std[[#This Row],[Player]],Proj[Player],0),2)</f>
        <v>33</v>
      </c>
      <c r="C372" t="s">
        <v>102</v>
      </c>
      <c r="D372" s="75" t="s">
        <v>103</v>
      </c>
      <c r="E372" s="57"/>
      <c r="F372" t="s">
        <v>154</v>
      </c>
      <c r="G372" s="12">
        <f>(INDEX(Proj[],MATCH(Std[[#This Row],[Player]],Proj[Player],0),14)-G$764)/G$765</f>
        <v>-0.9793868626547807</v>
      </c>
      <c r="H372" s="12">
        <f>(INDEX(Proj[],MATCH(Std[[#This Row],[Player]],Proj[Player],0),15)-H$764)/H$765</f>
        <v>0.38074090433607805</v>
      </c>
      <c r="I372" s="12">
        <f>(INDEX(Proj[],MATCH(Std[[#This Row],[Player]],Proj[Player],0),16)-I$764)/I$765</f>
        <v>-0.19666670571906017</v>
      </c>
      <c r="J372" s="12">
        <f>(INDEX(Proj[],MATCH(Std[[#This Row],[Player]],Proj[Player],0),17)-J$764)/J$765</f>
        <v>-0.46669252292436259</v>
      </c>
      <c r="K372" s="12">
        <f>(INDEX(Proj[],MATCH(Std[[#This Row],[Player]],Proj[Player],0),18)-K$764)/K$765</f>
        <v>-0.14224887932464234</v>
      </c>
      <c r="L372" s="12">
        <f>(INDEX(Proj[],MATCH(Std[[#This Row],[Player]],Proj[Player],0),19)-L$764)/L$765</f>
        <v>-0.27278273918567114</v>
      </c>
      <c r="M372" s="12">
        <f>(INDEX(Proj[],MATCH(Std[[#This Row],[Player]],Proj[Player],0),20)-M$764)/M$765</f>
        <v>0.31240082183847029</v>
      </c>
      <c r="N372" s="12">
        <f>(INDEX(Proj[],MATCH(Std[[#This Row],[Player]],Proj[Player],0),21)-N$764)/N$765</f>
        <v>-0.67310562595197942</v>
      </c>
      <c r="O372" s="12">
        <f>(INDEX(Proj[],MATCH(Std[[#This Row],[Player]],Proj[Player],0),22)-O$764)/O$765</f>
        <v>1.3128880510859249</v>
      </c>
      <c r="P372" s="12">
        <f>((INDEX(Proj[],MATCH(Std[[#This Row],[Player]],Proj[Player],0),23)-P$764)/P$765)*IF('League Inputs'!$C$23 = "Yes",-1, 1)</f>
        <v>-0.67467262211328927</v>
      </c>
      <c r="Q372" s="12">
        <f>(INDEX(Proj[],MATCH(Std[[#This Row],[Player]],Proj[Player],0),24)-Q$764)/Q$765</f>
        <v>-0.5766103108129359</v>
      </c>
      <c r="R372" s="12">
        <f>(INDEX(Proj[],MATCH(Std[[#This Row],[Player]],Proj[Player],0),25)-R$764)/R$765</f>
        <v>-0.62531533033812681</v>
      </c>
      <c r="S372" s="12">
        <f>(INDEX(Proj[],MATCH(Std[[#This Row],[Player]],Proj[Player],0),26)-S$764)/S$765</f>
        <v>-0.5696091262945715</v>
      </c>
      <c r="T3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-224.92050373102853</v>
      </c>
      <c r="U372" s="11"/>
      <c r="W372" t="str">
        <v>Nick Leddy</v>
      </c>
      <c r="AA372" t="str">
        <v>Nick Leddy</v>
      </c>
      <c r="AB372" t="str">
        <v>Nick Leddy</v>
      </c>
    </row>
    <row r="373" spans="1:28" x14ac:dyDescent="0.25">
      <c r="A373" t="s">
        <v>639</v>
      </c>
      <c r="B373">
        <f>INDEX(Proj[],MATCH(Std[[#This Row],[Player]],Proj[Player],0),2)</f>
        <v>34</v>
      </c>
      <c r="C373" t="s">
        <v>102</v>
      </c>
      <c r="D373" s="75"/>
      <c r="E373" s="57"/>
      <c r="F373" t="s">
        <v>23</v>
      </c>
      <c r="G373" s="12">
        <f>(INDEX(Proj[],MATCH(Std[[#This Row],[Player]],Proj[Player],0),14)-G$764)/G$765</f>
        <v>-0.66248525638148381</v>
      </c>
      <c r="H373" s="12">
        <f>(INDEX(Proj[],MATCH(Std[[#This Row],[Player]],Proj[Player],0),15)-H$764)/H$765</f>
        <v>0.15715310337128238</v>
      </c>
      <c r="I373" s="12">
        <f>(INDEX(Proj[],MATCH(Std[[#This Row],[Player]],Proj[Player],0),16)-I$764)/I$765</f>
        <v>-0.19666670571906017</v>
      </c>
      <c r="J373" s="12">
        <f>(INDEX(Proj[],MATCH(Std[[#This Row],[Player]],Proj[Player],0),17)-J$764)/J$765</f>
        <v>-0.46669252292436259</v>
      </c>
      <c r="K373" s="12">
        <f>(INDEX(Proj[],MATCH(Std[[#This Row],[Player]],Proj[Player],0),18)-K$764)/K$765</f>
        <v>0.93635273793609664</v>
      </c>
      <c r="L373" s="12">
        <f>(INDEX(Proj[],MATCH(Std[[#This Row],[Player]],Proj[Player],0),19)-L$764)/L$765</f>
        <v>0.48838768140370159</v>
      </c>
      <c r="M373" s="12">
        <f>(INDEX(Proj[],MATCH(Std[[#This Row],[Player]],Proj[Player],0),20)-M$764)/M$765</f>
        <v>-0.71308883245737775</v>
      </c>
      <c r="N373" s="12">
        <f>(INDEX(Proj[],MATCH(Std[[#This Row],[Player]],Proj[Player],0),21)-N$764)/N$765</f>
        <v>-1.1188394929639964</v>
      </c>
      <c r="O373" s="12">
        <f>(INDEX(Proj[],MATCH(Std[[#This Row],[Player]],Proj[Player],0),22)-O$764)/O$765</f>
        <v>0.33781591084012497</v>
      </c>
      <c r="P373" s="12">
        <f>((INDEX(Proj[],MATCH(Std[[#This Row],[Player]],Proj[Player],0),23)-P$764)/P$765)*IF('League Inputs'!$C$23 = "Yes",-1, 1)</f>
        <v>-0.39543397632313848</v>
      </c>
      <c r="Q373" s="12">
        <f>(INDEX(Proj[],MATCH(Std[[#This Row],[Player]],Proj[Player],0),24)-Q$764)/Q$765</f>
        <v>-0.5766103108129359</v>
      </c>
      <c r="R373" s="12">
        <f>(INDEX(Proj[],MATCH(Std[[#This Row],[Player]],Proj[Player],0),25)-R$764)/R$765</f>
        <v>-0.62531533033812681</v>
      </c>
      <c r="S373" s="12">
        <f>(INDEX(Proj[],MATCH(Std[[#This Row],[Player]],Proj[Player],0),26)-S$764)/S$765</f>
        <v>-0.37498479818215574</v>
      </c>
      <c r="T3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-234.16638447676615</v>
      </c>
      <c r="U373" s="11"/>
      <c r="W373" t="str">
        <v>Justin Schultz</v>
      </c>
      <c r="AA373" t="str">
        <v>Justin Schultz</v>
      </c>
      <c r="AB373" t="str">
        <v>Justin Schultz</v>
      </c>
    </row>
    <row r="374" spans="1:28" x14ac:dyDescent="0.25">
      <c r="A374" t="s">
        <v>579</v>
      </c>
      <c r="B374">
        <f>INDEX(Proj[],MATCH(Std[[#This Row],[Player]],Proj[Player],0),2)</f>
        <v>28</v>
      </c>
      <c r="C374" t="s">
        <v>74</v>
      </c>
      <c r="D374" s="75" t="s">
        <v>102</v>
      </c>
      <c r="E374" s="57"/>
      <c r="F374" t="s">
        <v>29</v>
      </c>
      <c r="G374" s="12">
        <f>(INDEX(Proj[],MATCH(Std[[#This Row],[Player]],Proj[Player],0),14)-G$764)/G$765</f>
        <v>0.39385343119617261</v>
      </c>
      <c r="H374" s="12">
        <f>(INDEX(Proj[],MATCH(Std[[#This Row],[Player]],Proj[Player],0),15)-H$764)/H$765</f>
        <v>-0.58813956651136978</v>
      </c>
      <c r="I374" s="12">
        <f>(INDEX(Proj[],MATCH(Std[[#This Row],[Player]],Proj[Player],0),16)-I$764)/I$765</f>
        <v>-0.19666670571906017</v>
      </c>
      <c r="J374" s="12">
        <f>(INDEX(Proj[],MATCH(Std[[#This Row],[Player]],Proj[Player],0),17)-J$764)/J$765</f>
        <v>-0.17232923569972286</v>
      </c>
      <c r="K374" s="12">
        <f>(INDEX(Proj[],MATCH(Std[[#This Row],[Player]],Proj[Player],0),18)-K$764)/K$765</f>
        <v>-0.29633482464760502</v>
      </c>
      <c r="L374" s="12">
        <f>(INDEX(Proj[],MATCH(Std[[#This Row],[Player]],Proj[Player],0),19)-L$764)/L$765</f>
        <v>-0.27278273918567114</v>
      </c>
      <c r="M374" s="12">
        <f>(INDEX(Proj[],MATCH(Std[[#This Row],[Player]],Proj[Player],0),20)-M$764)/M$765</f>
        <v>1.3378904761343182</v>
      </c>
      <c r="N374" s="12">
        <f>(INDEX(Proj[],MATCH(Std[[#This Row],[Player]],Proj[Player],0),21)-N$764)/N$765</f>
        <v>1.8075002426366369</v>
      </c>
      <c r="O374" s="12">
        <f>(INDEX(Proj[],MATCH(Std[[#This Row],[Player]],Proj[Player],0),22)-O$764)/O$765</f>
        <v>-0.61404022606648923</v>
      </c>
      <c r="P374" s="12">
        <f>((INDEX(Proj[],MATCH(Std[[#This Row],[Player]],Proj[Player],0),23)-P$764)/P$765)*IF('League Inputs'!$C$23 = "Yes",-1, 1)</f>
        <v>0.44228196104731388</v>
      </c>
      <c r="Q374" s="12">
        <f>(INDEX(Proj[],MATCH(Std[[#This Row],[Player]],Proj[Player],0),24)-Q$764)/Q$765</f>
        <v>-0.11286371452113472</v>
      </c>
      <c r="R374" s="12">
        <f>(INDEX(Proj[],MATCH(Std[[#This Row],[Player]],Proj[Player],0),25)-R$764)/R$765</f>
        <v>-2.3752812163342692E-2</v>
      </c>
      <c r="S374" s="12">
        <f>(INDEX(Proj[],MATCH(Std[[#This Row],[Player]],Proj[Player],0),26)-S$764)/S$765</f>
        <v>0.27376296219256357</v>
      </c>
      <c r="T3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113.29056450689619</v>
      </c>
      <c r="U374" s="11"/>
      <c r="W374" t="str">
        <v>Yakov Trenin</v>
      </c>
      <c r="AA374" t="str">
        <v>Yakov Trenin</v>
      </c>
      <c r="AB374" t="str">
        <v>Yakov Trenin</v>
      </c>
    </row>
    <row r="375" spans="1:28" x14ac:dyDescent="0.25">
      <c r="A375" t="s">
        <v>1049</v>
      </c>
      <c r="B375">
        <f>INDEX(Proj[],MATCH(Std[[#This Row],[Player]],Proj[Player],0),2)</f>
        <v>28</v>
      </c>
      <c r="C375" t="s">
        <v>3</v>
      </c>
      <c r="D375" s="75"/>
      <c r="E375" s="57"/>
      <c r="F375" t="s">
        <v>31</v>
      </c>
      <c r="G375" s="12">
        <f>(INDEX(Proj[],MATCH(Std[[#This Row],[Player]],Proj[Player],0),14)-G$764)/G$765</f>
        <v>0.39385343119617261</v>
      </c>
      <c r="H375" s="12">
        <f>(INDEX(Proj[],MATCH(Std[[#This Row],[Player]],Proj[Player],0),15)-H$764)/H$765</f>
        <v>-0.58813956651136978</v>
      </c>
      <c r="I375" s="12">
        <f>(INDEX(Proj[],MATCH(Std[[#This Row],[Player]],Proj[Player],0),16)-I$764)/I$765</f>
        <v>-0.19666670571906017</v>
      </c>
      <c r="J375" s="12">
        <f>(INDEX(Proj[],MATCH(Std[[#This Row],[Player]],Proj[Player],0),17)-J$764)/J$765</f>
        <v>-0.17232923569972286</v>
      </c>
      <c r="K375" s="12">
        <f>(INDEX(Proj[],MATCH(Std[[#This Row],[Player]],Proj[Player],0),18)-K$764)/K$765</f>
        <v>-0.29633482464760502</v>
      </c>
      <c r="L375" s="12">
        <f>(INDEX(Proj[],MATCH(Std[[#This Row],[Player]],Proj[Player],0),19)-L$764)/L$765</f>
        <v>-0.27278273918567114</v>
      </c>
      <c r="M375" s="12">
        <f>(INDEX(Proj[],MATCH(Std[[#This Row],[Player]],Proj[Player],0),20)-M$764)/M$765</f>
        <v>-0.71308883245737775</v>
      </c>
      <c r="N375" s="12">
        <f>(INDEX(Proj[],MATCH(Std[[#This Row],[Player]],Proj[Player],0),21)-N$764)/N$765</f>
        <v>-0.42116909242344813</v>
      </c>
      <c r="O375" s="12">
        <f>(INDEX(Proj[],MATCH(Std[[#This Row],[Player]],Proj[Player],0),22)-O$764)/O$765</f>
        <v>-0.91584826947590336</v>
      </c>
      <c r="P375" s="12">
        <f>((INDEX(Proj[],MATCH(Std[[#This Row],[Player]],Proj[Player],0),23)-P$764)/P$765)*IF('League Inputs'!$C$23 = "Yes",-1, 1)</f>
        <v>0.20958308955552155</v>
      </c>
      <c r="Q375" s="12">
        <f>(INDEX(Proj[],MATCH(Std[[#This Row],[Player]],Proj[Player],0),24)-Q$764)/Q$765</f>
        <v>-0.45934105657822755</v>
      </c>
      <c r="R375" s="12">
        <f>(INDEX(Proj[],MATCH(Std[[#This Row],[Player]],Proj[Player],0),25)-R$764)/R$765</f>
        <v>-0.47208714174643651</v>
      </c>
      <c r="S375" s="12">
        <f>(INDEX(Proj[],MATCH(Std[[#This Row],[Player]],Proj[Player],0),26)-S$764)/S$765</f>
        <v>-0.14792308205100396</v>
      </c>
      <c r="T3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-239.84339911929902</v>
      </c>
      <c r="U375" s="11"/>
      <c r="W375" t="str">
        <v>Michael Carcone</v>
      </c>
      <c r="AA375" t="str">
        <v>Michael Carcone</v>
      </c>
      <c r="AB375" t="str">
        <v>Michael Carcone</v>
      </c>
    </row>
    <row r="376" spans="1:28" x14ac:dyDescent="0.25">
      <c r="A376" t="s">
        <v>830</v>
      </c>
      <c r="B376">
        <f>INDEX(Proj[],MATCH(Std[[#This Row],[Player]],Proj[Player],0),2)</f>
        <v>26</v>
      </c>
      <c r="C376" t="s">
        <v>3</v>
      </c>
      <c r="D376" s="75"/>
      <c r="E376" s="57"/>
      <c r="F376" t="s">
        <v>5</v>
      </c>
      <c r="G376" s="12">
        <f>(INDEX(Proj[],MATCH(Std[[#This Row],[Player]],Proj[Player],0),14)-G$764)/G$765</f>
        <v>0.28821956243840696</v>
      </c>
      <c r="H376" s="12">
        <f>(INDEX(Proj[],MATCH(Std[[#This Row],[Player]],Proj[Player],0),15)-H$764)/H$765</f>
        <v>-0.51361029952310455</v>
      </c>
      <c r="I376" s="12">
        <f>(INDEX(Proj[],MATCH(Std[[#This Row],[Player]],Proj[Player],0),16)-I$764)/I$765</f>
        <v>-0.19666670571906017</v>
      </c>
      <c r="J376" s="12">
        <f>(INDEX(Proj[],MATCH(Std[[#This Row],[Player]],Proj[Player],0),17)-J$764)/J$765</f>
        <v>-0.76105581014900237</v>
      </c>
      <c r="K376" s="12">
        <f>(INDEX(Proj[],MATCH(Std[[#This Row],[Player]],Proj[Player],0),18)-K$764)/K$765</f>
        <v>-0.75859266061649311</v>
      </c>
      <c r="L376" s="12">
        <f>(INDEX(Proj[],MATCH(Std[[#This Row],[Player]],Proj[Player],0),19)-L$764)/L$765</f>
        <v>-0.81647589674950882</v>
      </c>
      <c r="M376" s="12">
        <f>(INDEX(Proj[],MATCH(Std[[#This Row],[Player]],Proj[Player],0),20)-M$764)/M$765</f>
        <v>0.31240082183847029</v>
      </c>
      <c r="N376" s="12">
        <f>(INDEX(Proj[],MATCH(Std[[#This Row],[Player]],Proj[Player],0),21)-N$764)/N$765</f>
        <v>-0.40178935907509955</v>
      </c>
      <c r="O376" s="12">
        <f>(INDEX(Proj[],MATCH(Std[[#This Row],[Player]],Proj[Player],0),22)-O$764)/O$765</f>
        <v>-0.42831219935300352</v>
      </c>
      <c r="P376" s="12">
        <f>((INDEX(Proj[],MATCH(Std[[#This Row],[Player]],Proj[Player],0),23)-P$764)/P$765)*IF('League Inputs'!$C$23 = "Yes",-1, 1)</f>
        <v>-0.5815930735165723</v>
      </c>
      <c r="Q376" s="12">
        <f>(INDEX(Proj[],MATCH(Std[[#This Row],[Player]],Proj[Player],0),24)-Q$764)/Q$765</f>
        <v>-0.39004558816680895</v>
      </c>
      <c r="R376" s="12">
        <f>(INDEX(Proj[],MATCH(Std[[#This Row],[Player]],Proj[Player],0),25)-R$764)/R$765</f>
        <v>-0.36425989792265445</v>
      </c>
      <c r="S376" s="12">
        <f>(INDEX(Proj[],MATCH(Std[[#This Row],[Player]],Proj[Player],0),26)-S$764)/S$765</f>
        <v>0.48460598431434737</v>
      </c>
      <c r="T3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-255.56675753504038</v>
      </c>
      <c r="U376" s="11"/>
      <c r="W376" t="str">
        <v>Drew O'Connor</v>
      </c>
      <c r="AA376" t="str">
        <v>Drew O'Connor</v>
      </c>
      <c r="AB376" t="str">
        <v>Drew O'Connor</v>
      </c>
    </row>
    <row r="377" spans="1:28" x14ac:dyDescent="0.25">
      <c r="A377" t="s">
        <v>511</v>
      </c>
      <c r="B377">
        <f>INDEX(Proj[],MATCH(Std[[#This Row],[Player]],Proj[Player],0),2)</f>
        <v>35</v>
      </c>
      <c r="C377" t="s">
        <v>103</v>
      </c>
      <c r="D377" s="75"/>
      <c r="E377" s="57"/>
      <c r="F377" t="s">
        <v>154</v>
      </c>
      <c r="G377" s="12">
        <f>(INDEX(Proj[],MATCH(Std[[#This Row],[Player]],Proj[Player],0),14)-G$764)/G$765</f>
        <v>-2.8682043834889943E-2</v>
      </c>
      <c r="H377" s="12">
        <f>(INDEX(Proj[],MATCH(Std[[#This Row],[Player]],Proj[Player],0),15)-H$764)/H$765</f>
        <v>-0.29002249855830886</v>
      </c>
      <c r="I377" s="12">
        <f>(INDEX(Proj[],MATCH(Std[[#This Row],[Player]],Proj[Player],0),16)-I$764)/I$765</f>
        <v>-0.19666670571906017</v>
      </c>
      <c r="J377" s="12">
        <f>(INDEX(Proj[],MATCH(Std[[#This Row],[Player]],Proj[Player],0),17)-J$764)/J$765</f>
        <v>0.12203405152491688</v>
      </c>
      <c r="K377" s="12">
        <f>(INDEX(Proj[],MATCH(Std[[#This Row],[Player]],Proj[Player],0),18)-K$764)/K$765</f>
        <v>1.1837065998320361E-2</v>
      </c>
      <c r="L377" s="12">
        <f>(INDEX(Proj[],MATCH(Std[[#This Row],[Player]],Proj[Player],0),19)-L$764)/L$765</f>
        <v>5.3433155352631455E-2</v>
      </c>
      <c r="M377" s="12">
        <f>(INDEX(Proj[],MATCH(Std[[#This Row],[Player]],Proj[Player],0),20)-M$764)/M$765</f>
        <v>-0.71308883245737775</v>
      </c>
      <c r="N377" s="12">
        <f>(INDEX(Proj[],MATCH(Std[[#This Row],[Player]],Proj[Player],0),21)-N$764)/N$765</f>
        <v>-1.138219226312345</v>
      </c>
      <c r="O377" s="12">
        <f>(INDEX(Proj[],MATCH(Std[[#This Row],[Player]],Proj[Player],0),22)-O$764)/O$765</f>
        <v>-0.77655224944078916</v>
      </c>
      <c r="P377" s="12">
        <f>((INDEX(Proj[],MATCH(Std[[#This Row],[Player]],Proj[Player],0),23)-P$764)/P$765)*IF('League Inputs'!$C$23 = "Yes",-1, 1)</f>
        <v>-0.34889420202478</v>
      </c>
      <c r="Q377" s="12">
        <f>(INDEX(Proj[],MATCH(Std[[#This Row],[Player]],Proj[Player],0),24)-Q$764)/Q$765</f>
        <v>-0.48066273916635632</v>
      </c>
      <c r="R377" s="12">
        <f>(INDEX(Proj[],MATCH(Std[[#This Row],[Player]],Proj[Player],0),25)-R$764)/R$765</f>
        <v>-0.4891124960344021</v>
      </c>
      <c r="S377" s="12">
        <f>(INDEX(Proj[],MATCH(Std[[#This Row],[Player]],Proj[Player],0),26)-S$764)/S$765</f>
        <v>-0.29389132813531582</v>
      </c>
      <c r="T3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-350.01578378392139</v>
      </c>
      <c r="U377" s="11"/>
      <c r="W377" t="str">
        <v>Mike Hoffman</v>
      </c>
      <c r="AA377" t="str">
        <v>Mike Hoffman</v>
      </c>
      <c r="AB377" t="str">
        <v>Mike Hoffman</v>
      </c>
    </row>
    <row r="378" spans="1:28" x14ac:dyDescent="0.25">
      <c r="A378" t="s">
        <v>1014</v>
      </c>
      <c r="B378">
        <f>INDEX(Proj[],MATCH(Std[[#This Row],[Player]],Proj[Player],0),2)</f>
        <v>24</v>
      </c>
      <c r="C378" t="s">
        <v>103</v>
      </c>
      <c r="D378" s="75"/>
      <c r="E378" s="57"/>
      <c r="F378" t="s">
        <v>21</v>
      </c>
      <c r="G378" s="12">
        <f>(INDEX(Proj[],MATCH(Std[[#This Row],[Player]],Proj[Player],0),14)-G$764)/G$765</f>
        <v>0.60512116871170385</v>
      </c>
      <c r="H378" s="12">
        <f>(INDEX(Proj[],MATCH(Std[[#This Row],[Player]],Proj[Player],0),15)-H$764)/H$765</f>
        <v>-0.73719810048790013</v>
      </c>
      <c r="I378" s="12">
        <f>(INDEX(Proj[],MATCH(Std[[#This Row],[Player]],Proj[Player],0),16)-I$764)/I$765</f>
        <v>-0.19666670571906017</v>
      </c>
      <c r="J378" s="12">
        <f>(INDEX(Proj[],MATCH(Std[[#This Row],[Player]],Proj[Player],0),17)-J$764)/J$765</f>
        <v>0.12203405152491688</v>
      </c>
      <c r="K378" s="12">
        <f>(INDEX(Proj[],MATCH(Std[[#This Row],[Player]],Proj[Player],0),18)-K$764)/K$765</f>
        <v>-0.45042076997056774</v>
      </c>
      <c r="L378" s="12">
        <f>(INDEX(Proj[],MATCH(Std[[#This Row],[Player]],Proj[Player],0),19)-L$764)/L$765</f>
        <v>-0.27278273918567114</v>
      </c>
      <c r="M378" s="12">
        <f>(INDEX(Proj[],MATCH(Std[[#This Row],[Player]],Proj[Player],0),20)-M$764)/M$765</f>
        <v>-0.71308883245737775</v>
      </c>
      <c r="N378" s="12">
        <f>(INDEX(Proj[],MATCH(Std[[#This Row],[Player]],Proj[Player],0),21)-N$764)/N$765</f>
        <v>-1.1575989596606937</v>
      </c>
      <c r="O378" s="12">
        <f>(INDEX(Proj[],MATCH(Std[[#This Row],[Player]],Proj[Player],0),22)-O$764)/O$765</f>
        <v>-0.77655224944078916</v>
      </c>
      <c r="P378" s="12">
        <f>((INDEX(Proj[],MATCH(Std[[#This Row],[Player]],Proj[Player],0),23)-P$764)/P$765)*IF('League Inputs'!$C$23 = "Yes",-1, 1)</f>
        <v>-0.76775217071000623</v>
      </c>
      <c r="Q378" s="12">
        <f>(INDEX(Proj[],MATCH(Std[[#This Row],[Player]],Proj[Player],0),24)-Q$764)/Q$765</f>
        <v>-0.47533231851932412</v>
      </c>
      <c r="R378" s="12">
        <f>(INDEX(Proj[],MATCH(Std[[#This Row],[Player]],Proj[Player],0),25)-R$764)/R$765</f>
        <v>-0.51748808651434475</v>
      </c>
      <c r="S378" s="12">
        <f>(INDEX(Proj[],MATCH(Std[[#This Row],[Player]],Proj[Player],0),26)-S$764)/S$765</f>
        <v>0.14401341011761973</v>
      </c>
      <c r="T3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-363.47486648941214</v>
      </c>
      <c r="U378" s="11"/>
      <c r="W378" t="str">
        <v>Pavel Dorofeyev</v>
      </c>
      <c r="AA378" t="str">
        <v>Pavel Dorofeyev</v>
      </c>
      <c r="AB378" t="str">
        <v>Pavel Dorofeyev</v>
      </c>
    </row>
    <row r="379" spans="1:28" x14ac:dyDescent="0.25">
      <c r="A379" t="s">
        <v>589</v>
      </c>
      <c r="B379">
        <f>INDEX(Proj[],MATCH(Std[[#This Row],[Player]],Proj[Player],0),2)</f>
        <v>34</v>
      </c>
      <c r="C379" t="s">
        <v>102</v>
      </c>
      <c r="D379" s="75" t="s">
        <v>103</v>
      </c>
      <c r="E379" s="56"/>
      <c r="F379" t="s">
        <v>156</v>
      </c>
      <c r="G379" s="12">
        <f>(INDEX(Proj[],MATCH(Std[[#This Row],[Player]],Proj[Player],0),14)-G$764)/G$765</f>
        <v>-2.8682043834889943E-2</v>
      </c>
      <c r="H379" s="12">
        <f>(INDEX(Proj[],MATCH(Std[[#This Row],[Player]],Proj[Player],0),15)-H$764)/H$765</f>
        <v>-0.29002249855830886</v>
      </c>
      <c r="I379" s="12">
        <f>(INDEX(Proj[],MATCH(Std[[#This Row],[Player]],Proj[Player],0),16)-I$764)/I$765</f>
        <v>-0.19666670571906017</v>
      </c>
      <c r="J379" s="12">
        <f>(INDEX(Proj[],MATCH(Std[[#This Row],[Player]],Proj[Player],0),17)-J$764)/J$765</f>
        <v>-0.46669252292436259</v>
      </c>
      <c r="K379" s="12">
        <f>(INDEX(Proj[],MATCH(Std[[#This Row],[Player]],Proj[Player],0),18)-K$764)/K$765</f>
        <v>-0.60450671529353051</v>
      </c>
      <c r="L379" s="12">
        <f>(INDEX(Proj[],MATCH(Std[[#This Row],[Player]],Proj[Player],0),19)-L$764)/L$765</f>
        <v>-0.59899863372397377</v>
      </c>
      <c r="M379" s="12">
        <f>(INDEX(Proj[],MATCH(Std[[#This Row],[Player]],Proj[Player],0),20)-M$764)/M$765</f>
        <v>-0.71308883245737775</v>
      </c>
      <c r="N379" s="12">
        <f>(INDEX(Proj[],MATCH(Std[[#This Row],[Player]],Proj[Player],0),21)-N$764)/N$765</f>
        <v>-0.71186509264867659</v>
      </c>
      <c r="O379" s="12">
        <f>(INDEX(Proj[],MATCH(Std[[#This Row],[Player]],Proj[Player],0),22)-O$764)/O$765</f>
        <v>-0.75333624610160344</v>
      </c>
      <c r="P379" s="12">
        <f>((INDEX(Proj[],MATCH(Std[[#This Row],[Player]],Proj[Player],0),23)-P$764)/P$765)*IF('League Inputs'!$C$23 = "Yes",-1, 1)</f>
        <v>-0.62813284781493084</v>
      </c>
      <c r="Q379" s="12">
        <f>(INDEX(Proj[],MATCH(Std[[#This Row],[Player]],Proj[Player],0),24)-Q$764)/Q$765</f>
        <v>-0.5019844217544851</v>
      </c>
      <c r="R379" s="12">
        <f>(INDEX(Proj[],MATCH(Std[[#This Row],[Player]],Proj[Player],0),25)-R$764)/R$765</f>
        <v>-0.4891124960344021</v>
      </c>
      <c r="S379" s="12">
        <f>(INDEX(Proj[],MATCH(Std[[#This Row],[Player]],Proj[Player],0),26)-S$764)/S$765</f>
        <v>-0.43985957421962762</v>
      </c>
      <c r="T3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-414.95480643755565</v>
      </c>
      <c r="U379" s="11"/>
      <c r="W379" t="str">
        <v>Tomas Tatar</v>
      </c>
      <c r="AA379" t="str">
        <v>Tomas Tatar</v>
      </c>
      <c r="AB379" t="str">
        <v>Tomas Tatar</v>
      </c>
    </row>
    <row r="380" spans="1:28" x14ac:dyDescent="0.25">
      <c r="A380" t="s">
        <v>270</v>
      </c>
      <c r="B380">
        <f>INDEX(Proj[],MATCH(Std[[#This Row],[Player]],Proj[Player],0),2)</f>
        <v>30</v>
      </c>
      <c r="C380" t="s">
        <v>74</v>
      </c>
      <c r="D380" s="75" t="s">
        <v>102</v>
      </c>
      <c r="E380" s="57"/>
      <c r="F380" t="s">
        <v>17</v>
      </c>
      <c r="G380" s="12">
        <f>(INDEX(Proj[],MATCH(Std[[#This Row],[Player]],Proj[Player],0),14)-G$764)/G$765</f>
        <v>-0.66248525638148381</v>
      </c>
      <c r="H380" s="12">
        <f>(INDEX(Proj[],MATCH(Std[[#This Row],[Player]],Proj[Player],0),15)-H$764)/H$765</f>
        <v>8.262383638301718E-2</v>
      </c>
      <c r="I380" s="12">
        <f>(INDEX(Proj[],MATCH(Std[[#This Row],[Player]],Proj[Player],0),16)-I$764)/I$765</f>
        <v>-0.24390926468116342</v>
      </c>
      <c r="J380" s="12">
        <f>(INDEX(Proj[],MATCH(Std[[#This Row],[Player]],Proj[Player],0),17)-J$764)/J$765</f>
        <v>-0.46669252292436259</v>
      </c>
      <c r="K380" s="12">
        <f>(INDEX(Proj[],MATCH(Std[[#This Row],[Player]],Proj[Player],0),18)-K$764)/K$765</f>
        <v>-0.45042076997056774</v>
      </c>
      <c r="L380" s="12">
        <f>(INDEX(Proj[],MATCH(Std[[#This Row],[Player]],Proj[Player],0),19)-L$764)/L$765</f>
        <v>-0.49026000221120619</v>
      </c>
      <c r="M380" s="12">
        <f>(INDEX(Proj[],MATCH(Std[[#This Row],[Player]],Proj[Player],0),20)-M$764)/M$765</f>
        <v>1.3378904761343182</v>
      </c>
      <c r="N380" s="12">
        <f>(INDEX(Proj[],MATCH(Std[[#This Row],[Player]],Proj[Player],0),21)-N$764)/N$765</f>
        <v>2.1369557095585625</v>
      </c>
      <c r="O380" s="12">
        <f>(INDEX(Proj[],MATCH(Std[[#This Row],[Player]],Proj[Player],0),22)-O$764)/O$765</f>
        <v>3.216600324899153</v>
      </c>
      <c r="P380" s="12">
        <f>((INDEX(Proj[],MATCH(Std[[#This Row],[Player]],Proj[Player],0),23)-P$764)/P$765)*IF('League Inputs'!$C$23 = "Yes",-1, 1)</f>
        <v>1.559236544207917</v>
      </c>
      <c r="Q380" s="12">
        <f>(INDEX(Proj[],MATCH(Std[[#This Row],[Player]],Proj[Player],0),24)-Q$764)/Q$765</f>
        <v>-0.5766103108129359</v>
      </c>
      <c r="R380" s="12">
        <f>(INDEX(Proj[],MATCH(Std[[#This Row],[Player]],Proj[Player],0),25)-R$764)/R$765</f>
        <v>-0.62531533033812681</v>
      </c>
      <c r="S380" s="12">
        <f>(INDEX(Proj[],MATCH(Std[[#This Row],[Player]],Proj[Player],0),26)-S$764)/S$765</f>
        <v>0.63057423039865923</v>
      </c>
      <c r="T3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565.27258113605205</v>
      </c>
      <c r="U380" s="11"/>
      <c r="W380" t="str">
        <v>Jacob Trouba</v>
      </c>
      <c r="AA380" t="str">
        <v>Jacob Trouba</v>
      </c>
      <c r="AB380" t="str">
        <v>Jacob Trouba</v>
      </c>
    </row>
    <row r="381" spans="1:28" x14ac:dyDescent="0.25">
      <c r="A381" t="s">
        <v>408</v>
      </c>
      <c r="B381">
        <f>INDEX(Proj[],MATCH(Std[[#This Row],[Player]],Proj[Player],0),2)</f>
        <v>30</v>
      </c>
      <c r="C381" t="s">
        <v>74</v>
      </c>
      <c r="D381" s="75" t="s">
        <v>103</v>
      </c>
      <c r="E381" s="56"/>
      <c r="F381" t="s">
        <v>18</v>
      </c>
      <c r="G381" s="12">
        <f>(INDEX(Proj[],MATCH(Std[[#This Row],[Player]],Proj[Player],0),14)-G$764)/G$765</f>
        <v>-0.55685138762371811</v>
      </c>
      <c r="H381" s="12">
        <f>(INDEX(Proj[],MATCH(Std[[#This Row],[Player]],Proj[Player],0),15)-H$764)/H$765</f>
        <v>8.0945693947519649E-3</v>
      </c>
      <c r="I381" s="12">
        <f>(INDEX(Proj[],MATCH(Std[[#This Row],[Player]],Proj[Player],0),16)-I$764)/I$765</f>
        <v>-0.24390926468116342</v>
      </c>
      <c r="J381" s="12">
        <f>(INDEX(Proj[],MATCH(Std[[#This Row],[Player]],Proj[Player],0),17)-J$764)/J$765</f>
        <v>-0.46669252292436259</v>
      </c>
      <c r="K381" s="12">
        <f>(INDEX(Proj[],MATCH(Std[[#This Row],[Player]],Proj[Player],0),18)-K$764)/K$765</f>
        <v>-0.29633482464760502</v>
      </c>
      <c r="L381" s="12">
        <f>(INDEX(Proj[],MATCH(Std[[#This Row],[Player]],Proj[Player],0),19)-L$764)/L$765</f>
        <v>-0.38152137069843867</v>
      </c>
      <c r="M381" s="12">
        <f>(INDEX(Proj[],MATCH(Std[[#This Row],[Player]],Proj[Player],0),20)-M$764)/M$765</f>
        <v>1.3378904761343182</v>
      </c>
      <c r="N381" s="12">
        <f>(INDEX(Proj[],MATCH(Std[[#This Row],[Player]],Proj[Player],0),21)-N$764)/N$765</f>
        <v>0.37339997485884308</v>
      </c>
      <c r="O381" s="12">
        <f>(INDEX(Proj[],MATCH(Std[[#This Row],[Player]],Proj[Player],0),22)-O$764)/O$765</f>
        <v>1.6843441045128962</v>
      </c>
      <c r="P381" s="12">
        <f>((INDEX(Proj[],MATCH(Std[[#This Row],[Player]],Proj[Player],0),23)-P$764)/P$765)*IF('League Inputs'!$C$23 = "Yes",-1, 1)</f>
        <v>0.53536150964403084</v>
      </c>
      <c r="Q381" s="12">
        <f>(INDEX(Proj[],MATCH(Std[[#This Row],[Player]],Proj[Player],0),24)-Q$764)/Q$765</f>
        <v>-0.5766103108129359</v>
      </c>
      <c r="R381" s="12">
        <f>(INDEX(Proj[],MATCH(Std[[#This Row],[Player]],Proj[Player],0),25)-R$764)/R$765</f>
        <v>-0.62531533033812681</v>
      </c>
      <c r="S381" s="12">
        <f>(INDEX(Proj[],MATCH(Std[[#This Row],[Player]],Proj[Player],0),26)-S$764)/S$765</f>
        <v>0.27376296219256357</v>
      </c>
      <c r="T3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111.60707867868295</v>
      </c>
      <c r="U381" s="11"/>
      <c r="W381" t="str">
        <v>Sean Walker</v>
      </c>
      <c r="AA381" t="str">
        <v>Sean Walker</v>
      </c>
      <c r="AB381" t="str">
        <v>Sean Walker</v>
      </c>
    </row>
    <row r="382" spans="1:28" x14ac:dyDescent="0.25">
      <c r="A382" t="s">
        <v>1177</v>
      </c>
      <c r="B382">
        <f>INDEX(Proj[],MATCH(Std[[#This Row],[Player]],Proj[Player],0),2)</f>
        <v>21</v>
      </c>
      <c r="C382" t="s">
        <v>74</v>
      </c>
      <c r="D382" s="75" t="s">
        <v>103</v>
      </c>
      <c r="E382" s="57"/>
      <c r="F382" t="s">
        <v>9</v>
      </c>
      <c r="G382" s="12">
        <f>(INDEX(Proj[],MATCH(Std[[#This Row],[Player]],Proj[Player],0),14)-G$764)/G$765</f>
        <v>-0.873752993897015</v>
      </c>
      <c r="H382" s="12">
        <f>(INDEX(Proj[],MATCH(Std[[#This Row],[Player]],Proj[Player],0),15)-H$764)/H$765</f>
        <v>0.23168237035954761</v>
      </c>
      <c r="I382" s="12">
        <f>(INDEX(Proj[],MATCH(Std[[#This Row],[Player]],Proj[Player],0),16)-I$764)/I$765</f>
        <v>-0.24390926468116342</v>
      </c>
      <c r="J382" s="12">
        <f>(INDEX(Proj[],MATCH(Std[[#This Row],[Player]],Proj[Player],0),17)-J$764)/J$765</f>
        <v>-0.46669252292436259</v>
      </c>
      <c r="K382" s="12">
        <f>(INDEX(Proj[],MATCH(Std[[#This Row],[Player]],Proj[Player],0),18)-K$764)/K$765</f>
        <v>0.32000895664424578</v>
      </c>
      <c r="L382" s="12">
        <f>(INDEX(Proj[],MATCH(Std[[#This Row],[Player]],Proj[Player],0),19)-L$764)/L$765</f>
        <v>5.3433155352631455E-2</v>
      </c>
      <c r="M382" s="12">
        <f>(INDEX(Proj[],MATCH(Std[[#This Row],[Player]],Proj[Player],0),20)-M$764)/M$765</f>
        <v>-0.71308883245737775</v>
      </c>
      <c r="N382" s="12">
        <f>(INDEX(Proj[],MATCH(Std[[#This Row],[Player]],Proj[Player],0),21)-N$764)/N$765</f>
        <v>-0.69248535930032806</v>
      </c>
      <c r="O382" s="12">
        <f>(INDEX(Proj[],MATCH(Std[[#This Row],[Player]],Proj[Player],0),22)-O$764)/O$765</f>
        <v>0.84856798430221059</v>
      </c>
      <c r="P382" s="12">
        <f>((INDEX(Proj[],MATCH(Std[[#This Row],[Player]],Proj[Player],0),23)-P$764)/P$765)*IF('League Inputs'!$C$23 = "Yes",-1, 1)</f>
        <v>0.58190128394238927</v>
      </c>
      <c r="Q382" s="12">
        <f>(INDEX(Proj[],MATCH(Std[[#This Row],[Player]],Proj[Player],0),24)-Q$764)/Q$765</f>
        <v>-0.5766103108129359</v>
      </c>
      <c r="R382" s="12">
        <f>(INDEX(Proj[],MATCH(Std[[#This Row],[Player]],Proj[Player],0),25)-R$764)/R$765</f>
        <v>-0.62531533033812681</v>
      </c>
      <c r="S382" s="12">
        <f>(INDEX(Proj[],MATCH(Std[[#This Row],[Player]],Proj[Player],0),26)-S$764)/S$765</f>
        <v>-0.26145394011657985</v>
      </c>
      <c r="T3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-93.262707485124324</v>
      </c>
      <c r="U382" s="11"/>
      <c r="W382" t="str">
        <v>David Jiricek</v>
      </c>
      <c r="AA382" t="str">
        <v>David Jiricek</v>
      </c>
      <c r="AB382" t="str">
        <v>David Jiricek</v>
      </c>
    </row>
    <row r="383" spans="1:28" x14ac:dyDescent="0.25">
      <c r="A383" t="s">
        <v>427</v>
      </c>
      <c r="B383">
        <f>INDEX(Proj[],MATCH(Std[[#This Row],[Player]],Proj[Player],0),2)</f>
        <v>30</v>
      </c>
      <c r="C383" t="s">
        <v>74</v>
      </c>
      <c r="D383" s="75" t="s">
        <v>103</v>
      </c>
      <c r="E383" s="56"/>
      <c r="F383" t="s">
        <v>23</v>
      </c>
      <c r="G383" s="12">
        <f>(INDEX(Proj[],MATCH(Std[[#This Row],[Player]],Proj[Player],0),14)-G$764)/G$765</f>
        <v>-0.7681191251392494</v>
      </c>
      <c r="H383" s="12">
        <f>(INDEX(Proj[],MATCH(Std[[#This Row],[Player]],Proj[Player],0),15)-H$764)/H$765</f>
        <v>0.15715310337128238</v>
      </c>
      <c r="I383" s="12">
        <f>(INDEX(Proj[],MATCH(Std[[#This Row],[Player]],Proj[Player],0),16)-I$764)/I$765</f>
        <v>-0.24390926468116342</v>
      </c>
      <c r="J383" s="12">
        <f>(INDEX(Proj[],MATCH(Std[[#This Row],[Player]],Proj[Player],0),17)-J$764)/J$765</f>
        <v>-0.46669252292436259</v>
      </c>
      <c r="K383" s="12">
        <f>(INDEX(Proj[],MATCH(Std[[#This Row],[Player]],Proj[Player],0),18)-K$764)/K$765</f>
        <v>0.16592301132128306</v>
      </c>
      <c r="L383" s="12">
        <f>(INDEX(Proj[],MATCH(Std[[#This Row],[Player]],Proj[Player],0),19)-L$764)/L$765</f>
        <v>-5.5305476160136084E-2</v>
      </c>
      <c r="M383" s="12">
        <f>(INDEX(Proj[],MATCH(Std[[#This Row],[Player]],Proj[Player],0),20)-M$764)/M$765</f>
        <v>0.31240082183847029</v>
      </c>
      <c r="N383" s="12">
        <f>(INDEX(Proj[],MATCH(Std[[#This Row],[Player]],Proj[Player],0),21)-N$764)/N$765</f>
        <v>-1.0607002929189508</v>
      </c>
      <c r="O383" s="12">
        <f>(INDEX(Proj[],MATCH(Std[[#This Row],[Player]],Proj[Player],0),22)-O$764)/O$765</f>
        <v>1.2896720477467392</v>
      </c>
      <c r="P383" s="12">
        <f>((INDEX(Proj[],MATCH(Std[[#This Row],[Player]],Proj[Player],0),23)-P$764)/P$765)*IF('League Inputs'!$C$23 = "Yes",-1, 1)</f>
        <v>-0.1161953305329877</v>
      </c>
      <c r="Q383" s="12">
        <f>(INDEX(Proj[],MATCH(Std[[#This Row],[Player]],Proj[Player],0),24)-Q$764)/Q$765</f>
        <v>-0.5766103108129359</v>
      </c>
      <c r="R383" s="12">
        <f>(INDEX(Proj[],MATCH(Std[[#This Row],[Player]],Proj[Player],0),25)-R$764)/R$765</f>
        <v>-0.62531533033812681</v>
      </c>
      <c r="S383" s="12">
        <f>(INDEX(Proj[],MATCH(Std[[#This Row],[Player]],Proj[Player],0),26)-S$764)/S$765</f>
        <v>0.11157602209888376</v>
      </c>
      <c r="T3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-126.24386270285181</v>
      </c>
      <c r="U383" s="11"/>
      <c r="W383" t="str">
        <v>Brett Pesce</v>
      </c>
      <c r="AA383" t="str">
        <v>Brett Pesce</v>
      </c>
      <c r="AB383" t="str">
        <v>Brett Pesce</v>
      </c>
    </row>
    <row r="384" spans="1:28" x14ac:dyDescent="0.25">
      <c r="A384" t="s">
        <v>503</v>
      </c>
      <c r="B384">
        <f>INDEX(Proj[],MATCH(Std[[#This Row],[Player]],Proj[Player],0),2)</f>
        <v>22</v>
      </c>
      <c r="C384" t="s">
        <v>102</v>
      </c>
      <c r="D384" s="75" t="s">
        <v>103</v>
      </c>
      <c r="E384" s="57"/>
      <c r="F384" t="s">
        <v>17</v>
      </c>
      <c r="G384" s="12">
        <f>(INDEX(Proj[],MATCH(Std[[#This Row],[Player]],Proj[Player],0),14)-G$764)/G$765</f>
        <v>-0.66248525638148381</v>
      </c>
      <c r="H384" s="12">
        <f>(INDEX(Proj[],MATCH(Std[[#This Row],[Player]],Proj[Player],0),15)-H$764)/H$765</f>
        <v>8.262383638301718E-2</v>
      </c>
      <c r="I384" s="12">
        <f>(INDEX(Proj[],MATCH(Std[[#This Row],[Player]],Proj[Player],0),16)-I$764)/I$765</f>
        <v>-0.24390926468116342</v>
      </c>
      <c r="J384" s="12">
        <f>(INDEX(Proj[],MATCH(Std[[#This Row],[Player]],Proj[Player],0),17)-J$764)/J$765</f>
        <v>-0.17232923569972286</v>
      </c>
      <c r="K384" s="12">
        <f>(INDEX(Proj[],MATCH(Std[[#This Row],[Player]],Proj[Player],0),18)-K$764)/K$765</f>
        <v>0.32000895664424578</v>
      </c>
      <c r="L384" s="12">
        <f>(INDEX(Proj[],MATCH(Std[[#This Row],[Player]],Proj[Player],0),19)-L$764)/L$765</f>
        <v>0.16217178686539899</v>
      </c>
      <c r="M384" s="12">
        <f>(INDEX(Proj[],MATCH(Std[[#This Row],[Player]],Proj[Player],0),20)-M$764)/M$765</f>
        <v>-0.71308883245737775</v>
      </c>
      <c r="N384" s="12">
        <f>(INDEX(Proj[],MATCH(Std[[#This Row],[Player]],Proj[Player],0),21)-N$764)/N$765</f>
        <v>-0.6537258926036309</v>
      </c>
      <c r="O384" s="12">
        <f>(INDEX(Proj[],MATCH(Std[[#This Row],[Player]],Proj[Player],0),22)-O$764)/O$765</f>
        <v>0.70927196426709627</v>
      </c>
      <c r="P384" s="12">
        <f>((INDEX(Proj[],MATCH(Std[[#This Row],[Player]],Proj[Player],0),23)-P$764)/P$765)*IF('League Inputs'!$C$23 = "Yes",-1, 1)</f>
        <v>-0.72121239641164769</v>
      </c>
      <c r="Q384" s="12">
        <f>(INDEX(Proj[],MATCH(Std[[#This Row],[Player]],Proj[Player],0),24)-Q$764)/Q$765</f>
        <v>-0.5766103108129359</v>
      </c>
      <c r="R384" s="12">
        <f>(INDEX(Proj[],MATCH(Std[[#This Row],[Player]],Proj[Player],0),25)-R$764)/R$765</f>
        <v>-0.62531533033812681</v>
      </c>
      <c r="S384" s="12">
        <f>(INDEX(Proj[],MATCH(Std[[#This Row],[Player]],Proj[Player],0),26)-S$764)/S$765</f>
        <v>-1.8173529976060102E-2</v>
      </c>
      <c r="T3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-192.20490633514095</v>
      </c>
      <c r="U384" s="11"/>
      <c r="W384" t="str">
        <v>Jamie Drysdale</v>
      </c>
      <c r="AA384" t="str">
        <v>Jamie Drysdale</v>
      </c>
      <c r="AB384" t="str">
        <v>Jamie Drysdale</v>
      </c>
    </row>
    <row r="385" spans="1:28" x14ac:dyDescent="0.25">
      <c r="A385" t="s">
        <v>426</v>
      </c>
      <c r="B385">
        <f>INDEX(Proj[],MATCH(Std[[#This Row],[Player]],Proj[Player],0),2)</f>
        <v>33</v>
      </c>
      <c r="C385" t="s">
        <v>74</v>
      </c>
      <c r="D385" s="75"/>
      <c r="E385" s="56"/>
      <c r="F385" t="s">
        <v>13</v>
      </c>
      <c r="G385" s="12">
        <f>(INDEX(Proj[],MATCH(Std[[#This Row],[Player]],Proj[Player],0),14)-G$764)/G$765</f>
        <v>0.28821956243840696</v>
      </c>
      <c r="H385" s="12">
        <f>(INDEX(Proj[],MATCH(Std[[#This Row],[Player]],Proj[Player],0),15)-H$764)/H$765</f>
        <v>-0.58813956651136978</v>
      </c>
      <c r="I385" s="12">
        <f>(INDEX(Proj[],MATCH(Std[[#This Row],[Player]],Proj[Player],0),16)-I$764)/I$765</f>
        <v>-0.24390926468116342</v>
      </c>
      <c r="J385" s="12">
        <f>(INDEX(Proj[],MATCH(Std[[#This Row],[Player]],Proj[Player],0),17)-J$764)/J$765</f>
        <v>-0.76105581014900237</v>
      </c>
      <c r="K385" s="12">
        <f>(INDEX(Proj[],MATCH(Std[[#This Row],[Player]],Proj[Player],0),18)-K$764)/K$765</f>
        <v>-0.75859266061649311</v>
      </c>
      <c r="L385" s="12">
        <f>(INDEX(Proj[],MATCH(Std[[#This Row],[Player]],Proj[Player],0),19)-L$764)/L$765</f>
        <v>-0.81647589674950882</v>
      </c>
      <c r="M385" s="12">
        <f>(INDEX(Proj[],MATCH(Std[[#This Row],[Player]],Proj[Player],0),20)-M$764)/M$765</f>
        <v>2.3633801304301665</v>
      </c>
      <c r="N385" s="12">
        <f>(INDEX(Proj[],MATCH(Std[[#This Row],[Player]],Proj[Player],0),21)-N$764)/N$765</f>
        <v>1.7881205092882884</v>
      </c>
      <c r="O385" s="12">
        <f>(INDEX(Proj[],MATCH(Std[[#This Row],[Player]],Proj[Player],0),22)-O$764)/O$765</f>
        <v>0.1985198908050107</v>
      </c>
      <c r="P385" s="12">
        <f>((INDEX(Proj[],MATCH(Std[[#This Row],[Player]],Proj[Player],0),23)-P$764)/P$765)*IF('League Inputs'!$C$23 = "Yes",-1, 1)</f>
        <v>0.48882173534567236</v>
      </c>
      <c r="Q385" s="12">
        <f>(INDEX(Proj[],MATCH(Std[[#This Row],[Player]],Proj[Player],0),24)-Q$764)/Q$765</f>
        <v>-0.5019844217544851</v>
      </c>
      <c r="R385" s="12">
        <f>(INDEX(Proj[],MATCH(Std[[#This Row],[Player]],Proj[Player],0),25)-R$764)/R$765</f>
        <v>-0.47208714174643651</v>
      </c>
      <c r="S385" s="12">
        <f>(INDEX(Proj[],MATCH(Std[[#This Row],[Player]],Proj[Player],0),26)-S$764)/S$765</f>
        <v>-0.29389132813531582</v>
      </c>
      <c r="T3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31.928122004553554</v>
      </c>
      <c r="U385" s="11"/>
      <c r="W385" t="str">
        <v>Brandon Tanev</v>
      </c>
      <c r="AA385" t="str">
        <v>Brandon Tanev</v>
      </c>
      <c r="AB385" t="str">
        <v>Brandon Tanev</v>
      </c>
    </row>
    <row r="386" spans="1:28" x14ac:dyDescent="0.25">
      <c r="A386" t="s">
        <v>539</v>
      </c>
      <c r="B386">
        <f>INDEX(Proj[],MATCH(Std[[#This Row],[Player]],Proj[Player],0),2)</f>
        <v>24</v>
      </c>
      <c r="C386" t="s">
        <v>74</v>
      </c>
      <c r="D386" s="75" t="s">
        <v>103</v>
      </c>
      <c r="E386" s="56"/>
      <c r="F386" t="s">
        <v>16</v>
      </c>
      <c r="G386" s="12">
        <f>(INDEX(Proj[],MATCH(Std[[#This Row],[Player]],Proj[Player],0),14)-G$764)/G$765</f>
        <v>-0.55685138762371811</v>
      </c>
      <c r="H386" s="12">
        <f>(INDEX(Proj[],MATCH(Std[[#This Row],[Player]],Proj[Player],0),15)-H$764)/H$765</f>
        <v>8.0945693947519649E-3</v>
      </c>
      <c r="I386" s="12">
        <f>(INDEX(Proj[],MATCH(Std[[#This Row],[Player]],Proj[Player],0),16)-I$764)/I$765</f>
        <v>-0.24390926468116342</v>
      </c>
      <c r="J386" s="12">
        <f>(INDEX(Proj[],MATCH(Std[[#This Row],[Player]],Proj[Player],0),17)-J$764)/J$765</f>
        <v>-0.17232923569972286</v>
      </c>
      <c r="K386" s="12">
        <f>(INDEX(Proj[],MATCH(Std[[#This Row],[Player]],Proj[Player],0),18)-K$764)/K$765</f>
        <v>0.47409490196720849</v>
      </c>
      <c r="L386" s="12">
        <f>(INDEX(Proj[],MATCH(Std[[#This Row],[Player]],Proj[Player],0),19)-L$764)/L$765</f>
        <v>0.27091041837816654</v>
      </c>
      <c r="M386" s="12">
        <f>(INDEX(Proj[],MATCH(Std[[#This Row],[Player]],Proj[Player],0),20)-M$764)/M$765</f>
        <v>-0.71308883245737775</v>
      </c>
      <c r="N386" s="12">
        <f>(INDEX(Proj[],MATCH(Std[[#This Row],[Player]],Proj[Player],0),21)-N$764)/N$765</f>
        <v>-1.0413205595706023</v>
      </c>
      <c r="O386" s="12">
        <f>(INDEX(Proj[],MATCH(Std[[#This Row],[Player]],Proj[Player],0),22)-O$764)/O$765</f>
        <v>0.54675994089279634</v>
      </c>
      <c r="P386" s="12">
        <f>((INDEX(Proj[],MATCH(Std[[#This Row],[Player]],Proj[Player],0),23)-P$764)/P$765)*IF('League Inputs'!$C$23 = "Yes",-1, 1)</f>
        <v>-1.0469908165001569</v>
      </c>
      <c r="Q386" s="12">
        <f>(INDEX(Proj[],MATCH(Std[[#This Row],[Player]],Proj[Player],0),24)-Q$764)/Q$765</f>
        <v>-0.5766103108129359</v>
      </c>
      <c r="R386" s="12">
        <f>(INDEX(Proj[],MATCH(Std[[#This Row],[Player]],Proj[Player],0),25)-R$764)/R$765</f>
        <v>-0.62531533033812681</v>
      </c>
      <c r="S386" s="12">
        <f>(INDEX(Proj[],MATCH(Std[[#This Row],[Player]],Proj[Player],0),26)-S$764)/S$765</f>
        <v>-0.40742218620089166</v>
      </c>
      <c r="T3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-304.73395967237536</v>
      </c>
      <c r="U386" s="11"/>
      <c r="W386" t="str">
        <v>Adam Boqvist</v>
      </c>
      <c r="AA386" t="str">
        <v>Adam Boqvist</v>
      </c>
      <c r="AB386" t="str">
        <v>Adam Boqvist</v>
      </c>
    </row>
    <row r="387" spans="1:28" x14ac:dyDescent="0.25">
      <c r="A387" t="s">
        <v>670</v>
      </c>
      <c r="B387">
        <f>INDEX(Proj[],MATCH(Std[[#This Row],[Player]],Proj[Player],0),2)</f>
        <v>28</v>
      </c>
      <c r="C387" t="s">
        <v>103</v>
      </c>
      <c r="D387" s="75"/>
      <c r="E387" s="57"/>
      <c r="F387" t="s">
        <v>13</v>
      </c>
      <c r="G387" s="12">
        <f>(INDEX(Proj[],MATCH(Std[[#This Row],[Player]],Proj[Player],0),14)-G$764)/G$765</f>
        <v>-2.8682043834889943E-2</v>
      </c>
      <c r="H387" s="12">
        <f>(INDEX(Proj[],MATCH(Std[[#This Row],[Player]],Proj[Player],0),15)-H$764)/H$765</f>
        <v>-0.36455176554657409</v>
      </c>
      <c r="I387" s="12">
        <f>(INDEX(Proj[],MATCH(Std[[#This Row],[Player]],Proj[Player],0),16)-I$764)/I$765</f>
        <v>-0.24390926468116342</v>
      </c>
      <c r="J387" s="12">
        <f>(INDEX(Proj[],MATCH(Std[[#This Row],[Player]],Proj[Player],0),17)-J$764)/J$765</f>
        <v>-0.76105581014900237</v>
      </c>
      <c r="K387" s="12">
        <f>(INDEX(Proj[],MATCH(Std[[#This Row],[Player]],Proj[Player],0),18)-K$764)/K$765</f>
        <v>-0.75859266061649311</v>
      </c>
      <c r="L387" s="12">
        <f>(INDEX(Proj[],MATCH(Std[[#This Row],[Player]],Proj[Player],0),19)-L$764)/L$765</f>
        <v>-0.81647589674950882</v>
      </c>
      <c r="M387" s="12">
        <f>(INDEX(Proj[],MATCH(Std[[#This Row],[Player]],Proj[Player],0),20)-M$764)/M$765</f>
        <v>2.3633801304301665</v>
      </c>
      <c r="N387" s="12">
        <f>(INDEX(Proj[],MATCH(Std[[#This Row],[Player]],Proj[Player],0),21)-N$764)/N$765</f>
        <v>-9.1713625501522511E-2</v>
      </c>
      <c r="O387" s="12">
        <f>(INDEX(Proj[],MATCH(Std[[#This Row],[Player]],Proj[Player],0),22)-O$764)/O$765</f>
        <v>-0.14972015928277496</v>
      </c>
      <c r="P387" s="12">
        <f>((INDEX(Proj[],MATCH(Std[[#This Row],[Player]],Proj[Player],0),23)-P$764)/P$765)*IF('League Inputs'!$C$23 = "Yes",-1, 1)</f>
        <v>0.25612286385388</v>
      </c>
      <c r="Q387" s="12">
        <f>(INDEX(Proj[],MATCH(Std[[#This Row],[Player]],Proj[Player],0),24)-Q$764)/Q$765</f>
        <v>-0.41136727075493779</v>
      </c>
      <c r="R387" s="12">
        <f>(INDEX(Proj[],MATCH(Std[[#This Row],[Player]],Proj[Player],0),25)-R$764)/R$765</f>
        <v>-0.40398572459457416</v>
      </c>
      <c r="S387" s="12">
        <f>(INDEX(Proj[],MATCH(Std[[#This Row],[Player]],Proj[Player],0),26)-S$764)/S$765</f>
        <v>-0.11548569403226799</v>
      </c>
      <c r="T3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-196.57828565297595</v>
      </c>
      <c r="U387" s="11"/>
      <c r="W387" t="str">
        <v>Logan O'Connor</v>
      </c>
      <c r="AA387" t="str">
        <v>Logan O'Connor</v>
      </c>
      <c r="AB387" t="str">
        <v>Logan O'Connor</v>
      </c>
    </row>
    <row r="388" spans="1:28" x14ac:dyDescent="0.25">
      <c r="A388" t="s">
        <v>1216</v>
      </c>
      <c r="B388">
        <f>INDEX(Proj[],MATCH(Std[[#This Row],[Player]],Proj[Player],0),2)</f>
        <v>22</v>
      </c>
      <c r="C388" t="s">
        <v>102</v>
      </c>
      <c r="D388" s="75" t="s">
        <v>103</v>
      </c>
      <c r="E388" s="56"/>
      <c r="F388" t="s">
        <v>11</v>
      </c>
      <c r="G388" s="12">
        <f>(INDEX(Proj[],MATCH(Std[[#This Row],[Player]],Proj[Player],0),14)-G$764)/G$765</f>
        <v>-2.8682043834889943E-2</v>
      </c>
      <c r="H388" s="12">
        <f>(INDEX(Proj[],MATCH(Std[[#This Row],[Player]],Proj[Player],0),15)-H$764)/H$765</f>
        <v>-0.36455176554657409</v>
      </c>
      <c r="I388" s="12">
        <f>(INDEX(Proj[],MATCH(Std[[#This Row],[Player]],Proj[Player],0),16)-I$764)/I$765</f>
        <v>-0.24390926468116342</v>
      </c>
      <c r="J388" s="12">
        <f>(INDEX(Proj[],MATCH(Std[[#This Row],[Player]],Proj[Player],0),17)-J$764)/J$765</f>
        <v>-0.46669252292436259</v>
      </c>
      <c r="K388" s="12">
        <f>(INDEX(Proj[],MATCH(Std[[#This Row],[Player]],Proj[Player],0),18)-K$764)/K$765</f>
        <v>-0.45042076997056774</v>
      </c>
      <c r="L388" s="12">
        <f>(INDEX(Proj[],MATCH(Std[[#This Row],[Player]],Proj[Player],0),19)-L$764)/L$765</f>
        <v>-0.49026000221120619</v>
      </c>
      <c r="M388" s="12">
        <f>(INDEX(Proj[],MATCH(Std[[#This Row],[Player]],Proj[Player],0),20)-M$764)/M$765</f>
        <v>-0.71308883245737775</v>
      </c>
      <c r="N388" s="12">
        <f>(INDEX(Proj[],MATCH(Std[[#This Row],[Player]],Proj[Player],0),21)-N$764)/N$765</f>
        <v>-0.11109335884987108</v>
      </c>
      <c r="O388" s="12">
        <f>(INDEX(Proj[],MATCH(Std[[#This Row],[Player]],Proj[Player],0),22)-O$764)/O$765</f>
        <v>-0.68368823608404627</v>
      </c>
      <c r="P388" s="12">
        <f>((INDEX(Proj[],MATCH(Std[[#This Row],[Player]],Proj[Player],0),23)-P$764)/P$765)*IF('League Inputs'!$C$23 = "Yes",-1, 1)</f>
        <v>-0.25581465342806309</v>
      </c>
      <c r="Q388" s="12">
        <f>(INDEX(Proj[],MATCH(Std[[#This Row],[Player]],Proj[Player],0),24)-Q$764)/Q$765</f>
        <v>-0.49132358046042074</v>
      </c>
      <c r="R388" s="12">
        <f>(INDEX(Proj[],MATCH(Std[[#This Row],[Player]],Proj[Player],0),25)-R$764)/R$765</f>
        <v>-0.53451344080231034</v>
      </c>
      <c r="S388" s="12">
        <f>(INDEX(Proj[],MATCH(Std[[#This Row],[Player]],Proj[Player],0),26)-S$764)/S$765</f>
        <v>-0.19657916407910792</v>
      </c>
      <c r="T3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-286.59020691753426</v>
      </c>
      <c r="U388" s="11"/>
      <c r="W388" t="str">
        <v>Mackie Samoskevich</v>
      </c>
      <c r="AA388" t="str">
        <v>Mackie Samoskevich</v>
      </c>
      <c r="AB388" t="str">
        <v>Mackie Samoskevich</v>
      </c>
    </row>
    <row r="389" spans="1:28" x14ac:dyDescent="0.25">
      <c r="A389" t="s">
        <v>604</v>
      </c>
      <c r="B389">
        <f>INDEX(Proj[],MATCH(Std[[#This Row],[Player]],Proj[Player],0),2)</f>
        <v>28</v>
      </c>
      <c r="C389" t="s">
        <v>3</v>
      </c>
      <c r="D389" s="75"/>
      <c r="E389" s="57"/>
      <c r="F389" t="s">
        <v>156</v>
      </c>
      <c r="G389" s="12">
        <f>(INDEX(Proj[],MATCH(Std[[#This Row],[Player]],Proj[Player],0),14)-G$764)/G$765</f>
        <v>-0.23994978135042122</v>
      </c>
      <c r="H389" s="12">
        <f>(INDEX(Proj[],MATCH(Std[[#This Row],[Player]],Proj[Player],0),15)-H$764)/H$765</f>
        <v>-0.21549323157004366</v>
      </c>
      <c r="I389" s="12">
        <f>(INDEX(Proj[],MATCH(Std[[#This Row],[Player]],Proj[Player],0),16)-I$764)/I$765</f>
        <v>-0.24390926468116342</v>
      </c>
      <c r="J389" s="12">
        <f>(INDEX(Proj[],MATCH(Std[[#This Row],[Player]],Proj[Player],0),17)-J$764)/J$765</f>
        <v>-0.46669252292436259</v>
      </c>
      <c r="K389" s="12">
        <f>(INDEX(Proj[],MATCH(Std[[#This Row],[Player]],Proj[Player],0),18)-K$764)/K$765</f>
        <v>-0.60450671529353051</v>
      </c>
      <c r="L389" s="12">
        <f>(INDEX(Proj[],MATCH(Std[[#This Row],[Player]],Proj[Player],0),19)-L$764)/L$765</f>
        <v>-0.59899863372397377</v>
      </c>
      <c r="M389" s="12">
        <f>(INDEX(Proj[],MATCH(Std[[#This Row],[Player]],Proj[Player],0),20)-M$764)/M$765</f>
        <v>0.31240082183847029</v>
      </c>
      <c r="N389" s="12">
        <f>(INDEX(Proj[],MATCH(Std[[#This Row],[Player]],Proj[Player],0),21)-N$764)/N$765</f>
        <v>-0.18861229224326534</v>
      </c>
      <c r="O389" s="12">
        <f>(INDEX(Proj[],MATCH(Std[[#This Row],[Player]],Proj[Player],0),22)-O$764)/O$765</f>
        <v>-0.8229842561191606</v>
      </c>
      <c r="P389" s="12">
        <f>((INDEX(Proj[],MATCH(Std[[#This Row],[Player]],Proj[Player],0),23)-P$764)/P$765)*IF('League Inputs'!$C$23 = "Yes",-1, 1)</f>
        <v>-0.86083171930672309</v>
      </c>
      <c r="Q389" s="12">
        <f>(INDEX(Proj[],MATCH(Std[[#This Row],[Player]],Proj[Player],0),24)-Q$764)/Q$765</f>
        <v>-0.46467147722525975</v>
      </c>
      <c r="R389" s="12">
        <f>(INDEX(Proj[],MATCH(Std[[#This Row],[Player]],Proj[Player],0),25)-R$764)/R$765</f>
        <v>-0.43803643317050533</v>
      </c>
      <c r="S389" s="12">
        <f>(INDEX(Proj[],MATCH(Std[[#This Row],[Player]],Proj[Player],0),26)-S$764)/S$765</f>
        <v>-0.11548569403226799</v>
      </c>
      <c r="T3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-375.09363502522791</v>
      </c>
      <c r="U389" s="11"/>
      <c r="W389" t="str">
        <v>Kasperi Kapanen</v>
      </c>
      <c r="AA389" t="str">
        <v>Kasperi Kapanen</v>
      </c>
      <c r="AB389" t="str">
        <v>Kasperi Kapanen</v>
      </c>
    </row>
    <row r="390" spans="1:28" x14ac:dyDescent="0.25">
      <c r="A390" t="s">
        <v>611</v>
      </c>
      <c r="B390">
        <f>INDEX(Proj[],MATCH(Std[[#This Row],[Player]],Proj[Player],0),2)</f>
        <v>27</v>
      </c>
      <c r="C390" t="s">
        <v>102</v>
      </c>
      <c r="D390" s="75" t="s">
        <v>103</v>
      </c>
      <c r="E390" s="56"/>
      <c r="F390" t="s">
        <v>16</v>
      </c>
      <c r="G390" s="12">
        <f>(INDEX(Proj[],MATCH(Std[[#This Row],[Player]],Proj[Player],0),14)-G$764)/G$765</f>
        <v>-0.13431591259265557</v>
      </c>
      <c r="H390" s="12">
        <f>(INDEX(Proj[],MATCH(Std[[#This Row],[Player]],Proj[Player],0),15)-H$764)/H$765</f>
        <v>-0.29002249855830886</v>
      </c>
      <c r="I390" s="12">
        <f>(INDEX(Proj[],MATCH(Std[[#This Row],[Player]],Proj[Player],0),16)-I$764)/I$765</f>
        <v>-0.24390926468116342</v>
      </c>
      <c r="J390" s="12">
        <f>(INDEX(Proj[],MATCH(Std[[#This Row],[Player]],Proj[Player],0),17)-J$764)/J$765</f>
        <v>0.12203405152491688</v>
      </c>
      <c r="K390" s="12">
        <f>(INDEX(Proj[],MATCH(Std[[#This Row],[Player]],Proj[Player],0),18)-K$764)/K$765</f>
        <v>-0.29633482464760502</v>
      </c>
      <c r="L390" s="12">
        <f>(INDEX(Proj[],MATCH(Std[[#This Row],[Player]],Proj[Player],0),19)-L$764)/L$765</f>
        <v>-0.16404410767290362</v>
      </c>
      <c r="M390" s="12">
        <f>(INDEX(Proj[],MATCH(Std[[#This Row],[Player]],Proj[Player],0),20)-M$764)/M$765</f>
        <v>-0.71308883245737775</v>
      </c>
      <c r="N390" s="12">
        <f>(INDEX(Proj[],MATCH(Std[[#This Row],[Player]],Proj[Player],0),21)-N$764)/N$765</f>
        <v>-0.47930829246849382</v>
      </c>
      <c r="O390" s="12">
        <f>(INDEX(Proj[],MATCH(Std[[#This Row],[Player]],Proj[Player],0),22)-O$764)/O$765</f>
        <v>-0.56760821938811779</v>
      </c>
      <c r="P390" s="12">
        <f>((INDEX(Proj[],MATCH(Std[[#This Row],[Player]],Proj[Player],0),23)-P$764)/P$765)*IF('League Inputs'!$C$23 = "Yes",-1, 1)</f>
        <v>-1.0004510422017985</v>
      </c>
      <c r="Q390" s="12">
        <f>(INDEX(Proj[],MATCH(Std[[#This Row],[Player]],Proj[Player],0),24)-Q$764)/Q$765</f>
        <v>-0.33674138169648699</v>
      </c>
      <c r="R390" s="12">
        <f>(INDEX(Proj[],MATCH(Std[[#This Row],[Player]],Proj[Player],0),25)-R$764)/R$765</f>
        <v>-0.36425989792265445</v>
      </c>
      <c r="S390" s="12">
        <f>(INDEX(Proj[],MATCH(Std[[#This Row],[Player]],Proj[Player],0),26)-S$764)/S$765</f>
        <v>0.32241904422066753</v>
      </c>
      <c r="T3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-289.39816750392612</v>
      </c>
      <c r="U390" s="11"/>
      <c r="W390" t="str">
        <v>Anthony Beauvillier</v>
      </c>
      <c r="AA390" t="str">
        <v>Anthony Beauvillier</v>
      </c>
      <c r="AB390" t="str">
        <v>Anthony Beauvillier</v>
      </c>
    </row>
    <row r="391" spans="1:28" x14ac:dyDescent="0.25">
      <c r="A391" t="s">
        <v>697</v>
      </c>
      <c r="B391">
        <f>INDEX(Proj[],MATCH(Std[[#This Row],[Player]],Proj[Player],0),2)</f>
        <v>30</v>
      </c>
      <c r="C391" t="s">
        <v>3</v>
      </c>
      <c r="D391" s="75"/>
      <c r="E391" s="57"/>
      <c r="F391" t="s">
        <v>2</v>
      </c>
      <c r="G391" s="12">
        <f>(INDEX(Proj[],MATCH(Std[[#This Row],[Player]],Proj[Player],0),14)-G$764)/G$765</f>
        <v>-0.45121751886595246</v>
      </c>
      <c r="H391" s="12">
        <f>(INDEX(Proj[],MATCH(Std[[#This Row],[Player]],Proj[Player],0),15)-H$764)/H$765</f>
        <v>-6.6434697593513253E-2</v>
      </c>
      <c r="I391" s="12">
        <f>(INDEX(Proj[],MATCH(Std[[#This Row],[Player]],Proj[Player],0),16)-I$764)/I$765</f>
        <v>-0.24390926468116342</v>
      </c>
      <c r="J391" s="12">
        <f>(INDEX(Proj[],MATCH(Std[[#This Row],[Player]],Proj[Player],0),17)-J$764)/J$765</f>
        <v>-0.76105581014900237</v>
      </c>
      <c r="K391" s="12">
        <f>(INDEX(Proj[],MATCH(Std[[#This Row],[Player]],Proj[Player],0),18)-K$764)/K$765</f>
        <v>-0.75859266061649311</v>
      </c>
      <c r="L391" s="12">
        <f>(INDEX(Proj[],MATCH(Std[[#This Row],[Player]],Proj[Player],0),19)-L$764)/L$765</f>
        <v>-0.81647589674950882</v>
      </c>
      <c r="M391" s="12">
        <f>(INDEX(Proj[],MATCH(Std[[#This Row],[Player]],Proj[Player],0),20)-M$764)/M$765</f>
        <v>2.3633801304301665</v>
      </c>
      <c r="N391" s="12">
        <f>(INDEX(Proj[],MATCH(Std[[#This Row],[Player]],Proj[Player],0),21)-N$764)/N$765</f>
        <v>0.19898237472370597</v>
      </c>
      <c r="O391" s="12">
        <f>(INDEX(Proj[],MATCH(Std[[#This Row],[Player]],Proj[Player],0),22)-O$764)/O$765</f>
        <v>-0.33544818599626064</v>
      </c>
      <c r="P391" s="12">
        <f>((INDEX(Proj[],MATCH(Std[[#This Row],[Player]],Proj[Player],0),23)-P$764)/P$765)*IF('League Inputs'!$C$23 = "Yes",-1, 1)</f>
        <v>-0.20927487912970463</v>
      </c>
      <c r="Q391" s="12">
        <f>(INDEX(Proj[],MATCH(Std[[#This Row],[Player]],Proj[Player],0),24)-Q$764)/Q$765</f>
        <v>1.5608883686469752</v>
      </c>
      <c r="R391" s="12">
        <f>(INDEX(Proj[],MATCH(Std[[#This Row],[Player]],Proj[Player],0),25)-R$764)/R$765</f>
        <v>1.4461027746976864</v>
      </c>
      <c r="S391" s="12">
        <f>(INDEX(Proj[],MATCH(Std[[#This Row],[Player]],Proj[Player],0),26)-S$764)/S$765</f>
        <v>-0.39120349219152373</v>
      </c>
      <c r="T3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-75.409319183694606</v>
      </c>
      <c r="U391" s="11"/>
      <c r="W391" t="str">
        <v>Teddy Blueger</v>
      </c>
      <c r="AA391" t="str">
        <v>Teddy Blueger</v>
      </c>
      <c r="AB391" t="str">
        <v>Teddy Blueger</v>
      </c>
    </row>
    <row r="392" spans="1:28" x14ac:dyDescent="0.25">
      <c r="A392" t="s">
        <v>657</v>
      </c>
      <c r="B392">
        <f>INDEX(Proj[],MATCH(Std[[#This Row],[Player]],Proj[Player],0),2)</f>
        <v>32</v>
      </c>
      <c r="C392" t="s">
        <v>74</v>
      </c>
      <c r="D392" s="75"/>
      <c r="E392" s="56"/>
      <c r="F392" t="s">
        <v>2</v>
      </c>
      <c r="G392" s="12">
        <f>(INDEX(Proj[],MATCH(Std[[#This Row],[Player]],Proj[Player],0),14)-G$764)/G$765</f>
        <v>-0.23994978135042122</v>
      </c>
      <c r="H392" s="12">
        <f>(INDEX(Proj[],MATCH(Std[[#This Row],[Player]],Proj[Player],0),15)-H$764)/H$765</f>
        <v>-0.21549323157004366</v>
      </c>
      <c r="I392" s="12">
        <f>(INDEX(Proj[],MATCH(Std[[#This Row],[Player]],Proj[Player],0),16)-I$764)/I$765</f>
        <v>-0.24390926468116342</v>
      </c>
      <c r="J392" s="12">
        <f>(INDEX(Proj[],MATCH(Std[[#This Row],[Player]],Proj[Player],0),17)-J$764)/J$765</f>
        <v>-0.17232923569972286</v>
      </c>
      <c r="K392" s="12">
        <f>(INDEX(Proj[],MATCH(Std[[#This Row],[Player]],Proj[Player],0),18)-K$764)/K$765</f>
        <v>-0.29633482464760502</v>
      </c>
      <c r="L392" s="12">
        <f>(INDEX(Proj[],MATCH(Std[[#This Row],[Player]],Proj[Player],0),19)-L$764)/L$765</f>
        <v>-0.27278273918567114</v>
      </c>
      <c r="M392" s="12">
        <f>(INDEX(Proj[],MATCH(Std[[#This Row],[Player]],Proj[Player],0),20)-M$764)/M$765</f>
        <v>-0.71308883245737775</v>
      </c>
      <c r="N392" s="12">
        <f>(INDEX(Proj[],MATCH(Std[[#This Row],[Player]],Proj[Player],0),21)-N$764)/N$765</f>
        <v>-1.002561092873905</v>
      </c>
      <c r="O392" s="12">
        <f>(INDEX(Proj[],MATCH(Std[[#This Row],[Player]],Proj[Player],0),22)-O$764)/O$765</f>
        <v>-0.4747442060313749</v>
      </c>
      <c r="P392" s="12">
        <f>((INDEX(Proj[],MATCH(Std[[#This Row],[Player]],Proj[Player],0),23)-P$764)/P$765)*IF('League Inputs'!$C$23 = "Yes",-1, 1)</f>
        <v>-0.90737149360508162</v>
      </c>
      <c r="Q392" s="12">
        <f>(INDEX(Proj[],MATCH(Std[[#This Row],[Player]],Proj[Player],0),24)-Q$764)/Q$765</f>
        <v>-0.48599315981338853</v>
      </c>
      <c r="R392" s="12">
        <f>(INDEX(Proj[],MATCH(Std[[#This Row],[Player]],Proj[Player],0),25)-R$764)/R$765</f>
        <v>-0.50613785032236769</v>
      </c>
      <c r="S392" s="12">
        <f>(INDEX(Proj[],MATCH(Std[[#This Row],[Player]],Proj[Player],0),26)-S$764)/S$765</f>
        <v>-0.47229696223836359</v>
      </c>
      <c r="T3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-431.51019313494129</v>
      </c>
      <c r="U392" s="11"/>
      <c r="W392" t="str">
        <v>Conor Sheary</v>
      </c>
      <c r="AA392" t="str">
        <v>Conor Sheary</v>
      </c>
      <c r="AB392" t="str">
        <v>Conor Sheary</v>
      </c>
    </row>
    <row r="393" spans="1:28" x14ac:dyDescent="0.25">
      <c r="A393" t="s">
        <v>295</v>
      </c>
      <c r="B393">
        <f>INDEX(Proj[],MATCH(Std[[#This Row],[Player]],Proj[Player],0),2)</f>
        <v>27</v>
      </c>
      <c r="C393" t="s">
        <v>103</v>
      </c>
      <c r="D393" s="75"/>
      <c r="E393" s="57"/>
      <c r="F393" t="s">
        <v>153</v>
      </c>
      <c r="G393" s="12">
        <f>(INDEX(Proj[],MATCH(Std[[#This Row],[Player]],Proj[Player],0),14)-G$764)/G$765</f>
        <v>7.6951824922875695E-2</v>
      </c>
      <c r="H393" s="12">
        <f>(INDEX(Proj[],MATCH(Std[[#This Row],[Player]],Proj[Player],0),15)-H$764)/H$765</f>
        <v>-0.51361029952310455</v>
      </c>
      <c r="I393" s="12">
        <f>(INDEX(Proj[],MATCH(Std[[#This Row],[Player]],Proj[Player],0),16)-I$764)/I$765</f>
        <v>-0.29115182364326664</v>
      </c>
      <c r="J393" s="12">
        <f>(INDEX(Proj[],MATCH(Std[[#This Row],[Player]],Proj[Player],0),17)-J$764)/J$765</f>
        <v>-0.17232923569972286</v>
      </c>
      <c r="K393" s="12">
        <f>(INDEX(Proj[],MATCH(Std[[#This Row],[Player]],Proj[Player],0),18)-K$764)/K$765</f>
        <v>-0.45042076997056774</v>
      </c>
      <c r="L393" s="12">
        <f>(INDEX(Proj[],MATCH(Std[[#This Row],[Player]],Proj[Player],0),19)-L$764)/L$765</f>
        <v>-0.38152137069843867</v>
      </c>
      <c r="M393" s="12">
        <f>(INDEX(Proj[],MATCH(Std[[#This Row],[Player]],Proj[Player],0),20)-M$764)/M$765</f>
        <v>0.31240082183847029</v>
      </c>
      <c r="N393" s="12">
        <f>(INDEX(Proj[],MATCH(Std[[#This Row],[Player]],Proj[Player],0),21)-N$764)/N$765</f>
        <v>3.6485749107297503</v>
      </c>
      <c r="O393" s="12">
        <f>(INDEX(Proj[],MATCH(Std[[#This Row],[Player]],Proj[Player],0),22)-O$764)/O$765</f>
        <v>-0.12650415594358927</v>
      </c>
      <c r="P393" s="12">
        <f>((INDEX(Proj[],MATCH(Std[[#This Row],[Player]],Proj[Player],0),23)-P$764)/P$765)*IF('League Inputs'!$C$23 = "Yes",-1, 1)</f>
        <v>3.6535263876340478</v>
      </c>
      <c r="Q393" s="12">
        <f>(INDEX(Proj[],MATCH(Std[[#This Row],[Player]],Proj[Player],0),24)-Q$764)/Q$765</f>
        <v>-0.3847151675197768</v>
      </c>
      <c r="R393" s="12">
        <f>(INDEX(Proj[],MATCH(Std[[#This Row],[Player]],Proj[Player],0),25)-R$764)/R$765</f>
        <v>-0.2961584807707921</v>
      </c>
      <c r="S393" s="12">
        <f>(INDEX(Proj[],MATCH(Std[[#This Row],[Player]],Proj[Player],0),26)-S$764)/S$765</f>
        <v>-0.32632871615405179</v>
      </c>
      <c r="T3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535.5221589804446</v>
      </c>
      <c r="U393" s="11"/>
      <c r="W393" t="str">
        <v>Tanner Jeannot</v>
      </c>
      <c r="AA393" t="str">
        <v>Tanner Jeannot</v>
      </c>
      <c r="AB393" t="str">
        <v>Tanner Jeannot</v>
      </c>
    </row>
    <row r="394" spans="1:28" x14ac:dyDescent="0.25">
      <c r="A394" t="s">
        <v>880</v>
      </c>
      <c r="B394">
        <f>INDEX(Proj[],MATCH(Std[[#This Row],[Player]],Proj[Player],0),2)</f>
        <v>31</v>
      </c>
      <c r="C394" t="s">
        <v>102</v>
      </c>
      <c r="D394" s="75" t="s">
        <v>103</v>
      </c>
      <c r="E394" s="57"/>
      <c r="F394" t="s">
        <v>28</v>
      </c>
      <c r="G394" s="12">
        <f>(INDEX(Proj[],MATCH(Std[[#This Row],[Player]],Proj[Player],0),14)-G$764)/G$765</f>
        <v>-0.7681191251392494</v>
      </c>
      <c r="H394" s="12">
        <f>(INDEX(Proj[],MATCH(Std[[#This Row],[Player]],Proj[Player],0),15)-H$764)/H$765</f>
        <v>8.262383638301718E-2</v>
      </c>
      <c r="I394" s="12">
        <f>(INDEX(Proj[],MATCH(Std[[#This Row],[Player]],Proj[Player],0),16)-I$764)/I$765</f>
        <v>-0.29115182364326664</v>
      </c>
      <c r="J394" s="12">
        <f>(INDEX(Proj[],MATCH(Std[[#This Row],[Player]],Proj[Player],0),17)-J$764)/J$765</f>
        <v>-0.76105581014900237</v>
      </c>
      <c r="K394" s="12">
        <f>(INDEX(Proj[],MATCH(Std[[#This Row],[Player]],Proj[Player],0),18)-K$764)/K$765</f>
        <v>-0.45042076997056774</v>
      </c>
      <c r="L394" s="12">
        <f>(INDEX(Proj[],MATCH(Std[[#This Row],[Player]],Proj[Player],0),19)-L$764)/L$765</f>
        <v>-0.59899863372397377</v>
      </c>
      <c r="M394" s="12">
        <f>(INDEX(Proj[],MATCH(Std[[#This Row],[Player]],Proj[Player],0),20)-M$764)/M$765</f>
        <v>0.31240082183847029</v>
      </c>
      <c r="N394" s="12">
        <f>(INDEX(Proj[],MATCH(Std[[#This Row],[Player]],Proj[Player],0),21)-N$764)/N$765</f>
        <v>2.0788165095135169</v>
      </c>
      <c r="O394" s="12">
        <f>(INDEX(Proj[],MATCH(Std[[#This Row],[Player]],Proj[Player],0),22)-O$764)/O$765</f>
        <v>2.0558001579398675</v>
      </c>
      <c r="P394" s="12">
        <f>((INDEX(Proj[],MATCH(Std[[#This Row],[Player]],Proj[Player],0),23)-P$764)/P$765)*IF('League Inputs'!$C$23 = "Yes",-1, 1)</f>
        <v>0.67498083253910623</v>
      </c>
      <c r="Q394" s="12">
        <f>(INDEX(Proj[],MATCH(Std[[#This Row],[Player]],Proj[Player],0),24)-Q$764)/Q$765</f>
        <v>-0.5766103108129359</v>
      </c>
      <c r="R394" s="12">
        <f>(INDEX(Proj[],MATCH(Std[[#This Row],[Player]],Proj[Player],0),25)-R$764)/R$765</f>
        <v>-0.62531533033812681</v>
      </c>
      <c r="S394" s="12">
        <f>(INDEX(Proj[],MATCH(Std[[#This Row],[Player]],Proj[Player],0),26)-S$764)/S$765</f>
        <v>-0.63448390233204344</v>
      </c>
      <c r="T3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202.28575407240385</v>
      </c>
      <c r="U394" s="11"/>
      <c r="W394" t="str">
        <v>Jake McCabe</v>
      </c>
      <c r="AA394" t="str">
        <v>Jake McCabe</v>
      </c>
      <c r="AB394" t="str">
        <v>Jake McCabe</v>
      </c>
    </row>
    <row r="395" spans="1:28" x14ac:dyDescent="0.25">
      <c r="A395" t="s">
        <v>946</v>
      </c>
      <c r="B395">
        <f>INDEX(Proj[],MATCH(Std[[#This Row],[Player]],Proj[Player],0),2)</f>
        <v>23</v>
      </c>
      <c r="C395" t="s">
        <v>103</v>
      </c>
      <c r="D395" s="75"/>
      <c r="E395" s="57"/>
      <c r="F395" t="s">
        <v>9</v>
      </c>
      <c r="G395" s="12">
        <f>(INDEX(Proj[],MATCH(Std[[#This Row],[Player]],Proj[Player],0),14)-G$764)/G$765</f>
        <v>-0.66248525638148381</v>
      </c>
      <c r="H395" s="12">
        <f>(INDEX(Proj[],MATCH(Std[[#This Row],[Player]],Proj[Player],0),15)-H$764)/H$765</f>
        <v>8.0945693947519649E-3</v>
      </c>
      <c r="I395" s="12">
        <f>(INDEX(Proj[],MATCH(Std[[#This Row],[Player]],Proj[Player],0),16)-I$764)/I$765</f>
        <v>-0.29115182364326664</v>
      </c>
      <c r="J395" s="12">
        <f>(INDEX(Proj[],MATCH(Std[[#This Row],[Player]],Proj[Player],0),17)-J$764)/J$765</f>
        <v>-0.76105581014900237</v>
      </c>
      <c r="K395" s="12">
        <f>(INDEX(Proj[],MATCH(Std[[#This Row],[Player]],Proj[Player],0),18)-K$764)/K$765</f>
        <v>-0.60450671529353051</v>
      </c>
      <c r="L395" s="12">
        <f>(INDEX(Proj[],MATCH(Std[[#This Row],[Player]],Proj[Player],0),19)-L$764)/L$765</f>
        <v>-0.7077372652367413</v>
      </c>
      <c r="M395" s="12">
        <f>(INDEX(Proj[],MATCH(Std[[#This Row],[Player]],Proj[Player],0),20)-M$764)/M$765</f>
        <v>-0.71308883245737775</v>
      </c>
      <c r="N395" s="12">
        <f>(INDEX(Proj[],MATCH(Std[[#This Row],[Player]],Proj[Player],0),21)-N$764)/N$765</f>
        <v>0.78037437517416297</v>
      </c>
      <c r="O395" s="12">
        <f>(INDEX(Proj[],MATCH(Std[[#This Row],[Player]],Proj[Player],0),22)-O$764)/O$765</f>
        <v>2.6129842380803248</v>
      </c>
      <c r="P395" s="12">
        <f>((INDEX(Proj[],MATCH(Std[[#This Row],[Player]],Proj[Player],0),23)-P$764)/P$765)*IF('League Inputs'!$C$23 = "Yes",-1, 1)</f>
        <v>0.67498083253910623</v>
      </c>
      <c r="Q395" s="12">
        <f>(INDEX(Proj[],MATCH(Std[[#This Row],[Player]],Proj[Player],0),24)-Q$764)/Q$765</f>
        <v>-0.5766103108129359</v>
      </c>
      <c r="R395" s="12">
        <f>(INDEX(Proj[],MATCH(Std[[#This Row],[Player]],Proj[Player],0),25)-R$764)/R$765</f>
        <v>-0.62531533033812681</v>
      </c>
      <c r="S395" s="12">
        <f>(INDEX(Proj[],MATCH(Std[[#This Row],[Player]],Proj[Player],0),26)-S$764)/S$765</f>
        <v>-0.32632871615405179</v>
      </c>
      <c r="T3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151.21206429598666</v>
      </c>
      <c r="U395" s="11"/>
      <c r="W395" t="str">
        <v>Kaiden Guhle</v>
      </c>
      <c r="AA395" t="str">
        <v>Kaiden Guhle</v>
      </c>
      <c r="AB395" t="str">
        <v>Kaiden Guhle</v>
      </c>
    </row>
    <row r="396" spans="1:28" x14ac:dyDescent="0.25">
      <c r="A396" t="s">
        <v>361</v>
      </c>
      <c r="B396">
        <f>INDEX(Proj[],MATCH(Std[[#This Row],[Player]],Proj[Player],0),2)</f>
        <v>30</v>
      </c>
      <c r="C396" t="s">
        <v>74</v>
      </c>
      <c r="D396" s="75" t="s">
        <v>102</v>
      </c>
      <c r="E396" s="57"/>
      <c r="F396" t="s">
        <v>8</v>
      </c>
      <c r="G396" s="12">
        <f>(INDEX(Proj[],MATCH(Std[[#This Row],[Player]],Proj[Player],0),14)-G$764)/G$765</f>
        <v>-0.66248525638148381</v>
      </c>
      <c r="H396" s="12">
        <f>(INDEX(Proj[],MATCH(Std[[#This Row],[Player]],Proj[Player],0),15)-H$764)/H$765</f>
        <v>8.0945693947519649E-3</v>
      </c>
      <c r="I396" s="12">
        <f>(INDEX(Proj[],MATCH(Std[[#This Row],[Player]],Proj[Player],0),16)-I$764)/I$765</f>
        <v>-0.29115182364326664</v>
      </c>
      <c r="J396" s="12">
        <f>(INDEX(Proj[],MATCH(Std[[#This Row],[Player]],Proj[Player],0),17)-J$764)/J$765</f>
        <v>-0.46669252292436259</v>
      </c>
      <c r="K396" s="12">
        <f>(INDEX(Proj[],MATCH(Std[[#This Row],[Player]],Proj[Player],0),18)-K$764)/K$765</f>
        <v>1.1837065998320361E-2</v>
      </c>
      <c r="L396" s="12">
        <f>(INDEX(Proj[],MATCH(Std[[#This Row],[Player]],Proj[Player],0),19)-L$764)/L$765</f>
        <v>-0.16404410767290362</v>
      </c>
      <c r="M396" s="12">
        <f>(INDEX(Proj[],MATCH(Std[[#This Row],[Player]],Proj[Player],0),20)-M$764)/M$765</f>
        <v>-0.71308883245737775</v>
      </c>
      <c r="N396" s="12">
        <f>(INDEX(Proj[],MATCH(Std[[#This Row],[Player]],Proj[Player],0),21)-N$764)/N$765</f>
        <v>0.78037437517416297</v>
      </c>
      <c r="O396" s="12">
        <f>(INDEX(Proj[],MATCH(Std[[#This Row],[Player]],Proj[Player],0),22)-O$764)/O$765</f>
        <v>3.0076562948464818</v>
      </c>
      <c r="P396" s="12">
        <f>((INDEX(Proj[],MATCH(Std[[#This Row],[Player]],Proj[Player],0),23)-P$764)/P$765)*IF('League Inputs'!$C$23 = "Yes",-1, 1)</f>
        <v>-0.95391126790344005</v>
      </c>
      <c r="Q396" s="12">
        <f>(INDEX(Proj[],MATCH(Std[[#This Row],[Player]],Proj[Player],0),24)-Q$764)/Q$765</f>
        <v>-0.5766103108129359</v>
      </c>
      <c r="R396" s="12">
        <f>(INDEX(Proj[],MATCH(Std[[#This Row],[Player]],Proj[Player],0),25)-R$764)/R$765</f>
        <v>-0.62531533033812681</v>
      </c>
      <c r="S396" s="12">
        <f>(INDEX(Proj[],MATCH(Std[[#This Row],[Player]],Proj[Player],0),26)-S$764)/S$765</f>
        <v>0.14401341011761973</v>
      </c>
      <c r="T3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129.19358831189865</v>
      </c>
      <c r="U396" s="11"/>
      <c r="W396" t="str">
        <v>Ryan Pulock</v>
      </c>
      <c r="AA396" t="str">
        <v>Ryan Pulock</v>
      </c>
      <c r="AB396" t="str">
        <v>Ryan Pulock</v>
      </c>
    </row>
    <row r="397" spans="1:28" x14ac:dyDescent="0.25">
      <c r="A397" t="s">
        <v>362</v>
      </c>
      <c r="B397">
        <f>INDEX(Proj[],MATCH(Std[[#This Row],[Player]],Proj[Player],0),2)</f>
        <v>33</v>
      </c>
      <c r="C397" t="s">
        <v>74</v>
      </c>
      <c r="D397" s="75" t="s">
        <v>102</v>
      </c>
      <c r="E397" s="57"/>
      <c r="F397" t="s">
        <v>15</v>
      </c>
      <c r="G397" s="12">
        <f>(INDEX(Proj[],MATCH(Std[[#This Row],[Player]],Proj[Player],0),14)-G$764)/G$765</f>
        <v>-2.8682043834889943E-2</v>
      </c>
      <c r="H397" s="12">
        <f>(INDEX(Proj[],MATCH(Std[[#This Row],[Player]],Proj[Player],0),15)-H$764)/H$765</f>
        <v>-0.43908103253483932</v>
      </c>
      <c r="I397" s="12">
        <f>(INDEX(Proj[],MATCH(Std[[#This Row],[Player]],Proj[Player],0),16)-I$764)/I$765</f>
        <v>-0.29115182364326664</v>
      </c>
      <c r="J397" s="12">
        <f>(INDEX(Proj[],MATCH(Std[[#This Row],[Player]],Proj[Player],0),17)-J$764)/J$765</f>
        <v>-0.46669252292436259</v>
      </c>
      <c r="K397" s="12">
        <f>(INDEX(Proj[],MATCH(Std[[#This Row],[Player]],Proj[Player],0),18)-K$764)/K$765</f>
        <v>-0.75859266061649311</v>
      </c>
      <c r="L397" s="12">
        <f>(INDEX(Proj[],MATCH(Std[[#This Row],[Player]],Proj[Player],0),19)-L$764)/L$765</f>
        <v>-0.7077372652367413</v>
      </c>
      <c r="M397" s="12">
        <f>(INDEX(Proj[],MATCH(Std[[#This Row],[Player]],Proj[Player],0),20)-M$764)/M$765</f>
        <v>0.31240082183847029</v>
      </c>
      <c r="N397" s="12">
        <f>(INDEX(Proj[],MATCH(Std[[#This Row],[Player]],Proj[Player],0),21)-N$764)/N$765</f>
        <v>2.543930109873882</v>
      </c>
      <c r="O397" s="12">
        <f>(INDEX(Proj[],MATCH(Std[[#This Row],[Player]],Proj[Player],0),22)-O$764)/O$765</f>
        <v>-0.35866418933544636</v>
      </c>
      <c r="P397" s="12">
        <f>((INDEX(Proj[],MATCH(Std[[#This Row],[Player]],Proj[Player],0),23)-P$764)/P$765)*IF('League Inputs'!$C$23 = "Yes",-1, 1)</f>
        <v>2.4434922558767278</v>
      </c>
      <c r="Q397" s="12">
        <f>(INDEX(Proj[],MATCH(Std[[#This Row],[Player]],Proj[Player],0),24)-Q$764)/Q$765</f>
        <v>-0.5019844217544851</v>
      </c>
      <c r="R397" s="12">
        <f>(INDEX(Proj[],MATCH(Std[[#This Row],[Player]],Proj[Player],0),25)-R$764)/R$765</f>
        <v>-0.52316320461033328</v>
      </c>
      <c r="S397" s="12">
        <f>(INDEX(Proj[],MATCH(Std[[#This Row],[Player]],Proj[Player],0),26)-S$764)/S$765</f>
        <v>-0.69935867836951537</v>
      </c>
      <c r="T3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196.07629110414254</v>
      </c>
      <c r="U397" s="11"/>
      <c r="W397" t="str">
        <v>Marcus Foligno</v>
      </c>
      <c r="AA397" t="str">
        <v>Marcus Foligno</v>
      </c>
      <c r="AB397" t="str">
        <v>Marcus Foligno</v>
      </c>
    </row>
    <row r="398" spans="1:28" x14ac:dyDescent="0.25">
      <c r="A398" t="s">
        <v>445</v>
      </c>
      <c r="B398">
        <f>INDEX(Proj[],MATCH(Std[[#This Row],[Player]],Proj[Player],0),2)</f>
        <v>40</v>
      </c>
      <c r="C398" t="s">
        <v>102</v>
      </c>
      <c r="D398" s="75" t="s">
        <v>103</v>
      </c>
      <c r="E398" s="56"/>
      <c r="F398" t="s">
        <v>154</v>
      </c>
      <c r="G398" s="12">
        <f>(INDEX(Proj[],MATCH(Std[[#This Row],[Player]],Proj[Player],0),14)-G$764)/G$765</f>
        <v>-0.873752993897015</v>
      </c>
      <c r="H398" s="12">
        <f>(INDEX(Proj[],MATCH(Std[[#This Row],[Player]],Proj[Player],0),15)-H$764)/H$765</f>
        <v>0.15715310337128238</v>
      </c>
      <c r="I398" s="12">
        <f>(INDEX(Proj[],MATCH(Std[[#This Row],[Player]],Proj[Player],0),16)-I$764)/I$765</f>
        <v>-0.29115182364326664</v>
      </c>
      <c r="J398" s="12">
        <f>(INDEX(Proj[],MATCH(Std[[#This Row],[Player]],Proj[Player],0),17)-J$764)/J$765</f>
        <v>-0.46669252292436259</v>
      </c>
      <c r="K398" s="12">
        <f>(INDEX(Proj[],MATCH(Std[[#This Row],[Player]],Proj[Player],0),18)-K$764)/K$765</f>
        <v>0.32000895664424578</v>
      </c>
      <c r="L398" s="12">
        <f>(INDEX(Proj[],MATCH(Std[[#This Row],[Player]],Proj[Player],0),19)-L$764)/L$765</f>
        <v>5.3433155352631455E-2</v>
      </c>
      <c r="M398" s="12">
        <f>(INDEX(Proj[],MATCH(Std[[#This Row],[Player]],Proj[Player],0),20)-M$764)/M$765</f>
        <v>0.31240082183847029</v>
      </c>
      <c r="N398" s="12">
        <f>(INDEX(Proj[],MATCH(Std[[#This Row],[Player]],Proj[Player],0),21)-N$764)/N$765</f>
        <v>-0.24675149228831103</v>
      </c>
      <c r="O398" s="12">
        <f>(INDEX(Proj[],MATCH(Std[[#This Row],[Player]],Proj[Player],0),22)-O$764)/O$765</f>
        <v>1.1271600243724391</v>
      </c>
      <c r="P398" s="12">
        <f>((INDEX(Proj[],MATCH(Std[[#This Row],[Player]],Proj[Player],0),23)-P$764)/P$765)*IF('League Inputs'!$C$23 = "Yes",-1, 1)</f>
        <v>-0.25581465342806309</v>
      </c>
      <c r="Q398" s="12">
        <f>(INDEX(Proj[],MATCH(Std[[#This Row],[Player]],Proj[Player],0),24)-Q$764)/Q$765</f>
        <v>-0.5766103108129359</v>
      </c>
      <c r="R398" s="12">
        <f>(INDEX(Proj[],MATCH(Std[[#This Row],[Player]],Proj[Player],0),25)-R$764)/R$765</f>
        <v>-0.62531533033812681</v>
      </c>
      <c r="S398" s="12">
        <f>(INDEX(Proj[],MATCH(Std[[#This Row],[Player]],Proj[Player],0),26)-S$764)/S$765</f>
        <v>-0.22901655209784388</v>
      </c>
      <c r="T3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-113.53515430710826</v>
      </c>
      <c r="U398" s="11"/>
      <c r="W398" t="str">
        <v>Ryan Suter</v>
      </c>
      <c r="AA398" t="str">
        <v>Ryan Suter</v>
      </c>
      <c r="AB398" t="str">
        <v>Ryan Suter</v>
      </c>
    </row>
    <row r="399" spans="1:28" x14ac:dyDescent="0.25">
      <c r="A399" t="s">
        <v>1057</v>
      </c>
      <c r="B399">
        <f>INDEX(Proj[],MATCH(Std[[#This Row],[Player]],Proj[Player],0),2)</f>
        <v>28</v>
      </c>
      <c r="C399" t="s">
        <v>103</v>
      </c>
      <c r="D399" s="75"/>
      <c r="E399" s="56"/>
      <c r="F399" t="s">
        <v>21</v>
      </c>
      <c r="G399" s="12">
        <f>(INDEX(Proj[],MATCH(Std[[#This Row],[Player]],Proj[Player],0),14)-G$764)/G$765</f>
        <v>-0.7681191251392494</v>
      </c>
      <c r="H399" s="12">
        <f>(INDEX(Proj[],MATCH(Std[[#This Row],[Player]],Proj[Player],0),15)-H$764)/H$765</f>
        <v>8.262383638301718E-2</v>
      </c>
      <c r="I399" s="12">
        <f>(INDEX(Proj[],MATCH(Std[[#This Row],[Player]],Proj[Player],0),16)-I$764)/I$765</f>
        <v>-0.29115182364326664</v>
      </c>
      <c r="J399" s="12">
        <f>(INDEX(Proj[],MATCH(Std[[#This Row],[Player]],Proj[Player],0),17)-J$764)/J$765</f>
        <v>-0.46669252292436259</v>
      </c>
      <c r="K399" s="12">
        <f>(INDEX(Proj[],MATCH(Std[[#This Row],[Player]],Proj[Player],0),18)-K$764)/K$765</f>
        <v>1.1837065998320361E-2</v>
      </c>
      <c r="L399" s="12">
        <f>(INDEX(Proj[],MATCH(Std[[#This Row],[Player]],Proj[Player],0),19)-L$764)/L$765</f>
        <v>-0.16404410767290362</v>
      </c>
      <c r="M399" s="12">
        <f>(INDEX(Proj[],MATCH(Std[[#This Row],[Player]],Proj[Player],0),20)-M$764)/M$765</f>
        <v>-0.71308883245737775</v>
      </c>
      <c r="N399" s="12">
        <f>(INDEX(Proj[],MATCH(Std[[#This Row],[Player]],Proj[Player],0),21)-N$764)/N$765</f>
        <v>-0.1498528255465682</v>
      </c>
      <c r="O399" s="12">
        <f>(INDEX(Proj[],MATCH(Std[[#This Row],[Player]],Proj[Player],0),22)-O$764)/O$765</f>
        <v>0.82535198096302487</v>
      </c>
      <c r="P399" s="12">
        <f>((INDEX(Proj[],MATCH(Std[[#This Row],[Player]],Proj[Player],0),23)-P$764)/P$765)*IF('League Inputs'!$C$23 = "Yes",-1, 1)</f>
        <v>-0.5815930735165723</v>
      </c>
      <c r="Q399" s="12">
        <f>(INDEX(Proj[],MATCH(Std[[#This Row],[Player]],Proj[Player],0),24)-Q$764)/Q$765</f>
        <v>-0.5766103108129359</v>
      </c>
      <c r="R399" s="12">
        <f>(INDEX(Proj[],MATCH(Std[[#This Row],[Player]],Proj[Player],0),25)-R$764)/R$765</f>
        <v>-0.62531533033812681</v>
      </c>
      <c r="S399" s="12">
        <f>(INDEX(Proj[],MATCH(Std[[#This Row],[Player]],Proj[Player],0),26)-S$764)/S$765</f>
        <v>-0.26145394011657985</v>
      </c>
      <c r="T3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-188.48493891020337</v>
      </c>
      <c r="U399" s="11"/>
      <c r="W399" t="str">
        <v>Darren Raddysh</v>
      </c>
      <c r="AA399" t="str">
        <v>Darren Raddysh</v>
      </c>
      <c r="AB399" t="str">
        <v>Darren Raddysh</v>
      </c>
    </row>
    <row r="400" spans="1:28" x14ac:dyDescent="0.25">
      <c r="A400" t="s">
        <v>1013</v>
      </c>
      <c r="B400">
        <f>INDEX(Proj[],MATCH(Std[[#This Row],[Player]],Proj[Player],0),2)</f>
        <v>28</v>
      </c>
      <c r="C400" t="s">
        <v>102</v>
      </c>
      <c r="D400" s="75" t="s">
        <v>103</v>
      </c>
      <c r="E400" s="57"/>
      <c r="F400" t="s">
        <v>13</v>
      </c>
      <c r="G400" s="12">
        <f>(INDEX(Proj[],MATCH(Std[[#This Row],[Player]],Proj[Player],0),14)-G$764)/G$765</f>
        <v>-2.8682043834889943E-2</v>
      </c>
      <c r="H400" s="12">
        <f>(INDEX(Proj[],MATCH(Std[[#This Row],[Player]],Proj[Player],0),15)-H$764)/H$765</f>
        <v>-0.43908103253483932</v>
      </c>
      <c r="I400" s="12">
        <f>(INDEX(Proj[],MATCH(Std[[#This Row],[Player]],Proj[Player],0),16)-I$764)/I$765</f>
        <v>-0.29115182364326664</v>
      </c>
      <c r="J400" s="12">
        <f>(INDEX(Proj[],MATCH(Std[[#This Row],[Player]],Proj[Player],0),17)-J$764)/J$765</f>
        <v>-0.17232923569972286</v>
      </c>
      <c r="K400" s="12">
        <f>(INDEX(Proj[],MATCH(Std[[#This Row],[Player]],Proj[Player],0),18)-K$764)/K$765</f>
        <v>-0.29633482464760502</v>
      </c>
      <c r="L400" s="12">
        <f>(INDEX(Proj[],MATCH(Std[[#This Row],[Player]],Proj[Player],0),19)-L$764)/L$765</f>
        <v>-0.27278273918567114</v>
      </c>
      <c r="M400" s="12">
        <f>(INDEX(Proj[],MATCH(Std[[#This Row],[Player]],Proj[Player],0),20)-M$764)/M$765</f>
        <v>-0.71308883245737775</v>
      </c>
      <c r="N400" s="12">
        <f>(INDEX(Proj[],MATCH(Std[[#This Row],[Player]],Proj[Player],0),21)-N$764)/N$765</f>
        <v>0.85789330856755719</v>
      </c>
      <c r="O400" s="12">
        <f>(INDEX(Proj[],MATCH(Std[[#This Row],[Player]],Proj[Player],0),22)-O$764)/O$765</f>
        <v>-0.77655224944078916</v>
      </c>
      <c r="P400" s="12">
        <f>((INDEX(Proj[],MATCH(Std[[#This Row],[Player]],Proj[Player],0),23)-P$764)/P$765)*IF('League Inputs'!$C$23 = "Yes",-1, 1)</f>
        <v>2.8623502245619541</v>
      </c>
      <c r="Q400" s="12">
        <f>(INDEX(Proj[],MATCH(Std[[#This Row],[Player]],Proj[Player],0),24)-Q$764)/Q$765</f>
        <v>-0.47000189787229196</v>
      </c>
      <c r="R400" s="12">
        <f>(INDEX(Proj[],MATCH(Std[[#This Row],[Player]],Proj[Player],0),25)-R$764)/R$765</f>
        <v>-0.4891124960344021</v>
      </c>
      <c r="S400" s="12">
        <f>(INDEX(Proj[],MATCH(Std[[#This Row],[Player]],Proj[Player],0),26)-S$764)/S$765</f>
        <v>0.64679292440802716</v>
      </c>
      <c r="T4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208.87846710257904</v>
      </c>
      <c r="U400" s="11"/>
      <c r="W400" t="str">
        <v>Michael Eyssimont</v>
      </c>
      <c r="AA400" t="str">
        <v>Michael Eyssimont</v>
      </c>
      <c r="AB400" t="str">
        <v>Michael Eyssimont</v>
      </c>
    </row>
    <row r="401" spans="1:28" x14ac:dyDescent="0.25">
      <c r="A401" t="s">
        <v>650</v>
      </c>
      <c r="B401">
        <f>INDEX(Proj[],MATCH(Std[[#This Row],[Player]],Proj[Player],0),2)</f>
        <v>36</v>
      </c>
      <c r="C401" t="s">
        <v>102</v>
      </c>
      <c r="D401" s="75"/>
      <c r="E401" s="56"/>
      <c r="F401" t="s">
        <v>5</v>
      </c>
      <c r="G401" s="12">
        <f>(INDEX(Proj[],MATCH(Std[[#This Row],[Player]],Proj[Player],0),14)-G$764)/G$765</f>
        <v>-2.8682043834889943E-2</v>
      </c>
      <c r="H401" s="12">
        <f>(INDEX(Proj[],MATCH(Std[[#This Row],[Player]],Proj[Player],0),15)-H$764)/H$765</f>
        <v>-0.43908103253483932</v>
      </c>
      <c r="I401" s="12">
        <f>(INDEX(Proj[],MATCH(Std[[#This Row],[Player]],Proj[Player],0),16)-I$764)/I$765</f>
        <v>-0.29115182364326664</v>
      </c>
      <c r="J401" s="12">
        <f>(INDEX(Proj[],MATCH(Std[[#This Row],[Player]],Proj[Player],0),17)-J$764)/J$765</f>
        <v>-0.17232923569972286</v>
      </c>
      <c r="K401" s="12">
        <f>(INDEX(Proj[],MATCH(Std[[#This Row],[Player]],Proj[Player],0),18)-K$764)/K$765</f>
        <v>-0.45042076997056774</v>
      </c>
      <c r="L401" s="12">
        <f>(INDEX(Proj[],MATCH(Std[[#This Row],[Player]],Proj[Player],0),19)-L$764)/L$765</f>
        <v>-0.38152137069843867</v>
      </c>
      <c r="M401" s="12">
        <f>(INDEX(Proj[],MATCH(Std[[#This Row],[Player]],Proj[Player],0),20)-M$764)/M$765</f>
        <v>0.31240082183847029</v>
      </c>
      <c r="N401" s="12">
        <f>(INDEX(Proj[],MATCH(Std[[#This Row],[Player]],Proj[Player],0),21)-N$764)/N$765</f>
        <v>-0.36302989237840244</v>
      </c>
      <c r="O401" s="12">
        <f>(INDEX(Proj[],MATCH(Std[[#This Row],[Player]],Proj[Player],0),22)-O$764)/O$765</f>
        <v>-0.75333624610160344</v>
      </c>
      <c r="P401" s="12">
        <f>((INDEX(Proj[],MATCH(Std[[#This Row],[Player]],Proj[Player],0),23)-P$764)/P$765)*IF('League Inputs'!$C$23 = "Yes",-1, 1)</f>
        <v>-0.1161953305329877</v>
      </c>
      <c r="Q401" s="12">
        <f>(INDEX(Proj[],MATCH(Std[[#This Row],[Player]],Proj[Player],0),24)-Q$764)/Q$765</f>
        <v>0.14299647653641073</v>
      </c>
      <c r="R401" s="12">
        <f>(INDEX(Proj[],MATCH(Std[[#This Row],[Player]],Proj[Player],0),25)-R$764)/R$765</f>
        <v>0.20892702977218702</v>
      </c>
      <c r="S401" s="12">
        <f>(INDEX(Proj[],MATCH(Std[[#This Row],[Player]],Proj[Player],0),26)-S$764)/S$765</f>
        <v>7.9138634080147791E-2</v>
      </c>
      <c r="T4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-215.0862629107869</v>
      </c>
      <c r="U401" s="11"/>
      <c r="W401" t="str">
        <v>Kyle Okposo</v>
      </c>
      <c r="AA401" t="str">
        <v>Kyle Okposo</v>
      </c>
      <c r="AB401" t="str">
        <v>Kyle Okposo</v>
      </c>
    </row>
    <row r="402" spans="1:28" x14ac:dyDescent="0.25">
      <c r="A402" t="s">
        <v>1140</v>
      </c>
      <c r="B402">
        <f>INDEX(Proj[],MATCH(Std[[#This Row],[Player]],Proj[Player],0),2)</f>
        <v>21</v>
      </c>
      <c r="C402" t="s">
        <v>3</v>
      </c>
      <c r="D402" s="75"/>
      <c r="E402" s="57"/>
      <c r="F402" t="s">
        <v>32</v>
      </c>
      <c r="G402" s="12">
        <f>(INDEX(Proj[],MATCH(Std[[#This Row],[Player]],Proj[Player],0),14)-G$764)/G$765</f>
        <v>7.6951824922875695E-2</v>
      </c>
      <c r="H402" s="12">
        <f>(INDEX(Proj[],MATCH(Std[[#This Row],[Player]],Proj[Player],0),15)-H$764)/H$765</f>
        <v>-0.51361029952310455</v>
      </c>
      <c r="I402" s="12">
        <f>(INDEX(Proj[],MATCH(Std[[#This Row],[Player]],Proj[Player],0),16)-I$764)/I$765</f>
        <v>-0.29115182364326664</v>
      </c>
      <c r="J402" s="12">
        <f>(INDEX(Proj[],MATCH(Std[[#This Row],[Player]],Proj[Player],0),17)-J$764)/J$765</f>
        <v>-0.76105581014900237</v>
      </c>
      <c r="K402" s="12">
        <f>(INDEX(Proj[],MATCH(Std[[#This Row],[Player]],Proj[Player],0),18)-K$764)/K$765</f>
        <v>-0.75859266061649311</v>
      </c>
      <c r="L402" s="12">
        <f>(INDEX(Proj[],MATCH(Std[[#This Row],[Player]],Proj[Player],0),19)-L$764)/L$765</f>
        <v>-0.81647589674950882</v>
      </c>
      <c r="M402" s="12">
        <f>(INDEX(Proj[],MATCH(Std[[#This Row],[Player]],Proj[Player],0),20)-M$764)/M$765</f>
        <v>-0.71308883245737775</v>
      </c>
      <c r="N402" s="12">
        <f>(INDEX(Proj[],MATCH(Std[[#This Row],[Player]],Proj[Player],0),21)-N$764)/N$765</f>
        <v>-0.63434615925528237</v>
      </c>
      <c r="O402" s="12">
        <f>(INDEX(Proj[],MATCH(Std[[#This Row],[Player]],Proj[Player],0),22)-O$764)/O$765</f>
        <v>-0.35866418933544636</v>
      </c>
      <c r="P402" s="12">
        <f>((INDEX(Proj[],MATCH(Std[[#This Row],[Player]],Proj[Player],0),23)-P$764)/P$765)*IF('League Inputs'!$C$23 = "Yes",-1, 1)</f>
        <v>-1.0935305907985153</v>
      </c>
      <c r="Q402" s="12">
        <f>(INDEX(Proj[],MATCH(Std[[#This Row],[Player]],Proj[Player],0),24)-Q$764)/Q$765</f>
        <v>-0.33141096104945483</v>
      </c>
      <c r="R402" s="12">
        <f>(INDEX(Proj[],MATCH(Std[[#This Row],[Player]],Proj[Player],0),25)-R$764)/R$765</f>
        <v>-0.34155942553870033</v>
      </c>
      <c r="S402" s="12">
        <f>(INDEX(Proj[],MATCH(Std[[#This Row],[Player]],Proj[Player],0),26)-S$764)/S$765</f>
        <v>-0.22901655209784388</v>
      </c>
      <c r="T4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-419.12546475295471</v>
      </c>
      <c r="U402" s="11"/>
      <c r="W402" t="str">
        <v>Joshua Roy</v>
      </c>
      <c r="AA402" t="str">
        <v>Joshua Roy</v>
      </c>
      <c r="AB402" t="str">
        <v>Joshua Roy</v>
      </c>
    </row>
    <row r="403" spans="1:28" x14ac:dyDescent="0.25">
      <c r="A403" t="s">
        <v>1005</v>
      </c>
      <c r="B403">
        <f>INDEX(Proj[],MATCH(Std[[#This Row],[Player]],Proj[Player],0),2)</f>
        <v>23</v>
      </c>
      <c r="C403" t="s">
        <v>102</v>
      </c>
      <c r="D403" s="75" t="s">
        <v>103</v>
      </c>
      <c r="E403" s="56"/>
      <c r="F403" t="s">
        <v>6</v>
      </c>
      <c r="G403" s="12">
        <f>(INDEX(Proj[],MATCH(Std[[#This Row],[Player]],Proj[Player],0),14)-G$764)/G$765</f>
        <v>-0.13431591259265557</v>
      </c>
      <c r="H403" s="12">
        <f>(INDEX(Proj[],MATCH(Std[[#This Row],[Player]],Proj[Player],0),15)-H$764)/H$765</f>
        <v>-0.36455176554657409</v>
      </c>
      <c r="I403" s="12">
        <f>(INDEX(Proj[],MATCH(Std[[#This Row],[Player]],Proj[Player],0),16)-I$764)/I$765</f>
        <v>-0.29115182364326664</v>
      </c>
      <c r="J403" s="12">
        <f>(INDEX(Proj[],MATCH(Std[[#This Row],[Player]],Proj[Player],0),17)-J$764)/J$765</f>
        <v>0.71076062597419631</v>
      </c>
      <c r="K403" s="12">
        <f>(INDEX(Proj[],MATCH(Std[[#This Row],[Player]],Proj[Player],0),18)-K$764)/K$765</f>
        <v>1.1837065998320361E-2</v>
      </c>
      <c r="L403" s="12">
        <f>(INDEX(Proj[],MATCH(Std[[#This Row],[Player]],Proj[Player],0),19)-L$764)/L$765</f>
        <v>0.27091041837816654</v>
      </c>
      <c r="M403" s="12">
        <f>(INDEX(Proj[],MATCH(Std[[#This Row],[Player]],Proj[Player],0),20)-M$764)/M$765</f>
        <v>-0.71308883245737775</v>
      </c>
      <c r="N403" s="12">
        <f>(INDEX(Proj[],MATCH(Std[[#This Row],[Player]],Proj[Player],0),21)-N$764)/N$765</f>
        <v>-0.73124482599702512</v>
      </c>
      <c r="O403" s="12">
        <f>(INDEX(Proj[],MATCH(Std[[#This Row],[Player]],Proj[Player],0),22)-O$764)/O$765</f>
        <v>-0.75333624610160344</v>
      </c>
      <c r="P403" s="12">
        <f>((INDEX(Proj[],MATCH(Std[[#This Row],[Player]],Proj[Player],0),23)-P$764)/P$765)*IF('League Inputs'!$C$23 = "Yes",-1, 1)</f>
        <v>-0.90737149360508162</v>
      </c>
      <c r="Q403" s="12">
        <f>(INDEX(Proj[],MATCH(Std[[#This Row],[Player]],Proj[Player],0),24)-Q$764)/Q$765</f>
        <v>-0.32608054040242263</v>
      </c>
      <c r="R403" s="12">
        <f>(INDEX(Proj[],MATCH(Std[[#This Row],[Player]],Proj[Player],0),25)-R$764)/R$765</f>
        <v>-0.33020918934672328</v>
      </c>
      <c r="S403" s="12">
        <f>(INDEX(Proj[],MATCH(Std[[#This Row],[Player]],Proj[Player],0),26)-S$764)/S$765</f>
        <v>-8.3048306013532025E-2</v>
      </c>
      <c r="T4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-332.01904955239945</v>
      </c>
      <c r="U403" s="11"/>
      <c r="W403" t="str">
        <v>Jakob Pelletier</v>
      </c>
      <c r="AA403" t="str">
        <v>Jakob Pelletier</v>
      </c>
      <c r="AB403" t="str">
        <v>Jakob Pelletier</v>
      </c>
    </row>
    <row r="404" spans="1:28" x14ac:dyDescent="0.25">
      <c r="A404" t="s">
        <v>1003</v>
      </c>
      <c r="B404">
        <f>INDEX(Proj[],MATCH(Std[[#This Row],[Player]],Proj[Player],0),2)</f>
        <v>24</v>
      </c>
      <c r="C404" t="s">
        <v>74</v>
      </c>
      <c r="D404" s="75" t="s">
        <v>102</v>
      </c>
      <c r="E404" s="57"/>
      <c r="F404" t="s">
        <v>25</v>
      </c>
      <c r="G404" s="12">
        <f>(INDEX(Proj[],MATCH(Std[[#This Row],[Player]],Proj[Player],0),14)-G$764)/G$765</f>
        <v>-0.23994978135042122</v>
      </c>
      <c r="H404" s="12">
        <f>(INDEX(Proj[],MATCH(Std[[#This Row],[Player]],Proj[Player],0),15)-H$764)/H$765</f>
        <v>-0.29002249855830886</v>
      </c>
      <c r="I404" s="12">
        <f>(INDEX(Proj[],MATCH(Std[[#This Row],[Player]],Proj[Player],0),16)-I$764)/I$765</f>
        <v>-0.29115182364326664</v>
      </c>
      <c r="J404" s="12">
        <f>(INDEX(Proj[],MATCH(Std[[#This Row],[Player]],Proj[Player],0),17)-J$764)/J$765</f>
        <v>0.12203405152491688</v>
      </c>
      <c r="K404" s="12">
        <f>(INDEX(Proj[],MATCH(Std[[#This Row],[Player]],Proj[Player],0),18)-K$764)/K$765</f>
        <v>-0.14224887932464234</v>
      </c>
      <c r="L404" s="12">
        <f>(INDEX(Proj[],MATCH(Std[[#This Row],[Player]],Proj[Player],0),19)-L$764)/L$765</f>
        <v>-5.5305476160136084E-2</v>
      </c>
      <c r="M404" s="12">
        <f>(INDEX(Proj[],MATCH(Std[[#This Row],[Player]],Proj[Player],0),20)-M$764)/M$765</f>
        <v>-0.71308883245737775</v>
      </c>
      <c r="N404" s="12">
        <f>(INDEX(Proj[],MATCH(Std[[#This Row],[Player]],Proj[Player],0),21)-N$764)/N$765</f>
        <v>-1.0219408262222536</v>
      </c>
      <c r="O404" s="12">
        <f>(INDEX(Proj[],MATCH(Std[[#This Row],[Player]],Proj[Player],0),22)-O$764)/O$765</f>
        <v>-0.61404022606648923</v>
      </c>
      <c r="P404" s="12">
        <f>((INDEX(Proj[],MATCH(Std[[#This Row],[Player]],Proj[Player],0),23)-P$764)/P$765)*IF('League Inputs'!$C$23 = "Yes",-1, 1)</f>
        <v>-0.25581465342806309</v>
      </c>
      <c r="Q404" s="12">
        <f>(INDEX(Proj[],MATCH(Std[[#This Row],[Player]],Proj[Player],0),24)-Q$764)/Q$765</f>
        <v>1.1237938755903352</v>
      </c>
      <c r="R404" s="12">
        <f>(INDEX(Proj[],MATCH(Std[[#This Row],[Player]],Proj[Player],0),25)-R$764)/R$765</f>
        <v>0.84454025652290232</v>
      </c>
      <c r="S404" s="12">
        <f>(INDEX(Proj[],MATCH(Std[[#This Row],[Player]],Proj[Player],0),26)-S$764)/S$765</f>
        <v>0.14401341011761973</v>
      </c>
      <c r="T4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-150.04179997209835</v>
      </c>
      <c r="U404" s="11"/>
      <c r="W404" t="str">
        <v>Jack Drury</v>
      </c>
      <c r="AA404" t="str">
        <v>Jack Drury</v>
      </c>
      <c r="AB404" t="str">
        <v>Jack Drury</v>
      </c>
    </row>
    <row r="405" spans="1:28" x14ac:dyDescent="0.25">
      <c r="A405" t="s">
        <v>1006</v>
      </c>
      <c r="B405">
        <f>INDEX(Proj[],MATCH(Std[[#This Row],[Player]],Proj[Player],0),2)</f>
        <v>25</v>
      </c>
      <c r="C405" t="s">
        <v>74</v>
      </c>
      <c r="D405" s="75" t="s">
        <v>102</v>
      </c>
      <c r="E405" s="57" t="s">
        <v>103</v>
      </c>
      <c r="F405" t="s">
        <v>32</v>
      </c>
      <c r="G405" s="12">
        <f>(INDEX(Proj[],MATCH(Std[[#This Row],[Player]],Proj[Player],0),14)-G$764)/G$765</f>
        <v>-0.23994978135042122</v>
      </c>
      <c r="H405" s="12">
        <f>(INDEX(Proj[],MATCH(Std[[#This Row],[Player]],Proj[Player],0),15)-H$764)/H$765</f>
        <v>-0.29002249855830886</v>
      </c>
      <c r="I405" s="12">
        <f>(INDEX(Proj[],MATCH(Std[[#This Row],[Player]],Proj[Player],0),16)-I$764)/I$765</f>
        <v>-0.29115182364326664</v>
      </c>
      <c r="J405" s="12">
        <f>(INDEX(Proj[],MATCH(Std[[#This Row],[Player]],Proj[Player],0),17)-J$764)/J$765</f>
        <v>-0.17232923569972286</v>
      </c>
      <c r="K405" s="12">
        <f>(INDEX(Proj[],MATCH(Std[[#This Row],[Player]],Proj[Player],0),18)-K$764)/K$765</f>
        <v>-0.14224887932464234</v>
      </c>
      <c r="L405" s="12">
        <f>(INDEX(Proj[],MATCH(Std[[#This Row],[Player]],Proj[Player],0),19)-L$764)/L$765</f>
        <v>-0.16404410767290362</v>
      </c>
      <c r="M405" s="12">
        <f>(INDEX(Proj[],MATCH(Std[[#This Row],[Player]],Proj[Player],0),20)-M$764)/M$765</f>
        <v>-0.71308883245737775</v>
      </c>
      <c r="N405" s="12">
        <f>(INDEX(Proj[],MATCH(Std[[#This Row],[Player]],Proj[Player],0),21)-N$764)/N$765</f>
        <v>-0.94442189282885936</v>
      </c>
      <c r="O405" s="12">
        <f>(INDEX(Proj[],MATCH(Std[[#This Row],[Player]],Proj[Player],0),22)-O$764)/O$765</f>
        <v>-0.52117621270974634</v>
      </c>
      <c r="P405" s="12">
        <f>((INDEX(Proj[],MATCH(Std[[#This Row],[Player]],Proj[Player],0),23)-P$764)/P$765)*IF('League Inputs'!$C$23 = "Yes",-1, 1)</f>
        <v>-1.1866101393952324</v>
      </c>
      <c r="Q405" s="12">
        <f>(INDEX(Proj[],MATCH(Std[[#This Row],[Player]],Proj[Player],0),24)-Q$764)/Q$765</f>
        <v>-0.37405432622571239</v>
      </c>
      <c r="R405" s="12">
        <f>(INDEX(Proj[],MATCH(Std[[#This Row],[Player]],Proj[Player],0),25)-R$764)/R$765</f>
        <v>-0.41533596078655122</v>
      </c>
      <c r="S405" s="12">
        <f>(INDEX(Proj[],MATCH(Std[[#This Row],[Player]],Proj[Player],0),26)-S$764)/S$765</f>
        <v>-0.63448390233204344</v>
      </c>
      <c r="T4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-464.59146847164948</v>
      </c>
      <c r="U405" s="11"/>
      <c r="W405" t="str">
        <v>Jesse Ylonen</v>
      </c>
      <c r="AA405" t="str">
        <v>Jesse Ylonen</v>
      </c>
      <c r="AB405" t="str">
        <v>Jesse Ylonen</v>
      </c>
    </row>
    <row r="406" spans="1:28" x14ac:dyDescent="0.25">
      <c r="A406" t="s">
        <v>656</v>
      </c>
      <c r="B406">
        <f>INDEX(Proj[],MATCH(Std[[#This Row],[Player]],Proj[Player],0),2)</f>
        <v>31</v>
      </c>
      <c r="C406" t="s">
        <v>102</v>
      </c>
      <c r="D406" s="75" t="s">
        <v>103</v>
      </c>
      <c r="E406" s="57"/>
      <c r="F406" t="s">
        <v>6</v>
      </c>
      <c r="G406" s="12">
        <f>(INDEX(Proj[],MATCH(Std[[#This Row],[Player]],Proj[Player],0),14)-G$764)/G$765</f>
        <v>-0.23994978135042122</v>
      </c>
      <c r="H406" s="12">
        <f>(INDEX(Proj[],MATCH(Std[[#This Row],[Player]],Proj[Player],0),15)-H$764)/H$765</f>
        <v>-0.29002249855830886</v>
      </c>
      <c r="I406" s="12">
        <f>(INDEX(Proj[],MATCH(Std[[#This Row],[Player]],Proj[Player],0),16)-I$764)/I$765</f>
        <v>-0.29115182364326664</v>
      </c>
      <c r="J406" s="12">
        <f>(INDEX(Proj[],MATCH(Std[[#This Row],[Player]],Proj[Player],0),17)-J$764)/J$765</f>
        <v>-0.17232923569972286</v>
      </c>
      <c r="K406" s="12">
        <f>(INDEX(Proj[],MATCH(Std[[#This Row],[Player]],Proj[Player],0),18)-K$764)/K$765</f>
        <v>-0.14224887932464234</v>
      </c>
      <c r="L406" s="12">
        <f>(INDEX(Proj[],MATCH(Std[[#This Row],[Player]],Proj[Player],0),19)-L$764)/L$765</f>
        <v>-0.16404410767290362</v>
      </c>
      <c r="M406" s="12">
        <f>(INDEX(Proj[],MATCH(Std[[#This Row],[Player]],Proj[Player],0),20)-M$764)/M$765</f>
        <v>0.31240082183847029</v>
      </c>
      <c r="N406" s="12">
        <f>(INDEX(Proj[],MATCH(Std[[#This Row],[Player]],Proj[Player],0),21)-N$764)/N$765</f>
        <v>-1.0219408262222536</v>
      </c>
      <c r="O406" s="12">
        <f>(INDEX(Proj[],MATCH(Std[[#This Row],[Player]],Proj[Player],0),22)-O$764)/O$765</f>
        <v>-0.28901617931788925</v>
      </c>
      <c r="P406" s="12">
        <f>((INDEX(Proj[],MATCH(Std[[#This Row],[Player]],Proj[Player],0),23)-P$764)/P$765)*IF('League Inputs'!$C$23 = "Yes",-1, 1)</f>
        <v>-1.0935305907985153</v>
      </c>
      <c r="Q406" s="12">
        <f>(INDEX(Proj[],MATCH(Std[[#This Row],[Player]],Proj[Player],0),24)-Q$764)/Q$765</f>
        <v>1.2570543917661401</v>
      </c>
      <c r="R406" s="12">
        <f>(INDEX(Proj[],MATCH(Std[[#This Row],[Player]],Proj[Player],0),25)-R$764)/R$765</f>
        <v>1.3780013575458241</v>
      </c>
      <c r="S406" s="12">
        <f>(INDEX(Proj[],MATCH(Std[[#This Row],[Player]],Proj[Player],0),26)-S$764)/S$765</f>
        <v>-3.4392223985428086E-2</v>
      </c>
      <c r="T4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-216.69936397828465</v>
      </c>
      <c r="U406" s="11"/>
      <c r="W406" t="str">
        <v>Frederick Gaudreau</v>
      </c>
      <c r="AA406" t="str">
        <v>Frederick Gaudreau</v>
      </c>
      <c r="AB406" t="str">
        <v>Frederick Gaudreau</v>
      </c>
    </row>
    <row r="407" spans="1:28" x14ac:dyDescent="0.25">
      <c r="A407" t="s">
        <v>1118</v>
      </c>
      <c r="B407">
        <f>INDEX(Proj[],MATCH(Std[[#This Row],[Player]],Proj[Player],0),2)</f>
        <v>23</v>
      </c>
      <c r="C407" t="s">
        <v>74</v>
      </c>
      <c r="D407" s="75" t="s">
        <v>102</v>
      </c>
      <c r="E407" s="56"/>
      <c r="F407" t="s">
        <v>23</v>
      </c>
      <c r="G407" s="12">
        <f>(INDEX(Proj[],MATCH(Std[[#This Row],[Player]],Proj[Player],0),14)-G$764)/G$765</f>
        <v>-0.34558365010818687</v>
      </c>
      <c r="H407" s="12">
        <f>(INDEX(Proj[],MATCH(Std[[#This Row],[Player]],Proj[Player],0),15)-H$764)/H$765</f>
        <v>-0.21549323157004366</v>
      </c>
      <c r="I407" s="12">
        <f>(INDEX(Proj[],MATCH(Std[[#This Row],[Player]],Proj[Player],0),16)-I$764)/I$765</f>
        <v>-0.29115182364326664</v>
      </c>
      <c r="J407" s="12">
        <f>(INDEX(Proj[],MATCH(Std[[#This Row],[Player]],Proj[Player],0),17)-J$764)/J$765</f>
        <v>-0.76105581014900237</v>
      </c>
      <c r="K407" s="12">
        <f>(INDEX(Proj[],MATCH(Std[[#This Row],[Player]],Proj[Player],0),18)-K$764)/K$765</f>
        <v>-0.75859266061649311</v>
      </c>
      <c r="L407" s="12">
        <f>(INDEX(Proj[],MATCH(Std[[#This Row],[Player]],Proj[Player],0),19)-L$764)/L$765</f>
        <v>-0.81647589674950882</v>
      </c>
      <c r="M407" s="12">
        <f>(INDEX(Proj[],MATCH(Std[[#This Row],[Player]],Proj[Player],0),20)-M$764)/M$765</f>
        <v>-0.71308883245737775</v>
      </c>
      <c r="N407" s="12">
        <f>(INDEX(Proj[],MATCH(Std[[#This Row],[Player]],Proj[Player],0),21)-N$764)/N$765</f>
        <v>-0.16923255889491676</v>
      </c>
      <c r="O407" s="12">
        <f>(INDEX(Proj[],MATCH(Std[[#This Row],[Player]],Proj[Player],0),22)-O$764)/O$765</f>
        <v>-0.79976825277997488</v>
      </c>
      <c r="P407" s="12">
        <f>((INDEX(Proj[],MATCH(Std[[#This Row],[Player]],Proj[Player],0),23)-P$764)/P$765)*IF('League Inputs'!$C$23 = "Yes",-1, 1)</f>
        <v>-0.62813284781493084</v>
      </c>
      <c r="Q407" s="12">
        <f>(INDEX(Proj[],MATCH(Std[[#This Row],[Player]],Proj[Player],0),24)-Q$764)/Q$765</f>
        <v>-0.21414170681474648</v>
      </c>
      <c r="R407" s="12">
        <f>(INDEX(Proj[],MATCH(Std[[#This Row],[Player]],Proj[Player],0),25)-R$764)/R$765</f>
        <v>-0.2394072998109068</v>
      </c>
      <c r="S407" s="12">
        <f>(INDEX(Proj[],MATCH(Std[[#This Row],[Player]],Proj[Player],0),26)-S$764)/S$765</f>
        <v>-0.5209530442664676</v>
      </c>
      <c r="T4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-400.09330126420429</v>
      </c>
      <c r="U407" s="11"/>
      <c r="W407" t="str">
        <v>Brendan Brisson</v>
      </c>
      <c r="AA407" t="str">
        <v>Brendan Brisson</v>
      </c>
      <c r="AB407" t="str">
        <v>Brendan Brisson</v>
      </c>
    </row>
    <row r="408" spans="1:28" x14ac:dyDescent="0.25">
      <c r="A408" t="s">
        <v>369</v>
      </c>
      <c r="B408">
        <f>INDEX(Proj[],MATCH(Std[[#This Row],[Player]],Proj[Player],0),2)</f>
        <v>36</v>
      </c>
      <c r="C408" t="s">
        <v>74</v>
      </c>
      <c r="D408" s="75" t="s">
        <v>103</v>
      </c>
      <c r="E408" s="57"/>
      <c r="F408" t="s">
        <v>28</v>
      </c>
      <c r="G408" s="12">
        <f>(INDEX(Proj[],MATCH(Std[[#This Row],[Player]],Proj[Player],0),14)-G$764)/G$765</f>
        <v>-0.7681191251392494</v>
      </c>
      <c r="H408" s="12">
        <f>(INDEX(Proj[],MATCH(Std[[#This Row],[Player]],Proj[Player],0),15)-H$764)/H$765</f>
        <v>8.0945693947519649E-3</v>
      </c>
      <c r="I408" s="12">
        <f>(INDEX(Proj[],MATCH(Std[[#This Row],[Player]],Proj[Player],0),16)-I$764)/I$765</f>
        <v>-0.33839438260536986</v>
      </c>
      <c r="J408" s="12">
        <f>(INDEX(Proj[],MATCH(Std[[#This Row],[Player]],Proj[Player],0),17)-J$764)/J$765</f>
        <v>-0.46669252292436259</v>
      </c>
      <c r="K408" s="12">
        <f>(INDEX(Proj[],MATCH(Std[[#This Row],[Player]],Proj[Player],0),18)-K$764)/K$765</f>
        <v>0.62818084729017121</v>
      </c>
      <c r="L408" s="12">
        <f>(INDEX(Proj[],MATCH(Std[[#This Row],[Player]],Proj[Player],0),19)-L$764)/L$765</f>
        <v>0.27091041837816654</v>
      </c>
      <c r="M408" s="12">
        <f>(INDEX(Proj[],MATCH(Std[[#This Row],[Player]],Proj[Player],0),20)-M$764)/M$765</f>
        <v>-0.71308883245737775</v>
      </c>
      <c r="N408" s="12">
        <f>(INDEX(Proj[],MATCH(Std[[#This Row],[Player]],Proj[Player],0),21)-N$764)/N$765</f>
        <v>-0.38240962572675097</v>
      </c>
      <c r="O408" s="12">
        <f>(INDEX(Proj[],MATCH(Std[[#This Row],[Player]],Proj[Player],0),22)-O$764)/O$765</f>
        <v>1.0342960110156962</v>
      </c>
      <c r="P408" s="12">
        <f>((INDEX(Proj[],MATCH(Std[[#This Row],[Player]],Proj[Player],0),23)-P$764)/P$765)*IF('League Inputs'!$C$23 = "Yes",-1, 1)</f>
        <v>-0.16273510483134615</v>
      </c>
      <c r="Q408" s="12">
        <f>(INDEX(Proj[],MATCH(Std[[#This Row],[Player]],Proj[Player],0),24)-Q$764)/Q$765</f>
        <v>-0.5766103108129359</v>
      </c>
      <c r="R408" s="12">
        <f>(INDEX(Proj[],MATCH(Std[[#This Row],[Player]],Proj[Player],0),25)-R$764)/R$765</f>
        <v>-0.62531533033812681</v>
      </c>
      <c r="S408" s="12">
        <f>(INDEX(Proj[],MATCH(Std[[#This Row],[Player]],Proj[Player],0),26)-S$764)/S$765</f>
        <v>-0.31011002214468381</v>
      </c>
      <c r="T4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-122.50775724717211</v>
      </c>
      <c r="U408" s="11"/>
      <c r="W408" t="str">
        <v>Kevin Shattenkirk</v>
      </c>
      <c r="AA408" t="str">
        <v>Kevin Shattenkirk</v>
      </c>
      <c r="AB408" t="str">
        <v>Kevin Shattenkirk</v>
      </c>
    </row>
    <row r="409" spans="1:28" x14ac:dyDescent="0.25">
      <c r="A409" t="s">
        <v>1021</v>
      </c>
      <c r="B409">
        <f>INDEX(Proj[],MATCH(Std[[#This Row],[Player]],Proj[Player],0),2)</f>
        <v>24</v>
      </c>
      <c r="C409" t="s">
        <v>103</v>
      </c>
      <c r="D409" s="75"/>
      <c r="E409" s="56"/>
      <c r="F409" t="s">
        <v>12</v>
      </c>
      <c r="G409" s="12">
        <f>(INDEX(Proj[],MATCH(Std[[#This Row],[Player]],Proj[Player],0),14)-G$764)/G$765</f>
        <v>-0.7681191251392494</v>
      </c>
      <c r="H409" s="12">
        <f>(INDEX(Proj[],MATCH(Std[[#This Row],[Player]],Proj[Player],0),15)-H$764)/H$765</f>
        <v>8.0945693947519649E-3</v>
      </c>
      <c r="I409" s="12">
        <f>(INDEX(Proj[],MATCH(Std[[#This Row],[Player]],Proj[Player],0),16)-I$764)/I$765</f>
        <v>-0.33839438260536986</v>
      </c>
      <c r="J409" s="12">
        <f>(INDEX(Proj[],MATCH(Std[[#This Row],[Player]],Proj[Player],0),17)-J$764)/J$765</f>
        <v>-0.46669252292436259</v>
      </c>
      <c r="K409" s="12">
        <f>(INDEX(Proj[],MATCH(Std[[#This Row],[Player]],Proj[Player],0),18)-K$764)/K$765</f>
        <v>0.93635273793609664</v>
      </c>
      <c r="L409" s="12">
        <f>(INDEX(Proj[],MATCH(Std[[#This Row],[Player]],Proj[Player],0),19)-L$764)/L$765</f>
        <v>0.48838768140370159</v>
      </c>
      <c r="M409" s="12">
        <f>(INDEX(Proj[],MATCH(Std[[#This Row],[Player]],Proj[Player],0),20)-M$764)/M$765</f>
        <v>-0.71308883245737775</v>
      </c>
      <c r="N409" s="12">
        <f>(INDEX(Proj[],MATCH(Std[[#This Row],[Player]],Proj[Player],0),21)-N$764)/N$765</f>
        <v>-0.77000429269372228</v>
      </c>
      <c r="O409" s="12">
        <f>(INDEX(Proj[],MATCH(Std[[#This Row],[Player]],Proj[Player],0),22)-O$764)/O$765</f>
        <v>0.1985198908050107</v>
      </c>
      <c r="P409" s="12">
        <f>((INDEX(Proj[],MATCH(Std[[#This Row],[Player]],Proj[Player],0),23)-P$764)/P$765)*IF('League Inputs'!$C$23 = "Yes",-1, 1)</f>
        <v>0.20958308955552155</v>
      </c>
      <c r="Q409" s="12">
        <f>(INDEX(Proj[],MATCH(Std[[#This Row],[Player]],Proj[Player],0),24)-Q$764)/Q$765</f>
        <v>-0.5766103108129359</v>
      </c>
      <c r="R409" s="12">
        <f>(INDEX(Proj[],MATCH(Std[[#This Row],[Player]],Proj[Player],0),25)-R$764)/R$765</f>
        <v>-0.62531533033812681</v>
      </c>
      <c r="S409" s="12">
        <f>(INDEX(Proj[],MATCH(Std[[#This Row],[Player]],Proj[Player],0),26)-S$764)/S$765</f>
        <v>-0.40742218620089166</v>
      </c>
      <c r="T4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-195.59650662931833</v>
      </c>
      <c r="U409" s="11"/>
      <c r="W409" t="str">
        <v>Calen Addison</v>
      </c>
      <c r="AA409" t="str">
        <v>Calen Addison</v>
      </c>
      <c r="AB409" t="str">
        <v>Calen Addison</v>
      </c>
    </row>
    <row r="410" spans="1:28" x14ac:dyDescent="0.25">
      <c r="A410" t="s">
        <v>1056</v>
      </c>
      <c r="B410">
        <f>INDEX(Proj[],MATCH(Std[[#This Row],[Player]],Proj[Player],0),2)</f>
        <v>27</v>
      </c>
      <c r="C410" t="s">
        <v>102</v>
      </c>
      <c r="D410" s="75"/>
      <c r="E410" s="56"/>
      <c r="F410" t="s">
        <v>17</v>
      </c>
      <c r="G410" s="12">
        <f>(INDEX(Proj[],MATCH(Std[[#This Row],[Player]],Proj[Player],0),14)-G$764)/G$765</f>
        <v>-0.55685138762371811</v>
      </c>
      <c r="H410" s="12">
        <f>(INDEX(Proj[],MATCH(Std[[#This Row],[Player]],Proj[Player],0),15)-H$764)/H$765</f>
        <v>-0.14096396458177846</v>
      </c>
      <c r="I410" s="12">
        <f>(INDEX(Proj[],MATCH(Std[[#This Row],[Player]],Proj[Player],0),16)-I$764)/I$765</f>
        <v>-0.33839438260536986</v>
      </c>
      <c r="J410" s="12">
        <f>(INDEX(Proj[],MATCH(Std[[#This Row],[Player]],Proj[Player],0),17)-J$764)/J$765</f>
        <v>-0.46669252292436259</v>
      </c>
      <c r="K410" s="12">
        <f>(INDEX(Proj[],MATCH(Std[[#This Row],[Player]],Proj[Player],0),18)-K$764)/K$765</f>
        <v>0.47409490196720849</v>
      </c>
      <c r="L410" s="12">
        <f>(INDEX(Proj[],MATCH(Std[[#This Row],[Player]],Proj[Player],0),19)-L$764)/L$765</f>
        <v>0.16217178686539899</v>
      </c>
      <c r="M410" s="12">
        <f>(INDEX(Proj[],MATCH(Std[[#This Row],[Player]],Proj[Player],0),20)-M$764)/M$765</f>
        <v>-0.71308883245737775</v>
      </c>
      <c r="N410" s="12">
        <f>(INDEX(Proj[],MATCH(Std[[#This Row],[Player]],Proj[Player],0),21)-N$764)/N$765</f>
        <v>-0.96380162617720799</v>
      </c>
      <c r="O410" s="12">
        <f>(INDEX(Proj[],MATCH(Std[[#This Row],[Player]],Proj[Player],0),22)-O$764)/O$765</f>
        <v>0.77891997428465343</v>
      </c>
      <c r="P410" s="12">
        <f>((INDEX(Proj[],MATCH(Std[[#This Row],[Player]],Proj[Player],0),23)-P$764)/P$765)*IF('League Inputs'!$C$23 = "Yes",-1, 1)</f>
        <v>-0.44197375062149696</v>
      </c>
      <c r="Q410" s="12">
        <f>(INDEX(Proj[],MATCH(Std[[#This Row],[Player]],Proj[Player],0),24)-Q$764)/Q$765</f>
        <v>-0.5766103108129359</v>
      </c>
      <c r="R410" s="12">
        <f>(INDEX(Proj[],MATCH(Std[[#This Row],[Player]],Proj[Player],0),25)-R$764)/R$765</f>
        <v>-0.62531533033812681</v>
      </c>
      <c r="S410" s="12">
        <f>(INDEX(Proj[],MATCH(Std[[#This Row],[Player]],Proj[Player],0),26)-S$764)/S$765</f>
        <v>1.4263858042675865E-2</v>
      </c>
      <c r="T4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-206.32398032297789</v>
      </c>
      <c r="U410" s="11"/>
      <c r="W410" t="str">
        <v>Daniil Miromanov</v>
      </c>
      <c r="AA410" t="str">
        <v>Daniil Miromanov</v>
      </c>
      <c r="AB410" t="str">
        <v>Daniil Miromanov</v>
      </c>
    </row>
    <row r="411" spans="1:28" x14ac:dyDescent="0.25">
      <c r="A411" t="s">
        <v>856</v>
      </c>
      <c r="B411">
        <f>INDEX(Proj[],MATCH(Std[[#This Row],[Player]],Proj[Player],0),2)</f>
        <v>25</v>
      </c>
      <c r="C411" t="s">
        <v>74</v>
      </c>
      <c r="D411" s="75" t="s">
        <v>102</v>
      </c>
      <c r="E411" s="56" t="s">
        <v>103</v>
      </c>
      <c r="F411" t="s">
        <v>21</v>
      </c>
      <c r="G411" s="12">
        <f>(INDEX(Proj[],MATCH(Std[[#This Row],[Player]],Proj[Player],0),14)-G$764)/G$765</f>
        <v>-0.23994978135042122</v>
      </c>
      <c r="H411" s="12">
        <f>(INDEX(Proj[],MATCH(Std[[#This Row],[Player]],Proj[Player],0),15)-H$764)/H$765</f>
        <v>-0.36455176554657409</v>
      </c>
      <c r="I411" s="12">
        <f>(INDEX(Proj[],MATCH(Std[[#This Row],[Player]],Proj[Player],0),16)-I$764)/I$765</f>
        <v>-0.33839438260536986</v>
      </c>
      <c r="J411" s="12">
        <f>(INDEX(Proj[],MATCH(Std[[#This Row],[Player]],Proj[Player],0),17)-J$764)/J$765</f>
        <v>-0.76105581014900237</v>
      </c>
      <c r="K411" s="12">
        <f>(INDEX(Proj[],MATCH(Std[[#This Row],[Player]],Proj[Player],0),18)-K$764)/K$765</f>
        <v>-0.75859266061649311</v>
      </c>
      <c r="L411" s="12">
        <f>(INDEX(Proj[],MATCH(Std[[#This Row],[Player]],Proj[Player],0),19)-L$764)/L$765</f>
        <v>-0.81647589674950882</v>
      </c>
      <c r="M411" s="12">
        <f>(INDEX(Proj[],MATCH(Std[[#This Row],[Player]],Proj[Player],0),20)-M$764)/M$765</f>
        <v>-0.71308883245737775</v>
      </c>
      <c r="N411" s="12">
        <f>(INDEX(Proj[],MATCH(Std[[#This Row],[Player]],Proj[Player],0),21)-N$764)/N$765</f>
        <v>2.7377274433573677</v>
      </c>
      <c r="O411" s="12">
        <f>(INDEX(Proj[],MATCH(Std[[#This Row],[Player]],Proj[Player],0),22)-O$764)/O$765</f>
        <v>-0.31223218265707492</v>
      </c>
      <c r="P411" s="12">
        <f>((INDEX(Proj[],MATCH(Std[[#This Row],[Player]],Proj[Player],0),23)-P$764)/P$765)*IF('League Inputs'!$C$23 = "Yes",-1, 1)</f>
        <v>0.86113992973254005</v>
      </c>
      <c r="Q411" s="12">
        <f>(INDEX(Proj[],MATCH(Std[[#This Row],[Player]],Proj[Player],0),24)-Q$764)/Q$765</f>
        <v>1.1930893440017536</v>
      </c>
      <c r="R411" s="12">
        <f>(INDEX(Proj[],MATCH(Std[[#This Row],[Player]],Proj[Player],0),25)-R$764)/R$765</f>
        <v>1.7014830890171704</v>
      </c>
      <c r="S411" s="12">
        <f>(INDEX(Proj[],MATCH(Std[[#This Row],[Player]],Proj[Player],0),26)-S$764)/S$765</f>
        <v>-0.86154561846319522</v>
      </c>
      <c r="T4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185.88070897195172</v>
      </c>
      <c r="U411" s="11"/>
      <c r="W411" t="str">
        <v>Jack McBain</v>
      </c>
      <c r="AA411" t="str">
        <v>Jack McBain</v>
      </c>
      <c r="AB411" t="str">
        <v>Jack McBain</v>
      </c>
    </row>
    <row r="412" spans="1:28" x14ac:dyDescent="0.25">
      <c r="A412" t="s">
        <v>663</v>
      </c>
      <c r="B412">
        <f>INDEX(Proj[],MATCH(Std[[#This Row],[Player]],Proj[Player],0),2)</f>
        <v>34</v>
      </c>
      <c r="C412" t="s">
        <v>102</v>
      </c>
      <c r="D412" s="75" t="s">
        <v>103</v>
      </c>
      <c r="E412" s="57"/>
      <c r="F412" t="s">
        <v>14</v>
      </c>
      <c r="G412" s="12">
        <f>(INDEX(Proj[],MATCH(Std[[#This Row],[Player]],Proj[Player],0),14)-G$764)/G$765</f>
        <v>7.6951824922875695E-2</v>
      </c>
      <c r="H412" s="12">
        <f>(INDEX(Proj[],MATCH(Std[[#This Row],[Player]],Proj[Player],0),15)-H$764)/H$765</f>
        <v>-0.58813956651136978</v>
      </c>
      <c r="I412" s="12">
        <f>(INDEX(Proj[],MATCH(Std[[#This Row],[Player]],Proj[Player],0),16)-I$764)/I$765</f>
        <v>-0.33839438260536986</v>
      </c>
      <c r="J412" s="12">
        <f>(INDEX(Proj[],MATCH(Std[[#This Row],[Player]],Proj[Player],0),17)-J$764)/J$765</f>
        <v>-0.76105581014900237</v>
      </c>
      <c r="K412" s="12">
        <f>(INDEX(Proj[],MATCH(Std[[#This Row],[Player]],Proj[Player],0),18)-K$764)/K$765</f>
        <v>-0.75859266061649311</v>
      </c>
      <c r="L412" s="12">
        <f>(INDEX(Proj[],MATCH(Std[[#This Row],[Player]],Proj[Player],0),19)-L$764)/L$765</f>
        <v>-0.81647589674950882</v>
      </c>
      <c r="M412" s="12">
        <f>(INDEX(Proj[],MATCH(Std[[#This Row],[Player]],Proj[Player],0),20)-M$764)/M$765</f>
        <v>0.31240082183847029</v>
      </c>
      <c r="N412" s="12">
        <f>(INDEX(Proj[],MATCH(Std[[#This Row],[Player]],Proj[Player],0),21)-N$764)/N$765</f>
        <v>0.99355144200599721</v>
      </c>
      <c r="O412" s="12">
        <f>(INDEX(Proj[],MATCH(Std[[#This Row],[Player]],Proj[Player],0),22)-O$764)/O$765</f>
        <v>0.26816790082256781</v>
      </c>
      <c r="P412" s="12">
        <f>((INDEX(Proj[],MATCH(Std[[#This Row],[Player]],Proj[Player],0),23)-P$764)/P$765)*IF('League Inputs'!$C$23 = "Yes",-1, 1)</f>
        <v>0.30266263815223848</v>
      </c>
      <c r="Q412" s="12">
        <f>(INDEX(Proj[],MATCH(Std[[#This Row],[Player]],Proj[Player],0),24)-Q$764)/Q$765</f>
        <v>2.2378517908200641</v>
      </c>
      <c r="R412" s="12">
        <f>(INDEX(Proj[],MATCH(Std[[#This Row],[Player]],Proj[Player],0),25)-R$764)/R$765</f>
        <v>2.5414005672234725</v>
      </c>
      <c r="S412" s="12">
        <f>(INDEX(Proj[],MATCH(Std[[#This Row],[Player]],Proj[Player],0),26)-S$764)/S$765</f>
        <v>-0.74801476039761927</v>
      </c>
      <c r="T4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138.81609904598756</v>
      </c>
      <c r="U412" s="11"/>
      <c r="W412" t="str">
        <v>Nic Dowd</v>
      </c>
      <c r="AA412" t="str">
        <v>Nic Dowd</v>
      </c>
      <c r="AB412" t="str">
        <v>Nic Dowd</v>
      </c>
    </row>
    <row r="413" spans="1:28" x14ac:dyDescent="0.25">
      <c r="A413" t="s">
        <v>757</v>
      </c>
      <c r="B413">
        <f>INDEX(Proj[],MATCH(Std[[#This Row],[Player]],Proj[Player],0),2)</f>
        <v>26</v>
      </c>
      <c r="C413" t="s">
        <v>3</v>
      </c>
      <c r="D413" s="75"/>
      <c r="E413" s="57"/>
      <c r="F413" t="s">
        <v>34</v>
      </c>
      <c r="G413" s="12">
        <f>(INDEX(Proj[],MATCH(Std[[#This Row],[Player]],Proj[Player],0),14)-G$764)/G$765</f>
        <v>-0.873752993897015</v>
      </c>
      <c r="H413" s="12">
        <f>(INDEX(Proj[],MATCH(Std[[#This Row],[Player]],Proj[Player],0),15)-H$764)/H$765</f>
        <v>8.262383638301718E-2</v>
      </c>
      <c r="I413" s="12">
        <f>(INDEX(Proj[],MATCH(Std[[#This Row],[Player]],Proj[Player],0),16)-I$764)/I$765</f>
        <v>-0.33839438260536986</v>
      </c>
      <c r="J413" s="12">
        <f>(INDEX(Proj[],MATCH(Std[[#This Row],[Player]],Proj[Player],0),17)-J$764)/J$765</f>
        <v>-0.46669252292436259</v>
      </c>
      <c r="K413" s="12">
        <f>(INDEX(Proj[],MATCH(Std[[#This Row],[Player]],Proj[Player],0),18)-K$764)/K$765</f>
        <v>0.32000895664424578</v>
      </c>
      <c r="L413" s="12">
        <f>(INDEX(Proj[],MATCH(Std[[#This Row],[Player]],Proj[Player],0),19)-L$764)/L$765</f>
        <v>5.3433155352631455E-2</v>
      </c>
      <c r="M413" s="12">
        <f>(INDEX(Proj[],MATCH(Std[[#This Row],[Player]],Proj[Player],0),20)-M$764)/M$765</f>
        <v>-0.71308883245737775</v>
      </c>
      <c r="N413" s="12">
        <f>(INDEX(Proj[],MATCH(Std[[#This Row],[Player]],Proj[Player],0),21)-N$764)/N$765</f>
        <v>-0.20799202559161389</v>
      </c>
      <c r="O413" s="12">
        <f>(INDEX(Proj[],MATCH(Std[[#This Row],[Player]],Proj[Player],0),22)-O$764)/O$765</f>
        <v>-1.0424139247660705E-2</v>
      </c>
      <c r="P413" s="12">
        <f>((INDEX(Proj[],MATCH(Std[[#This Row],[Player]],Proj[Player],0),23)-P$764)/P$765)*IF('League Inputs'!$C$23 = "Yes",-1, 1)</f>
        <v>-0.16273510483134615</v>
      </c>
      <c r="Q413" s="12">
        <f>(INDEX(Proj[],MATCH(Std[[#This Row],[Player]],Proj[Player],0),24)-Q$764)/Q$765</f>
        <v>-0.5766103108129359</v>
      </c>
      <c r="R413" s="12">
        <f>(INDEX(Proj[],MATCH(Std[[#This Row],[Player]],Proj[Player],0),25)-R$764)/R$765</f>
        <v>-0.62531533033812681</v>
      </c>
      <c r="S413" s="12">
        <f>(INDEX(Proj[],MATCH(Std[[#This Row],[Player]],Proj[Player],0),26)-S$764)/S$765</f>
        <v>-0.94263908851003508</v>
      </c>
      <c r="T4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-297.64910537603276</v>
      </c>
      <c r="U413" s="11"/>
      <c r="W413" t="str">
        <v>Conor Timmins</v>
      </c>
      <c r="AA413" t="str">
        <v>Conor Timmins</v>
      </c>
      <c r="AB413" t="str">
        <v>Conor Timmins</v>
      </c>
    </row>
    <row r="414" spans="1:28" x14ac:dyDescent="0.25">
      <c r="A414" t="s">
        <v>474</v>
      </c>
      <c r="B414">
        <f>INDEX(Proj[],MATCH(Std[[#This Row],[Player]],Proj[Player],0),2)</f>
        <v>39</v>
      </c>
      <c r="C414" t="s">
        <v>102</v>
      </c>
      <c r="D414" s="75"/>
      <c r="E414" s="56"/>
      <c r="F414" t="s">
        <v>32</v>
      </c>
      <c r="G414" s="12">
        <f>(INDEX(Proj[],MATCH(Std[[#This Row],[Player]],Proj[Player],0),14)-G$764)/G$765</f>
        <v>7.6951824922875695E-2</v>
      </c>
      <c r="H414" s="12">
        <f>(INDEX(Proj[],MATCH(Std[[#This Row],[Player]],Proj[Player],0),15)-H$764)/H$765</f>
        <v>-0.58813956651136978</v>
      </c>
      <c r="I414" s="12">
        <f>(INDEX(Proj[],MATCH(Std[[#This Row],[Player]],Proj[Player],0),16)-I$764)/I$765</f>
        <v>-0.33839438260536986</v>
      </c>
      <c r="J414" s="12">
        <f>(INDEX(Proj[],MATCH(Std[[#This Row],[Player]],Proj[Player],0),17)-J$764)/J$765</f>
        <v>0.41639733874955659</v>
      </c>
      <c r="K414" s="12">
        <f>(INDEX(Proj[],MATCH(Std[[#This Row],[Player]],Proj[Player],0),18)-K$764)/K$765</f>
        <v>-0.45042076997056774</v>
      </c>
      <c r="L414" s="12">
        <f>(INDEX(Proj[],MATCH(Std[[#This Row],[Player]],Proj[Player],0),19)-L$764)/L$765</f>
        <v>-0.16404410767290362</v>
      </c>
      <c r="M414" s="12">
        <f>(INDEX(Proj[],MATCH(Std[[#This Row],[Player]],Proj[Player],0),20)-M$764)/M$765</f>
        <v>-0.71308883245737775</v>
      </c>
      <c r="N414" s="12">
        <f>(INDEX(Proj[],MATCH(Std[[#This Row],[Player]],Proj[Player],0),21)-N$764)/N$765</f>
        <v>-0.69248535930032806</v>
      </c>
      <c r="O414" s="12">
        <f>(INDEX(Proj[],MATCH(Std[[#This Row],[Player]],Proj[Player],0),22)-O$764)/O$765</f>
        <v>-0.93906427281508909</v>
      </c>
      <c r="P414" s="12">
        <f>((INDEX(Proj[],MATCH(Std[[#This Row],[Player]],Proj[Player],0),23)-P$764)/P$765)*IF('League Inputs'!$C$23 = "Yes",-1, 1)</f>
        <v>1.6057763185062754</v>
      </c>
      <c r="Q414" s="12">
        <f>(INDEX(Proj[],MATCH(Std[[#This Row],[Player]],Proj[Player],0),24)-Q$764)/Q$765</f>
        <v>-0.54995820757777492</v>
      </c>
      <c r="R414" s="12">
        <f>(INDEX(Proj[],MATCH(Std[[#This Row],[Player]],Proj[Player],0),25)-R$764)/R$765</f>
        <v>-0.59693973985818416</v>
      </c>
      <c r="S414" s="12">
        <f>(INDEX(Proj[],MATCH(Std[[#This Row],[Player]],Proj[Player],0),26)-S$764)/S$765</f>
        <v>-0.31011002214468381</v>
      </c>
      <c r="T4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-189.94677751983679</v>
      </c>
      <c r="U414" s="11"/>
      <c r="W414" t="str">
        <v>Corey Perry</v>
      </c>
      <c r="AA414" t="str">
        <v>Corey Perry</v>
      </c>
      <c r="AB414" t="str">
        <v>Corey Perry</v>
      </c>
    </row>
    <row r="415" spans="1:28" x14ac:dyDescent="0.25">
      <c r="A415" t="s">
        <v>715</v>
      </c>
      <c r="B415">
        <f>INDEX(Proj[],MATCH(Std[[#This Row],[Player]],Proj[Player],0),2)</f>
        <v>31</v>
      </c>
      <c r="C415" t="s">
        <v>74</v>
      </c>
      <c r="D415" s="75"/>
      <c r="E415" s="57"/>
      <c r="F415" t="s">
        <v>29</v>
      </c>
      <c r="G415" s="12">
        <f>(INDEX(Proj[],MATCH(Std[[#This Row],[Player]],Proj[Player],0),14)-G$764)/G$765</f>
        <v>0.18258569368064134</v>
      </c>
      <c r="H415" s="12">
        <f>(INDEX(Proj[],MATCH(Std[[#This Row],[Player]],Proj[Player],0),15)-H$764)/H$765</f>
        <v>-0.6626688334996349</v>
      </c>
      <c r="I415" s="12">
        <f>(INDEX(Proj[],MATCH(Std[[#This Row],[Player]],Proj[Player],0),16)-I$764)/I$765</f>
        <v>-0.33839438260536986</v>
      </c>
      <c r="J415" s="12">
        <f>(INDEX(Proj[],MATCH(Std[[#This Row],[Player]],Proj[Player],0),17)-J$764)/J$765</f>
        <v>-0.17232923569972286</v>
      </c>
      <c r="K415" s="12">
        <f>(INDEX(Proj[],MATCH(Std[[#This Row],[Player]],Proj[Player],0),18)-K$764)/K$765</f>
        <v>-0.45042076997056774</v>
      </c>
      <c r="L415" s="12">
        <f>(INDEX(Proj[],MATCH(Std[[#This Row],[Player]],Proj[Player],0),19)-L$764)/L$765</f>
        <v>-0.38152137069843867</v>
      </c>
      <c r="M415" s="12">
        <f>(INDEX(Proj[],MATCH(Std[[#This Row],[Player]],Proj[Player],0),20)-M$764)/M$765</f>
        <v>0.31240082183847029</v>
      </c>
      <c r="N415" s="12">
        <f>(INDEX(Proj[],MATCH(Std[[#This Row],[Player]],Proj[Player],0),21)-N$764)/N$765</f>
        <v>-0.36302989237840244</v>
      </c>
      <c r="O415" s="12">
        <f>(INDEX(Proj[],MATCH(Std[[#This Row],[Player]],Proj[Player],0),22)-O$764)/O$765</f>
        <v>-0.42831219935300352</v>
      </c>
      <c r="P415" s="12">
        <f>((INDEX(Proj[],MATCH(Std[[#This Row],[Player]],Proj[Player],0),23)-P$764)/P$765)*IF('League Inputs'!$C$23 = "Yes",-1, 1)</f>
        <v>-0.20927487912970463</v>
      </c>
      <c r="Q415" s="12">
        <f>(INDEX(Proj[],MATCH(Std[[#This Row],[Player]],Proj[Player],0),24)-Q$764)/Q$765</f>
        <v>-0.48599315981338853</v>
      </c>
      <c r="R415" s="12">
        <f>(INDEX(Proj[],MATCH(Std[[#This Row],[Player]],Proj[Player],0),25)-R$764)/R$765</f>
        <v>-0.49478761413039063</v>
      </c>
      <c r="S415" s="12">
        <f>(INDEX(Proj[],MATCH(Std[[#This Row],[Player]],Proj[Player],0),26)-S$764)/S$765</f>
        <v>0.3548564322394035</v>
      </c>
      <c r="T4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-233.17525915578977</v>
      </c>
      <c r="U415" s="11"/>
      <c r="W415" t="str">
        <v>Joel Armia</v>
      </c>
      <c r="AA415" t="str">
        <v>Joel Armia</v>
      </c>
      <c r="AB415" t="str">
        <v>Joel Armia</v>
      </c>
    </row>
    <row r="416" spans="1:28" x14ac:dyDescent="0.25">
      <c r="A416" t="s">
        <v>738</v>
      </c>
      <c r="B416">
        <f>INDEX(Proj[],MATCH(Std[[#This Row],[Player]],Proj[Player],0),2)</f>
        <v>31</v>
      </c>
      <c r="C416" t="s">
        <v>102</v>
      </c>
      <c r="D416" s="75" t="s">
        <v>103</v>
      </c>
      <c r="E416" s="56"/>
      <c r="F416" t="s">
        <v>21</v>
      </c>
      <c r="G416" s="12">
        <f>(INDEX(Proj[],MATCH(Std[[#This Row],[Player]],Proj[Player],0),14)-G$764)/G$765</f>
        <v>7.6951824922875695E-2</v>
      </c>
      <c r="H416" s="12">
        <f>(INDEX(Proj[],MATCH(Std[[#This Row],[Player]],Proj[Player],0),15)-H$764)/H$765</f>
        <v>-0.58813956651136978</v>
      </c>
      <c r="I416" s="12">
        <f>(INDEX(Proj[],MATCH(Std[[#This Row],[Player]],Proj[Player],0),16)-I$764)/I$765</f>
        <v>-0.33839438260536986</v>
      </c>
      <c r="J416" s="12">
        <f>(INDEX(Proj[],MATCH(Std[[#This Row],[Player]],Proj[Player],0),17)-J$764)/J$765</f>
        <v>-0.76105581014900237</v>
      </c>
      <c r="K416" s="12">
        <f>(INDEX(Proj[],MATCH(Std[[#This Row],[Player]],Proj[Player],0),18)-K$764)/K$765</f>
        <v>-0.75859266061649311</v>
      </c>
      <c r="L416" s="12">
        <f>(INDEX(Proj[],MATCH(Std[[#This Row],[Player]],Proj[Player],0),19)-L$764)/L$765</f>
        <v>-0.81647589674950882</v>
      </c>
      <c r="M416" s="12">
        <f>(INDEX(Proj[],MATCH(Std[[#This Row],[Player]],Proj[Player],0),20)-M$764)/M$765</f>
        <v>-0.71308883245737775</v>
      </c>
      <c r="N416" s="12">
        <f>(INDEX(Proj[],MATCH(Std[[#This Row],[Player]],Proj[Player],0),21)-N$764)/N$765</f>
        <v>0.37339997485884308</v>
      </c>
      <c r="O416" s="12">
        <f>(INDEX(Proj[],MATCH(Std[[#This Row],[Player]],Proj[Player],0),22)-O$764)/O$765</f>
        <v>-0.4050961960138178</v>
      </c>
      <c r="P416" s="12">
        <f>((INDEX(Proj[],MATCH(Std[[#This Row],[Player]],Proj[Player],0),23)-P$764)/P$765)*IF('League Inputs'!$C$23 = "Yes",-1, 1)</f>
        <v>-0.5815930735165723</v>
      </c>
      <c r="Q416" s="12">
        <f>(INDEX(Proj[],MATCH(Std[[#This Row],[Player]],Proj[Player],0),24)-Q$764)/Q$765</f>
        <v>0.37220456435879523</v>
      </c>
      <c r="R416" s="12">
        <f>(INDEX(Proj[],MATCH(Std[[#This Row],[Player]],Proj[Player],0),25)-R$764)/R$765</f>
        <v>0.38485569074783144</v>
      </c>
      <c r="S416" s="12">
        <f>(INDEX(Proj[],MATCH(Std[[#This Row],[Player]],Proj[Player],0),26)-S$764)/S$765</f>
        <v>-0.43985957421962762</v>
      </c>
      <c r="T4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-234.70023254757524</v>
      </c>
      <c r="U416" s="11"/>
      <c r="W416" t="str">
        <v>Justin Danforth</v>
      </c>
      <c r="AA416" t="str">
        <v>Justin Danforth</v>
      </c>
      <c r="AB416" t="str">
        <v>Justin Danforth</v>
      </c>
    </row>
    <row r="417" spans="1:28" x14ac:dyDescent="0.25">
      <c r="A417" t="s">
        <v>590</v>
      </c>
      <c r="B417">
        <f>INDEX(Proj[],MATCH(Std[[#This Row],[Player]],Proj[Player],0),2)</f>
        <v>28</v>
      </c>
      <c r="C417" t="s">
        <v>102</v>
      </c>
      <c r="D417" s="75" t="s">
        <v>103</v>
      </c>
      <c r="E417" s="57"/>
      <c r="F417" t="s">
        <v>8</v>
      </c>
      <c r="G417" s="12">
        <f>(INDEX(Proj[],MATCH(Std[[#This Row],[Player]],Proj[Player],0),14)-G$764)/G$765</f>
        <v>-0.55685138762371811</v>
      </c>
      <c r="H417" s="12">
        <f>(INDEX(Proj[],MATCH(Std[[#This Row],[Player]],Proj[Player],0),15)-H$764)/H$765</f>
        <v>-0.14096396458177846</v>
      </c>
      <c r="I417" s="12">
        <f>(INDEX(Proj[],MATCH(Std[[#This Row],[Player]],Proj[Player],0),16)-I$764)/I$765</f>
        <v>-0.33839438260536986</v>
      </c>
      <c r="J417" s="12">
        <f>(INDEX(Proj[],MATCH(Std[[#This Row],[Player]],Proj[Player],0),17)-J$764)/J$765</f>
        <v>-0.76105581014900237</v>
      </c>
      <c r="K417" s="12">
        <f>(INDEX(Proj[],MATCH(Std[[#This Row],[Player]],Proj[Player],0),18)-K$764)/K$765</f>
        <v>-0.75859266061649311</v>
      </c>
      <c r="L417" s="12">
        <f>(INDEX(Proj[],MATCH(Std[[#This Row],[Player]],Proj[Player],0),19)-L$764)/L$765</f>
        <v>-0.81647589674950882</v>
      </c>
      <c r="M417" s="12">
        <f>(INDEX(Proj[],MATCH(Std[[#This Row],[Player]],Proj[Player],0),20)-M$764)/M$765</f>
        <v>1.3378904761343182</v>
      </c>
      <c r="N417" s="12">
        <f>(INDEX(Proj[],MATCH(Std[[#This Row],[Player]],Proj[Player],0),21)-N$764)/N$765</f>
        <v>-0.30489069233335675</v>
      </c>
      <c r="O417" s="12">
        <f>(INDEX(Proj[],MATCH(Std[[#This Row],[Player]],Proj[Player],0),22)-O$764)/O$765</f>
        <v>-5.6856145926032123E-2</v>
      </c>
      <c r="P417" s="12">
        <f>((INDEX(Proj[],MATCH(Std[[#This Row],[Player]],Proj[Player],0),23)-P$764)/P$765)*IF('League Inputs'!$C$23 = "Yes",-1, 1)</f>
        <v>-0.30235442772642157</v>
      </c>
      <c r="Q417" s="12">
        <f>(INDEX(Proj[],MATCH(Std[[#This Row],[Player]],Proj[Player],0),24)-Q$764)/Q$765</f>
        <v>2.1525650604675493</v>
      </c>
      <c r="R417" s="12">
        <f>(INDEX(Proj[],MATCH(Std[[#This Row],[Player]],Proj[Player],0),25)-R$764)/R$765</f>
        <v>2.1044164738323561</v>
      </c>
      <c r="S417" s="12">
        <f>(INDEX(Proj[],MATCH(Std[[#This Row],[Player]],Proj[Player],0),26)-S$764)/S$765</f>
        <v>-0.55339043228520357</v>
      </c>
      <c r="T4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-91.761226936383977</v>
      </c>
      <c r="U417" s="11"/>
      <c r="W417" t="str">
        <v>Jake Evans</v>
      </c>
      <c r="AA417" t="str">
        <v>Jake Evans</v>
      </c>
      <c r="AB417" t="str">
        <v>Jake Evans</v>
      </c>
    </row>
    <row r="418" spans="1:28" x14ac:dyDescent="0.25">
      <c r="A418" t="s">
        <v>751</v>
      </c>
      <c r="B418">
        <f>INDEX(Proj[],MATCH(Std[[#This Row],[Player]],Proj[Player],0),2)</f>
        <v>25</v>
      </c>
      <c r="C418" t="s">
        <v>102</v>
      </c>
      <c r="D418" s="75" t="s">
        <v>103</v>
      </c>
      <c r="E418" s="56"/>
      <c r="F418" t="s">
        <v>15</v>
      </c>
      <c r="G418" s="12">
        <f>(INDEX(Proj[],MATCH(Std[[#This Row],[Player]],Proj[Player],0),14)-G$764)/G$765</f>
        <v>-0.13431591259265557</v>
      </c>
      <c r="H418" s="12">
        <f>(INDEX(Proj[],MATCH(Std[[#This Row],[Player]],Proj[Player],0),15)-H$764)/H$765</f>
        <v>-0.43908103253483932</v>
      </c>
      <c r="I418" s="12">
        <f>(INDEX(Proj[],MATCH(Std[[#This Row],[Player]],Proj[Player],0),16)-I$764)/I$765</f>
        <v>-0.33839438260536986</v>
      </c>
      <c r="J418" s="12">
        <f>(INDEX(Proj[],MATCH(Std[[#This Row],[Player]],Proj[Player],0),17)-J$764)/J$765</f>
        <v>0.12203405152491688</v>
      </c>
      <c r="K418" s="12">
        <f>(INDEX(Proj[],MATCH(Std[[#This Row],[Player]],Proj[Player],0),18)-K$764)/K$765</f>
        <v>-0.29633482464760502</v>
      </c>
      <c r="L418" s="12">
        <f>(INDEX(Proj[],MATCH(Std[[#This Row],[Player]],Proj[Player],0),19)-L$764)/L$765</f>
        <v>-0.16404410767290362</v>
      </c>
      <c r="M418" s="12">
        <f>(INDEX(Proj[],MATCH(Std[[#This Row],[Player]],Proj[Player],0),20)-M$764)/M$765</f>
        <v>0.31240082183847029</v>
      </c>
      <c r="N418" s="12">
        <f>(INDEX(Proj[],MATCH(Std[[#This Row],[Player]],Proj[Player],0),21)-N$764)/N$765</f>
        <v>0.47029864160058588</v>
      </c>
      <c r="O418" s="12">
        <f>(INDEX(Proj[],MATCH(Std[[#This Row],[Player]],Proj[Player],0),22)-O$764)/O$765</f>
        <v>-0.56760821938811779</v>
      </c>
      <c r="P418" s="12">
        <f>((INDEX(Proj[],MATCH(Std[[#This Row],[Player]],Proj[Player],0),23)-P$764)/P$765)*IF('League Inputs'!$C$23 = "Yes",-1, 1)</f>
        <v>-0.39543397632313848</v>
      </c>
      <c r="Q418" s="12">
        <f>(INDEX(Proj[],MATCH(Std[[#This Row],[Player]],Proj[Player],0),24)-Q$764)/Q$765</f>
        <v>1.0118550420026589</v>
      </c>
      <c r="R418" s="12">
        <f>(INDEX(Proj[],MATCH(Std[[#This Row],[Player]],Proj[Player],0),25)-R$764)/R$765</f>
        <v>1.2190980508581453</v>
      </c>
      <c r="S418" s="12">
        <f>(INDEX(Proj[],MATCH(Std[[#This Row],[Player]],Proj[Player],0),26)-S$764)/S$765</f>
        <v>-0.47229696223836359</v>
      </c>
      <c r="T4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-102.90209097521436</v>
      </c>
      <c r="U418" s="11"/>
      <c r="W418" t="str">
        <v>Joe Veleno</v>
      </c>
      <c r="AA418" t="str">
        <v>Joe Veleno</v>
      </c>
      <c r="AB418" t="str">
        <v>Joe Veleno</v>
      </c>
    </row>
    <row r="419" spans="1:28" x14ac:dyDescent="0.25">
      <c r="A419" t="s">
        <v>487</v>
      </c>
      <c r="B419">
        <f>INDEX(Proj[],MATCH(Std[[#This Row],[Player]],Proj[Player],0),2)</f>
        <v>29</v>
      </c>
      <c r="C419" t="s">
        <v>3</v>
      </c>
      <c r="D419" s="75"/>
      <c r="E419" s="56"/>
      <c r="F419" t="s">
        <v>22</v>
      </c>
      <c r="G419" s="12">
        <f>(INDEX(Proj[],MATCH(Std[[#This Row],[Player]],Proj[Player],0),14)-G$764)/G$765</f>
        <v>7.6951824922875695E-2</v>
      </c>
      <c r="H419" s="12">
        <f>(INDEX(Proj[],MATCH(Std[[#This Row],[Player]],Proj[Player],0),15)-H$764)/H$765</f>
        <v>-0.58813956651136978</v>
      </c>
      <c r="I419" s="12">
        <f>(INDEX(Proj[],MATCH(Std[[#This Row],[Player]],Proj[Player],0),16)-I$764)/I$765</f>
        <v>-0.33839438260536986</v>
      </c>
      <c r="J419" s="12">
        <f>(INDEX(Proj[],MATCH(Std[[#This Row],[Player]],Proj[Player],0),17)-J$764)/J$765</f>
        <v>0.41639733874955659</v>
      </c>
      <c r="K419" s="12">
        <f>(INDEX(Proj[],MATCH(Std[[#This Row],[Player]],Proj[Player],0),18)-K$764)/K$765</f>
        <v>1.1837065998320361E-2</v>
      </c>
      <c r="L419" s="12">
        <f>(INDEX(Proj[],MATCH(Std[[#This Row],[Player]],Proj[Player],0),19)-L$764)/L$765</f>
        <v>0.16217178686539899</v>
      </c>
      <c r="M419" s="12">
        <f>(INDEX(Proj[],MATCH(Std[[#This Row],[Player]],Proj[Player],0),20)-M$764)/M$765</f>
        <v>-0.71308883245737775</v>
      </c>
      <c r="N419" s="12">
        <f>(INDEX(Proj[],MATCH(Std[[#This Row],[Player]],Proj[Player],0),21)-N$764)/N$765</f>
        <v>-0.51806775916519099</v>
      </c>
      <c r="O419" s="12">
        <f>(INDEX(Proj[],MATCH(Std[[#This Row],[Player]],Proj[Player],0),22)-O$764)/O$765</f>
        <v>-0.93906427281508909</v>
      </c>
      <c r="P419" s="12">
        <f>((INDEX(Proj[],MATCH(Std[[#This Row],[Player]],Proj[Player],0),23)-P$764)/P$765)*IF('League Inputs'!$C$23 = "Yes",-1, 1)</f>
        <v>-0.81429194500836466</v>
      </c>
      <c r="Q419" s="12">
        <f>(INDEX(Proj[],MATCH(Std[[#This Row],[Player]],Proj[Player],0),24)-Q$764)/Q$765</f>
        <v>-0.47533231851932412</v>
      </c>
      <c r="R419" s="12">
        <f>(INDEX(Proj[],MATCH(Std[[#This Row],[Player]],Proj[Player],0),25)-R$764)/R$765</f>
        <v>-0.48343737793841357</v>
      </c>
      <c r="S419" s="12">
        <f>(INDEX(Proj[],MATCH(Std[[#This Row],[Player]],Proj[Player],0),26)-S$764)/S$765</f>
        <v>-0.13170438804163598</v>
      </c>
      <c r="T4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-356.58710208780701</v>
      </c>
      <c r="U419" s="11"/>
      <c r="W419" t="str">
        <v>Dominik Kubalik</v>
      </c>
      <c r="AA419" t="str">
        <v>Dominik Kubalik</v>
      </c>
      <c r="AB419" t="str">
        <v>Dominik Kubalik</v>
      </c>
    </row>
    <row r="420" spans="1:28" x14ac:dyDescent="0.25">
      <c r="A420" t="s">
        <v>734</v>
      </c>
      <c r="B420">
        <f>INDEX(Proj[],MATCH(Std[[#This Row],[Player]],Proj[Player],0),2)</f>
        <v>25</v>
      </c>
      <c r="C420" t="s">
        <v>102</v>
      </c>
      <c r="D420" s="75"/>
      <c r="E420" s="57"/>
      <c r="F420" t="s">
        <v>32</v>
      </c>
      <c r="G420" s="12">
        <f>(INDEX(Proj[],MATCH(Std[[#This Row],[Player]],Proj[Player],0),14)-G$764)/G$765</f>
        <v>-2.8682043834889943E-2</v>
      </c>
      <c r="H420" s="12">
        <f>(INDEX(Proj[],MATCH(Std[[#This Row],[Player]],Proj[Player],0),15)-H$764)/H$765</f>
        <v>-0.51361029952310455</v>
      </c>
      <c r="I420" s="12">
        <f>(INDEX(Proj[],MATCH(Std[[#This Row],[Player]],Proj[Player],0),16)-I$764)/I$765</f>
        <v>-0.33839438260536986</v>
      </c>
      <c r="J420" s="12">
        <f>(INDEX(Proj[],MATCH(Std[[#This Row],[Player]],Proj[Player],0),17)-J$764)/J$765</f>
        <v>0.41639733874955659</v>
      </c>
      <c r="K420" s="12">
        <f>(INDEX(Proj[],MATCH(Std[[#This Row],[Player]],Proj[Player],0),18)-K$764)/K$765</f>
        <v>-0.29633482464760502</v>
      </c>
      <c r="L420" s="12">
        <f>(INDEX(Proj[],MATCH(Std[[#This Row],[Player]],Proj[Player],0),19)-L$764)/L$765</f>
        <v>-5.5305476160136084E-2</v>
      </c>
      <c r="M420" s="12">
        <f>(INDEX(Proj[],MATCH(Std[[#This Row],[Player]],Proj[Player],0),20)-M$764)/M$765</f>
        <v>-0.71308883245737775</v>
      </c>
      <c r="N420" s="12">
        <f>(INDEX(Proj[],MATCH(Std[[#This Row],[Player]],Proj[Player],0),21)-N$764)/N$765</f>
        <v>-0.80876375939041945</v>
      </c>
      <c r="O420" s="12">
        <f>(INDEX(Proj[],MATCH(Std[[#This Row],[Player]],Proj[Player],0),22)-O$764)/O$765</f>
        <v>-0.77655224944078916</v>
      </c>
      <c r="P420" s="12">
        <f>((INDEX(Proj[],MATCH(Std[[#This Row],[Player]],Proj[Player],0),23)-P$764)/P$765)*IF('League Inputs'!$C$23 = "Yes",-1, 1)</f>
        <v>-0.53505329921821387</v>
      </c>
      <c r="Q420" s="12">
        <f>(INDEX(Proj[],MATCH(Std[[#This Row],[Player]],Proj[Player],0),24)-Q$764)/Q$765</f>
        <v>0.40418708824098842</v>
      </c>
      <c r="R420" s="12">
        <f>(INDEX(Proj[],MATCH(Std[[#This Row],[Player]],Proj[Player],0),25)-R$764)/R$765</f>
        <v>0.51538340695556761</v>
      </c>
      <c r="S420" s="12">
        <f>(INDEX(Proj[],MATCH(Std[[#This Row],[Player]],Proj[Player],0),26)-S$764)/S$765</f>
        <v>-3.4392223985428086E-2</v>
      </c>
      <c r="T4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-268.65666459173622</v>
      </c>
      <c r="U420" s="11"/>
      <c r="W420" t="str">
        <v>Cody Glass</v>
      </c>
      <c r="AA420" t="str">
        <v>Cody Glass</v>
      </c>
      <c r="AB420" t="str">
        <v>Cody Glass</v>
      </c>
    </row>
    <row r="421" spans="1:28" x14ac:dyDescent="0.25">
      <c r="A421" t="s">
        <v>428</v>
      </c>
      <c r="B421">
        <f>INDEX(Proj[],MATCH(Std[[#This Row],[Player]],Proj[Player],0),2)</f>
        <v>29</v>
      </c>
      <c r="C421" t="s">
        <v>74</v>
      </c>
      <c r="D421" s="75" t="s">
        <v>102</v>
      </c>
      <c r="E421" s="56"/>
      <c r="F421" t="s">
        <v>16</v>
      </c>
      <c r="G421" s="12">
        <f>(INDEX(Proj[],MATCH(Std[[#This Row],[Player]],Proj[Player],0),14)-G$764)/G$765</f>
        <v>-0.66248525638148381</v>
      </c>
      <c r="H421" s="12">
        <f>(INDEX(Proj[],MATCH(Std[[#This Row],[Player]],Proj[Player],0),15)-H$764)/H$765</f>
        <v>-0.14096396458177846</v>
      </c>
      <c r="I421" s="12">
        <f>(INDEX(Proj[],MATCH(Std[[#This Row],[Player]],Proj[Player],0),16)-I$764)/I$765</f>
        <v>-0.38563694156747308</v>
      </c>
      <c r="J421" s="12">
        <f>(INDEX(Proj[],MATCH(Std[[#This Row],[Player]],Proj[Player],0),17)-J$764)/J$765</f>
        <v>-0.76105581014900237</v>
      </c>
      <c r="K421" s="12">
        <f>(INDEX(Proj[],MATCH(Std[[#This Row],[Player]],Proj[Player],0),18)-K$764)/K$765</f>
        <v>-0.75859266061649311</v>
      </c>
      <c r="L421" s="12">
        <f>(INDEX(Proj[],MATCH(Std[[#This Row],[Player]],Proj[Player],0),19)-L$764)/L$765</f>
        <v>-0.81647589674950882</v>
      </c>
      <c r="M421" s="12">
        <f>(INDEX(Proj[],MATCH(Std[[#This Row],[Player]],Proj[Player],0),20)-M$764)/M$765</f>
        <v>1.3378904761343182</v>
      </c>
      <c r="N421" s="12">
        <f>(INDEX(Proj[],MATCH(Std[[#This Row],[Player]],Proj[Player],0),21)-N$764)/N$765</f>
        <v>0.93541224196095141</v>
      </c>
      <c r="O421" s="12">
        <f>(INDEX(Proj[],MATCH(Std[[#This Row],[Player]],Proj[Player],0),22)-O$764)/O$765</f>
        <v>2.6362002414195103</v>
      </c>
      <c r="P421" s="12">
        <f>((INDEX(Proj[],MATCH(Std[[#This Row],[Player]],Proj[Player],0),23)-P$764)/P$765)*IF('League Inputs'!$C$23 = "Yes",-1, 1)</f>
        <v>-0.1161953305329877</v>
      </c>
      <c r="Q421" s="12">
        <f>(INDEX(Proj[],MATCH(Std[[#This Row],[Player]],Proj[Player],0),24)-Q$764)/Q$765</f>
        <v>-0.5766103108129359</v>
      </c>
      <c r="R421" s="12">
        <f>(INDEX(Proj[],MATCH(Std[[#This Row],[Player]],Proj[Player],0),25)-R$764)/R$765</f>
        <v>-0.62531533033812681</v>
      </c>
      <c r="S421" s="12">
        <f>(INDEX(Proj[],MATCH(Std[[#This Row],[Player]],Proj[Player],0),26)-S$764)/S$765</f>
        <v>0.22510688016445965</v>
      </c>
      <c r="T4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109.83516629187535</v>
      </c>
      <c r="U421" s="11"/>
      <c r="W421" t="str">
        <v>Matt Roy</v>
      </c>
      <c r="AA421" t="str">
        <v>Matt Roy</v>
      </c>
      <c r="AB421" t="str">
        <v>Matt Roy</v>
      </c>
    </row>
    <row r="422" spans="1:28" x14ac:dyDescent="0.25">
      <c r="A422" t="s">
        <v>877</v>
      </c>
      <c r="B422">
        <f>INDEX(Proj[],MATCH(Std[[#This Row],[Player]],Proj[Player],0),2)</f>
        <v>31</v>
      </c>
      <c r="C422" t="s">
        <v>74</v>
      </c>
      <c r="D422" s="75" t="s">
        <v>103</v>
      </c>
      <c r="E422" s="56"/>
      <c r="F422" t="s">
        <v>5</v>
      </c>
      <c r="G422" s="12">
        <f>(INDEX(Proj[],MATCH(Std[[#This Row],[Player]],Proj[Player],0),14)-G$764)/G$765</f>
        <v>-0.9793868626547807</v>
      </c>
      <c r="H422" s="12">
        <f>(INDEX(Proj[],MATCH(Std[[#This Row],[Player]],Proj[Player],0),15)-H$764)/H$765</f>
        <v>8.262383638301718E-2</v>
      </c>
      <c r="I422" s="12">
        <f>(INDEX(Proj[],MATCH(Std[[#This Row],[Player]],Proj[Player],0),16)-I$764)/I$765</f>
        <v>-0.38563694156747308</v>
      </c>
      <c r="J422" s="12">
        <f>(INDEX(Proj[],MATCH(Std[[#This Row],[Player]],Proj[Player],0),17)-J$764)/J$765</f>
        <v>-0.76105581014900237</v>
      </c>
      <c r="K422" s="12">
        <f>(INDEX(Proj[],MATCH(Std[[#This Row],[Player]],Proj[Player],0),18)-K$764)/K$765</f>
        <v>-0.75859266061649311</v>
      </c>
      <c r="L422" s="12">
        <f>(INDEX(Proj[],MATCH(Std[[#This Row],[Player]],Proj[Player],0),19)-L$764)/L$765</f>
        <v>-0.81647589674950882</v>
      </c>
      <c r="M422" s="12">
        <f>(INDEX(Proj[],MATCH(Std[[#This Row],[Player]],Proj[Player],0),20)-M$764)/M$765</f>
        <v>0.31240082183847029</v>
      </c>
      <c r="N422" s="12">
        <f>(INDEX(Proj[],MATCH(Std[[#This Row],[Player]],Proj[Player],0),21)-N$764)/N$765</f>
        <v>1.0904501087477401</v>
      </c>
      <c r="O422" s="12">
        <f>(INDEX(Proj[],MATCH(Std[[#This Row],[Player]],Proj[Player],0),22)-O$764)/O$765</f>
        <v>1.6611281011737105</v>
      </c>
      <c r="P422" s="12">
        <f>((INDEX(Proj[],MATCH(Std[[#This Row],[Player]],Proj[Player],0),23)-P$764)/P$765)*IF('League Inputs'!$C$23 = "Yes",-1, 1)</f>
        <v>0.34920241245059697</v>
      </c>
      <c r="Q422" s="12">
        <f>(INDEX(Proj[],MATCH(Std[[#This Row],[Player]],Proj[Player],0),24)-Q$764)/Q$765</f>
        <v>-0.5766103108129359</v>
      </c>
      <c r="R422" s="12">
        <f>(INDEX(Proj[],MATCH(Std[[#This Row],[Player]],Proj[Player],0),25)-R$764)/R$765</f>
        <v>-0.62531533033812681</v>
      </c>
      <c r="S422" s="12">
        <f>(INDEX(Proj[],MATCH(Std[[#This Row],[Player]],Proj[Player],0),26)-S$764)/S$765</f>
        <v>-0.5696091262945715</v>
      </c>
      <c r="T4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-14.431467932420544</v>
      </c>
      <c r="U422" s="11"/>
      <c r="W422" t="str">
        <v>Dylan DeMelo</v>
      </c>
      <c r="AA422" t="str">
        <v>Dylan DeMelo</v>
      </c>
      <c r="AB422" t="str">
        <v>Dylan DeMelo</v>
      </c>
    </row>
    <row r="423" spans="1:28" x14ac:dyDescent="0.25">
      <c r="A423" t="s">
        <v>349</v>
      </c>
      <c r="B423">
        <f>INDEX(Proj[],MATCH(Std[[#This Row],[Player]],Proj[Player],0),2)</f>
        <v>37</v>
      </c>
      <c r="C423" t="s">
        <v>102</v>
      </c>
      <c r="D423" s="75" t="s">
        <v>103</v>
      </c>
      <c r="E423" s="56"/>
      <c r="F423" t="s">
        <v>23</v>
      </c>
      <c r="G423" s="12">
        <f>(INDEX(Proj[],MATCH(Std[[#This Row],[Player]],Proj[Player],0),14)-G$764)/G$765</f>
        <v>-0.873752993897015</v>
      </c>
      <c r="H423" s="12">
        <f>(INDEX(Proj[],MATCH(Std[[#This Row],[Player]],Proj[Player],0),15)-H$764)/H$765</f>
        <v>8.0945693947519649E-3</v>
      </c>
      <c r="I423" s="12">
        <f>(INDEX(Proj[],MATCH(Std[[#This Row],[Player]],Proj[Player],0),16)-I$764)/I$765</f>
        <v>-0.38563694156747308</v>
      </c>
      <c r="J423" s="12">
        <f>(INDEX(Proj[],MATCH(Std[[#This Row],[Player]],Proj[Player],0),17)-J$764)/J$765</f>
        <v>-0.76105581014900237</v>
      </c>
      <c r="K423" s="12">
        <f>(INDEX(Proj[],MATCH(Std[[#This Row],[Player]],Proj[Player],0),18)-K$764)/K$765</f>
        <v>-0.45042076997056774</v>
      </c>
      <c r="L423" s="12">
        <f>(INDEX(Proj[],MATCH(Std[[#This Row],[Player]],Proj[Player],0),19)-L$764)/L$765</f>
        <v>-0.59899863372397377</v>
      </c>
      <c r="M423" s="12">
        <f>(INDEX(Proj[],MATCH(Std[[#This Row],[Player]],Proj[Player],0),20)-M$764)/M$765</f>
        <v>0.31240082183847029</v>
      </c>
      <c r="N423" s="12">
        <f>(INDEX(Proj[],MATCH(Std[[#This Row],[Player]],Proj[Player],0),21)-N$764)/N$765</f>
        <v>1.1292095754444371</v>
      </c>
      <c r="O423" s="12">
        <f>(INDEX(Proj[],MATCH(Std[[#This Row],[Player]],Proj[Player],0),22)-O$764)/O$765</f>
        <v>1.6379120978345247</v>
      </c>
      <c r="P423" s="12">
        <f>((INDEX(Proj[],MATCH(Std[[#This Row],[Player]],Proj[Player],0),23)-P$764)/P$765)*IF('League Inputs'!$C$23 = "Yes",-1, 1)</f>
        <v>-0.1161953305329877</v>
      </c>
      <c r="Q423" s="12">
        <f>(INDEX(Proj[],MATCH(Std[[#This Row],[Player]],Proj[Player],0),24)-Q$764)/Q$765</f>
        <v>-0.5766103108129359</v>
      </c>
      <c r="R423" s="12">
        <f>(INDEX(Proj[],MATCH(Std[[#This Row],[Player]],Proj[Player],0),25)-R$764)/R$765</f>
        <v>-0.62531533033812681</v>
      </c>
      <c r="S423" s="12">
        <f>(INDEX(Proj[],MATCH(Std[[#This Row],[Player]],Proj[Player],0),26)-S$764)/S$765</f>
        <v>-0.37498479818215574</v>
      </c>
      <c r="T4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-15.096276604282743</v>
      </c>
      <c r="U423" s="11"/>
      <c r="W423" t="str">
        <v>Jeff Petry</v>
      </c>
      <c r="AA423" t="str">
        <v>Jeff Petry</v>
      </c>
      <c r="AB423" t="str">
        <v>Jeff Petry</v>
      </c>
    </row>
    <row r="424" spans="1:28" x14ac:dyDescent="0.25">
      <c r="A424" t="s">
        <v>480</v>
      </c>
      <c r="B424">
        <f>INDEX(Proj[],MATCH(Std[[#This Row],[Player]],Proj[Player],0),2)</f>
        <v>31</v>
      </c>
      <c r="C424" t="s">
        <v>103</v>
      </c>
      <c r="D424" s="75"/>
      <c r="E424" s="56"/>
      <c r="F424" t="s">
        <v>34</v>
      </c>
      <c r="G424" s="12">
        <f>(INDEX(Proj[],MATCH(Std[[#This Row],[Player]],Proj[Player],0),14)-G$764)/G$765</f>
        <v>-0.66248525638148381</v>
      </c>
      <c r="H424" s="12">
        <f>(INDEX(Proj[],MATCH(Std[[#This Row],[Player]],Proj[Player],0),15)-H$764)/H$765</f>
        <v>-0.14096396458177846</v>
      </c>
      <c r="I424" s="12">
        <f>(INDEX(Proj[],MATCH(Std[[#This Row],[Player]],Proj[Player],0),16)-I$764)/I$765</f>
        <v>-0.38563694156747308</v>
      </c>
      <c r="J424" s="12">
        <f>(INDEX(Proj[],MATCH(Std[[#This Row],[Player]],Proj[Player],0),17)-J$764)/J$765</f>
        <v>-0.76105581014900237</v>
      </c>
      <c r="K424" s="12">
        <f>(INDEX(Proj[],MATCH(Std[[#This Row],[Player]],Proj[Player],0),18)-K$764)/K$765</f>
        <v>-0.60450671529353051</v>
      </c>
      <c r="L424" s="12">
        <f>(INDEX(Proj[],MATCH(Std[[#This Row],[Player]],Proj[Player],0),19)-L$764)/L$765</f>
        <v>-0.7077372652367413</v>
      </c>
      <c r="M424" s="12">
        <f>(INDEX(Proj[],MATCH(Std[[#This Row],[Player]],Proj[Player],0),20)-M$764)/M$765</f>
        <v>0.31240082183847029</v>
      </c>
      <c r="N424" s="12">
        <f>(INDEX(Proj[],MATCH(Std[[#This Row],[Player]],Proj[Player],0),21)-N$764)/N$765</f>
        <v>-1.002561092873905</v>
      </c>
      <c r="O424" s="12">
        <f>(INDEX(Proj[],MATCH(Std[[#This Row],[Player]],Proj[Player],0),22)-O$764)/O$765</f>
        <v>2.3576082013492816</v>
      </c>
      <c r="P424" s="12">
        <f>((INDEX(Proj[],MATCH(Std[[#This Row],[Player]],Proj[Player],0),23)-P$764)/P$765)*IF('League Inputs'!$C$23 = "Yes",-1, 1)</f>
        <v>-0.39543397632313848</v>
      </c>
      <c r="Q424" s="12">
        <f>(INDEX(Proj[],MATCH(Std[[#This Row],[Player]],Proj[Player],0),24)-Q$764)/Q$765</f>
        <v>-0.5766103108129359</v>
      </c>
      <c r="R424" s="12">
        <f>(INDEX(Proj[],MATCH(Std[[#This Row],[Player]],Proj[Player],0),25)-R$764)/R$765</f>
        <v>-0.62531533033812681</v>
      </c>
      <c r="S424" s="12">
        <f>(INDEX(Proj[],MATCH(Std[[#This Row],[Player]],Proj[Player],0),26)-S$764)/S$765</f>
        <v>3.0482552052043848E-2</v>
      </c>
      <c r="T4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-148.33380543761305</v>
      </c>
      <c r="U424" s="11"/>
      <c r="W424" t="str">
        <v>Jonas Brodin</v>
      </c>
      <c r="AA424" t="str">
        <v>Jonas Brodin</v>
      </c>
      <c r="AB424" t="str">
        <v>Jonas Brodin</v>
      </c>
    </row>
    <row r="425" spans="1:28" x14ac:dyDescent="0.25">
      <c r="A425" t="s">
        <v>714</v>
      </c>
      <c r="B425">
        <f>INDEX(Proj[],MATCH(Std[[#This Row],[Player]],Proj[Player],0),2)</f>
        <v>29</v>
      </c>
      <c r="C425" t="s">
        <v>74</v>
      </c>
      <c r="D425" s="75"/>
      <c r="E425" s="56"/>
      <c r="F425" t="s">
        <v>15</v>
      </c>
      <c r="G425" s="12">
        <f>(INDEX(Proj[],MATCH(Std[[#This Row],[Player]],Proj[Player],0),14)-G$764)/G$765</f>
        <v>-0.13431591259265557</v>
      </c>
      <c r="H425" s="12">
        <f>(INDEX(Proj[],MATCH(Std[[#This Row],[Player]],Proj[Player],0),15)-H$764)/H$765</f>
        <v>-0.51361029952310455</v>
      </c>
      <c r="I425" s="12">
        <f>(INDEX(Proj[],MATCH(Std[[#This Row],[Player]],Proj[Player],0),16)-I$764)/I$765</f>
        <v>-0.38563694156747308</v>
      </c>
      <c r="J425" s="12">
        <f>(INDEX(Proj[],MATCH(Std[[#This Row],[Player]],Proj[Player],0),17)-J$764)/J$765</f>
        <v>-0.46669252292436259</v>
      </c>
      <c r="K425" s="12">
        <f>(INDEX(Proj[],MATCH(Std[[#This Row],[Player]],Proj[Player],0),18)-K$764)/K$765</f>
        <v>-0.45042076997056774</v>
      </c>
      <c r="L425" s="12">
        <f>(INDEX(Proj[],MATCH(Std[[#This Row],[Player]],Proj[Player],0),19)-L$764)/L$765</f>
        <v>-0.49026000221120619</v>
      </c>
      <c r="M425" s="12">
        <f>(INDEX(Proj[],MATCH(Std[[#This Row],[Player]],Proj[Player],0),20)-M$764)/M$765</f>
        <v>0.31240082183847029</v>
      </c>
      <c r="N425" s="12">
        <f>(INDEX(Proj[],MATCH(Std[[#This Row],[Player]],Proj[Player],0),21)-N$764)/N$765</f>
        <v>1.6524623758498485</v>
      </c>
      <c r="O425" s="12">
        <f>(INDEX(Proj[],MATCH(Std[[#This Row],[Player]],Proj[Player],0),22)-O$764)/O$765</f>
        <v>-0.68368823608404627</v>
      </c>
      <c r="P425" s="12">
        <f>((INDEX(Proj[],MATCH(Std[[#This Row],[Player]],Proj[Player],0),23)-P$764)/P$765)*IF('League Inputs'!$C$23 = "Yes",-1, 1)</f>
        <v>0.11650354095880462</v>
      </c>
      <c r="Q425" s="12">
        <f>(INDEX(Proj[],MATCH(Std[[#This Row],[Player]],Proj[Player],0),24)-Q$764)/Q$765</f>
        <v>0.32956119918253762</v>
      </c>
      <c r="R425" s="12">
        <f>(INDEX(Proj[],MATCH(Std[[#This Row],[Player]],Proj[Player],0),25)-R$764)/R$765</f>
        <v>0.6288857688753382</v>
      </c>
      <c r="S425" s="12">
        <f>(INDEX(Proj[],MATCH(Std[[#This Row],[Player]],Proj[Player],0),26)-S$764)/S$765</f>
        <v>-0.50473435025709956</v>
      </c>
      <c r="T4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-61.371862624439459</v>
      </c>
      <c r="U425" s="11"/>
      <c r="W425" t="str">
        <v>Sam Lafferty</v>
      </c>
      <c r="AA425" t="str">
        <v>Sam Lafferty</v>
      </c>
      <c r="AB425" t="str">
        <v>Sam Lafferty</v>
      </c>
    </row>
    <row r="426" spans="1:28" x14ac:dyDescent="0.25">
      <c r="A426" t="s">
        <v>1198</v>
      </c>
      <c r="B426">
        <f>INDEX(Proj[],MATCH(Std[[#This Row],[Player]],Proj[Player],0),2)</f>
        <v>21</v>
      </c>
      <c r="C426" t="s">
        <v>3</v>
      </c>
      <c r="D426" s="75"/>
      <c r="E426" s="57"/>
      <c r="F426" t="s">
        <v>29</v>
      </c>
      <c r="G426" s="12">
        <f>(INDEX(Proj[],MATCH(Std[[#This Row],[Player]],Proj[Player],0),14)-G$764)/G$765</f>
        <v>-0.66248525638148381</v>
      </c>
      <c r="H426" s="12">
        <f>(INDEX(Proj[],MATCH(Std[[#This Row],[Player]],Proj[Player],0),15)-H$764)/H$765</f>
        <v>-0.14096396458177846</v>
      </c>
      <c r="I426" s="12">
        <f>(INDEX(Proj[],MATCH(Std[[#This Row],[Player]],Proj[Player],0),16)-I$764)/I$765</f>
        <v>-0.38563694156747308</v>
      </c>
      <c r="J426" s="12">
        <f>(INDEX(Proj[],MATCH(Std[[#This Row],[Player]],Proj[Player],0),17)-J$764)/J$765</f>
        <v>-0.46669252292436259</v>
      </c>
      <c r="K426" s="12">
        <f>(INDEX(Proj[],MATCH(Std[[#This Row],[Player]],Proj[Player],0),18)-K$764)/K$765</f>
        <v>0.16592301132128306</v>
      </c>
      <c r="L426" s="12">
        <f>(INDEX(Proj[],MATCH(Std[[#This Row],[Player]],Proj[Player],0),19)-L$764)/L$765</f>
        <v>-5.5305476160136084E-2</v>
      </c>
      <c r="M426" s="12">
        <f>(INDEX(Proj[],MATCH(Std[[#This Row],[Player]],Proj[Player],0),20)-M$764)/M$765</f>
        <v>-0.71308883245737775</v>
      </c>
      <c r="N426" s="12">
        <f>(INDEX(Proj[],MATCH(Std[[#This Row],[Player]],Proj[Player],0),21)-N$764)/N$765</f>
        <v>-0.69248535930032806</v>
      </c>
      <c r="O426" s="12">
        <f>(INDEX(Proj[],MATCH(Std[[#This Row],[Player]],Proj[Player],0),22)-O$764)/O$765</f>
        <v>0.84856798430221059</v>
      </c>
      <c r="P426" s="12">
        <f>((INDEX(Proj[],MATCH(Std[[#This Row],[Player]],Proj[Player],0),23)-P$764)/P$765)*IF('League Inputs'!$C$23 = "Yes",-1, 1)</f>
        <v>-0.48851352491985539</v>
      </c>
      <c r="Q426" s="12">
        <f>(INDEX(Proj[],MATCH(Std[[#This Row],[Player]],Proj[Player],0),24)-Q$764)/Q$765</f>
        <v>-0.5766103108129359</v>
      </c>
      <c r="R426" s="12">
        <f>(INDEX(Proj[],MATCH(Std[[#This Row],[Player]],Proj[Player],0),25)-R$764)/R$765</f>
        <v>-0.62531533033812681</v>
      </c>
      <c r="S426" s="12">
        <f>(INDEX(Proj[],MATCH(Std[[#This Row],[Player]],Proj[Player],0),26)-S$764)/S$765</f>
        <v>-0.37498479818215574</v>
      </c>
      <c r="T4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-252.8417647603936</v>
      </c>
      <c r="U426" s="11"/>
      <c r="W426" t="str">
        <v>Olen Zellweger</v>
      </c>
      <c r="AA426" t="str">
        <v>Olen Zellweger</v>
      </c>
      <c r="AB426" t="str">
        <v>Olen Zellweger</v>
      </c>
    </row>
    <row r="427" spans="1:28" x14ac:dyDescent="0.25">
      <c r="A427" t="s">
        <v>439</v>
      </c>
      <c r="B427">
        <f>INDEX(Proj[],MATCH(Std[[#This Row],[Player]],Proj[Player],0),2)</f>
        <v>26</v>
      </c>
      <c r="C427" t="s">
        <v>102</v>
      </c>
      <c r="D427" s="75" t="s">
        <v>103</v>
      </c>
      <c r="E427" s="56"/>
      <c r="F427" t="s">
        <v>21</v>
      </c>
      <c r="G427" s="12">
        <f>(INDEX(Proj[],MATCH(Std[[#This Row],[Player]],Proj[Player],0),14)-G$764)/G$765</f>
        <v>-0.873752993897015</v>
      </c>
      <c r="H427" s="12">
        <f>(INDEX(Proj[],MATCH(Std[[#This Row],[Player]],Proj[Player],0),15)-H$764)/H$765</f>
        <v>8.0945693947519649E-3</v>
      </c>
      <c r="I427" s="12">
        <f>(INDEX(Proj[],MATCH(Std[[#This Row],[Player]],Proj[Player],0),16)-I$764)/I$765</f>
        <v>-0.38563694156747308</v>
      </c>
      <c r="J427" s="12">
        <f>(INDEX(Proj[],MATCH(Std[[#This Row],[Player]],Proj[Player],0),17)-J$764)/J$765</f>
        <v>-0.76105581014900237</v>
      </c>
      <c r="K427" s="12">
        <f>(INDEX(Proj[],MATCH(Std[[#This Row],[Player]],Proj[Player],0),18)-K$764)/K$765</f>
        <v>-0.29633482464760502</v>
      </c>
      <c r="L427" s="12">
        <f>(INDEX(Proj[],MATCH(Std[[#This Row],[Player]],Proj[Player],0),19)-L$764)/L$765</f>
        <v>-0.49026000221120619</v>
      </c>
      <c r="M427" s="12">
        <f>(INDEX(Proj[],MATCH(Std[[#This Row],[Player]],Proj[Player],0),20)-M$764)/M$765</f>
        <v>0.31240082183847029</v>
      </c>
      <c r="N427" s="12">
        <f>(INDEX(Proj[],MATCH(Std[[#This Row],[Player]],Proj[Player],0),21)-N$764)/N$765</f>
        <v>-0.16923255889491676</v>
      </c>
      <c r="O427" s="12">
        <f>(INDEX(Proj[],MATCH(Std[[#This Row],[Player]],Proj[Player],0),22)-O$764)/O$765</f>
        <v>1.057512014354882</v>
      </c>
      <c r="P427" s="12">
        <f>((INDEX(Proj[],MATCH(Std[[#This Row],[Player]],Proj[Player],0),23)-P$764)/P$765)*IF('League Inputs'!$C$23 = "Yes",-1, 1)</f>
        <v>-0.90737149360508162</v>
      </c>
      <c r="Q427" s="12">
        <f>(INDEX(Proj[],MATCH(Std[[#This Row],[Player]],Proj[Player],0),24)-Q$764)/Q$765</f>
        <v>-0.5766103108129359</v>
      </c>
      <c r="R427" s="12">
        <f>(INDEX(Proj[],MATCH(Std[[#This Row],[Player]],Proj[Player],0),25)-R$764)/R$765</f>
        <v>-0.62531533033812681</v>
      </c>
      <c r="S427" s="12">
        <f>(INDEX(Proj[],MATCH(Std[[#This Row],[Player]],Proj[Player],0),26)-S$764)/S$765</f>
        <v>-0.58582782030393954</v>
      </c>
      <c r="T4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-292.30855375429343</v>
      </c>
      <c r="U427" s="11"/>
      <c r="W427" t="str">
        <v>Samuel Girard</v>
      </c>
      <c r="AA427" t="str">
        <v>Samuel Girard</v>
      </c>
      <c r="AB427" t="str">
        <v>Samuel Girard</v>
      </c>
    </row>
    <row r="428" spans="1:28" x14ac:dyDescent="0.25">
      <c r="A428" t="s">
        <v>702</v>
      </c>
      <c r="B428">
        <f>INDEX(Proj[],MATCH(Std[[#This Row],[Player]],Proj[Player],0),2)</f>
        <v>23</v>
      </c>
      <c r="C428" t="s">
        <v>102</v>
      </c>
      <c r="D428" s="75" t="s">
        <v>103</v>
      </c>
      <c r="E428" s="57"/>
      <c r="F428" t="s">
        <v>25</v>
      </c>
      <c r="G428" s="12">
        <f>(INDEX(Proj[],MATCH(Std[[#This Row],[Player]],Proj[Player],0),14)-G$764)/G$765</f>
        <v>-0.873752993897015</v>
      </c>
      <c r="H428" s="12">
        <f>(INDEX(Proj[],MATCH(Std[[#This Row],[Player]],Proj[Player],0),15)-H$764)/H$765</f>
        <v>8.0945693947519649E-3</v>
      </c>
      <c r="I428" s="12">
        <f>(INDEX(Proj[],MATCH(Std[[#This Row],[Player]],Proj[Player],0),16)-I$764)/I$765</f>
        <v>-0.38563694156747308</v>
      </c>
      <c r="J428" s="12">
        <f>(INDEX(Proj[],MATCH(Std[[#This Row],[Player]],Proj[Player],0),17)-J$764)/J$765</f>
        <v>-0.46669252292436259</v>
      </c>
      <c r="K428" s="12">
        <f>(INDEX(Proj[],MATCH(Std[[#This Row],[Player]],Proj[Player],0),18)-K$764)/K$765</f>
        <v>0.16592301132128306</v>
      </c>
      <c r="L428" s="12">
        <f>(INDEX(Proj[],MATCH(Std[[#This Row],[Player]],Proj[Player],0),19)-L$764)/L$765</f>
        <v>-5.5305476160136084E-2</v>
      </c>
      <c r="M428" s="12">
        <f>(INDEX(Proj[],MATCH(Std[[#This Row],[Player]],Proj[Player],0),20)-M$764)/M$765</f>
        <v>-0.71308883245737775</v>
      </c>
      <c r="N428" s="12">
        <f>(INDEX(Proj[],MATCH(Std[[#This Row],[Player]],Proj[Player],0),21)-N$764)/N$765</f>
        <v>-0.30489069233335675</v>
      </c>
      <c r="O428" s="12">
        <f>(INDEX(Proj[],MATCH(Std[[#This Row],[Player]],Proj[Player],0),22)-O$764)/O$765</f>
        <v>0.17530388746582498</v>
      </c>
      <c r="P428" s="12">
        <f>((INDEX(Proj[],MATCH(Std[[#This Row],[Player]],Proj[Player],0),23)-P$764)/P$765)*IF('League Inputs'!$C$23 = "Yes",-1, 1)</f>
        <v>-1.0004510422017985</v>
      </c>
      <c r="Q428" s="12">
        <f>(INDEX(Proj[],MATCH(Std[[#This Row],[Player]],Proj[Player],0),24)-Q$764)/Q$765</f>
        <v>-0.5766103108129359</v>
      </c>
      <c r="R428" s="12">
        <f>(INDEX(Proj[],MATCH(Std[[#This Row],[Player]],Proj[Player],0),25)-R$764)/R$765</f>
        <v>-0.62531533033812681</v>
      </c>
      <c r="S428" s="12">
        <f>(INDEX(Proj[],MATCH(Std[[#This Row],[Player]],Proj[Player],0),26)-S$764)/S$765</f>
        <v>-0.48851565624773158</v>
      </c>
      <c r="T4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-350.17646563598703</v>
      </c>
      <c r="U428" s="11"/>
      <c r="W428" t="str">
        <v>Jordan Spence</v>
      </c>
      <c r="AA428" t="str">
        <v>Jordan Spence</v>
      </c>
      <c r="AB428" t="str">
        <v>Jordan Spence</v>
      </c>
    </row>
    <row r="429" spans="1:28" x14ac:dyDescent="0.25">
      <c r="A429" t="s">
        <v>716</v>
      </c>
      <c r="B429">
        <f>INDEX(Proj[],MATCH(Std[[#This Row],[Player]],Proj[Player],0),2)</f>
        <v>26</v>
      </c>
      <c r="C429" t="s">
        <v>102</v>
      </c>
      <c r="D429" s="75" t="s">
        <v>103</v>
      </c>
      <c r="E429" s="57"/>
      <c r="F429" t="s">
        <v>2</v>
      </c>
      <c r="G429" s="12">
        <f>(INDEX(Proj[],MATCH(Std[[#This Row],[Player]],Proj[Player],0),14)-G$764)/G$765</f>
        <v>-2.8682043834889943E-2</v>
      </c>
      <c r="H429" s="12">
        <f>(INDEX(Proj[],MATCH(Std[[#This Row],[Player]],Proj[Player],0),15)-H$764)/H$765</f>
        <v>-0.58813956651136978</v>
      </c>
      <c r="I429" s="12">
        <f>(INDEX(Proj[],MATCH(Std[[#This Row],[Player]],Proj[Player],0),16)-I$764)/I$765</f>
        <v>-0.38563694156747308</v>
      </c>
      <c r="J429" s="12">
        <f>(INDEX(Proj[],MATCH(Std[[#This Row],[Player]],Proj[Player],0),17)-J$764)/J$765</f>
        <v>0.12203405152491688</v>
      </c>
      <c r="K429" s="12">
        <f>(INDEX(Proj[],MATCH(Std[[#This Row],[Player]],Proj[Player],0),18)-K$764)/K$765</f>
        <v>-0.29633482464760502</v>
      </c>
      <c r="L429" s="12">
        <f>(INDEX(Proj[],MATCH(Std[[#This Row],[Player]],Proj[Player],0),19)-L$764)/L$765</f>
        <v>-0.16404410767290362</v>
      </c>
      <c r="M429" s="12">
        <f>(INDEX(Proj[],MATCH(Std[[#This Row],[Player]],Proj[Player],0),20)-M$764)/M$765</f>
        <v>1.3378904761343182</v>
      </c>
      <c r="N429" s="12">
        <f>(INDEX(Proj[],MATCH(Std[[#This Row],[Player]],Proj[Player],0),21)-N$764)/N$765</f>
        <v>8.2703974633614577E-2</v>
      </c>
      <c r="O429" s="12">
        <f>(INDEX(Proj[],MATCH(Std[[#This Row],[Player]],Proj[Player],0),22)-O$764)/O$765</f>
        <v>-0.66047223274486055</v>
      </c>
      <c r="P429" s="12">
        <f>((INDEX(Proj[],MATCH(Std[[#This Row],[Player]],Proj[Player],0),23)-P$764)/P$765)*IF('League Inputs'!$C$23 = "Yes",-1, 1)</f>
        <v>-0.81429194500836466</v>
      </c>
      <c r="Q429" s="12">
        <f>(INDEX(Proj[],MATCH(Std[[#This Row],[Player]],Proj[Player],0),24)-Q$764)/Q$765</f>
        <v>-0.45934105657822755</v>
      </c>
      <c r="R429" s="12">
        <f>(INDEX(Proj[],MATCH(Std[[#This Row],[Player]],Proj[Player],0),25)-R$764)/R$765</f>
        <v>-0.41533596078655122</v>
      </c>
      <c r="S429" s="12">
        <f>(INDEX(Proj[],MATCH(Std[[#This Row],[Player]],Proj[Player],0),26)-S$764)/S$765</f>
        <v>3.0482552052043848E-2</v>
      </c>
      <c r="T4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-298.74213672324311</v>
      </c>
      <c r="U429" s="11"/>
      <c r="W429" t="str">
        <v>Taylor Raddysh</v>
      </c>
      <c r="AA429" t="str">
        <v>Taylor Raddysh</v>
      </c>
      <c r="AB429" t="str">
        <v>Taylor Raddysh</v>
      </c>
    </row>
    <row r="430" spans="1:28" x14ac:dyDescent="0.25">
      <c r="A430" t="s">
        <v>648</v>
      </c>
      <c r="B430">
        <f>INDEX(Proj[],MATCH(Std[[#This Row],[Player]],Proj[Player],0),2)</f>
        <v>25</v>
      </c>
      <c r="C430" t="s">
        <v>74</v>
      </c>
      <c r="D430" s="75" t="s">
        <v>103</v>
      </c>
      <c r="E430" s="56"/>
      <c r="F430" t="s">
        <v>7</v>
      </c>
      <c r="G430" s="12">
        <f>(INDEX(Proj[],MATCH(Std[[#This Row],[Player]],Proj[Player],0),14)-G$764)/G$765</f>
        <v>7.6951824922875695E-2</v>
      </c>
      <c r="H430" s="12">
        <f>(INDEX(Proj[],MATCH(Std[[#This Row],[Player]],Proj[Player],0),15)-H$764)/H$765</f>
        <v>-0.6626688334996349</v>
      </c>
      <c r="I430" s="12">
        <f>(INDEX(Proj[],MATCH(Std[[#This Row],[Player]],Proj[Player],0),16)-I$764)/I$765</f>
        <v>-0.38563694156747308</v>
      </c>
      <c r="J430" s="12">
        <f>(INDEX(Proj[],MATCH(Std[[#This Row],[Player]],Proj[Player],0),17)-J$764)/J$765</f>
        <v>0.12203405152491688</v>
      </c>
      <c r="K430" s="12">
        <f>(INDEX(Proj[],MATCH(Std[[#This Row],[Player]],Proj[Player],0),18)-K$764)/K$765</f>
        <v>-0.45042076997056774</v>
      </c>
      <c r="L430" s="12">
        <f>(INDEX(Proj[],MATCH(Std[[#This Row],[Player]],Proj[Player],0),19)-L$764)/L$765</f>
        <v>-0.27278273918567114</v>
      </c>
      <c r="M430" s="12">
        <f>(INDEX(Proj[],MATCH(Std[[#This Row],[Player]],Proj[Player],0),20)-M$764)/M$765</f>
        <v>-0.71308883245737775</v>
      </c>
      <c r="N430" s="12">
        <f>(INDEX(Proj[],MATCH(Std[[#This Row],[Player]],Proj[Player],0),21)-N$764)/N$765</f>
        <v>-0.6537258926036309</v>
      </c>
      <c r="O430" s="12">
        <f>(INDEX(Proj[],MATCH(Std[[#This Row],[Player]],Proj[Player],0),22)-O$764)/O$765</f>
        <v>-0.63725622940567483</v>
      </c>
      <c r="P430" s="12">
        <f>((INDEX(Proj[],MATCH(Std[[#This Row],[Player]],Proj[Player],0),23)-P$764)/P$765)*IF('League Inputs'!$C$23 = "Yes",-1, 1)</f>
        <v>-0.81429194500836466</v>
      </c>
      <c r="Q430" s="12">
        <f>(INDEX(Proj[],MATCH(Std[[#This Row],[Player]],Proj[Player],0),24)-Q$764)/Q$765</f>
        <v>-0.45934105657822755</v>
      </c>
      <c r="R430" s="12">
        <f>(INDEX(Proj[],MATCH(Std[[#This Row],[Player]],Proj[Player],0),25)-R$764)/R$765</f>
        <v>-0.32453407125073475</v>
      </c>
      <c r="S430" s="12">
        <f>(INDEX(Proj[],MATCH(Std[[#This Row],[Player]],Proj[Player],0),26)-S$764)/S$765</f>
        <v>0.3548564322394035</v>
      </c>
      <c r="T4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-345.38953806863981</v>
      </c>
      <c r="U430" s="11"/>
      <c r="W430" t="str">
        <v>Filip Zadina</v>
      </c>
      <c r="AA430" t="str">
        <v>Filip Zadina</v>
      </c>
      <c r="AB430" t="str">
        <v>Filip Zadina</v>
      </c>
    </row>
    <row r="431" spans="1:28" x14ac:dyDescent="0.25">
      <c r="A431" t="s">
        <v>770</v>
      </c>
      <c r="B431">
        <f>INDEX(Proj[],MATCH(Std[[#This Row],[Player]],Proj[Player],0),2)</f>
        <v>29</v>
      </c>
      <c r="C431" t="s">
        <v>74</v>
      </c>
      <c r="D431" s="75" t="s">
        <v>103</v>
      </c>
      <c r="E431" s="57"/>
      <c r="F431" t="s">
        <v>6</v>
      </c>
      <c r="G431" s="12">
        <f>(INDEX(Proj[],MATCH(Std[[#This Row],[Player]],Proj[Player],0),14)-G$764)/G$765</f>
        <v>-0.23994978135042122</v>
      </c>
      <c r="H431" s="12">
        <f>(INDEX(Proj[],MATCH(Std[[#This Row],[Player]],Proj[Player],0),15)-H$764)/H$765</f>
        <v>-0.43908103253483932</v>
      </c>
      <c r="I431" s="12">
        <f>(INDEX(Proj[],MATCH(Std[[#This Row],[Player]],Proj[Player],0),16)-I$764)/I$765</f>
        <v>-0.38563694156747308</v>
      </c>
      <c r="J431" s="12">
        <f>(INDEX(Proj[],MATCH(Std[[#This Row],[Player]],Proj[Player],0),17)-J$764)/J$765</f>
        <v>-0.46669252292436259</v>
      </c>
      <c r="K431" s="12">
        <f>(INDEX(Proj[],MATCH(Std[[#This Row],[Player]],Proj[Player],0),18)-K$764)/K$765</f>
        <v>-0.29633482464760502</v>
      </c>
      <c r="L431" s="12">
        <f>(INDEX(Proj[],MATCH(Std[[#This Row],[Player]],Proj[Player],0),19)-L$764)/L$765</f>
        <v>-0.38152137069843867</v>
      </c>
      <c r="M431" s="12">
        <f>(INDEX(Proj[],MATCH(Std[[#This Row],[Player]],Proj[Player],0),20)-M$764)/M$765</f>
        <v>0.31240082183847029</v>
      </c>
      <c r="N431" s="12">
        <f>(INDEX(Proj[],MATCH(Std[[#This Row],[Player]],Proj[Player],0),21)-N$764)/N$765</f>
        <v>2.4564774588568886E-2</v>
      </c>
      <c r="O431" s="12">
        <f>(INDEX(Proj[],MATCH(Std[[#This Row],[Player]],Proj[Player],0),22)-O$764)/O$765</f>
        <v>-0.38188019267463208</v>
      </c>
      <c r="P431" s="12">
        <f>((INDEX(Proj[],MATCH(Std[[#This Row],[Player]],Proj[Player],0),23)-P$764)/P$765)*IF('League Inputs'!$C$23 = "Yes",-1, 1)</f>
        <v>-0.72121239641164769</v>
      </c>
      <c r="Q431" s="12">
        <f>(INDEX(Proj[],MATCH(Std[[#This Row],[Player]],Proj[Player],0),24)-Q$764)/Q$765</f>
        <v>2.3444602037607081</v>
      </c>
      <c r="R431" s="12">
        <f>(INDEX(Proj[],MATCH(Std[[#This Row],[Player]],Proj[Player],0),25)-R$764)/R$765</f>
        <v>1.5652802547134457</v>
      </c>
      <c r="S431" s="12">
        <f>(INDEX(Proj[],MATCH(Std[[#This Row],[Player]],Proj[Player],0),26)-S$764)/S$765</f>
        <v>-0.22901655209784388</v>
      </c>
      <c r="T4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-40.927328898601864</v>
      </c>
      <c r="U431" s="11"/>
      <c r="W431" t="str">
        <v>Nico Sturm</v>
      </c>
      <c r="AA431" t="str">
        <v>Nico Sturm</v>
      </c>
      <c r="AB431" t="str">
        <v>Nico Sturm</v>
      </c>
    </row>
    <row r="432" spans="1:28" x14ac:dyDescent="0.25">
      <c r="A432" t="s">
        <v>676</v>
      </c>
      <c r="B432">
        <f>INDEX(Proj[],MATCH(Std[[#This Row],[Player]],Proj[Player],0),2)</f>
        <v>30</v>
      </c>
      <c r="C432" t="s">
        <v>74</v>
      </c>
      <c r="D432" s="75"/>
      <c r="E432" s="57"/>
      <c r="F432" t="s">
        <v>20</v>
      </c>
      <c r="G432" s="12">
        <f>(INDEX(Proj[],MATCH(Std[[#This Row],[Player]],Proj[Player],0),14)-G$764)/G$765</f>
        <v>-0.45121751886595246</v>
      </c>
      <c r="H432" s="12">
        <f>(INDEX(Proj[],MATCH(Std[[#This Row],[Player]],Proj[Player],0),15)-H$764)/H$765</f>
        <v>-0.29002249855830886</v>
      </c>
      <c r="I432" s="12">
        <f>(INDEX(Proj[],MATCH(Std[[#This Row],[Player]],Proj[Player],0),16)-I$764)/I$765</f>
        <v>-0.38563694156747308</v>
      </c>
      <c r="J432" s="12">
        <f>(INDEX(Proj[],MATCH(Std[[#This Row],[Player]],Proj[Player],0),17)-J$764)/J$765</f>
        <v>-0.17232923569972286</v>
      </c>
      <c r="K432" s="12">
        <f>(INDEX(Proj[],MATCH(Std[[#This Row],[Player]],Proj[Player],0),18)-K$764)/K$765</f>
        <v>-0.29633482464760502</v>
      </c>
      <c r="L432" s="12">
        <f>(INDEX(Proj[],MATCH(Std[[#This Row],[Player]],Proj[Player],0),19)-L$764)/L$765</f>
        <v>-0.27278273918567114</v>
      </c>
      <c r="M432" s="12">
        <f>(INDEX(Proj[],MATCH(Std[[#This Row],[Player]],Proj[Player],0),20)-M$764)/M$765</f>
        <v>0.31240082183847029</v>
      </c>
      <c r="N432" s="12">
        <f>(INDEX(Proj[],MATCH(Std[[#This Row],[Player]],Proj[Player],0),21)-N$764)/N$765</f>
        <v>-0.11109335884987108</v>
      </c>
      <c r="O432" s="12">
        <f>(INDEX(Proj[],MATCH(Std[[#This Row],[Player]],Proj[Player],0),22)-O$764)/O$765</f>
        <v>-0.42831219935300352</v>
      </c>
      <c r="P432" s="12">
        <f>((INDEX(Proj[],MATCH(Std[[#This Row],[Player]],Proj[Player],0),23)-P$764)/P$765)*IF('League Inputs'!$C$23 = "Yes",-1, 1)</f>
        <v>-6.9655556234629226E-2</v>
      </c>
      <c r="Q432" s="12">
        <f>(INDEX(Proj[],MATCH(Std[[#This Row],[Player]],Proj[Player],0),24)-Q$764)/Q$765</f>
        <v>0.54810844571085771</v>
      </c>
      <c r="R432" s="12">
        <f>(INDEX(Proj[],MATCH(Std[[#This Row],[Player]],Proj[Player],0),25)-R$764)/R$765</f>
        <v>1.0772200984584321</v>
      </c>
      <c r="S432" s="12">
        <f>(INDEX(Proj[],MATCH(Std[[#This Row],[Player]],Proj[Player],0),26)-S$764)/S$765</f>
        <v>-0.74801476039761927</v>
      </c>
      <c r="T4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-220.86271273016703</v>
      </c>
      <c r="U432" s="11"/>
      <c r="W432" t="str">
        <v>Oskar Sundqvist</v>
      </c>
      <c r="AA432" t="str">
        <v>Oskar Sundqvist</v>
      </c>
      <c r="AB432" t="str">
        <v>Oskar Sundqvist</v>
      </c>
    </row>
    <row r="433" spans="1:28" x14ac:dyDescent="0.25">
      <c r="A433" t="s">
        <v>857</v>
      </c>
      <c r="B433">
        <f>INDEX(Proj[],MATCH(Std[[#This Row],[Player]],Proj[Player],0),2)</f>
        <v>22</v>
      </c>
      <c r="C433" t="s">
        <v>102</v>
      </c>
      <c r="D433" s="75" t="s">
        <v>103</v>
      </c>
      <c r="E433" s="57"/>
      <c r="F433" t="s">
        <v>29</v>
      </c>
      <c r="G433" s="12">
        <f>(INDEX(Proj[],MATCH(Std[[#This Row],[Player]],Proj[Player],0),14)-G$764)/G$765</f>
        <v>-0.13431591259265557</v>
      </c>
      <c r="H433" s="12">
        <f>(INDEX(Proj[],MATCH(Std[[#This Row],[Player]],Proj[Player],0),15)-H$764)/H$765</f>
        <v>-0.51361029952310455</v>
      </c>
      <c r="I433" s="12">
        <f>(INDEX(Proj[],MATCH(Std[[#This Row],[Player]],Proj[Player],0),16)-I$764)/I$765</f>
        <v>-0.38563694156747308</v>
      </c>
      <c r="J433" s="12">
        <f>(INDEX(Proj[],MATCH(Std[[#This Row],[Player]],Proj[Player],0),17)-J$764)/J$765</f>
        <v>0.12203405152491688</v>
      </c>
      <c r="K433" s="12">
        <f>(INDEX(Proj[],MATCH(Std[[#This Row],[Player]],Proj[Player],0),18)-K$764)/K$765</f>
        <v>-0.29633482464760502</v>
      </c>
      <c r="L433" s="12">
        <f>(INDEX(Proj[],MATCH(Std[[#This Row],[Player]],Proj[Player],0),19)-L$764)/L$765</f>
        <v>-0.16404410767290362</v>
      </c>
      <c r="M433" s="12">
        <f>(INDEX(Proj[],MATCH(Std[[#This Row],[Player]],Proj[Player],0),20)-M$764)/M$765</f>
        <v>-0.71308883245737775</v>
      </c>
      <c r="N433" s="12">
        <f>(INDEX(Proj[],MATCH(Std[[#This Row],[Player]],Proj[Player],0),21)-N$764)/N$765</f>
        <v>-1.0994597596156479</v>
      </c>
      <c r="O433" s="12">
        <f>(INDEX(Proj[],MATCH(Std[[#This Row],[Player]],Proj[Player],0),22)-O$764)/O$765</f>
        <v>-0.75333624610160344</v>
      </c>
      <c r="P433" s="12">
        <f>((INDEX(Proj[],MATCH(Std[[#This Row],[Player]],Proj[Player],0),23)-P$764)/P$765)*IF('League Inputs'!$C$23 = "Yes",-1, 1)</f>
        <v>-0.86083171930672309</v>
      </c>
      <c r="Q433" s="12">
        <f>(INDEX(Proj[],MATCH(Std[[#This Row],[Player]],Proj[Player],0),24)-Q$764)/Q$765</f>
        <v>-0.13951581775629571</v>
      </c>
      <c r="R433" s="12">
        <f>(INDEX(Proj[],MATCH(Std[[#This Row],[Player]],Proj[Player],0),25)-R$764)/R$765</f>
        <v>-5.7803520739273868E-2</v>
      </c>
      <c r="S433" s="12">
        <f>(INDEX(Proj[],MATCH(Std[[#This Row],[Player]],Proj[Player],0),26)-S$764)/S$765</f>
        <v>-0.37498479818215574</v>
      </c>
      <c r="T4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-442.57356023185628</v>
      </c>
      <c r="U433" s="11"/>
      <c r="W433" t="str">
        <v>Lukas Reichel</v>
      </c>
      <c r="AA433" t="str">
        <v>Lukas Reichel</v>
      </c>
      <c r="AB433" t="str">
        <v>Lukas Reichel</v>
      </c>
    </row>
    <row r="434" spans="1:28" x14ac:dyDescent="0.25">
      <c r="A434" t="s">
        <v>1219</v>
      </c>
      <c r="B434">
        <f>INDEX(Proj[],MATCH(Std[[#This Row],[Player]],Proj[Player],0),2)</f>
        <v>23</v>
      </c>
      <c r="C434" t="s">
        <v>74</v>
      </c>
      <c r="D434" s="75" t="s">
        <v>103</v>
      </c>
      <c r="E434" s="57"/>
      <c r="F434" t="s">
        <v>2</v>
      </c>
      <c r="G434" s="12">
        <f>(INDEX(Proj[],MATCH(Std[[#This Row],[Player]],Proj[Player],0),14)-G$764)/G$765</f>
        <v>-0.13431591259265557</v>
      </c>
      <c r="H434" s="12">
        <f>(INDEX(Proj[],MATCH(Std[[#This Row],[Player]],Proj[Player],0),15)-H$764)/H$765</f>
        <v>-0.51361029952310455</v>
      </c>
      <c r="I434" s="12">
        <f>(INDEX(Proj[],MATCH(Std[[#This Row],[Player]],Proj[Player],0),16)-I$764)/I$765</f>
        <v>-0.38563694156747308</v>
      </c>
      <c r="J434" s="12">
        <f>(INDEX(Proj[],MATCH(Std[[#This Row],[Player]],Proj[Player],0),17)-J$764)/J$765</f>
        <v>-0.76105581014900237</v>
      </c>
      <c r="K434" s="12">
        <f>(INDEX(Proj[],MATCH(Std[[#This Row],[Player]],Proj[Player],0),18)-K$764)/K$765</f>
        <v>-0.75859266061649311</v>
      </c>
      <c r="L434" s="12">
        <f>(INDEX(Proj[],MATCH(Std[[#This Row],[Player]],Proj[Player],0),19)-L$764)/L$765</f>
        <v>-0.81647589674950882</v>
      </c>
      <c r="M434" s="12">
        <f>(INDEX(Proj[],MATCH(Std[[#This Row],[Player]],Proj[Player],0),20)-M$764)/M$765</f>
        <v>-0.71308883245737775</v>
      </c>
      <c r="N434" s="12">
        <f>(INDEX(Proj[],MATCH(Std[[#This Row],[Player]],Proj[Player],0),21)-N$764)/N$765</f>
        <v>-0.45992855912014524</v>
      </c>
      <c r="O434" s="12">
        <f>(INDEX(Proj[],MATCH(Std[[#This Row],[Player]],Proj[Player],0),22)-O$764)/O$765</f>
        <v>-0.70690423942323199</v>
      </c>
      <c r="P434" s="12">
        <f>((INDEX(Proj[],MATCH(Std[[#This Row],[Player]],Proj[Player],0),23)-P$764)/P$765)*IF('League Inputs'!$C$23 = "Yes",-1, 1)</f>
        <v>-0.16273510483134615</v>
      </c>
      <c r="Q434" s="12">
        <f>(INDEX(Proj[],MATCH(Std[[#This Row],[Player]],Proj[Player],0),24)-Q$764)/Q$765</f>
        <v>0.52678676312272898</v>
      </c>
      <c r="R434" s="12">
        <f>(INDEX(Proj[],MATCH(Std[[#This Row],[Player]],Proj[Player],0),25)-R$764)/R$765</f>
        <v>0.71968765841115467</v>
      </c>
      <c r="S434" s="12">
        <f>(INDEX(Proj[],MATCH(Std[[#This Row],[Player]],Proj[Player],0),26)-S$764)/S$765</f>
        <v>-0.35876610417278776</v>
      </c>
      <c r="T4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-301.1586294857525</v>
      </c>
      <c r="U434" s="11"/>
      <c r="W434" t="str">
        <v>Mavrik Bourque</v>
      </c>
      <c r="AA434" t="str">
        <v>Mavrik Bourque</v>
      </c>
      <c r="AB434" t="str">
        <v>Mavrik Bourque</v>
      </c>
    </row>
    <row r="435" spans="1:28" x14ac:dyDescent="0.25">
      <c r="A435" t="s">
        <v>1009</v>
      </c>
      <c r="B435">
        <f>INDEX(Proj[],MATCH(Std[[#This Row],[Player]],Proj[Player],0),2)</f>
        <v>23</v>
      </c>
      <c r="C435" t="s">
        <v>3</v>
      </c>
      <c r="D435" s="75"/>
      <c r="E435" s="57"/>
      <c r="F435" t="s">
        <v>23</v>
      </c>
      <c r="G435" s="12">
        <f>(INDEX(Proj[],MATCH(Std[[#This Row],[Player]],Proj[Player],0),14)-G$764)/G$765</f>
        <v>-0.23994978135042122</v>
      </c>
      <c r="H435" s="12">
        <f>(INDEX(Proj[],MATCH(Std[[#This Row],[Player]],Proj[Player],0),15)-H$764)/H$765</f>
        <v>-0.43908103253483932</v>
      </c>
      <c r="I435" s="12">
        <f>(INDEX(Proj[],MATCH(Std[[#This Row],[Player]],Proj[Player],0),16)-I$764)/I$765</f>
        <v>-0.38563694156747308</v>
      </c>
      <c r="J435" s="12">
        <f>(INDEX(Proj[],MATCH(Std[[#This Row],[Player]],Proj[Player],0),17)-J$764)/J$765</f>
        <v>-0.17232923569972286</v>
      </c>
      <c r="K435" s="12">
        <f>(INDEX(Proj[],MATCH(Std[[#This Row],[Player]],Proj[Player],0),18)-K$764)/K$765</f>
        <v>-0.14224887932464234</v>
      </c>
      <c r="L435" s="12">
        <f>(INDEX(Proj[],MATCH(Std[[#This Row],[Player]],Proj[Player],0),19)-L$764)/L$765</f>
        <v>-0.16404410767290362</v>
      </c>
      <c r="M435" s="12">
        <f>(INDEX(Proj[],MATCH(Std[[#This Row],[Player]],Proj[Player],0),20)-M$764)/M$765</f>
        <v>-0.71308883245737775</v>
      </c>
      <c r="N435" s="12">
        <f>(INDEX(Proj[],MATCH(Std[[#This Row],[Player]],Proj[Player],0),21)-N$764)/N$765</f>
        <v>-0.11109335884987108</v>
      </c>
      <c r="O435" s="12">
        <f>(INDEX(Proj[],MATCH(Std[[#This Row],[Player]],Proj[Player],0),22)-O$764)/O$765</f>
        <v>-0.93906427281508909</v>
      </c>
      <c r="P435" s="12">
        <f>((INDEX(Proj[],MATCH(Std[[#This Row],[Player]],Proj[Player],0),23)-P$764)/P$765)*IF('League Inputs'!$C$23 = "Yes",-1, 1)</f>
        <v>-0.72121239641164769</v>
      </c>
      <c r="Q435" s="12">
        <f>(INDEX(Proj[],MATCH(Std[[#This Row],[Player]],Proj[Player],0),24)-Q$764)/Q$765</f>
        <v>0.11101395265421755</v>
      </c>
      <c r="R435" s="12">
        <f>(INDEX(Proj[],MATCH(Std[[#This Row],[Player]],Proj[Player],0),25)-R$764)/R$765</f>
        <v>0.37918057265184291</v>
      </c>
      <c r="S435" s="12">
        <f>(INDEX(Proj[],MATCH(Std[[#This Row],[Player]],Proj[Player],0),26)-S$764)/S$765</f>
        <v>-0.81288953643509121</v>
      </c>
      <c r="T4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-370.1957474983119</v>
      </c>
      <c r="U435" s="11"/>
      <c r="W435" t="str">
        <v>Juuso Parssinen</v>
      </c>
      <c r="AA435" t="str">
        <v>Juuso Parssinen</v>
      </c>
      <c r="AB435" t="str">
        <v>Juuso Parssinen</v>
      </c>
    </row>
    <row r="436" spans="1:28" x14ac:dyDescent="0.25">
      <c r="A436" t="s">
        <v>376</v>
      </c>
      <c r="B436">
        <f>INDEX(Proj[],MATCH(Std[[#This Row],[Player]],Proj[Player],0),2)</f>
        <v>32</v>
      </c>
      <c r="C436" t="s">
        <v>102</v>
      </c>
      <c r="D436" s="75"/>
      <c r="E436" s="57"/>
      <c r="F436" t="s">
        <v>31</v>
      </c>
      <c r="G436" s="12">
        <f>(INDEX(Proj[],MATCH(Std[[#This Row],[Player]],Proj[Player],0),14)-G$764)/G$765</f>
        <v>-0.66248525638148381</v>
      </c>
      <c r="H436" s="12">
        <f>(INDEX(Proj[],MATCH(Std[[#This Row],[Player]],Proj[Player],0),15)-H$764)/H$765</f>
        <v>-0.21549323157004366</v>
      </c>
      <c r="I436" s="12">
        <f>(INDEX(Proj[],MATCH(Std[[#This Row],[Player]],Proj[Player],0),16)-I$764)/I$765</f>
        <v>-0.4328795005295763</v>
      </c>
      <c r="J436" s="12">
        <f>(INDEX(Proj[],MATCH(Std[[#This Row],[Player]],Proj[Player],0),17)-J$764)/J$765</f>
        <v>-0.76105581014900237</v>
      </c>
      <c r="K436" s="12">
        <f>(INDEX(Proj[],MATCH(Std[[#This Row],[Player]],Proj[Player],0),18)-K$764)/K$765</f>
        <v>-0.75859266061649311</v>
      </c>
      <c r="L436" s="12">
        <f>(INDEX(Proj[],MATCH(Std[[#This Row],[Player]],Proj[Player],0),19)-L$764)/L$765</f>
        <v>-0.81647589674950882</v>
      </c>
      <c r="M436" s="12">
        <f>(INDEX(Proj[],MATCH(Std[[#This Row],[Player]],Proj[Player],0),20)-M$764)/M$765</f>
        <v>0.31240082183847029</v>
      </c>
      <c r="N436" s="12">
        <f>(INDEX(Proj[],MATCH(Std[[#This Row],[Player]],Proj[Player],0),21)-N$764)/N$765</f>
        <v>1.4586650423663627</v>
      </c>
      <c r="O436" s="12">
        <f>(INDEX(Proj[],MATCH(Std[[#This Row],[Player]],Proj[Player],0),22)-O$764)/O$765</f>
        <v>2.2879601913317247</v>
      </c>
      <c r="P436" s="12">
        <f>((INDEX(Proj[],MATCH(Std[[#This Row],[Player]],Proj[Player],0),23)-P$764)/P$765)*IF('League Inputs'!$C$23 = "Yes",-1, 1)</f>
        <v>0.67498083253910623</v>
      </c>
      <c r="Q436" s="12">
        <f>(INDEX(Proj[],MATCH(Std[[#This Row],[Player]],Proj[Player],0),24)-Q$764)/Q$765</f>
        <v>-0.5766103108129359</v>
      </c>
      <c r="R436" s="12">
        <f>(INDEX(Proj[],MATCH(Std[[#This Row],[Player]],Proj[Player],0),25)-R$764)/R$765</f>
        <v>-0.62531533033812681</v>
      </c>
      <c r="S436" s="12">
        <f>(INDEX(Proj[],MATCH(Std[[#This Row],[Player]],Proj[Player],0),26)-S$764)/S$765</f>
        <v>7.9138634080147791E-2</v>
      </c>
      <c r="T4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179.68005042737931</v>
      </c>
      <c r="U436" s="11"/>
      <c r="W436" t="str">
        <v>Adam Larsson</v>
      </c>
      <c r="AA436" t="str">
        <v>Adam Larsson</v>
      </c>
      <c r="AB436" t="str">
        <v>Adam Larsson</v>
      </c>
    </row>
    <row r="437" spans="1:28" x14ac:dyDescent="0.25">
      <c r="A437" t="s">
        <v>438</v>
      </c>
      <c r="B437">
        <f>INDEX(Proj[],MATCH(Std[[#This Row],[Player]],Proj[Player],0),2)</f>
        <v>30</v>
      </c>
      <c r="C437" t="s">
        <v>102</v>
      </c>
      <c r="D437" s="75" t="s">
        <v>103</v>
      </c>
      <c r="E437" s="56"/>
      <c r="F437" t="s">
        <v>6</v>
      </c>
      <c r="G437" s="12">
        <f>(INDEX(Proj[],MATCH(Std[[#This Row],[Player]],Proj[Player],0),14)-G$764)/G$765</f>
        <v>-0.66248525638148381</v>
      </c>
      <c r="H437" s="12">
        <f>(INDEX(Proj[],MATCH(Std[[#This Row],[Player]],Proj[Player],0),15)-H$764)/H$765</f>
        <v>-0.21549323157004366</v>
      </c>
      <c r="I437" s="12">
        <f>(INDEX(Proj[],MATCH(Std[[#This Row],[Player]],Proj[Player],0),16)-I$764)/I$765</f>
        <v>-0.4328795005295763</v>
      </c>
      <c r="J437" s="12">
        <f>(INDEX(Proj[],MATCH(Std[[#This Row],[Player]],Proj[Player],0),17)-J$764)/J$765</f>
        <v>-0.76105581014900237</v>
      </c>
      <c r="K437" s="12">
        <f>(INDEX(Proj[],MATCH(Std[[#This Row],[Player]],Proj[Player],0),18)-K$764)/K$765</f>
        <v>-0.75859266061649311</v>
      </c>
      <c r="L437" s="12">
        <f>(INDEX(Proj[],MATCH(Std[[#This Row],[Player]],Proj[Player],0),19)-L$764)/L$765</f>
        <v>-0.81647589674950882</v>
      </c>
      <c r="M437" s="12">
        <f>(INDEX(Proj[],MATCH(Std[[#This Row],[Player]],Proj[Player],0),20)-M$764)/M$765</f>
        <v>0.31240082183847029</v>
      </c>
      <c r="N437" s="12">
        <f>(INDEX(Proj[],MATCH(Std[[#This Row],[Player]],Proj[Player],0),21)-N$764)/N$765</f>
        <v>-0.20799202559161389</v>
      </c>
      <c r="O437" s="12">
        <f>(INDEX(Proj[],MATCH(Std[[#This Row],[Player]],Proj[Player],0),22)-O$764)/O$765</f>
        <v>2.3343921980100961</v>
      </c>
      <c r="P437" s="12">
        <f>((INDEX(Proj[],MATCH(Std[[#This Row],[Player]],Proj[Player],0),23)-P$764)/P$765)*IF('League Inputs'!$C$23 = "Yes",-1, 1)</f>
        <v>-1.0469908165001569</v>
      </c>
      <c r="Q437" s="12">
        <f>(INDEX(Proj[],MATCH(Std[[#This Row],[Player]],Proj[Player],0),24)-Q$764)/Q$765</f>
        <v>-0.5766103108129359</v>
      </c>
      <c r="R437" s="12">
        <f>(INDEX(Proj[],MATCH(Std[[#This Row],[Player]],Proj[Player],0),25)-R$764)/R$765</f>
        <v>-0.62531533033812681</v>
      </c>
      <c r="S437" s="12">
        <f>(INDEX(Proj[],MATCH(Std[[#This Row],[Player]],Proj[Player],0),26)-S$764)/S$765</f>
        <v>-0.16414177606037195</v>
      </c>
      <c r="T4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-178.86766161855948</v>
      </c>
      <c r="U437" s="11"/>
      <c r="W437" t="str">
        <v>Esa Lindell</v>
      </c>
      <c r="AA437" t="str">
        <v>Esa Lindell</v>
      </c>
      <c r="AB437" t="str">
        <v>Esa Lindell</v>
      </c>
    </row>
    <row r="438" spans="1:28" x14ac:dyDescent="0.25">
      <c r="A438" t="s">
        <v>436</v>
      </c>
      <c r="B438">
        <f>INDEX(Proj[],MATCH(Std[[#This Row],[Player]],Proj[Player],0),2)</f>
        <v>27</v>
      </c>
      <c r="C438" t="s">
        <v>74</v>
      </c>
      <c r="D438" s="75" t="s">
        <v>102</v>
      </c>
      <c r="E438" s="56"/>
      <c r="F438" t="s">
        <v>2</v>
      </c>
      <c r="G438" s="12">
        <f>(INDEX(Proj[],MATCH(Std[[#This Row],[Player]],Proj[Player],0),14)-G$764)/G$765</f>
        <v>-2.8682043834889943E-2</v>
      </c>
      <c r="H438" s="12">
        <f>(INDEX(Proj[],MATCH(Std[[#This Row],[Player]],Proj[Player],0),15)-H$764)/H$765</f>
        <v>-0.6626688334996349</v>
      </c>
      <c r="I438" s="12">
        <f>(INDEX(Proj[],MATCH(Std[[#This Row],[Player]],Proj[Player],0),16)-I$764)/I$765</f>
        <v>-0.4328795005295763</v>
      </c>
      <c r="J438" s="12">
        <f>(INDEX(Proj[],MATCH(Std[[#This Row],[Player]],Proj[Player],0),17)-J$764)/J$765</f>
        <v>-0.17232923569972286</v>
      </c>
      <c r="K438" s="12">
        <f>(INDEX(Proj[],MATCH(Std[[#This Row],[Player]],Proj[Player],0),18)-K$764)/K$765</f>
        <v>-0.45042076997056774</v>
      </c>
      <c r="L438" s="12">
        <f>(INDEX(Proj[],MATCH(Std[[#This Row],[Player]],Proj[Player],0),19)-L$764)/L$765</f>
        <v>-0.38152137069843867</v>
      </c>
      <c r="M438" s="12">
        <f>(INDEX(Proj[],MATCH(Std[[#This Row],[Player]],Proj[Player],0),20)-M$764)/M$765</f>
        <v>-0.71308883245737775</v>
      </c>
      <c r="N438" s="12">
        <f>(INDEX(Proj[],MATCH(Std[[#This Row],[Player]],Proj[Player],0),21)-N$764)/N$765</f>
        <v>1.4392853090180142</v>
      </c>
      <c r="O438" s="12">
        <f>(INDEX(Proj[],MATCH(Std[[#This Row],[Player]],Proj[Player],0),22)-O$764)/O$765</f>
        <v>3.6007867430710716E-2</v>
      </c>
      <c r="P438" s="12">
        <f>((INDEX(Proj[],MATCH(Std[[#This Row],[Player]],Proj[Player],0),23)-P$764)/P$765)*IF('League Inputs'!$C$23 = "Yes",-1, 1)</f>
        <v>2.3504127072800109</v>
      </c>
      <c r="Q438" s="12">
        <f>(INDEX(Proj[],MATCH(Std[[#This Row],[Player]],Proj[Player],0),24)-Q$764)/Q$765</f>
        <v>0.35621330241769861</v>
      </c>
      <c r="R438" s="12">
        <f>(INDEX(Proj[],MATCH(Std[[#This Row],[Player]],Proj[Player],0),25)-R$764)/R$765</f>
        <v>0.56078435172347585</v>
      </c>
      <c r="S438" s="12">
        <f>(INDEX(Proj[],MATCH(Std[[#This Row],[Player]],Proj[Player],0),26)-S$764)/S$765</f>
        <v>-8.3048306013532025E-2</v>
      </c>
      <c r="T4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259.31191315703626</v>
      </c>
      <c r="U438" s="11"/>
      <c r="W438" t="str">
        <v>Luke Kunin</v>
      </c>
      <c r="AA438" t="str">
        <v>Luke Kunin</v>
      </c>
      <c r="AB438" t="str">
        <v>Luke Kunin</v>
      </c>
    </row>
    <row r="439" spans="1:28" x14ac:dyDescent="0.25">
      <c r="A439" t="s">
        <v>508</v>
      </c>
      <c r="B439">
        <f>INDEX(Proj[],MATCH(Std[[#This Row],[Player]],Proj[Player],0),2)</f>
        <v>31</v>
      </c>
      <c r="C439" t="s">
        <v>102</v>
      </c>
      <c r="D439" s="75" t="s">
        <v>103</v>
      </c>
      <c r="E439" s="57"/>
      <c r="F439" t="s">
        <v>12</v>
      </c>
      <c r="G439" s="12">
        <f>(INDEX(Proj[],MATCH(Std[[#This Row],[Player]],Proj[Player],0),14)-G$764)/G$765</f>
        <v>-0.873752993897015</v>
      </c>
      <c r="H439" s="12">
        <f>(INDEX(Proj[],MATCH(Std[[#This Row],[Player]],Proj[Player],0),15)-H$764)/H$765</f>
        <v>-6.6434697593513253E-2</v>
      </c>
      <c r="I439" s="12">
        <f>(INDEX(Proj[],MATCH(Std[[#This Row],[Player]],Proj[Player],0),16)-I$764)/I$765</f>
        <v>-0.4328795005295763</v>
      </c>
      <c r="J439" s="12">
        <f>(INDEX(Proj[],MATCH(Std[[#This Row],[Player]],Proj[Player],0),17)-J$764)/J$765</f>
        <v>-0.76105581014900237</v>
      </c>
      <c r="K439" s="12">
        <f>(INDEX(Proj[],MATCH(Std[[#This Row],[Player]],Proj[Player],0),18)-K$764)/K$765</f>
        <v>-0.75859266061649311</v>
      </c>
      <c r="L439" s="12">
        <f>(INDEX(Proj[],MATCH(Std[[#This Row],[Player]],Proj[Player],0),19)-L$764)/L$765</f>
        <v>-0.81647589674950882</v>
      </c>
      <c r="M439" s="12">
        <f>(INDEX(Proj[],MATCH(Std[[#This Row],[Player]],Proj[Player],0),20)-M$764)/M$765</f>
        <v>0.31240082183847029</v>
      </c>
      <c r="N439" s="12">
        <f>(INDEX(Proj[],MATCH(Std[[#This Row],[Player]],Proj[Player],0),21)-N$764)/N$765</f>
        <v>0.37339997485884308</v>
      </c>
      <c r="O439" s="12">
        <f>(INDEX(Proj[],MATCH(Std[[#This Row],[Player]],Proj[Player],0),22)-O$764)/O$765</f>
        <v>1.4754000744602247</v>
      </c>
      <c r="P439" s="12">
        <f>((INDEX(Proj[],MATCH(Std[[#This Row],[Player]],Proj[Player],0),23)-P$764)/P$765)*IF('League Inputs'!$C$23 = "Yes",-1, 1)</f>
        <v>-0.67467262211328927</v>
      </c>
      <c r="Q439" s="12">
        <f>(INDEX(Proj[],MATCH(Std[[#This Row],[Player]],Proj[Player],0),24)-Q$764)/Q$765</f>
        <v>-0.5766103108129359</v>
      </c>
      <c r="R439" s="12">
        <f>(INDEX(Proj[],MATCH(Std[[#This Row],[Player]],Proj[Player],0),25)-R$764)/R$765</f>
        <v>-0.62531533033812681</v>
      </c>
      <c r="S439" s="12">
        <f>(INDEX(Proj[],MATCH(Std[[#This Row],[Player]],Proj[Player],0),26)-S$764)/S$765</f>
        <v>-0.32632871615405179</v>
      </c>
      <c r="T4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-191.83546885308226</v>
      </c>
      <c r="U439" s="11"/>
      <c r="W439" t="str">
        <v>Cody Ceci</v>
      </c>
      <c r="AA439" t="str">
        <v>Cody Ceci</v>
      </c>
      <c r="AB439" t="str">
        <v>Cody Ceci</v>
      </c>
    </row>
    <row r="440" spans="1:28" x14ac:dyDescent="0.25">
      <c r="A440" t="s">
        <v>972</v>
      </c>
      <c r="B440">
        <f>INDEX(Proj[],MATCH(Std[[#This Row],[Player]],Proj[Player],0),2)</f>
        <v>26</v>
      </c>
      <c r="C440" t="s">
        <v>102</v>
      </c>
      <c r="D440" s="75" t="s">
        <v>103</v>
      </c>
      <c r="E440" s="57"/>
      <c r="F440" t="s">
        <v>18</v>
      </c>
      <c r="G440" s="12">
        <f>(INDEX(Proj[],MATCH(Std[[#This Row],[Player]],Proj[Player],0),14)-G$764)/G$765</f>
        <v>-0.873752993897015</v>
      </c>
      <c r="H440" s="12">
        <f>(INDEX(Proj[],MATCH(Std[[#This Row],[Player]],Proj[Player],0),15)-H$764)/H$765</f>
        <v>-6.6434697593513253E-2</v>
      </c>
      <c r="I440" s="12">
        <f>(INDEX(Proj[],MATCH(Std[[#This Row],[Player]],Proj[Player],0),16)-I$764)/I$765</f>
        <v>-0.4328795005295763</v>
      </c>
      <c r="J440" s="12">
        <f>(INDEX(Proj[],MATCH(Std[[#This Row],[Player]],Proj[Player],0),17)-J$764)/J$765</f>
        <v>-0.46669252292436259</v>
      </c>
      <c r="K440" s="12">
        <f>(INDEX(Proj[],MATCH(Std[[#This Row],[Player]],Proj[Player],0),18)-K$764)/K$765</f>
        <v>0.16592301132128306</v>
      </c>
      <c r="L440" s="12">
        <f>(INDEX(Proj[],MATCH(Std[[#This Row],[Player]],Proj[Player],0),19)-L$764)/L$765</f>
        <v>-5.5305476160136084E-2</v>
      </c>
      <c r="M440" s="12">
        <f>(INDEX(Proj[],MATCH(Std[[#This Row],[Player]],Proj[Player],0),20)-M$764)/M$765</f>
        <v>-0.71308883245737775</v>
      </c>
      <c r="N440" s="12">
        <f>(INDEX(Proj[],MATCH(Std[[#This Row],[Player]],Proj[Player],0),21)-N$764)/N$765</f>
        <v>-0.36302989237840244</v>
      </c>
      <c r="O440" s="12">
        <f>(INDEX(Proj[],MATCH(Std[[#This Row],[Player]],Proj[Player],0),22)-O$764)/O$765</f>
        <v>0.91821599431976775</v>
      </c>
      <c r="P440" s="12">
        <f>((INDEX(Proj[],MATCH(Std[[#This Row],[Player]],Proj[Player],0),23)-P$764)/P$765)*IF('League Inputs'!$C$23 = "Yes",-1, 1)</f>
        <v>0.11650354095880462</v>
      </c>
      <c r="Q440" s="12">
        <f>(INDEX(Proj[],MATCH(Std[[#This Row],[Player]],Proj[Player],0),24)-Q$764)/Q$765</f>
        <v>-0.5766103108129359</v>
      </c>
      <c r="R440" s="12">
        <f>(INDEX(Proj[],MATCH(Std[[#This Row],[Player]],Proj[Player],0),25)-R$764)/R$765</f>
        <v>-0.62531533033812681</v>
      </c>
      <c r="S440" s="12">
        <f>(INDEX(Proj[],MATCH(Std[[#This Row],[Player]],Proj[Player],0),26)-S$764)/S$765</f>
        <v>-0.61826520832267551</v>
      </c>
      <c r="T4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-195.15585444156818</v>
      </c>
      <c r="U440" s="11"/>
      <c r="W440" t="str">
        <v>Juuso Valimaki</v>
      </c>
      <c r="AA440" t="str">
        <v>Juuso Valimaki</v>
      </c>
      <c r="AB440" t="str">
        <v>Juuso Valimaki</v>
      </c>
    </row>
    <row r="441" spans="1:28" x14ac:dyDescent="0.25">
      <c r="A441" t="s">
        <v>769</v>
      </c>
      <c r="B441">
        <f>INDEX(Proj[],MATCH(Std[[#This Row],[Player]],Proj[Player],0),2)</f>
        <v>26</v>
      </c>
      <c r="C441" t="s">
        <v>74</v>
      </c>
      <c r="D441" s="75" t="s">
        <v>102</v>
      </c>
      <c r="E441" s="57"/>
      <c r="F441" t="s">
        <v>30</v>
      </c>
      <c r="G441" s="12">
        <f>(INDEX(Proj[],MATCH(Std[[#This Row],[Player]],Proj[Player],0),14)-G$764)/G$765</f>
        <v>-0.13431591259265557</v>
      </c>
      <c r="H441" s="12">
        <f>(INDEX(Proj[],MATCH(Std[[#This Row],[Player]],Proj[Player],0),15)-H$764)/H$765</f>
        <v>-0.58813956651136978</v>
      </c>
      <c r="I441" s="12">
        <f>(INDEX(Proj[],MATCH(Std[[#This Row],[Player]],Proj[Player],0),16)-I$764)/I$765</f>
        <v>-0.4328795005295763</v>
      </c>
      <c r="J441" s="12">
        <f>(INDEX(Proj[],MATCH(Std[[#This Row],[Player]],Proj[Player],0),17)-J$764)/J$765</f>
        <v>-0.17232923569972286</v>
      </c>
      <c r="K441" s="12">
        <f>(INDEX(Proj[],MATCH(Std[[#This Row],[Player]],Proj[Player],0),18)-K$764)/K$765</f>
        <v>-0.29633482464760502</v>
      </c>
      <c r="L441" s="12">
        <f>(INDEX(Proj[],MATCH(Std[[#This Row],[Player]],Proj[Player],0),19)-L$764)/L$765</f>
        <v>-0.27278273918567114</v>
      </c>
      <c r="M441" s="12">
        <f>(INDEX(Proj[],MATCH(Std[[#This Row],[Player]],Proj[Player],0),20)-M$764)/M$765</f>
        <v>-0.71308883245737775</v>
      </c>
      <c r="N441" s="12">
        <f>(INDEX(Proj[],MATCH(Std[[#This Row],[Player]],Proj[Player],0),21)-N$764)/N$765</f>
        <v>1.1292095754444371</v>
      </c>
      <c r="O441" s="12">
        <f>(INDEX(Proj[],MATCH(Std[[#This Row],[Player]],Proj[Player],0),22)-O$764)/O$765</f>
        <v>-0.96228027615427481</v>
      </c>
      <c r="P441" s="12">
        <f>((INDEX(Proj[],MATCH(Std[[#This Row],[Player]],Proj[Player],0),23)-P$764)/P$765)*IF('League Inputs'!$C$23 = "Yes",-1, 1)</f>
        <v>1.2799978984177662</v>
      </c>
      <c r="Q441" s="12">
        <f>(INDEX(Proj[],MATCH(Std[[#This Row],[Player]],Proj[Player],0),24)-Q$764)/Q$765</f>
        <v>-0.44334979463713092</v>
      </c>
      <c r="R441" s="12">
        <f>(INDEX(Proj[],MATCH(Std[[#This Row],[Player]],Proj[Player],0),25)-R$764)/R$765</f>
        <v>-0.44938666936248239</v>
      </c>
      <c r="S441" s="12">
        <f>(INDEX(Proj[],MATCH(Std[[#This Row],[Player]],Proj[Player],0),26)-S$764)/S$765</f>
        <v>-5.0610917994796063E-2</v>
      </c>
      <c r="T4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-47.515123374327132</v>
      </c>
      <c r="U441" s="11"/>
      <c r="W441" t="str">
        <v>Max Jones</v>
      </c>
      <c r="AA441" t="str">
        <v>Max Jones</v>
      </c>
      <c r="AB441" t="str">
        <v>Max Jones</v>
      </c>
    </row>
    <row r="442" spans="1:28" x14ac:dyDescent="0.25">
      <c r="A442" t="s">
        <v>643</v>
      </c>
      <c r="B442">
        <f>INDEX(Proj[],MATCH(Std[[#This Row],[Player]],Proj[Player],0),2)</f>
        <v>26</v>
      </c>
      <c r="C442" t="s">
        <v>74</v>
      </c>
      <c r="D442" s="75" t="s">
        <v>103</v>
      </c>
      <c r="E442" s="57"/>
      <c r="F442" t="s">
        <v>30</v>
      </c>
      <c r="G442" s="12">
        <f>(INDEX(Proj[],MATCH(Std[[#This Row],[Player]],Proj[Player],0),14)-G$764)/G$765</f>
        <v>-1.0850207314125464</v>
      </c>
      <c r="H442" s="12">
        <f>(INDEX(Proj[],MATCH(Std[[#This Row],[Player]],Proj[Player],0),15)-H$764)/H$765</f>
        <v>8.262383638301718E-2</v>
      </c>
      <c r="I442" s="12">
        <f>(INDEX(Proj[],MATCH(Std[[#This Row],[Player]],Proj[Player],0),16)-I$764)/I$765</f>
        <v>-0.4328795005295763</v>
      </c>
      <c r="J442" s="12">
        <f>(INDEX(Proj[],MATCH(Std[[#This Row],[Player]],Proj[Player],0),17)-J$764)/J$765</f>
        <v>-0.46669252292436259</v>
      </c>
      <c r="K442" s="12">
        <f>(INDEX(Proj[],MATCH(Std[[#This Row],[Player]],Proj[Player],0),18)-K$764)/K$765</f>
        <v>0.78226679261313392</v>
      </c>
      <c r="L442" s="12">
        <f>(INDEX(Proj[],MATCH(Std[[#This Row],[Player]],Proj[Player],0),19)-L$764)/L$765</f>
        <v>0.37964904989093406</v>
      </c>
      <c r="M442" s="12">
        <f>(INDEX(Proj[],MATCH(Std[[#This Row],[Player]],Proj[Player],0),20)-M$764)/M$765</f>
        <v>-0.71308883245737775</v>
      </c>
      <c r="N442" s="12">
        <f>(INDEX(Proj[],MATCH(Std[[#This Row],[Player]],Proj[Player],0),21)-N$764)/N$765</f>
        <v>-0.98318135952555652</v>
      </c>
      <c r="O442" s="12">
        <f>(INDEX(Proj[],MATCH(Std[[#This Row],[Player]],Proj[Player],0),22)-O$764)/O$765</f>
        <v>0.15208788412663926</v>
      </c>
      <c r="P442" s="12">
        <f>((INDEX(Proj[],MATCH(Std[[#This Row],[Player]],Proj[Player],0),23)-P$764)/P$765)*IF('League Inputs'!$C$23 = "Yes",-1, 1)</f>
        <v>-0.44197375062149696</v>
      </c>
      <c r="Q442" s="12">
        <f>(INDEX(Proj[],MATCH(Std[[#This Row],[Player]],Proj[Player],0),24)-Q$764)/Q$765</f>
        <v>-0.5766103108129359</v>
      </c>
      <c r="R442" s="12">
        <f>(INDEX(Proj[],MATCH(Std[[#This Row],[Player]],Proj[Player],0),25)-R$764)/R$765</f>
        <v>-0.62531533033812681</v>
      </c>
      <c r="S442" s="12">
        <f>(INDEX(Proj[],MATCH(Std[[#This Row],[Player]],Proj[Player],0),26)-S$764)/S$765</f>
        <v>-0.99129517053813909</v>
      </c>
      <c r="T4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-389.66000530396605</v>
      </c>
      <c r="U442" s="11"/>
      <c r="W442" t="str">
        <v>Scott Perunovich</v>
      </c>
      <c r="AA442" t="str">
        <v>Scott Perunovich</v>
      </c>
      <c r="AB442" t="str">
        <v>Scott Perunovich</v>
      </c>
    </row>
    <row r="443" spans="1:28" x14ac:dyDescent="0.25">
      <c r="A443" t="s">
        <v>455</v>
      </c>
      <c r="B443">
        <f>INDEX(Proj[],MATCH(Std[[#This Row],[Player]],Proj[Player],0),2)</f>
        <v>26</v>
      </c>
      <c r="C443" t="s">
        <v>102</v>
      </c>
      <c r="D443" s="75" t="s">
        <v>103</v>
      </c>
      <c r="E443" s="57"/>
      <c r="F443" t="s">
        <v>2</v>
      </c>
      <c r="G443" s="12">
        <f>(INDEX(Proj[],MATCH(Std[[#This Row],[Player]],Proj[Player],0),14)-G$764)/G$765</f>
        <v>-0.13431591259265557</v>
      </c>
      <c r="H443" s="12">
        <f>(INDEX(Proj[],MATCH(Std[[#This Row],[Player]],Proj[Player],0),15)-H$764)/H$765</f>
        <v>-0.58813956651136978</v>
      </c>
      <c r="I443" s="12">
        <f>(INDEX(Proj[],MATCH(Std[[#This Row],[Player]],Proj[Player],0),16)-I$764)/I$765</f>
        <v>-0.4328795005295763</v>
      </c>
      <c r="J443" s="12">
        <f>(INDEX(Proj[],MATCH(Std[[#This Row],[Player]],Proj[Player],0),17)-J$764)/J$765</f>
        <v>0.12203405152491688</v>
      </c>
      <c r="K443" s="12">
        <f>(INDEX(Proj[],MATCH(Std[[#This Row],[Player]],Proj[Player],0),18)-K$764)/K$765</f>
        <v>-0.14224887932464234</v>
      </c>
      <c r="L443" s="12">
        <f>(INDEX(Proj[],MATCH(Std[[#This Row],[Player]],Proj[Player],0),19)-L$764)/L$765</f>
        <v>-5.5305476160136084E-2</v>
      </c>
      <c r="M443" s="12">
        <f>(INDEX(Proj[],MATCH(Std[[#This Row],[Player]],Proj[Player],0),20)-M$764)/M$765</f>
        <v>1.3378904761343182</v>
      </c>
      <c r="N443" s="12">
        <f>(INDEX(Proj[],MATCH(Std[[#This Row],[Player]],Proj[Player],0),21)-N$764)/N$765</f>
        <v>-0.6537258926036309</v>
      </c>
      <c r="O443" s="12">
        <f>(INDEX(Proj[],MATCH(Std[[#This Row],[Player]],Proj[Player],0),22)-O$764)/O$765</f>
        <v>-0.86941626279753204</v>
      </c>
      <c r="P443" s="12">
        <f>((INDEX(Proj[],MATCH(Std[[#This Row],[Player]],Proj[Player],0),23)-P$764)/P$765)*IF('League Inputs'!$C$23 = "Yes",-1, 1)</f>
        <v>-0.67467262211328927</v>
      </c>
      <c r="Q443" s="12">
        <f>(INDEX(Proj[],MATCH(Std[[#This Row],[Player]],Proj[Player],0),24)-Q$764)/Q$765</f>
        <v>-0.35273264363758361</v>
      </c>
      <c r="R443" s="12">
        <f>(INDEX(Proj[],MATCH(Std[[#This Row],[Player]],Proj[Player],0),25)-R$764)/R$765</f>
        <v>-0.22238194552294122</v>
      </c>
      <c r="S443" s="12">
        <f>(INDEX(Proj[],MATCH(Std[[#This Row],[Player]],Proj[Player],0),26)-S$764)/S$765</f>
        <v>-0.58582782030393954</v>
      </c>
      <c r="T4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-434.70156972497131</v>
      </c>
      <c r="U443" s="11"/>
      <c r="W443" t="str">
        <v>Kailer Yamamoto</v>
      </c>
      <c r="AA443" t="str">
        <v>Kailer Yamamoto</v>
      </c>
      <c r="AB443" t="str">
        <v>Kailer Yamamoto</v>
      </c>
    </row>
    <row r="444" spans="1:28" x14ac:dyDescent="0.25">
      <c r="A444" t="s">
        <v>631</v>
      </c>
      <c r="B444">
        <f>INDEX(Proj[],MATCH(Std[[#This Row],[Player]],Proj[Player],0),2)</f>
        <v>33</v>
      </c>
      <c r="C444" t="s">
        <v>102</v>
      </c>
      <c r="D444" s="75"/>
      <c r="E444" s="56"/>
      <c r="F444" t="s">
        <v>7</v>
      </c>
      <c r="G444" s="12">
        <f>(INDEX(Proj[],MATCH(Std[[#This Row],[Player]],Proj[Player],0),14)-G$764)/G$765</f>
        <v>-0.34558365010818687</v>
      </c>
      <c r="H444" s="12">
        <f>(INDEX(Proj[],MATCH(Std[[#This Row],[Player]],Proj[Player],0),15)-H$764)/H$765</f>
        <v>-0.43908103253483932</v>
      </c>
      <c r="I444" s="12">
        <f>(INDEX(Proj[],MATCH(Std[[#This Row],[Player]],Proj[Player],0),16)-I$764)/I$765</f>
        <v>-0.4328795005295763</v>
      </c>
      <c r="J444" s="12">
        <f>(INDEX(Proj[],MATCH(Std[[#This Row],[Player]],Proj[Player],0),17)-J$764)/J$765</f>
        <v>-0.76105581014900237</v>
      </c>
      <c r="K444" s="12">
        <f>(INDEX(Proj[],MATCH(Std[[#This Row],[Player]],Proj[Player],0),18)-K$764)/K$765</f>
        <v>-0.75859266061649311</v>
      </c>
      <c r="L444" s="12">
        <f>(INDEX(Proj[],MATCH(Std[[#This Row],[Player]],Proj[Player],0),19)-L$764)/L$765</f>
        <v>-0.81647589674950882</v>
      </c>
      <c r="M444" s="12">
        <f>(INDEX(Proj[],MATCH(Std[[#This Row],[Player]],Proj[Player],0),20)-M$764)/M$765</f>
        <v>0.31240082183847029</v>
      </c>
      <c r="N444" s="12">
        <f>(INDEX(Proj[],MATCH(Std[[#This Row],[Player]],Proj[Player],0),21)-N$764)/N$765</f>
        <v>-3.3574425456476813E-2</v>
      </c>
      <c r="O444" s="12">
        <f>(INDEX(Proj[],MATCH(Std[[#This Row],[Player]],Proj[Player],0),22)-O$764)/O$765</f>
        <v>-0.75333624610160344</v>
      </c>
      <c r="P444" s="12">
        <f>((INDEX(Proj[],MATCH(Std[[#This Row],[Player]],Proj[Player],0),23)-P$764)/P$765)*IF('League Inputs'!$C$23 = "Yes",-1, 1)</f>
        <v>-1.0935305907985153</v>
      </c>
      <c r="Q444" s="12">
        <f>(INDEX(Proj[],MATCH(Std[[#This Row],[Player]],Proj[Player],0),24)-Q$764)/Q$765</f>
        <v>-0.51264526304854952</v>
      </c>
      <c r="R444" s="12">
        <f>(INDEX(Proj[],MATCH(Std[[#This Row],[Player]],Proj[Player],0),25)-R$764)/R$765</f>
        <v>-0.54018855889829887</v>
      </c>
      <c r="S444" s="12">
        <f>(INDEX(Proj[],MATCH(Std[[#This Row],[Player]],Proj[Player],0),26)-S$764)/S$765</f>
        <v>-0.73179606638825134</v>
      </c>
      <c r="T4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-515.8902671715507</v>
      </c>
      <c r="U444" s="11"/>
      <c r="W444" t="str">
        <v>Jesper Fast</v>
      </c>
      <c r="AA444" t="str">
        <v>Jesper Fast</v>
      </c>
      <c r="AB444" t="str">
        <v>Jesper Fast</v>
      </c>
    </row>
    <row r="445" spans="1:28" x14ac:dyDescent="0.25">
      <c r="A445" t="s">
        <v>1222</v>
      </c>
      <c r="B445">
        <f>INDEX(Proj[],MATCH(Std[[#This Row],[Player]],Proj[Player],0),2)</f>
        <v>25</v>
      </c>
      <c r="C445" t="s">
        <v>3</v>
      </c>
      <c r="D445" s="75"/>
      <c r="E445" s="57"/>
      <c r="F445" t="s">
        <v>156</v>
      </c>
      <c r="G445" s="12">
        <f>(INDEX(Proj[],MATCH(Std[[#This Row],[Player]],Proj[Player],0),14)-G$764)/G$765</f>
        <v>-0.23994978135042122</v>
      </c>
      <c r="H445" s="12">
        <f>(INDEX(Proj[],MATCH(Std[[#This Row],[Player]],Proj[Player],0),15)-H$764)/H$765</f>
        <v>-0.51361029952310455</v>
      </c>
      <c r="I445" s="12">
        <f>(INDEX(Proj[],MATCH(Std[[#This Row],[Player]],Proj[Player],0),16)-I$764)/I$765</f>
        <v>-0.4328795005295763</v>
      </c>
      <c r="J445" s="12">
        <f>(INDEX(Proj[],MATCH(Std[[#This Row],[Player]],Proj[Player],0),17)-J$764)/J$765</f>
        <v>-0.76105581014900237</v>
      </c>
      <c r="K445" s="12">
        <f>(INDEX(Proj[],MATCH(Std[[#This Row],[Player]],Proj[Player],0),18)-K$764)/K$765</f>
        <v>-0.75859266061649311</v>
      </c>
      <c r="L445" s="12">
        <f>(INDEX(Proj[],MATCH(Std[[#This Row],[Player]],Proj[Player],0),19)-L$764)/L$765</f>
        <v>-0.81647589674950882</v>
      </c>
      <c r="M445" s="12">
        <f>(INDEX(Proj[],MATCH(Std[[#This Row],[Player]],Proj[Player],0),20)-M$764)/M$765</f>
        <v>-0.71308883245737775</v>
      </c>
      <c r="N445" s="12">
        <f>(INDEX(Proj[],MATCH(Std[[#This Row],[Player]],Proj[Player],0),21)-N$764)/N$765</f>
        <v>-0.47930829246849382</v>
      </c>
      <c r="O445" s="12">
        <f>(INDEX(Proj[],MATCH(Std[[#This Row],[Player]],Proj[Player],0),22)-O$764)/O$765</f>
        <v>-0.73012024276241771</v>
      </c>
      <c r="P445" s="12">
        <f>((INDEX(Proj[],MATCH(Std[[#This Row],[Player]],Proj[Player],0),23)-P$764)/P$765)*IF('League Inputs'!$C$23 = "Yes",-1, 1)</f>
        <v>-0.20927487912970463</v>
      </c>
      <c r="Q445" s="12">
        <f>(INDEX(Proj[],MATCH(Std[[#This Row],[Player]],Proj[Player],0),24)-Q$764)/Q$765</f>
        <v>0.72934274770995255</v>
      </c>
      <c r="R445" s="12">
        <f>(INDEX(Proj[],MATCH(Std[[#This Row],[Player]],Proj[Player],0),25)-R$764)/R$765</f>
        <v>0.67996183173923497</v>
      </c>
      <c r="S445" s="12">
        <f>(INDEX(Proj[],MATCH(Std[[#This Row],[Player]],Proj[Player],0),26)-S$764)/S$765</f>
        <v>-0.39120349219152373</v>
      </c>
      <c r="T4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-308.34796369947981</v>
      </c>
      <c r="U445" s="11"/>
      <c r="W445" t="str">
        <v>Akil Thomas</v>
      </c>
      <c r="AA445" t="str">
        <v>Akil Thomas</v>
      </c>
      <c r="AB445" t="str">
        <v>Akil Thomas</v>
      </c>
    </row>
    <row r="446" spans="1:28" x14ac:dyDescent="0.25">
      <c r="A446" t="s">
        <v>672</v>
      </c>
      <c r="B446">
        <f>INDEX(Proj[],MATCH(Std[[#This Row],[Player]],Proj[Player],0),2)</f>
        <v>23</v>
      </c>
      <c r="C446" t="s">
        <v>102</v>
      </c>
      <c r="D446" s="75" t="s">
        <v>103</v>
      </c>
      <c r="E446" s="57"/>
      <c r="F446" t="s">
        <v>10</v>
      </c>
      <c r="G446" s="12">
        <f>(INDEX(Proj[],MATCH(Std[[#This Row],[Player]],Proj[Player],0),14)-G$764)/G$765</f>
        <v>-0.45121751886595246</v>
      </c>
      <c r="H446" s="12">
        <f>(INDEX(Proj[],MATCH(Std[[#This Row],[Player]],Proj[Player],0),15)-H$764)/H$765</f>
        <v>-0.36455176554657409</v>
      </c>
      <c r="I446" s="12">
        <f>(INDEX(Proj[],MATCH(Std[[#This Row],[Player]],Proj[Player],0),16)-I$764)/I$765</f>
        <v>-0.4328795005295763</v>
      </c>
      <c r="J446" s="12">
        <f>(INDEX(Proj[],MATCH(Std[[#This Row],[Player]],Proj[Player],0),17)-J$764)/J$765</f>
        <v>-0.17232923569972286</v>
      </c>
      <c r="K446" s="12">
        <f>(INDEX(Proj[],MATCH(Std[[#This Row],[Player]],Proj[Player],0),18)-K$764)/K$765</f>
        <v>1.1837065998320361E-2</v>
      </c>
      <c r="L446" s="12">
        <f>(INDEX(Proj[],MATCH(Std[[#This Row],[Player]],Proj[Player],0),19)-L$764)/L$765</f>
        <v>-5.5305476160136084E-2</v>
      </c>
      <c r="M446" s="12">
        <f>(INDEX(Proj[],MATCH(Std[[#This Row],[Player]],Proj[Player],0),20)-M$764)/M$765</f>
        <v>-0.71308883245737775</v>
      </c>
      <c r="N446" s="12">
        <f>(INDEX(Proj[],MATCH(Std[[#This Row],[Player]],Proj[Player],0),21)-N$764)/N$765</f>
        <v>-1.2351178930540878</v>
      </c>
      <c r="O446" s="12">
        <f>(INDEX(Proj[],MATCH(Std[[#This Row],[Player]],Proj[Player],0),22)-O$764)/O$765</f>
        <v>-0.93906427281508909</v>
      </c>
      <c r="P446" s="12">
        <f>((INDEX(Proj[],MATCH(Std[[#This Row],[Player]],Proj[Player],0),23)-P$764)/P$765)*IF('League Inputs'!$C$23 = "Yes",-1, 1)</f>
        <v>-1.0469908165001569</v>
      </c>
      <c r="Q446" s="12">
        <f>(INDEX(Proj[],MATCH(Std[[#This Row],[Player]],Proj[Player],0),24)-Q$764)/Q$765</f>
        <v>-0.51797568369558167</v>
      </c>
      <c r="R446" s="12">
        <f>(INDEX(Proj[],MATCH(Std[[#This Row],[Player]],Proj[Player],0),25)-R$764)/R$765</f>
        <v>-0.48343737793841357</v>
      </c>
      <c r="S446" s="12">
        <f>(INDEX(Proj[],MATCH(Std[[#This Row],[Player]],Proj[Player],0),26)-S$764)/S$765</f>
        <v>-0.66692129035077941</v>
      </c>
      <c r="T4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-571.00242175179346</v>
      </c>
      <c r="U446" s="11"/>
      <c r="W446" t="str">
        <v>Philip Tomasino</v>
      </c>
      <c r="AA446" t="str">
        <v>Philip Tomasino</v>
      </c>
      <c r="AB446" t="str">
        <v>Philip Tomasino</v>
      </c>
    </row>
    <row r="447" spans="1:28" x14ac:dyDescent="0.25">
      <c r="A447" t="s">
        <v>394</v>
      </c>
      <c r="B447">
        <f>INDEX(Proj[],MATCH(Std[[#This Row],[Player]],Proj[Player],0),2)</f>
        <v>33</v>
      </c>
      <c r="C447" t="s">
        <v>74</v>
      </c>
      <c r="D447" s="75" t="s">
        <v>102</v>
      </c>
      <c r="E447" s="57"/>
      <c r="F447" t="s">
        <v>25</v>
      </c>
      <c r="G447" s="12">
        <f>(INDEX(Proj[],MATCH(Std[[#This Row],[Player]],Proj[Player],0),14)-G$764)/G$765</f>
        <v>-0.66248525638148381</v>
      </c>
      <c r="H447" s="12">
        <f>(INDEX(Proj[],MATCH(Std[[#This Row],[Player]],Proj[Player],0),15)-H$764)/H$765</f>
        <v>-0.29002249855830886</v>
      </c>
      <c r="I447" s="12">
        <f>(INDEX(Proj[],MATCH(Std[[#This Row],[Player]],Proj[Player],0),16)-I$764)/I$765</f>
        <v>-0.48012205949167958</v>
      </c>
      <c r="J447" s="12">
        <f>(INDEX(Proj[],MATCH(Std[[#This Row],[Player]],Proj[Player],0),17)-J$764)/J$765</f>
        <v>-0.76105581014900237</v>
      </c>
      <c r="K447" s="12">
        <f>(INDEX(Proj[],MATCH(Std[[#This Row],[Player]],Proj[Player],0),18)-K$764)/K$765</f>
        <v>-0.75859266061649311</v>
      </c>
      <c r="L447" s="12">
        <f>(INDEX(Proj[],MATCH(Std[[#This Row],[Player]],Proj[Player],0),19)-L$764)/L$765</f>
        <v>-0.81647589674950882</v>
      </c>
      <c r="M447" s="12">
        <f>(INDEX(Proj[],MATCH(Std[[#This Row],[Player]],Proj[Player],0),20)-M$764)/M$765</f>
        <v>0.31240082183847029</v>
      </c>
      <c r="N447" s="12">
        <f>(INDEX(Proj[],MATCH(Std[[#This Row],[Player]],Proj[Player],0),21)-N$764)/N$765</f>
        <v>1.9237786427267283</v>
      </c>
      <c r="O447" s="12">
        <f>(INDEX(Proj[],MATCH(Std[[#This Row],[Player]],Proj[Player],0),22)-O$764)/O$765</f>
        <v>1.057512014354882</v>
      </c>
      <c r="P447" s="12">
        <f>((INDEX(Proj[],MATCH(Std[[#This Row],[Player]],Proj[Player],0),23)-P$764)/P$765)*IF('League Inputs'!$C$23 = "Yes",-1, 1)</f>
        <v>2.2107933843849357</v>
      </c>
      <c r="Q447" s="12">
        <f>(INDEX(Proj[],MATCH(Std[[#This Row],[Player]],Proj[Player],0),24)-Q$764)/Q$765</f>
        <v>-0.5766103108129359</v>
      </c>
      <c r="R447" s="12">
        <f>(INDEX(Proj[],MATCH(Std[[#This Row],[Player]],Proj[Player],0),25)-R$764)/R$765</f>
        <v>-0.62531533033812681</v>
      </c>
      <c r="S447" s="12">
        <f>(INDEX(Proj[],MATCH(Std[[#This Row],[Player]],Proj[Player],0),26)-S$764)/S$765</f>
        <v>-0.14792308205100396</v>
      </c>
      <c r="T4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221.84449374216254</v>
      </c>
      <c r="U447" s="11"/>
      <c r="W447" t="str">
        <v>Josh Manson</v>
      </c>
      <c r="AA447" t="str">
        <v>Josh Manson</v>
      </c>
      <c r="AB447" t="str">
        <v>Josh Manson</v>
      </c>
    </row>
    <row r="448" spans="1:28" x14ac:dyDescent="0.25">
      <c r="A448" t="s">
        <v>444</v>
      </c>
      <c r="B448">
        <f>INDEX(Proj[],MATCH(Std[[#This Row],[Player]],Proj[Player],0),2)</f>
        <v>30</v>
      </c>
      <c r="C448" t="s">
        <v>3</v>
      </c>
      <c r="D448" s="75"/>
      <c r="E448" s="57"/>
      <c r="F448" t="s">
        <v>31</v>
      </c>
      <c r="G448" s="12">
        <f>(INDEX(Proj[],MATCH(Std[[#This Row],[Player]],Proj[Player],0),14)-G$764)/G$765</f>
        <v>-0.873752993897015</v>
      </c>
      <c r="H448" s="12">
        <f>(INDEX(Proj[],MATCH(Std[[#This Row],[Player]],Proj[Player],0),15)-H$764)/H$765</f>
        <v>-0.14096396458177846</v>
      </c>
      <c r="I448" s="12">
        <f>(INDEX(Proj[],MATCH(Std[[#This Row],[Player]],Proj[Player],0),16)-I$764)/I$765</f>
        <v>-0.48012205949167958</v>
      </c>
      <c r="J448" s="12">
        <f>(INDEX(Proj[],MATCH(Std[[#This Row],[Player]],Proj[Player],0),17)-J$764)/J$765</f>
        <v>-0.76105581014900237</v>
      </c>
      <c r="K448" s="12">
        <f>(INDEX(Proj[],MATCH(Std[[#This Row],[Player]],Proj[Player],0),18)-K$764)/K$765</f>
        <v>-0.75859266061649311</v>
      </c>
      <c r="L448" s="12">
        <f>(INDEX(Proj[],MATCH(Std[[#This Row],[Player]],Proj[Player],0),19)-L$764)/L$765</f>
        <v>-0.81647589674950882</v>
      </c>
      <c r="M448" s="12">
        <f>(INDEX(Proj[],MATCH(Std[[#This Row],[Player]],Proj[Player],0),20)-M$764)/M$765</f>
        <v>1.3378904761343182</v>
      </c>
      <c r="N448" s="12">
        <f>(INDEX(Proj[],MATCH(Std[[#This Row],[Player]],Proj[Player],0),21)-N$764)/N$765</f>
        <v>-7.2333892153173943E-2</v>
      </c>
      <c r="O448" s="12">
        <f>(INDEX(Proj[],MATCH(Std[[#This Row],[Player]],Proj[Player],0),22)-O$764)/O$765</f>
        <v>1.8004241212088248</v>
      </c>
      <c r="P448" s="12">
        <f>((INDEX(Proj[],MATCH(Std[[#This Row],[Player]],Proj[Player],0),23)-P$764)/P$765)*IF('League Inputs'!$C$23 = "Yes",-1, 1)</f>
        <v>0.20958308955552155</v>
      </c>
      <c r="Q448" s="12">
        <f>(INDEX(Proj[],MATCH(Std[[#This Row],[Player]],Proj[Player],0),24)-Q$764)/Q$765</f>
        <v>-0.5766103108129359</v>
      </c>
      <c r="R448" s="12">
        <f>(INDEX(Proj[],MATCH(Std[[#This Row],[Player]],Proj[Player],0),25)-R$764)/R$765</f>
        <v>-0.62531533033812681</v>
      </c>
      <c r="S448" s="12">
        <f>(INDEX(Proj[],MATCH(Std[[#This Row],[Player]],Proj[Player],0),26)-S$764)/S$765</f>
        <v>-0.42364088021025964</v>
      </c>
      <c r="T4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-137.3892787132005</v>
      </c>
      <c r="U448" s="11"/>
      <c r="W448" t="str">
        <v>Adam Pelech</v>
      </c>
      <c r="AA448" t="str">
        <v>Adam Pelech</v>
      </c>
      <c r="AB448" t="str">
        <v>Adam Pelech</v>
      </c>
    </row>
    <row r="449" spans="1:28" x14ac:dyDescent="0.25">
      <c r="A449" t="s">
        <v>868</v>
      </c>
      <c r="B449">
        <f>INDEX(Proj[],MATCH(Std[[#This Row],[Player]],Proj[Player],0),2)</f>
        <v>28</v>
      </c>
      <c r="C449" t="s">
        <v>74</v>
      </c>
      <c r="D449" s="75" t="s">
        <v>102</v>
      </c>
      <c r="E449" s="56"/>
      <c r="F449" t="s">
        <v>13</v>
      </c>
      <c r="G449" s="12">
        <f>(INDEX(Proj[],MATCH(Std[[#This Row],[Player]],Proj[Player],0),14)-G$764)/G$765</f>
        <v>-0.873752993897015</v>
      </c>
      <c r="H449" s="12">
        <f>(INDEX(Proj[],MATCH(Std[[#This Row],[Player]],Proj[Player],0),15)-H$764)/H$765</f>
        <v>-0.14096396458177846</v>
      </c>
      <c r="I449" s="12">
        <f>(INDEX(Proj[],MATCH(Std[[#This Row],[Player]],Proj[Player],0),16)-I$764)/I$765</f>
        <v>-0.48012205949167958</v>
      </c>
      <c r="J449" s="12">
        <f>(INDEX(Proj[],MATCH(Std[[#This Row],[Player]],Proj[Player],0),17)-J$764)/J$765</f>
        <v>-0.76105581014900237</v>
      </c>
      <c r="K449" s="12">
        <f>(INDEX(Proj[],MATCH(Std[[#This Row],[Player]],Proj[Player],0),18)-K$764)/K$765</f>
        <v>-0.29633482464760502</v>
      </c>
      <c r="L449" s="12">
        <f>(INDEX(Proj[],MATCH(Std[[#This Row],[Player]],Proj[Player],0),19)-L$764)/L$765</f>
        <v>-0.49026000221120619</v>
      </c>
      <c r="M449" s="12">
        <f>(INDEX(Proj[],MATCH(Std[[#This Row],[Player]],Proj[Player],0),20)-M$764)/M$765</f>
        <v>0.31240082183847029</v>
      </c>
      <c r="N449" s="12">
        <f>(INDEX(Proj[],MATCH(Std[[#This Row],[Player]],Proj[Player],0),21)-N$764)/N$765</f>
        <v>-0.30489069233335675</v>
      </c>
      <c r="O449" s="12">
        <f>(INDEX(Proj[],MATCH(Std[[#This Row],[Player]],Proj[Player],0),22)-O$764)/O$765</f>
        <v>1.5914800911561533</v>
      </c>
      <c r="P449" s="12">
        <f>((INDEX(Proj[],MATCH(Std[[#This Row],[Player]],Proj[Player],0),23)-P$764)/P$765)*IF('League Inputs'!$C$23 = "Yes",-1, 1)</f>
        <v>0.44228196104731388</v>
      </c>
      <c r="Q449" s="12">
        <f>(INDEX(Proj[],MATCH(Std[[#This Row],[Player]],Proj[Player],0),24)-Q$764)/Q$765</f>
        <v>-0.5766103108129359</v>
      </c>
      <c r="R449" s="12">
        <f>(INDEX(Proj[],MATCH(Std[[#This Row],[Player]],Proj[Player],0),25)-R$764)/R$765</f>
        <v>-0.62531533033812681</v>
      </c>
      <c r="S449" s="12">
        <f>(INDEX(Proj[],MATCH(Std[[#This Row],[Player]],Proj[Player],0),26)-S$764)/S$765</f>
        <v>-0.60204651431330747</v>
      </c>
      <c r="T4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-143.4884485437812</v>
      </c>
      <c r="U449" s="11"/>
      <c r="W449" t="str">
        <v>Alexandre Carrier</v>
      </c>
      <c r="AA449" t="str">
        <v>Alexandre Carrier</v>
      </c>
      <c r="AB449" t="str">
        <v>Alexandre Carrier</v>
      </c>
    </row>
    <row r="450" spans="1:28" x14ac:dyDescent="0.25">
      <c r="A450" t="s">
        <v>1189</v>
      </c>
      <c r="B450">
        <f>INDEX(Proj[],MATCH(Std[[#This Row],[Player]],Proj[Player],0),2)</f>
        <v>24</v>
      </c>
      <c r="C450" t="s">
        <v>102</v>
      </c>
      <c r="D450" s="75"/>
      <c r="E450" s="57"/>
      <c r="F450" t="s">
        <v>31</v>
      </c>
      <c r="G450" s="12">
        <f>(INDEX(Proj[],MATCH(Std[[#This Row],[Player]],Proj[Player],0),14)-G$764)/G$765</f>
        <v>-0.66248525638148381</v>
      </c>
      <c r="H450" s="12">
        <f>(INDEX(Proj[],MATCH(Std[[#This Row],[Player]],Proj[Player],0),15)-H$764)/H$765</f>
        <v>-0.29002249855830886</v>
      </c>
      <c r="I450" s="12">
        <f>(INDEX(Proj[],MATCH(Std[[#This Row],[Player]],Proj[Player],0),16)-I$764)/I$765</f>
        <v>-0.48012205949167958</v>
      </c>
      <c r="J450" s="12">
        <f>(INDEX(Proj[],MATCH(Std[[#This Row],[Player]],Proj[Player],0),17)-J$764)/J$765</f>
        <v>-0.46669252292436259</v>
      </c>
      <c r="K450" s="12">
        <f>(INDEX(Proj[],MATCH(Std[[#This Row],[Player]],Proj[Player],0),18)-K$764)/K$765</f>
        <v>-0.29633482464760502</v>
      </c>
      <c r="L450" s="12">
        <f>(INDEX(Proj[],MATCH(Std[[#This Row],[Player]],Proj[Player],0),19)-L$764)/L$765</f>
        <v>-0.38152137069843867</v>
      </c>
      <c r="M450" s="12">
        <f>(INDEX(Proj[],MATCH(Std[[#This Row],[Player]],Proj[Player],0),20)-M$764)/M$765</f>
        <v>-0.71308883245737775</v>
      </c>
      <c r="N450" s="12">
        <f>(INDEX(Proj[],MATCH(Std[[#This Row],[Player]],Proj[Player],0),21)-N$764)/N$765</f>
        <v>-0.40178935907509955</v>
      </c>
      <c r="O450" s="12">
        <f>(INDEX(Proj[],MATCH(Std[[#This Row],[Player]],Proj[Player],0),22)-O$764)/O$765</f>
        <v>1.3128880510859249</v>
      </c>
      <c r="P450" s="12">
        <f>((INDEX(Proj[],MATCH(Std[[#This Row],[Player]],Proj[Player],0),23)-P$764)/P$765)*IF('League Inputs'!$C$23 = "Yes",-1, 1)</f>
        <v>0.16304331525716309</v>
      </c>
      <c r="Q450" s="12">
        <f>(INDEX(Proj[],MATCH(Std[[#This Row],[Player]],Proj[Player],0),24)-Q$764)/Q$765</f>
        <v>-0.5766103108129359</v>
      </c>
      <c r="R450" s="12">
        <f>(INDEX(Proj[],MATCH(Std[[#This Row],[Player]],Proj[Player],0),25)-R$764)/R$765</f>
        <v>-0.62531533033812681</v>
      </c>
      <c r="S450" s="12">
        <f>(INDEX(Proj[],MATCH(Std[[#This Row],[Player]],Proj[Player],0),26)-S$764)/S$765</f>
        <v>-0.43985957421962762</v>
      </c>
      <c r="T4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-175.6479062894486</v>
      </c>
      <c r="U450" s="11"/>
      <c r="W450" t="str">
        <v>Mason Lohrei</v>
      </c>
      <c r="AA450" t="str">
        <v>Mason Lohrei</v>
      </c>
      <c r="AB450" t="str">
        <v>Mason Lohrei</v>
      </c>
    </row>
    <row r="451" spans="1:28" x14ac:dyDescent="0.25">
      <c r="A451" t="s">
        <v>930</v>
      </c>
      <c r="B451">
        <f>INDEX(Proj[],MATCH(Std[[#This Row],[Player]],Proj[Player],0),2)</f>
        <v>29</v>
      </c>
      <c r="C451" t="s">
        <v>74</v>
      </c>
      <c r="D451" s="75" t="s">
        <v>102</v>
      </c>
      <c r="E451" s="57"/>
      <c r="F451" t="s">
        <v>28</v>
      </c>
      <c r="G451" s="12">
        <f>(INDEX(Proj[],MATCH(Std[[#This Row],[Player]],Proj[Player],0),14)-G$764)/G$765</f>
        <v>-0.34558365010818687</v>
      </c>
      <c r="H451" s="12">
        <f>(INDEX(Proj[],MATCH(Std[[#This Row],[Player]],Proj[Player],0),15)-H$764)/H$765</f>
        <v>-0.51361029952310455</v>
      </c>
      <c r="I451" s="12">
        <f>(INDEX(Proj[],MATCH(Std[[#This Row],[Player]],Proj[Player],0),16)-I$764)/I$765</f>
        <v>-0.48012205949167958</v>
      </c>
      <c r="J451" s="12">
        <f>(INDEX(Proj[],MATCH(Std[[#This Row],[Player]],Proj[Player],0),17)-J$764)/J$765</f>
        <v>-0.76105581014900237</v>
      </c>
      <c r="K451" s="12">
        <f>(INDEX(Proj[],MATCH(Std[[#This Row],[Player]],Proj[Player],0),18)-K$764)/K$765</f>
        <v>-0.75859266061649311</v>
      </c>
      <c r="L451" s="12">
        <f>(INDEX(Proj[],MATCH(Std[[#This Row],[Player]],Proj[Player],0),19)-L$764)/L$765</f>
        <v>-0.81647589674950882</v>
      </c>
      <c r="M451" s="12">
        <f>(INDEX(Proj[],MATCH(Std[[#This Row],[Player]],Proj[Player],0),20)-M$764)/M$765</f>
        <v>2.3633801304301665</v>
      </c>
      <c r="N451" s="12">
        <f>(INDEX(Proj[],MATCH(Std[[#This Row],[Player]],Proj[Player],0),21)-N$764)/N$765</f>
        <v>2.4082719764354423</v>
      </c>
      <c r="O451" s="12">
        <f>(INDEX(Proj[],MATCH(Std[[#This Row],[Player]],Proj[Player],0),22)-O$764)/O$765</f>
        <v>-0.70690423942323199</v>
      </c>
      <c r="P451" s="12">
        <f>((INDEX(Proj[],MATCH(Std[[#This Row],[Player]],Proj[Player],0),23)-P$764)/P$765)*IF('League Inputs'!$C$23 = "Yes",-1, 1)</f>
        <v>1.4661569956112002</v>
      </c>
      <c r="Q451" s="12">
        <f>(INDEX(Proj[],MATCH(Std[[#This Row],[Player]],Proj[Player],0),24)-Q$764)/Q$765</f>
        <v>-0.51264526304854952</v>
      </c>
      <c r="R451" s="12">
        <f>(INDEX(Proj[],MATCH(Std[[#This Row],[Player]],Proj[Player],0),25)-R$764)/R$765</f>
        <v>-0.51181296841835622</v>
      </c>
      <c r="S451" s="12">
        <f>(INDEX(Proj[],MATCH(Std[[#This Row],[Player]],Proj[Player],0),26)-S$764)/S$765</f>
        <v>-0.40742218620089166</v>
      </c>
      <c r="T4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9.1665377501489296</v>
      </c>
      <c r="U451" s="11"/>
      <c r="W451" t="str">
        <v>Cole Smith</v>
      </c>
      <c r="AA451" t="str">
        <v>Cole Smith</v>
      </c>
      <c r="AB451" t="str">
        <v>Cole Smith</v>
      </c>
    </row>
    <row r="452" spans="1:28" x14ac:dyDescent="0.25">
      <c r="A452" t="s">
        <v>899</v>
      </c>
      <c r="B452">
        <f>INDEX(Proj[],MATCH(Std[[#This Row],[Player]],Proj[Player],0),2)</f>
        <v>34</v>
      </c>
      <c r="C452" t="s">
        <v>102</v>
      </c>
      <c r="D452" s="75" t="s">
        <v>103</v>
      </c>
      <c r="E452" s="57"/>
      <c r="F452" t="s">
        <v>6</v>
      </c>
      <c r="G452" s="12">
        <f>(INDEX(Proj[],MATCH(Std[[#This Row],[Player]],Proj[Player],0),14)-G$764)/G$765</f>
        <v>-1.0850207314125464</v>
      </c>
      <c r="H452" s="12">
        <f>(INDEX(Proj[],MATCH(Std[[#This Row],[Player]],Proj[Player],0),15)-H$764)/H$765</f>
        <v>8.0945693947519649E-3</v>
      </c>
      <c r="I452" s="12">
        <f>(INDEX(Proj[],MATCH(Std[[#This Row],[Player]],Proj[Player],0),16)-I$764)/I$765</f>
        <v>-0.48012205949167958</v>
      </c>
      <c r="J452" s="12">
        <f>(INDEX(Proj[],MATCH(Std[[#This Row],[Player]],Proj[Player],0),17)-J$764)/J$765</f>
        <v>-0.76105581014900237</v>
      </c>
      <c r="K452" s="12">
        <f>(INDEX(Proj[],MATCH(Std[[#This Row],[Player]],Proj[Player],0),18)-K$764)/K$765</f>
        <v>-0.75859266061649311</v>
      </c>
      <c r="L452" s="12">
        <f>(INDEX(Proj[],MATCH(Std[[#This Row],[Player]],Proj[Player],0),19)-L$764)/L$765</f>
        <v>-0.81647589674950882</v>
      </c>
      <c r="M452" s="12">
        <f>(INDEX(Proj[],MATCH(Std[[#This Row],[Player]],Proj[Player],0),20)-M$764)/M$765</f>
        <v>0.31240082183847029</v>
      </c>
      <c r="N452" s="12">
        <f>(INDEX(Proj[],MATCH(Std[[#This Row],[Player]],Proj[Player],0),21)-N$764)/N$765</f>
        <v>-0.75062455934537375</v>
      </c>
      <c r="O452" s="12">
        <f>(INDEX(Proj[],MATCH(Std[[#This Row],[Player]],Proj[Player],0),22)-O$764)/O$765</f>
        <v>2.0790161612790534</v>
      </c>
      <c r="P452" s="12">
        <f>((INDEX(Proj[],MATCH(Std[[#This Row],[Player]],Proj[Player],0),23)-P$764)/P$765)*IF('League Inputs'!$C$23 = "Yes",-1, 1)</f>
        <v>-0.1161953305329877</v>
      </c>
      <c r="Q452" s="12">
        <f>(INDEX(Proj[],MATCH(Std[[#This Row],[Player]],Proj[Player],0),24)-Q$764)/Q$765</f>
        <v>-0.5766103108129359</v>
      </c>
      <c r="R452" s="12">
        <f>(INDEX(Proj[],MATCH(Std[[#This Row],[Player]],Proj[Player],0),25)-R$764)/R$765</f>
        <v>-0.62531533033812681</v>
      </c>
      <c r="S452" s="12">
        <f>(INDEX(Proj[],MATCH(Std[[#This Row],[Player]],Proj[Player],0),26)-S$764)/S$765</f>
        <v>-0.95885778251940312</v>
      </c>
      <c r="T4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-269.67959401906302</v>
      </c>
      <c r="U452" s="11"/>
      <c r="W452" t="str">
        <v>TJ Brodie</v>
      </c>
      <c r="AA452" t="str">
        <v>TJ Brodie</v>
      </c>
      <c r="AB452" t="str">
        <v>TJ Brodie</v>
      </c>
    </row>
    <row r="453" spans="1:28" x14ac:dyDescent="0.25">
      <c r="A453" t="s">
        <v>559</v>
      </c>
      <c r="B453">
        <f>INDEX(Proj[],MATCH(Std[[#This Row],[Player]],Proj[Player],0),2)</f>
        <v>27</v>
      </c>
      <c r="C453" t="s">
        <v>103</v>
      </c>
      <c r="D453" s="75"/>
      <c r="E453" s="56"/>
      <c r="F453" t="s">
        <v>15</v>
      </c>
      <c r="G453" s="12">
        <f>(INDEX(Proj[],MATCH(Std[[#This Row],[Player]],Proj[Player],0),14)-G$764)/G$765</f>
        <v>-0.55685138762371811</v>
      </c>
      <c r="H453" s="12">
        <f>(INDEX(Proj[],MATCH(Std[[#This Row],[Player]],Proj[Player],0),15)-H$764)/H$765</f>
        <v>-0.36455176554657409</v>
      </c>
      <c r="I453" s="12">
        <f>(INDEX(Proj[],MATCH(Std[[#This Row],[Player]],Proj[Player],0),16)-I$764)/I$765</f>
        <v>-0.48012205949167958</v>
      </c>
      <c r="J453" s="12">
        <f>(INDEX(Proj[],MATCH(Std[[#This Row],[Player]],Proj[Player],0),17)-J$764)/J$765</f>
        <v>-0.76105581014900237</v>
      </c>
      <c r="K453" s="12">
        <f>(INDEX(Proj[],MATCH(Std[[#This Row],[Player]],Proj[Player],0),18)-K$764)/K$765</f>
        <v>-0.75859266061649311</v>
      </c>
      <c r="L453" s="12">
        <f>(INDEX(Proj[],MATCH(Std[[#This Row],[Player]],Proj[Player],0),19)-L$764)/L$765</f>
        <v>-0.81647589674950882</v>
      </c>
      <c r="M453" s="12">
        <f>(INDEX(Proj[],MATCH(Std[[#This Row],[Player]],Proj[Player],0),20)-M$764)/M$765</f>
        <v>-0.71308883245737775</v>
      </c>
      <c r="N453" s="12">
        <f>(INDEX(Proj[],MATCH(Std[[#This Row],[Player]],Proj[Player],0),21)-N$764)/N$765</f>
        <v>-0.53744749251353952</v>
      </c>
      <c r="O453" s="12">
        <f>(INDEX(Proj[],MATCH(Std[[#This Row],[Player]],Proj[Player],0),22)-O$764)/O$765</f>
        <v>1.1735920310508106</v>
      </c>
      <c r="P453" s="12">
        <f>((INDEX(Proj[],MATCH(Std[[#This Row],[Player]],Proj[Player],0),23)-P$764)/P$765)*IF('League Inputs'!$C$23 = "Yes",-1, 1)</f>
        <v>-0.44197375062149696</v>
      </c>
      <c r="Q453" s="12">
        <f>(INDEX(Proj[],MATCH(Std[[#This Row],[Player]],Proj[Player],0),24)-Q$764)/Q$765</f>
        <v>-0.5766103108129359</v>
      </c>
      <c r="R453" s="12">
        <f>(INDEX(Proj[],MATCH(Std[[#This Row],[Player]],Proj[Player],0),25)-R$764)/R$765</f>
        <v>-0.62531533033812681</v>
      </c>
      <c r="S453" s="12">
        <f>(INDEX(Proj[],MATCH(Std[[#This Row],[Player]],Proj[Player],0),26)-S$764)/S$765</f>
        <v>-0.31011002214468381</v>
      </c>
      <c r="T4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-291.05506544533262</v>
      </c>
      <c r="U453" s="11"/>
      <c r="W453" t="str">
        <v>Oliver Kylington</v>
      </c>
      <c r="AA453" t="str">
        <v>Oliver Kylington</v>
      </c>
      <c r="AB453" t="str">
        <v>Oliver Kylington</v>
      </c>
    </row>
    <row r="454" spans="1:28" x14ac:dyDescent="0.25">
      <c r="A454" t="s">
        <v>1186</v>
      </c>
      <c r="B454">
        <f>INDEX(Proj[],MATCH(Std[[#This Row],[Player]],Proj[Player],0),2)</f>
        <v>20</v>
      </c>
      <c r="C454" t="s">
        <v>74</v>
      </c>
      <c r="D454" s="75"/>
      <c r="E454" s="56"/>
      <c r="F454" t="s">
        <v>23</v>
      </c>
      <c r="G454" s="12">
        <f>(INDEX(Proj[],MATCH(Std[[#This Row],[Player]],Proj[Player],0),14)-G$764)/G$765</f>
        <v>-0.7681191251392494</v>
      </c>
      <c r="H454" s="12">
        <f>(INDEX(Proj[],MATCH(Std[[#This Row],[Player]],Proj[Player],0),15)-H$764)/H$765</f>
        <v>-0.21549323157004366</v>
      </c>
      <c r="I454" s="12">
        <f>(INDEX(Proj[],MATCH(Std[[#This Row],[Player]],Proj[Player],0),16)-I$764)/I$765</f>
        <v>-0.48012205949167958</v>
      </c>
      <c r="J454" s="12">
        <f>(INDEX(Proj[],MATCH(Std[[#This Row],[Player]],Proj[Player],0),17)-J$764)/J$765</f>
        <v>-0.76105581014900237</v>
      </c>
      <c r="K454" s="12">
        <f>(INDEX(Proj[],MATCH(Std[[#This Row],[Player]],Proj[Player],0),18)-K$764)/K$765</f>
        <v>0.47409490196720849</v>
      </c>
      <c r="L454" s="12">
        <f>(INDEX(Proj[],MATCH(Std[[#This Row],[Player]],Proj[Player],0),19)-L$764)/L$765</f>
        <v>5.3433155352631455E-2</v>
      </c>
      <c r="M454" s="12">
        <f>(INDEX(Proj[],MATCH(Std[[#This Row],[Player]],Proj[Player],0),20)-M$764)/M$765</f>
        <v>-0.71308883245737775</v>
      </c>
      <c r="N454" s="12">
        <f>(INDEX(Proj[],MATCH(Std[[#This Row],[Player]],Proj[Player],0),21)-N$764)/N$765</f>
        <v>-1.0219408262222536</v>
      </c>
      <c r="O454" s="12">
        <f>(INDEX(Proj[],MATCH(Std[[#This Row],[Player]],Proj[Player],0),22)-O$764)/O$765</f>
        <v>0.66283995758872494</v>
      </c>
      <c r="P454" s="12">
        <f>((INDEX(Proj[],MATCH(Std[[#This Row],[Player]],Proj[Player],0),23)-P$764)/P$765)*IF('League Inputs'!$C$23 = "Yes",-1, 1)</f>
        <v>-0.44197375062149696</v>
      </c>
      <c r="Q454" s="12">
        <f>(INDEX(Proj[],MATCH(Std[[#This Row],[Player]],Proj[Player],0),24)-Q$764)/Q$765</f>
        <v>-0.5766103108129359</v>
      </c>
      <c r="R454" s="12">
        <f>(INDEX(Proj[],MATCH(Std[[#This Row],[Player]],Proj[Player],0),25)-R$764)/R$765</f>
        <v>-0.62531533033812681</v>
      </c>
      <c r="S454" s="12">
        <f>(INDEX(Proj[],MATCH(Std[[#This Row],[Player]],Proj[Player],0),26)-S$764)/S$765</f>
        <v>-0.29389132813531582</v>
      </c>
      <c r="T4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-308.18775190516186</v>
      </c>
      <c r="U454" s="11"/>
      <c r="W454" t="str">
        <v>Kevin Korchinski</v>
      </c>
      <c r="AA454" t="str">
        <v>Kevin Korchinski</v>
      </c>
      <c r="AB454" t="str">
        <v>Kevin Korchinski</v>
      </c>
    </row>
    <row r="455" spans="1:28" x14ac:dyDescent="0.25">
      <c r="A455" t="s">
        <v>1162</v>
      </c>
      <c r="B455">
        <f>INDEX(Proj[],MATCH(Std[[#This Row],[Player]],Proj[Player],0),2)</f>
        <v>23</v>
      </c>
      <c r="C455" t="s">
        <v>3</v>
      </c>
      <c r="D455" s="75"/>
      <c r="E455" s="56"/>
      <c r="F455" t="s">
        <v>31</v>
      </c>
      <c r="G455" s="12">
        <f>(INDEX(Proj[],MATCH(Std[[#This Row],[Player]],Proj[Player],0),14)-G$764)/G$765</f>
        <v>-2.8682043834889943E-2</v>
      </c>
      <c r="H455" s="12">
        <f>(INDEX(Proj[],MATCH(Std[[#This Row],[Player]],Proj[Player],0),15)-H$764)/H$765</f>
        <v>-0.73719810048790013</v>
      </c>
      <c r="I455" s="12">
        <f>(INDEX(Proj[],MATCH(Std[[#This Row],[Player]],Proj[Player],0),16)-I$764)/I$765</f>
        <v>-0.48012205949167958</v>
      </c>
      <c r="J455" s="12">
        <f>(INDEX(Proj[],MATCH(Std[[#This Row],[Player]],Proj[Player],0),17)-J$764)/J$765</f>
        <v>-0.76105581014900237</v>
      </c>
      <c r="K455" s="12">
        <f>(INDEX(Proj[],MATCH(Std[[#This Row],[Player]],Proj[Player],0),18)-K$764)/K$765</f>
        <v>-0.75859266061649311</v>
      </c>
      <c r="L455" s="12">
        <f>(INDEX(Proj[],MATCH(Std[[#This Row],[Player]],Proj[Player],0),19)-L$764)/L$765</f>
        <v>-0.81647589674950882</v>
      </c>
      <c r="M455" s="12">
        <f>(INDEX(Proj[],MATCH(Std[[#This Row],[Player]],Proj[Player],0),20)-M$764)/M$765</f>
        <v>-0.71308883245737775</v>
      </c>
      <c r="N455" s="12">
        <f>(INDEX(Proj[],MATCH(Std[[#This Row],[Player]],Proj[Player],0),21)-N$764)/N$765</f>
        <v>2.0788165095135169</v>
      </c>
      <c r="O455" s="12">
        <f>(INDEX(Proj[],MATCH(Std[[#This Row],[Player]],Proj[Player],0),22)-O$764)/O$765</f>
        <v>-0.73012024276241771</v>
      </c>
      <c r="P455" s="12">
        <f>((INDEX(Proj[],MATCH(Std[[#This Row],[Player]],Proj[Player],0),23)-P$764)/P$765)*IF('League Inputs'!$C$23 = "Yes",-1, 1)</f>
        <v>6.9963766660446167E-2</v>
      </c>
      <c r="Q455" s="12">
        <f>(INDEX(Proj[],MATCH(Std[[#This Row],[Player]],Proj[Player],0),24)-Q$764)/Q$765</f>
        <v>-0.27277633393210066</v>
      </c>
      <c r="R455" s="12">
        <f>(INDEX(Proj[],MATCH(Std[[#This Row],[Player]],Proj[Player],0),25)-R$764)/R$765</f>
        <v>-0.27345800838683798</v>
      </c>
      <c r="S455" s="12">
        <f>(INDEX(Proj[],MATCH(Std[[#This Row],[Player]],Proj[Player],0),26)-S$764)/S$765</f>
        <v>-0.11548569403226799</v>
      </c>
      <c r="T4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-103.20800951168016</v>
      </c>
      <c r="U455" s="11"/>
      <c r="W455" t="str">
        <v>Tye Kartye</v>
      </c>
      <c r="AA455" t="str">
        <v>Tye Kartye</v>
      </c>
      <c r="AB455" t="str">
        <v>Tye Kartye</v>
      </c>
    </row>
    <row r="456" spans="1:28" x14ac:dyDescent="0.25">
      <c r="A456" t="s">
        <v>798</v>
      </c>
      <c r="B456">
        <f>INDEX(Proj[],MATCH(Std[[#This Row],[Player]],Proj[Player],0),2)</f>
        <v>27</v>
      </c>
      <c r="C456" t="s">
        <v>102</v>
      </c>
      <c r="D456" s="75" t="s">
        <v>103</v>
      </c>
      <c r="E456" s="56"/>
      <c r="F456" t="s">
        <v>30</v>
      </c>
      <c r="G456" s="12">
        <f>(INDEX(Proj[],MATCH(Std[[#This Row],[Player]],Proj[Player],0),14)-G$764)/G$765</f>
        <v>7.6951824922875695E-2</v>
      </c>
      <c r="H456" s="12">
        <f>(INDEX(Proj[],MATCH(Std[[#This Row],[Player]],Proj[Player],0),15)-H$764)/H$765</f>
        <v>-0.81172736747616536</v>
      </c>
      <c r="I456" s="12">
        <f>(INDEX(Proj[],MATCH(Std[[#This Row],[Player]],Proj[Player],0),16)-I$764)/I$765</f>
        <v>-0.48012205949167958</v>
      </c>
      <c r="J456" s="12">
        <f>(INDEX(Proj[],MATCH(Std[[#This Row],[Player]],Proj[Player],0),17)-J$764)/J$765</f>
        <v>-0.76105581014900237</v>
      </c>
      <c r="K456" s="12">
        <f>(INDEX(Proj[],MATCH(Std[[#This Row],[Player]],Proj[Player],0),18)-K$764)/K$765</f>
        <v>-0.75859266061649311</v>
      </c>
      <c r="L456" s="12">
        <f>(INDEX(Proj[],MATCH(Std[[#This Row],[Player]],Proj[Player],0),19)-L$764)/L$765</f>
        <v>-0.81647589674950882</v>
      </c>
      <c r="M456" s="12">
        <f>(INDEX(Proj[],MATCH(Std[[#This Row],[Player]],Proj[Player],0),20)-M$764)/M$765</f>
        <v>-0.71308883245737775</v>
      </c>
      <c r="N456" s="12">
        <f>(INDEX(Proj[],MATCH(Std[[#This Row],[Player]],Proj[Player],0),21)-N$764)/N$765</f>
        <v>1.6524623758498485</v>
      </c>
      <c r="O456" s="12">
        <f>(INDEX(Proj[],MATCH(Std[[#This Row],[Player]],Proj[Player],0),22)-O$764)/O$765</f>
        <v>-0.79976825277997488</v>
      </c>
      <c r="P456" s="12">
        <f>((INDEX(Proj[],MATCH(Std[[#This Row],[Player]],Proj[Player],0),23)-P$764)/P$765)*IF('League Inputs'!$C$23 = "Yes",-1, 1)</f>
        <v>-0.53505329921821387</v>
      </c>
      <c r="Q456" s="12">
        <f>(INDEX(Proj[],MATCH(Std[[#This Row],[Player]],Proj[Player],0),24)-Q$764)/Q$765</f>
        <v>-0.51797568369558167</v>
      </c>
      <c r="R456" s="12">
        <f>(INDEX(Proj[],MATCH(Std[[#This Row],[Player]],Proj[Player],0),25)-R$764)/R$765</f>
        <v>-0.51181296841835622</v>
      </c>
      <c r="S456" s="12">
        <f>(INDEX(Proj[],MATCH(Std[[#This Row],[Player]],Proj[Player],0),26)-S$764)/S$765</f>
        <v>0.22510688016445965</v>
      </c>
      <c r="T4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-200.66014784739403</v>
      </c>
      <c r="U456" s="11"/>
      <c r="W456" t="str">
        <v>Carl Grundstrom</v>
      </c>
      <c r="AA456" t="str">
        <v>Carl Grundstrom</v>
      </c>
      <c r="AB456" t="str">
        <v>Carl Grundstrom</v>
      </c>
    </row>
    <row r="457" spans="1:28" x14ac:dyDescent="0.25">
      <c r="A457" t="s">
        <v>1064</v>
      </c>
      <c r="B457">
        <f>INDEX(Proj[],MATCH(Std[[#This Row],[Player]],Proj[Player],0),2)</f>
        <v>26</v>
      </c>
      <c r="C457" t="s">
        <v>74</v>
      </c>
      <c r="D457" s="75" t="s">
        <v>102</v>
      </c>
      <c r="E457" s="57"/>
      <c r="F457" t="s">
        <v>21</v>
      </c>
      <c r="G457" s="12">
        <f>(INDEX(Proj[],MATCH(Std[[#This Row],[Player]],Proj[Player],0),14)-G$764)/G$765</f>
        <v>-0.873752993897015</v>
      </c>
      <c r="H457" s="12">
        <f>(INDEX(Proj[],MATCH(Std[[#This Row],[Player]],Proj[Player],0),15)-H$764)/H$765</f>
        <v>-0.14096396458177846</v>
      </c>
      <c r="I457" s="12">
        <f>(INDEX(Proj[],MATCH(Std[[#This Row],[Player]],Proj[Player],0),16)-I$764)/I$765</f>
        <v>-0.48012205949167958</v>
      </c>
      <c r="J457" s="12">
        <f>(INDEX(Proj[],MATCH(Std[[#This Row],[Player]],Proj[Player],0),17)-J$764)/J$765</f>
        <v>-0.76105581014900237</v>
      </c>
      <c r="K457" s="12">
        <f>(INDEX(Proj[],MATCH(Std[[#This Row],[Player]],Proj[Player],0),18)-K$764)/K$765</f>
        <v>-0.75859266061649311</v>
      </c>
      <c r="L457" s="12">
        <f>(INDEX(Proj[],MATCH(Std[[#This Row],[Player]],Proj[Player],0),19)-L$764)/L$765</f>
        <v>-0.81647589674950882</v>
      </c>
      <c r="M457" s="12">
        <f>(INDEX(Proj[],MATCH(Std[[#This Row],[Player]],Proj[Player],0),20)-M$764)/M$765</f>
        <v>-0.71308883245737775</v>
      </c>
      <c r="N457" s="12">
        <f>(INDEX(Proj[],MATCH(Std[[#This Row],[Player]],Proj[Player],0),21)-N$764)/N$765</f>
        <v>-0.16923255889491676</v>
      </c>
      <c r="O457" s="12">
        <f>(INDEX(Proj[],MATCH(Std[[#This Row],[Player]],Proj[Player],0),22)-O$764)/O$765</f>
        <v>1.0110800076765105</v>
      </c>
      <c r="P457" s="12">
        <f>((INDEX(Proj[],MATCH(Std[[#This Row],[Player]],Proj[Player],0),23)-P$764)/P$765)*IF('League Inputs'!$C$23 = "Yes",-1, 1)</f>
        <v>-0.72121239641164769</v>
      </c>
      <c r="Q457" s="12">
        <f>(INDEX(Proj[],MATCH(Std[[#This Row],[Player]],Proj[Player],0),24)-Q$764)/Q$765</f>
        <v>-0.5766103108129359</v>
      </c>
      <c r="R457" s="12">
        <f>(INDEX(Proj[],MATCH(Std[[#This Row],[Player]],Proj[Player],0),25)-R$764)/R$765</f>
        <v>-0.62531533033812681</v>
      </c>
      <c r="S457" s="12">
        <f>(INDEX(Proj[],MATCH(Std[[#This Row],[Player]],Proj[Player],0),26)-S$764)/S$765</f>
        <v>-0.60204651431330747</v>
      </c>
      <c r="T4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-336.93366874762791</v>
      </c>
      <c r="U457" s="11"/>
      <c r="W457" t="str">
        <v>Nick Perbix</v>
      </c>
      <c r="AA457" t="str">
        <v>Nick Perbix</v>
      </c>
      <c r="AB457" t="str">
        <v>Nick Perbix</v>
      </c>
    </row>
    <row r="458" spans="1:28" x14ac:dyDescent="0.25">
      <c r="A458" t="s">
        <v>514</v>
      </c>
      <c r="B458">
        <f>INDEX(Proj[],MATCH(Std[[#This Row],[Player]],Proj[Player],0),2)</f>
        <v>27</v>
      </c>
      <c r="C458" t="s">
        <v>102</v>
      </c>
      <c r="D458" s="75" t="s">
        <v>103</v>
      </c>
      <c r="E458" s="57"/>
      <c r="F458" t="s">
        <v>154</v>
      </c>
      <c r="G458" s="12">
        <f>(INDEX(Proj[],MATCH(Std[[#This Row],[Player]],Proj[Player],0),14)-G$764)/G$765</f>
        <v>-0.873752993897015</v>
      </c>
      <c r="H458" s="12">
        <f>(INDEX(Proj[],MATCH(Std[[#This Row],[Player]],Proj[Player],0),15)-H$764)/H$765</f>
        <v>-0.14096396458177846</v>
      </c>
      <c r="I458" s="12">
        <f>(INDEX(Proj[],MATCH(Std[[#This Row],[Player]],Proj[Player],0),16)-I$764)/I$765</f>
        <v>-0.48012205949167958</v>
      </c>
      <c r="J458" s="12">
        <f>(INDEX(Proj[],MATCH(Std[[#This Row],[Player]],Proj[Player],0),17)-J$764)/J$765</f>
        <v>-0.76105581014900237</v>
      </c>
      <c r="K458" s="12">
        <f>(INDEX(Proj[],MATCH(Std[[#This Row],[Player]],Proj[Player],0),18)-K$764)/K$765</f>
        <v>-0.75859266061649311</v>
      </c>
      <c r="L458" s="12">
        <f>(INDEX(Proj[],MATCH(Std[[#This Row],[Player]],Proj[Player],0),19)-L$764)/L$765</f>
        <v>-0.81647589674950882</v>
      </c>
      <c r="M458" s="12">
        <f>(INDEX(Proj[],MATCH(Std[[#This Row],[Player]],Proj[Player],0),20)-M$764)/M$765</f>
        <v>-0.71308883245737775</v>
      </c>
      <c r="N458" s="12">
        <f>(INDEX(Proj[],MATCH(Std[[#This Row],[Player]],Proj[Player],0),21)-N$764)/N$765</f>
        <v>-0.78938402604207092</v>
      </c>
      <c r="O458" s="12">
        <f>(INDEX(Proj[],MATCH(Std[[#This Row],[Player]],Proj[Player],0),22)-O$764)/O$765</f>
        <v>0.84856798430221059</v>
      </c>
      <c r="P458" s="12">
        <f>((INDEX(Proj[],MATCH(Std[[#This Row],[Player]],Proj[Player],0),23)-P$764)/P$765)*IF('League Inputs'!$C$23 = "Yes",-1, 1)</f>
        <v>-0.25581465342806309</v>
      </c>
      <c r="Q458" s="12">
        <f>(INDEX(Proj[],MATCH(Std[[#This Row],[Player]],Proj[Player],0),24)-Q$764)/Q$765</f>
        <v>-0.5766103108129359</v>
      </c>
      <c r="R458" s="12">
        <f>(INDEX(Proj[],MATCH(Std[[#This Row],[Player]],Proj[Player],0),25)-R$764)/R$765</f>
        <v>-0.62531533033812681</v>
      </c>
      <c r="S458" s="12">
        <f>(INDEX(Proj[],MATCH(Std[[#This Row],[Player]],Proj[Player],0),26)-S$764)/S$765</f>
        <v>-0.89398300648193119</v>
      </c>
      <c r="T4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-397.85389271827722</v>
      </c>
      <c r="U458" s="11"/>
      <c r="W458" t="str">
        <v>John Marino</v>
      </c>
      <c r="AA458" t="str">
        <v>John Marino</v>
      </c>
      <c r="AB458" t="str">
        <v>John Marino</v>
      </c>
    </row>
    <row r="459" spans="1:28" x14ac:dyDescent="0.25">
      <c r="A459" t="s">
        <v>1141</v>
      </c>
      <c r="B459">
        <f>INDEX(Proj[],MATCH(Std[[#This Row],[Player]],Proj[Player],0),2)</f>
        <v>26</v>
      </c>
      <c r="C459" t="s">
        <v>102</v>
      </c>
      <c r="D459" s="75"/>
      <c r="E459" s="57"/>
      <c r="F459" t="s">
        <v>153</v>
      </c>
      <c r="G459" s="12">
        <f>(INDEX(Proj[],MATCH(Std[[#This Row],[Player]],Proj[Player],0),14)-G$764)/G$765</f>
        <v>-2.8682043834889943E-2</v>
      </c>
      <c r="H459" s="12">
        <f>(INDEX(Proj[],MATCH(Std[[#This Row],[Player]],Proj[Player],0),15)-H$764)/H$765</f>
        <v>-0.73719810048790013</v>
      </c>
      <c r="I459" s="12">
        <f>(INDEX(Proj[],MATCH(Std[[#This Row],[Player]],Proj[Player],0),16)-I$764)/I$765</f>
        <v>-0.48012205949167958</v>
      </c>
      <c r="J459" s="12">
        <f>(INDEX(Proj[],MATCH(Std[[#This Row],[Player]],Proj[Player],0),17)-J$764)/J$765</f>
        <v>-0.76105581014900237</v>
      </c>
      <c r="K459" s="12">
        <f>(INDEX(Proj[],MATCH(Std[[#This Row],[Player]],Proj[Player],0),18)-K$764)/K$765</f>
        <v>-0.75859266061649311</v>
      </c>
      <c r="L459" s="12">
        <f>(INDEX(Proj[],MATCH(Std[[#This Row],[Player]],Proj[Player],0),19)-L$764)/L$765</f>
        <v>-0.81647589674950882</v>
      </c>
      <c r="M459" s="12">
        <f>(INDEX(Proj[],MATCH(Std[[#This Row],[Player]],Proj[Player],0),20)-M$764)/M$765</f>
        <v>-0.71308883245737775</v>
      </c>
      <c r="N459" s="12">
        <f>(INDEX(Proj[],MATCH(Std[[#This Row],[Player]],Proj[Player],0),21)-N$764)/N$765</f>
        <v>1.2842474422312256</v>
      </c>
      <c r="O459" s="12">
        <f>(INDEX(Proj[],MATCH(Std[[#This Row],[Player]],Proj[Player],0),22)-O$764)/O$765</f>
        <v>-0.56760821938811779</v>
      </c>
      <c r="P459" s="12">
        <f>((INDEX(Proj[],MATCH(Std[[#This Row],[Player]],Proj[Player],0),23)-P$764)/P$765)*IF('League Inputs'!$C$23 = "Yes",-1, 1)</f>
        <v>-0.76775217071000623</v>
      </c>
      <c r="Q459" s="12">
        <f>(INDEX(Proj[],MATCH(Std[[#This Row],[Player]],Proj[Player],0),24)-Q$764)/Q$765</f>
        <v>-0.27810675457913286</v>
      </c>
      <c r="R459" s="12">
        <f>(INDEX(Proj[],MATCH(Std[[#This Row],[Player]],Proj[Player],0),25)-R$764)/R$765</f>
        <v>-0.26210777219486092</v>
      </c>
      <c r="S459" s="12">
        <f>(INDEX(Proj[],MATCH(Std[[#This Row],[Player]],Proj[Player],0),26)-S$764)/S$765</f>
        <v>-0.37498479818215574</v>
      </c>
      <c r="T4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-276.6682601192166</v>
      </c>
      <c r="U459" s="11"/>
      <c r="W459" t="str">
        <v>Justin Brazeau</v>
      </c>
      <c r="AA459" t="str">
        <v>Justin Brazeau</v>
      </c>
      <c r="AB459" t="str">
        <v>Justin Brazeau</v>
      </c>
    </row>
    <row r="460" spans="1:28" x14ac:dyDescent="0.25">
      <c r="A460" t="s">
        <v>814</v>
      </c>
      <c r="B460">
        <f>INDEX(Proj[],MATCH(Std[[#This Row],[Player]],Proj[Player],0),2)</f>
        <v>31</v>
      </c>
      <c r="C460" t="s">
        <v>74</v>
      </c>
      <c r="D460" s="75" t="s">
        <v>103</v>
      </c>
      <c r="E460" s="56"/>
      <c r="F460" t="s">
        <v>154</v>
      </c>
      <c r="G460" s="12">
        <f>(INDEX(Proj[],MATCH(Std[[#This Row],[Player]],Proj[Player],0),14)-G$764)/G$765</f>
        <v>-0.34558365010818687</v>
      </c>
      <c r="H460" s="12">
        <f>(INDEX(Proj[],MATCH(Std[[#This Row],[Player]],Proj[Player],0),15)-H$764)/H$765</f>
        <v>-0.51361029952310455</v>
      </c>
      <c r="I460" s="12">
        <f>(INDEX(Proj[],MATCH(Std[[#This Row],[Player]],Proj[Player],0),16)-I$764)/I$765</f>
        <v>-0.48012205949167958</v>
      </c>
      <c r="J460" s="12">
        <f>(INDEX(Proj[],MATCH(Std[[#This Row],[Player]],Proj[Player],0),17)-J$764)/J$765</f>
        <v>-0.76105581014900237</v>
      </c>
      <c r="K460" s="12">
        <f>(INDEX(Proj[],MATCH(Std[[#This Row],[Player]],Proj[Player],0),18)-K$764)/K$765</f>
        <v>-0.75859266061649311</v>
      </c>
      <c r="L460" s="12">
        <f>(INDEX(Proj[],MATCH(Std[[#This Row],[Player]],Proj[Player],0),19)-L$764)/L$765</f>
        <v>-0.81647589674950882</v>
      </c>
      <c r="M460" s="12">
        <f>(INDEX(Proj[],MATCH(Std[[#This Row],[Player]],Proj[Player],0),20)-M$764)/M$765</f>
        <v>-0.71308883245737775</v>
      </c>
      <c r="N460" s="12">
        <f>(INDEX(Proj[],MATCH(Std[[#This Row],[Player]],Proj[Player],0),21)-N$764)/N$765</f>
        <v>0.64471624173572295</v>
      </c>
      <c r="O460" s="12">
        <f>(INDEX(Proj[],MATCH(Std[[#This Row],[Player]],Proj[Player],0),22)-O$764)/O$765</f>
        <v>-0.56760821938811779</v>
      </c>
      <c r="P460" s="12">
        <f>((INDEX(Proj[],MATCH(Std[[#This Row],[Player]],Proj[Player],0),23)-P$764)/P$765)*IF('League Inputs'!$C$23 = "Yes",-1, 1)</f>
        <v>0.72152060683746466</v>
      </c>
      <c r="Q460" s="12">
        <f>(INDEX(Proj[],MATCH(Std[[#This Row],[Player]],Proj[Player],0),24)-Q$764)/Q$765</f>
        <v>-0.41136727075493779</v>
      </c>
      <c r="R460" s="12">
        <f>(INDEX(Proj[],MATCH(Std[[#This Row],[Player]],Proj[Player],0),25)-R$764)/R$765</f>
        <v>-0.47208714174643651</v>
      </c>
      <c r="S460" s="12">
        <f>(INDEX(Proj[],MATCH(Std[[#This Row],[Player]],Proj[Player],0),26)-S$764)/S$765</f>
        <v>-3.4392223985428086E-2</v>
      </c>
      <c r="T4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-180.29227714277761</v>
      </c>
      <c r="U460" s="11"/>
      <c r="W460" t="str">
        <v>Nick Cousins</v>
      </c>
      <c r="AA460" t="str">
        <v>Nick Cousins</v>
      </c>
      <c r="AB460" t="str">
        <v>Nick Cousins</v>
      </c>
    </row>
    <row r="461" spans="1:28" x14ac:dyDescent="0.25">
      <c r="A461" t="s">
        <v>749</v>
      </c>
      <c r="B461">
        <f>INDEX(Proj[],MATCH(Std[[#This Row],[Player]],Proj[Player],0),2)</f>
        <v>31</v>
      </c>
      <c r="C461" t="s">
        <v>74</v>
      </c>
      <c r="D461" s="75" t="s">
        <v>103</v>
      </c>
      <c r="E461" s="56"/>
      <c r="F461" t="s">
        <v>28</v>
      </c>
      <c r="G461" s="12">
        <f>(INDEX(Proj[],MATCH(Std[[#This Row],[Player]],Proj[Player],0),14)-G$764)/G$765</f>
        <v>-2.8682043834889943E-2</v>
      </c>
      <c r="H461" s="12">
        <f>(INDEX(Proj[],MATCH(Std[[#This Row],[Player]],Proj[Player],0),15)-H$764)/H$765</f>
        <v>-0.73719810048790013</v>
      </c>
      <c r="I461" s="12">
        <f>(INDEX(Proj[],MATCH(Std[[#This Row],[Player]],Proj[Player],0),16)-I$764)/I$765</f>
        <v>-0.48012205949167958</v>
      </c>
      <c r="J461" s="12">
        <f>(INDEX(Proj[],MATCH(Std[[#This Row],[Player]],Proj[Player],0),17)-J$764)/J$765</f>
        <v>-0.76105581014900237</v>
      </c>
      <c r="K461" s="12">
        <f>(INDEX(Proj[],MATCH(Std[[#This Row],[Player]],Proj[Player],0),18)-K$764)/K$765</f>
        <v>-0.75859266061649311</v>
      </c>
      <c r="L461" s="12">
        <f>(INDEX(Proj[],MATCH(Std[[#This Row],[Player]],Proj[Player],0),19)-L$764)/L$765</f>
        <v>-0.81647589674950882</v>
      </c>
      <c r="M461" s="12">
        <f>(INDEX(Proj[],MATCH(Std[[#This Row],[Player]],Proj[Player],0),20)-M$764)/M$765</f>
        <v>0.31240082183847029</v>
      </c>
      <c r="N461" s="12">
        <f>(INDEX(Proj[],MATCH(Std[[#This Row],[Player]],Proj[Player],0),21)-N$764)/N$765</f>
        <v>-7.2333892153173943E-2</v>
      </c>
      <c r="O461" s="12">
        <f>(INDEX(Proj[],MATCH(Std[[#This Row],[Player]],Proj[Player],0),22)-O$764)/O$765</f>
        <v>-0.68368823608404627</v>
      </c>
      <c r="P461" s="12">
        <f>((INDEX(Proj[],MATCH(Std[[#This Row],[Player]],Proj[Player],0),23)-P$764)/P$765)*IF('League Inputs'!$C$23 = "Yes",-1, 1)</f>
        <v>-0.81429194500836466</v>
      </c>
      <c r="Q461" s="12">
        <f>(INDEX(Proj[],MATCH(Std[[#This Row],[Player]],Proj[Player],0),24)-Q$764)/Q$765</f>
        <v>-0.5019844217544851</v>
      </c>
      <c r="R461" s="12">
        <f>(INDEX(Proj[],MATCH(Std[[#This Row],[Player]],Proj[Player],0),25)-R$764)/R$765</f>
        <v>-0.50046273222637916</v>
      </c>
      <c r="S461" s="12">
        <f>(INDEX(Proj[],MATCH(Std[[#This Row],[Player]],Proj[Player],0),26)-S$764)/S$765</f>
        <v>-0.14792308205100396</v>
      </c>
      <c r="T4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-428.2699677615052</v>
      </c>
      <c r="U461" s="11"/>
      <c r="W461" t="str">
        <v>Jimmy Vesey</v>
      </c>
      <c r="AA461" t="str">
        <v>Jimmy Vesey</v>
      </c>
      <c r="AB461" t="str">
        <v>Jimmy Vesey</v>
      </c>
    </row>
    <row r="462" spans="1:28" x14ac:dyDescent="0.25">
      <c r="A462" t="s">
        <v>773</v>
      </c>
      <c r="B462">
        <f>INDEX(Proj[],MATCH(Std[[#This Row],[Player]],Proj[Player],0),2)</f>
        <v>27</v>
      </c>
      <c r="C462" t="s">
        <v>74</v>
      </c>
      <c r="D462" s="75" t="s">
        <v>102</v>
      </c>
      <c r="E462" s="56"/>
      <c r="F462" t="s">
        <v>155</v>
      </c>
      <c r="G462" s="12">
        <f>(INDEX(Proj[],MATCH(Std[[#This Row],[Player]],Proj[Player],0),14)-G$764)/G$765</f>
        <v>-0.34558365010818687</v>
      </c>
      <c r="H462" s="12">
        <f>(INDEX(Proj[],MATCH(Std[[#This Row],[Player]],Proj[Player],0),15)-H$764)/H$765</f>
        <v>-0.51361029952310455</v>
      </c>
      <c r="I462" s="12">
        <f>(INDEX(Proj[],MATCH(Std[[#This Row],[Player]],Proj[Player],0),16)-I$764)/I$765</f>
        <v>-0.48012205949167958</v>
      </c>
      <c r="J462" s="12">
        <f>(INDEX(Proj[],MATCH(Std[[#This Row],[Player]],Proj[Player],0),17)-J$764)/J$765</f>
        <v>-0.76105581014900237</v>
      </c>
      <c r="K462" s="12">
        <f>(INDEX(Proj[],MATCH(Std[[#This Row],[Player]],Proj[Player],0),18)-K$764)/K$765</f>
        <v>-0.75859266061649311</v>
      </c>
      <c r="L462" s="12">
        <f>(INDEX(Proj[],MATCH(Std[[#This Row],[Player]],Proj[Player],0),19)-L$764)/L$765</f>
        <v>-0.81647589674950882</v>
      </c>
      <c r="M462" s="12">
        <f>(INDEX(Proj[],MATCH(Std[[#This Row],[Player]],Proj[Player],0),20)-M$764)/M$765</f>
        <v>1.3378904761343182</v>
      </c>
      <c r="N462" s="12">
        <f>(INDEX(Proj[],MATCH(Std[[#This Row],[Player]],Proj[Player],0),21)-N$764)/N$765</f>
        <v>-0.11109335884987108</v>
      </c>
      <c r="O462" s="12">
        <f>(INDEX(Proj[],MATCH(Std[[#This Row],[Player]],Proj[Player],0),22)-O$764)/O$765</f>
        <v>-0.73012024276241771</v>
      </c>
      <c r="P462" s="12">
        <f>((INDEX(Proj[],MATCH(Std[[#This Row],[Player]],Proj[Player],0),23)-P$764)/P$765)*IF('League Inputs'!$C$23 = "Yes",-1, 1)</f>
        <v>2.3423992362087698E-2</v>
      </c>
      <c r="Q462" s="12">
        <f>(INDEX(Proj[],MATCH(Std[[#This Row],[Player]],Proj[Player],0),24)-Q$764)/Q$765</f>
        <v>0.75599485094511354</v>
      </c>
      <c r="R462" s="12">
        <f>(INDEX(Proj[],MATCH(Std[[#This Row],[Player]],Proj[Player],0),25)-R$764)/R$765</f>
        <v>0.88994120129081056</v>
      </c>
      <c r="S462" s="12">
        <f>(INDEX(Proj[],MATCH(Std[[#This Row],[Player]],Proj[Player],0),26)-S$764)/S$765</f>
        <v>-0.40742218620089166</v>
      </c>
      <c r="T4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-262.50088503784588</v>
      </c>
      <c r="U462" s="11"/>
      <c r="W462" t="str">
        <v>Blake Lizotte</v>
      </c>
      <c r="AA462" t="str">
        <v>Blake Lizotte</v>
      </c>
      <c r="AB462" t="str">
        <v>Blake Lizotte</v>
      </c>
    </row>
    <row r="463" spans="1:28" x14ac:dyDescent="0.25">
      <c r="A463" t="s">
        <v>820</v>
      </c>
      <c r="B463">
        <f>INDEX(Proj[],MATCH(Std[[#This Row],[Player]],Proj[Player],0),2)</f>
        <v>24</v>
      </c>
      <c r="C463" t="s">
        <v>102</v>
      </c>
      <c r="D463" s="75"/>
      <c r="E463" s="56"/>
      <c r="F463" t="s">
        <v>17</v>
      </c>
      <c r="G463" s="12">
        <f>(INDEX(Proj[],MATCH(Std[[#This Row],[Player]],Proj[Player],0),14)-G$764)/G$765</f>
        <v>-0.55685138762371811</v>
      </c>
      <c r="H463" s="12">
        <f>(INDEX(Proj[],MATCH(Std[[#This Row],[Player]],Proj[Player],0),15)-H$764)/H$765</f>
        <v>-0.36455176554657409</v>
      </c>
      <c r="I463" s="12">
        <f>(INDEX(Proj[],MATCH(Std[[#This Row],[Player]],Proj[Player],0),16)-I$764)/I$765</f>
        <v>-0.48012205949167958</v>
      </c>
      <c r="J463" s="12">
        <f>(INDEX(Proj[],MATCH(Std[[#This Row],[Player]],Proj[Player],0),17)-J$764)/J$765</f>
        <v>-0.76105581014900237</v>
      </c>
      <c r="K463" s="12">
        <f>(INDEX(Proj[],MATCH(Std[[#This Row],[Player]],Proj[Player],0),18)-K$764)/K$765</f>
        <v>-0.75859266061649311</v>
      </c>
      <c r="L463" s="12">
        <f>(INDEX(Proj[],MATCH(Std[[#This Row],[Player]],Proj[Player],0),19)-L$764)/L$765</f>
        <v>-0.81647589674950882</v>
      </c>
      <c r="M463" s="12">
        <f>(INDEX(Proj[],MATCH(Std[[#This Row],[Player]],Proj[Player],0),20)-M$764)/M$765</f>
        <v>-0.71308883245737775</v>
      </c>
      <c r="N463" s="12">
        <f>(INDEX(Proj[],MATCH(Std[[#This Row],[Player]],Proj[Player],0),21)-N$764)/N$765</f>
        <v>-0.94442189282885936</v>
      </c>
      <c r="O463" s="12">
        <f>(INDEX(Proj[],MATCH(Std[[#This Row],[Player]],Proj[Player],0),22)-O$764)/O$765</f>
        <v>-0.54439221604893206</v>
      </c>
      <c r="P463" s="12">
        <f>((INDEX(Proj[],MATCH(Std[[#This Row],[Player]],Proj[Player],0),23)-P$764)/P$765)*IF('League Inputs'!$C$23 = "Yes",-1, 1)</f>
        <v>-1.2331499136935908</v>
      </c>
      <c r="Q463" s="12">
        <f>(INDEX(Proj[],MATCH(Std[[#This Row],[Player]],Proj[Player],0),24)-Q$764)/Q$765</f>
        <v>-0.29942843716726164</v>
      </c>
      <c r="R463" s="12">
        <f>(INDEX(Proj[],MATCH(Std[[#This Row],[Player]],Proj[Player],0),25)-R$764)/R$765</f>
        <v>-0.22238194552294122</v>
      </c>
      <c r="S463" s="12">
        <f>(INDEX(Proj[],MATCH(Std[[#This Row],[Player]],Proj[Player],0),26)-S$764)/S$765</f>
        <v>-0.32632871615405179</v>
      </c>
      <c r="T4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-556.57222853041753</v>
      </c>
      <c r="U463" s="11"/>
      <c r="W463" t="str">
        <v>Aliaksei Protas</v>
      </c>
      <c r="AA463" t="str">
        <v>Aliaksei Protas</v>
      </c>
      <c r="AB463" t="str">
        <v>Aliaksei Protas</v>
      </c>
    </row>
    <row r="464" spans="1:28" x14ac:dyDescent="0.25">
      <c r="A464" t="s">
        <v>388</v>
      </c>
      <c r="B464">
        <f>INDEX(Proj[],MATCH(Std[[#This Row],[Player]],Proj[Player],0),2)</f>
        <v>33</v>
      </c>
      <c r="C464" t="s">
        <v>102</v>
      </c>
      <c r="D464" s="75" t="s">
        <v>103</v>
      </c>
      <c r="E464" s="56"/>
      <c r="F464" t="s">
        <v>16</v>
      </c>
      <c r="G464" s="12">
        <f>(INDEX(Proj[],MATCH(Std[[#This Row],[Player]],Proj[Player],0),14)-G$764)/G$765</f>
        <v>-0.13431591259265557</v>
      </c>
      <c r="H464" s="12">
        <f>(INDEX(Proj[],MATCH(Std[[#This Row],[Player]],Proj[Player],0),15)-H$764)/H$765</f>
        <v>-0.73719810048790013</v>
      </c>
      <c r="I464" s="12">
        <f>(INDEX(Proj[],MATCH(Std[[#This Row],[Player]],Proj[Player],0),16)-I$764)/I$765</f>
        <v>-0.5273646184537828</v>
      </c>
      <c r="J464" s="12">
        <f>(INDEX(Proj[],MATCH(Std[[#This Row],[Player]],Proj[Player],0),17)-J$764)/J$765</f>
        <v>-0.76105581014900237</v>
      </c>
      <c r="K464" s="12">
        <f>(INDEX(Proj[],MATCH(Std[[#This Row],[Player]],Proj[Player],0),18)-K$764)/K$765</f>
        <v>-0.75859266061649311</v>
      </c>
      <c r="L464" s="12">
        <f>(INDEX(Proj[],MATCH(Std[[#This Row],[Player]],Proj[Player],0),19)-L$764)/L$765</f>
        <v>-0.81647589674950882</v>
      </c>
      <c r="M464" s="12">
        <f>(INDEX(Proj[],MATCH(Std[[#This Row],[Player]],Proj[Player],0),20)-M$764)/M$765</f>
        <v>1.3378904761343182</v>
      </c>
      <c r="N464" s="12">
        <f>(INDEX(Proj[],MATCH(Std[[#This Row],[Player]],Proj[Player],0),21)-N$764)/N$765</f>
        <v>3.6291951773814017</v>
      </c>
      <c r="O464" s="12">
        <f>(INDEX(Proj[],MATCH(Std[[#This Row],[Player]],Proj[Player],0),22)-O$764)/O$765</f>
        <v>0.26816790082256781</v>
      </c>
      <c r="P464" s="12">
        <f>((INDEX(Proj[],MATCH(Std[[#This Row],[Player]],Proj[Player],0),23)-P$764)/P$765)*IF('League Inputs'!$C$23 = "Yes",-1, 1)</f>
        <v>2.2107933843849357</v>
      </c>
      <c r="Q464" s="12">
        <f>(INDEX(Proj[],MATCH(Std[[#This Row],[Player]],Proj[Player],0),24)-Q$764)/Q$765</f>
        <v>-0.45934105657822755</v>
      </c>
      <c r="R464" s="12">
        <f>(INDEX(Proj[],MATCH(Std[[#This Row],[Player]],Proj[Player],0),25)-R$764)/R$765</f>
        <v>-0.53451344080231034</v>
      </c>
      <c r="S464" s="12">
        <f>(INDEX(Proj[],MATCH(Std[[#This Row],[Player]],Proj[Player],0),26)-S$764)/S$765</f>
        <v>-0.32632871615405179</v>
      </c>
      <c r="T4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310.71321615727783</v>
      </c>
      <c r="U464" s="11"/>
      <c r="W464" t="str">
        <v>Garnet Hathaway</v>
      </c>
      <c r="AA464" t="str">
        <v>Garnet Hathaway</v>
      </c>
      <c r="AB464" t="str">
        <v>Garnet Hathaway</v>
      </c>
    </row>
    <row r="465" spans="1:28" x14ac:dyDescent="0.25">
      <c r="A465" t="s">
        <v>753</v>
      </c>
      <c r="B465">
        <f>INDEX(Proj[],MATCH(Std[[#This Row],[Player]],Proj[Player],0),2)</f>
        <v>28</v>
      </c>
      <c r="C465" t="s">
        <v>74</v>
      </c>
      <c r="D465" s="75" t="s">
        <v>103</v>
      </c>
      <c r="E465" s="56"/>
      <c r="F465" t="s">
        <v>9</v>
      </c>
      <c r="G465" s="12">
        <f>(INDEX(Proj[],MATCH(Std[[#This Row],[Player]],Proj[Player],0),14)-G$764)/G$765</f>
        <v>-0.9793868626547807</v>
      </c>
      <c r="H465" s="12">
        <f>(INDEX(Proj[],MATCH(Std[[#This Row],[Player]],Proj[Player],0),15)-H$764)/H$765</f>
        <v>-0.14096396458177846</v>
      </c>
      <c r="I465" s="12">
        <f>(INDEX(Proj[],MATCH(Std[[#This Row],[Player]],Proj[Player],0),16)-I$764)/I$765</f>
        <v>-0.5273646184537828</v>
      </c>
      <c r="J465" s="12">
        <f>(INDEX(Proj[],MATCH(Std[[#This Row],[Player]],Proj[Player],0),17)-J$764)/J$765</f>
        <v>-0.76105581014900237</v>
      </c>
      <c r="K465" s="12">
        <f>(INDEX(Proj[],MATCH(Std[[#This Row],[Player]],Proj[Player],0),18)-K$764)/K$765</f>
        <v>-0.75859266061649311</v>
      </c>
      <c r="L465" s="12">
        <f>(INDEX(Proj[],MATCH(Std[[#This Row],[Player]],Proj[Player],0),19)-L$764)/L$765</f>
        <v>-0.81647589674950882</v>
      </c>
      <c r="M465" s="12">
        <f>(INDEX(Proj[],MATCH(Std[[#This Row],[Player]],Proj[Player],0),20)-M$764)/M$765</f>
        <v>-0.71308883245737775</v>
      </c>
      <c r="N465" s="12">
        <f>(INDEX(Proj[],MATCH(Std[[#This Row],[Player]],Proj[Player],0),21)-N$764)/N$765</f>
        <v>1.9431583760750768</v>
      </c>
      <c r="O465" s="12">
        <f>(INDEX(Proj[],MATCH(Std[[#This Row],[Player]],Proj[Player],0),22)-O$764)/O$765</f>
        <v>1.057512014354882</v>
      </c>
      <c r="P465" s="12">
        <f>((INDEX(Proj[],MATCH(Std[[#This Row],[Player]],Proj[Player],0),23)-P$764)/P$765)*IF('League Inputs'!$C$23 = "Yes",-1, 1)</f>
        <v>0.95421947832925702</v>
      </c>
      <c r="Q465" s="12">
        <f>(INDEX(Proj[],MATCH(Std[[#This Row],[Player]],Proj[Player],0),24)-Q$764)/Q$765</f>
        <v>-0.5766103108129359</v>
      </c>
      <c r="R465" s="12">
        <f>(INDEX(Proj[],MATCH(Std[[#This Row],[Player]],Proj[Player],0),25)-R$764)/R$765</f>
        <v>-0.62531533033812681</v>
      </c>
      <c r="S465" s="12">
        <f>(INDEX(Proj[],MATCH(Std[[#This Row],[Player]],Proj[Player],0),26)-S$764)/S$765</f>
        <v>-0.45607826822899561</v>
      </c>
      <c r="T4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45.800994727743351</v>
      </c>
      <c r="U465" s="11"/>
      <c r="W465" t="str">
        <v>Will Borgen</v>
      </c>
      <c r="AA465" t="str">
        <v>Will Borgen</v>
      </c>
      <c r="AB465" t="str">
        <v>Will Borgen</v>
      </c>
    </row>
    <row r="466" spans="1:28" x14ac:dyDescent="0.25">
      <c r="A466" t="s">
        <v>332</v>
      </c>
      <c r="B466">
        <f>INDEX(Proj[],MATCH(Std[[#This Row],[Player]],Proj[Player],0),2)</f>
        <v>34</v>
      </c>
      <c r="C466" t="s">
        <v>74</v>
      </c>
      <c r="D466" s="75" t="s">
        <v>103</v>
      </c>
      <c r="E466" s="57"/>
      <c r="F466" t="s">
        <v>28</v>
      </c>
      <c r="G466" s="12">
        <f>(INDEX(Proj[],MATCH(Std[[#This Row],[Player]],Proj[Player],0),14)-G$764)/G$765</f>
        <v>-0.9793868626547807</v>
      </c>
      <c r="H466" s="12">
        <f>(INDEX(Proj[],MATCH(Std[[#This Row],[Player]],Proj[Player],0),15)-H$764)/H$765</f>
        <v>-0.14096396458177846</v>
      </c>
      <c r="I466" s="12">
        <f>(INDEX(Proj[],MATCH(Std[[#This Row],[Player]],Proj[Player],0),16)-I$764)/I$765</f>
        <v>-0.5273646184537828</v>
      </c>
      <c r="J466" s="12">
        <f>(INDEX(Proj[],MATCH(Std[[#This Row],[Player]],Proj[Player],0),17)-J$764)/J$765</f>
        <v>-0.76105581014900237</v>
      </c>
      <c r="K466" s="12">
        <f>(INDEX(Proj[],MATCH(Std[[#This Row],[Player]],Proj[Player],0),18)-K$764)/K$765</f>
        <v>-0.75859266061649311</v>
      </c>
      <c r="L466" s="12">
        <f>(INDEX(Proj[],MATCH(Std[[#This Row],[Player]],Proj[Player],0),19)-L$764)/L$765</f>
        <v>-0.81647589674950882</v>
      </c>
      <c r="M466" s="12">
        <f>(INDEX(Proj[],MATCH(Std[[#This Row],[Player]],Proj[Player],0),20)-M$764)/M$765</f>
        <v>1.3378904761343182</v>
      </c>
      <c r="N466" s="12">
        <f>(INDEX(Proj[],MATCH(Std[[#This Row],[Player]],Proj[Player],0),21)-N$764)/N$765</f>
        <v>0.23774184142040311</v>
      </c>
      <c r="O466" s="12">
        <f>(INDEX(Proj[],MATCH(Std[[#This Row],[Player]],Proj[Player],0),22)-O$764)/O$765</f>
        <v>1.8236401245480105</v>
      </c>
      <c r="P466" s="12">
        <f>((INDEX(Proj[],MATCH(Std[[#This Row],[Player]],Proj[Player],0),23)-P$764)/P$765)*IF('League Inputs'!$C$23 = "Yes",-1, 1)</f>
        <v>1.2799978984177662</v>
      </c>
      <c r="Q466" s="12">
        <f>(INDEX(Proj[],MATCH(Std[[#This Row],[Player]],Proj[Player],0),24)-Q$764)/Q$765</f>
        <v>-0.5766103108129359</v>
      </c>
      <c r="R466" s="12">
        <f>(INDEX(Proj[],MATCH(Std[[#This Row],[Player]],Proj[Player],0),25)-R$764)/R$765</f>
        <v>-0.62531533033812681</v>
      </c>
      <c r="S466" s="12">
        <f>(INDEX(Proj[],MATCH(Std[[#This Row],[Player]],Proj[Player],0),26)-S$764)/S$765</f>
        <v>-0.48851565624773158</v>
      </c>
      <c r="T4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-18.79374451143385</v>
      </c>
      <c r="U466" s="11"/>
      <c r="W466" t="str">
        <v>Tyler Myers</v>
      </c>
      <c r="AA466" t="str">
        <v>Tyler Myers</v>
      </c>
      <c r="AB466" t="str">
        <v>Tyler Myers</v>
      </c>
    </row>
    <row r="467" spans="1:28" x14ac:dyDescent="0.25">
      <c r="A467" t="s">
        <v>403</v>
      </c>
      <c r="B467">
        <f>INDEX(Proj[],MATCH(Std[[#This Row],[Player]],Proj[Player],0),2)</f>
        <v>34</v>
      </c>
      <c r="C467" t="s">
        <v>102</v>
      </c>
      <c r="D467" s="75" t="s">
        <v>103</v>
      </c>
      <c r="E467" s="57"/>
      <c r="F467" t="s">
        <v>12</v>
      </c>
      <c r="G467" s="12">
        <f>(INDEX(Proj[],MATCH(Std[[#This Row],[Player]],Proj[Player],0),14)-G$764)/G$765</f>
        <v>-0.873752993897015</v>
      </c>
      <c r="H467" s="12">
        <f>(INDEX(Proj[],MATCH(Std[[#This Row],[Player]],Proj[Player],0),15)-H$764)/H$765</f>
        <v>-0.21549323157004366</v>
      </c>
      <c r="I467" s="12">
        <f>(INDEX(Proj[],MATCH(Std[[#This Row],[Player]],Proj[Player],0),16)-I$764)/I$765</f>
        <v>-0.5273646184537828</v>
      </c>
      <c r="J467" s="12">
        <f>(INDEX(Proj[],MATCH(Std[[#This Row],[Player]],Proj[Player],0),17)-J$764)/J$765</f>
        <v>-0.76105581014900237</v>
      </c>
      <c r="K467" s="12">
        <f>(INDEX(Proj[],MATCH(Std[[#This Row],[Player]],Proj[Player],0),18)-K$764)/K$765</f>
        <v>-0.75859266061649311</v>
      </c>
      <c r="L467" s="12">
        <f>(INDEX(Proj[],MATCH(Std[[#This Row],[Player]],Proj[Player],0),19)-L$764)/L$765</f>
        <v>-0.81647589674950882</v>
      </c>
      <c r="M467" s="12">
        <f>(INDEX(Proj[],MATCH(Std[[#This Row],[Player]],Proj[Player],0),20)-M$764)/M$765</f>
        <v>0.31240082183847029</v>
      </c>
      <c r="N467" s="12">
        <f>(INDEX(Proj[],MATCH(Std[[#This Row],[Player]],Proj[Player],0),21)-N$764)/N$765</f>
        <v>-0.11109335884987108</v>
      </c>
      <c r="O467" s="12">
        <f>(INDEX(Proj[],MATCH(Std[[#This Row],[Player]],Proj[Player],0),22)-O$764)/O$765</f>
        <v>2.821928268132996</v>
      </c>
      <c r="P467" s="12">
        <f>((INDEX(Proj[],MATCH(Std[[#This Row],[Player]],Proj[Player],0),23)-P$764)/P$765)*IF('League Inputs'!$C$23 = "Yes",-1, 1)</f>
        <v>0.20958308955552155</v>
      </c>
      <c r="Q467" s="12">
        <f>(INDEX(Proj[],MATCH(Std[[#This Row],[Player]],Proj[Player],0),24)-Q$764)/Q$765</f>
        <v>-0.5766103108129359</v>
      </c>
      <c r="R467" s="12">
        <f>(INDEX(Proj[],MATCH(Std[[#This Row],[Player]],Proj[Player],0),25)-R$764)/R$765</f>
        <v>-0.62531533033812681</v>
      </c>
      <c r="S467" s="12">
        <f>(INDEX(Proj[],MATCH(Std[[#This Row],[Player]],Proj[Player],0),26)-S$764)/S$765</f>
        <v>-0.91020170049129911</v>
      </c>
      <c r="T4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-99.948075313593861</v>
      </c>
      <c r="U467" s="11"/>
      <c r="W467" t="str">
        <v>David Savard</v>
      </c>
      <c r="AA467" t="str">
        <v>David Savard</v>
      </c>
      <c r="AB467" t="str">
        <v>David Savard</v>
      </c>
    </row>
    <row r="468" spans="1:28" x14ac:dyDescent="0.25">
      <c r="A468" t="s">
        <v>385</v>
      </c>
      <c r="B468">
        <f>INDEX(Proj[],MATCH(Std[[#This Row],[Player]],Proj[Player],0),2)</f>
        <v>29</v>
      </c>
      <c r="C468" t="s">
        <v>102</v>
      </c>
      <c r="D468" s="75"/>
      <c r="E468" s="56"/>
      <c r="F468" t="s">
        <v>7</v>
      </c>
      <c r="G468" s="12">
        <f>(INDEX(Proj[],MATCH(Std[[#This Row],[Player]],Proj[Player],0),14)-G$764)/G$765</f>
        <v>-0.7681191251392494</v>
      </c>
      <c r="H468" s="12">
        <f>(INDEX(Proj[],MATCH(Std[[#This Row],[Player]],Proj[Player],0),15)-H$764)/H$765</f>
        <v>-0.29002249855830886</v>
      </c>
      <c r="I468" s="12">
        <f>(INDEX(Proj[],MATCH(Std[[#This Row],[Player]],Proj[Player],0),16)-I$764)/I$765</f>
        <v>-0.5273646184537828</v>
      </c>
      <c r="J468" s="12">
        <f>(INDEX(Proj[],MATCH(Std[[#This Row],[Player]],Proj[Player],0),17)-J$764)/J$765</f>
        <v>-0.76105581014900237</v>
      </c>
      <c r="K468" s="12">
        <f>(INDEX(Proj[],MATCH(Std[[#This Row],[Player]],Proj[Player],0),18)-K$764)/K$765</f>
        <v>-0.75859266061649311</v>
      </c>
      <c r="L468" s="12">
        <f>(INDEX(Proj[],MATCH(Std[[#This Row],[Player]],Proj[Player],0),19)-L$764)/L$765</f>
        <v>-0.81647589674950882</v>
      </c>
      <c r="M468" s="12">
        <f>(INDEX(Proj[],MATCH(Std[[#This Row],[Player]],Proj[Player],0),20)-M$764)/M$765</f>
        <v>0.31240082183847029</v>
      </c>
      <c r="N468" s="12">
        <f>(INDEX(Proj[],MATCH(Std[[#This Row],[Player]],Proj[Player],0),21)-N$764)/N$765</f>
        <v>-0.16923255889491676</v>
      </c>
      <c r="O468" s="12">
        <f>(INDEX(Proj[],MATCH(Std[[#This Row],[Player]],Proj[Player],0),22)-O$764)/O$765</f>
        <v>2.1254481679574249</v>
      </c>
      <c r="P468" s="12">
        <f>((INDEX(Proj[],MATCH(Std[[#This Row],[Player]],Proj[Player],0),23)-P$764)/P$765)*IF('League Inputs'!$C$23 = "Yes",-1, 1)</f>
        <v>-0.30235442772642157</v>
      </c>
      <c r="Q468" s="12">
        <f>(INDEX(Proj[],MATCH(Std[[#This Row],[Player]],Proj[Player],0),24)-Q$764)/Q$765</f>
        <v>-0.5766103108129359</v>
      </c>
      <c r="R468" s="12">
        <f>(INDEX(Proj[],MATCH(Std[[#This Row],[Player]],Proj[Player],0),25)-R$764)/R$765</f>
        <v>-0.62531533033812681</v>
      </c>
      <c r="S468" s="12">
        <f>(INDEX(Proj[],MATCH(Std[[#This Row],[Player]],Proj[Player],0),26)-S$764)/S$765</f>
        <v>-0.32632871615405179</v>
      </c>
      <c r="T4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-165.10599845317509</v>
      </c>
      <c r="U468" s="11"/>
      <c r="W468" t="str">
        <v>Ryan Graves</v>
      </c>
      <c r="AA468" t="str">
        <v>Ryan Graves</v>
      </c>
      <c r="AB468" t="str">
        <v>Ryan Graves</v>
      </c>
    </row>
    <row r="469" spans="1:28" x14ac:dyDescent="0.25">
      <c r="A469" t="s">
        <v>515</v>
      </c>
      <c r="B469">
        <f>INDEX(Proj[],MATCH(Std[[#This Row],[Player]],Proj[Player],0),2)</f>
        <v>25</v>
      </c>
      <c r="C469" t="s">
        <v>3</v>
      </c>
      <c r="D469" s="75"/>
      <c r="E469" s="56"/>
      <c r="F469" t="s">
        <v>10</v>
      </c>
      <c r="G469" s="12">
        <f>(INDEX(Proj[],MATCH(Std[[#This Row],[Player]],Proj[Player],0),14)-G$764)/G$765</f>
        <v>-0.873752993897015</v>
      </c>
      <c r="H469" s="12">
        <f>(INDEX(Proj[],MATCH(Std[[#This Row],[Player]],Proj[Player],0),15)-H$764)/H$765</f>
        <v>-0.21549323157004366</v>
      </c>
      <c r="I469" s="12">
        <f>(INDEX(Proj[],MATCH(Std[[#This Row],[Player]],Proj[Player],0),16)-I$764)/I$765</f>
        <v>-0.5273646184537828</v>
      </c>
      <c r="J469" s="12">
        <f>(INDEX(Proj[],MATCH(Std[[#This Row],[Player]],Proj[Player],0),17)-J$764)/J$765</f>
        <v>-0.76105581014900237</v>
      </c>
      <c r="K469" s="12">
        <f>(INDEX(Proj[],MATCH(Std[[#This Row],[Player]],Proj[Player],0),18)-K$764)/K$765</f>
        <v>-0.45042076997056774</v>
      </c>
      <c r="L469" s="12">
        <f>(INDEX(Proj[],MATCH(Std[[#This Row],[Player]],Proj[Player],0),19)-L$764)/L$765</f>
        <v>-0.59899863372397377</v>
      </c>
      <c r="M469" s="12">
        <f>(INDEX(Proj[],MATCH(Std[[#This Row],[Player]],Proj[Player],0),20)-M$764)/M$765</f>
        <v>0.31240082183847029</v>
      </c>
      <c r="N469" s="12">
        <f>(INDEX(Proj[],MATCH(Std[[#This Row],[Player]],Proj[Player],0),21)-N$764)/N$765</f>
        <v>-0.59558669255858521</v>
      </c>
      <c r="O469" s="12">
        <f>(INDEX(Proj[],MATCH(Std[[#This Row],[Player]],Proj[Player],0),22)-O$764)/O$765</f>
        <v>1.3361040544251106</v>
      </c>
      <c r="P469" s="12">
        <f>((INDEX(Proj[],MATCH(Std[[#This Row],[Player]],Proj[Player],0),23)-P$764)/P$765)*IF('League Inputs'!$C$23 = "Yes",-1, 1)</f>
        <v>0.25612286385388</v>
      </c>
      <c r="Q469" s="12">
        <f>(INDEX(Proj[],MATCH(Std[[#This Row],[Player]],Proj[Player],0),24)-Q$764)/Q$765</f>
        <v>-0.5766103108129359</v>
      </c>
      <c r="R469" s="12">
        <f>(INDEX(Proj[],MATCH(Std[[#This Row],[Player]],Proj[Player],0),25)-R$764)/R$765</f>
        <v>-0.62531533033812681</v>
      </c>
      <c r="S469" s="12">
        <f>(INDEX(Proj[],MATCH(Std[[#This Row],[Player]],Proj[Player],0),26)-S$764)/S$765</f>
        <v>-0.50473435025709956</v>
      </c>
      <c r="T4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-230.03139129944455</v>
      </c>
      <c r="U469" s="11"/>
      <c r="W469" t="str">
        <v>Erik Brannstrom</v>
      </c>
      <c r="AA469" t="str">
        <v>Erik Brannstrom</v>
      </c>
      <c r="AB469" t="str">
        <v>Erik Brannstrom</v>
      </c>
    </row>
    <row r="470" spans="1:28" x14ac:dyDescent="0.25">
      <c r="A470" t="s">
        <v>1182</v>
      </c>
      <c r="B470">
        <f>INDEX(Proj[],MATCH(Std[[#This Row],[Player]],Proj[Player],0),2)</f>
        <v>24</v>
      </c>
      <c r="C470" t="s">
        <v>102</v>
      </c>
      <c r="D470" s="75" t="s">
        <v>103</v>
      </c>
      <c r="E470" s="56"/>
      <c r="F470" t="s">
        <v>2</v>
      </c>
      <c r="G470" s="12">
        <f>(INDEX(Proj[],MATCH(Std[[#This Row],[Player]],Proj[Player],0),14)-G$764)/G$765</f>
        <v>-0.873752993897015</v>
      </c>
      <c r="H470" s="12">
        <f>(INDEX(Proj[],MATCH(Std[[#This Row],[Player]],Proj[Player],0),15)-H$764)/H$765</f>
        <v>-0.21549323157004366</v>
      </c>
      <c r="I470" s="12">
        <f>(INDEX(Proj[],MATCH(Std[[#This Row],[Player]],Proj[Player],0),16)-I$764)/I$765</f>
        <v>-0.5273646184537828</v>
      </c>
      <c r="J470" s="12">
        <f>(INDEX(Proj[],MATCH(Std[[#This Row],[Player]],Proj[Player],0),17)-J$764)/J$765</f>
        <v>-0.76105581014900237</v>
      </c>
      <c r="K470" s="12">
        <f>(INDEX(Proj[],MATCH(Std[[#This Row],[Player]],Proj[Player],0),18)-K$764)/K$765</f>
        <v>-0.14224887932464234</v>
      </c>
      <c r="L470" s="12">
        <f>(INDEX(Proj[],MATCH(Std[[#This Row],[Player]],Proj[Player],0),19)-L$764)/L$765</f>
        <v>-0.38152137069843867</v>
      </c>
      <c r="M470" s="12">
        <f>(INDEX(Proj[],MATCH(Std[[#This Row],[Player]],Proj[Player],0),20)-M$764)/M$765</f>
        <v>1.3378904761343182</v>
      </c>
      <c r="N470" s="12">
        <f>(INDEX(Proj[],MATCH(Std[[#This Row],[Player]],Proj[Player],0),21)-N$764)/N$765</f>
        <v>-0.57620695921023668</v>
      </c>
      <c r="O470" s="12">
        <f>(INDEX(Proj[],MATCH(Std[[#This Row],[Player]],Proj[Player],0),22)-O$764)/O$765</f>
        <v>1.6611281011737105</v>
      </c>
      <c r="P470" s="12">
        <f>((INDEX(Proj[],MATCH(Std[[#This Row],[Player]],Proj[Player],0),23)-P$764)/P$765)*IF('League Inputs'!$C$23 = "Yes",-1, 1)</f>
        <v>-0.20927487912970463</v>
      </c>
      <c r="Q470" s="12">
        <f>(INDEX(Proj[],MATCH(Std[[#This Row],[Player]],Proj[Player],0),24)-Q$764)/Q$765</f>
        <v>-0.5766103108129359</v>
      </c>
      <c r="R470" s="12">
        <f>(INDEX(Proj[],MATCH(Std[[#This Row],[Player]],Proj[Player],0),25)-R$764)/R$765</f>
        <v>-0.62531533033812681</v>
      </c>
      <c r="S470" s="12">
        <f>(INDEX(Proj[],MATCH(Std[[#This Row],[Player]],Proj[Player],0),26)-S$764)/S$765</f>
        <v>-0.78045214841635524</v>
      </c>
      <c r="T4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-247.95484110148021</v>
      </c>
      <c r="U470" s="11"/>
      <c r="W470" t="str">
        <v>Jackson LaCombe</v>
      </c>
      <c r="AA470" t="str">
        <v>Jackson LaCombe</v>
      </c>
      <c r="AB470" t="str">
        <v>Jackson LaCombe</v>
      </c>
    </row>
    <row r="471" spans="1:28" x14ac:dyDescent="0.25">
      <c r="A471" t="s">
        <v>1166</v>
      </c>
      <c r="B471">
        <f>INDEX(Proj[],MATCH(Std[[#This Row],[Player]],Proj[Player],0),2)</f>
        <v>22</v>
      </c>
      <c r="C471" t="s">
        <v>74</v>
      </c>
      <c r="D471" s="75" t="s">
        <v>102</v>
      </c>
      <c r="E471" s="56"/>
      <c r="F471" t="s">
        <v>9</v>
      </c>
      <c r="G471" s="12">
        <f>(INDEX(Proj[],MATCH(Std[[#This Row],[Player]],Proj[Player],0),14)-G$764)/G$765</f>
        <v>-2.8682043834889943E-2</v>
      </c>
      <c r="H471" s="12">
        <f>(INDEX(Proj[],MATCH(Std[[#This Row],[Player]],Proj[Player],0),15)-H$764)/H$765</f>
        <v>-0.81172736747616536</v>
      </c>
      <c r="I471" s="12">
        <f>(INDEX(Proj[],MATCH(Std[[#This Row],[Player]],Proj[Player],0),16)-I$764)/I$765</f>
        <v>-0.5273646184537828</v>
      </c>
      <c r="J471" s="12">
        <f>(INDEX(Proj[],MATCH(Std[[#This Row],[Player]],Proj[Player],0),17)-J$764)/J$765</f>
        <v>-0.76105581014900237</v>
      </c>
      <c r="K471" s="12">
        <f>(INDEX(Proj[],MATCH(Std[[#This Row],[Player]],Proj[Player],0),18)-K$764)/K$765</f>
        <v>-0.75859266061649311</v>
      </c>
      <c r="L471" s="12">
        <f>(INDEX(Proj[],MATCH(Std[[#This Row],[Player]],Proj[Player],0),19)-L$764)/L$765</f>
        <v>-0.81647589674950882</v>
      </c>
      <c r="M471" s="12">
        <f>(INDEX(Proj[],MATCH(Std[[#This Row],[Player]],Proj[Player],0),20)-M$764)/M$765</f>
        <v>-0.71308883245737775</v>
      </c>
      <c r="N471" s="12">
        <f>(INDEX(Proj[],MATCH(Std[[#This Row],[Player]],Proj[Player],0),21)-N$764)/N$765</f>
        <v>2.4857909098288364</v>
      </c>
      <c r="O471" s="12">
        <f>(INDEX(Proj[],MATCH(Std[[#This Row],[Player]],Proj[Player],0),22)-O$764)/O$765</f>
        <v>-0.8229842561191606</v>
      </c>
      <c r="P471" s="12">
        <f>((INDEX(Proj[],MATCH(Std[[#This Row],[Player]],Proj[Player],0),23)-P$764)/P$765)*IF('League Inputs'!$C$23 = "Yes",-1, 1)</f>
        <v>0.81460015543418163</v>
      </c>
      <c r="Q471" s="12">
        <f>(INDEX(Proj[],MATCH(Std[[#This Row],[Player]],Proj[Player],0),24)-Q$764)/Q$765</f>
        <v>-0.48066273916635632</v>
      </c>
      <c r="R471" s="12">
        <f>(INDEX(Proj[],MATCH(Std[[#This Row],[Player]],Proj[Player],0),25)-R$764)/R$765</f>
        <v>-0.49478761413039063</v>
      </c>
      <c r="S471" s="12">
        <f>(INDEX(Proj[],MATCH(Std[[#This Row],[Player]],Proj[Player],0),26)-S$764)/S$765</f>
        <v>-1.9548359666921177E-3</v>
      </c>
      <c r="T4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-18.946069250353791</v>
      </c>
      <c r="U471" s="11"/>
      <c r="W471" t="str">
        <v>Will Cuylle</v>
      </c>
      <c r="AA471" t="str">
        <v>Will Cuylle</v>
      </c>
      <c r="AB471" t="str">
        <v>Will Cuylle</v>
      </c>
    </row>
    <row r="472" spans="1:28" x14ac:dyDescent="0.25">
      <c r="A472" t="s">
        <v>613</v>
      </c>
      <c r="B472">
        <f>INDEX(Proj[],MATCH(Std[[#This Row],[Player]],Proj[Player],0),2)</f>
        <v>32</v>
      </c>
      <c r="C472" t="s">
        <v>74</v>
      </c>
      <c r="D472" s="75" t="s">
        <v>103</v>
      </c>
      <c r="E472" s="56"/>
      <c r="F472" t="s">
        <v>22</v>
      </c>
      <c r="G472" s="12">
        <f>(INDEX(Proj[],MATCH(Std[[#This Row],[Player]],Proj[Player],0),14)-G$764)/G$765</f>
        <v>-0.13431591259265557</v>
      </c>
      <c r="H472" s="12">
        <f>(INDEX(Proj[],MATCH(Std[[#This Row],[Player]],Proj[Player],0),15)-H$764)/H$765</f>
        <v>-0.73719810048790013</v>
      </c>
      <c r="I472" s="12">
        <f>(INDEX(Proj[],MATCH(Std[[#This Row],[Player]],Proj[Player],0),16)-I$764)/I$765</f>
        <v>-0.5273646184537828</v>
      </c>
      <c r="J472" s="12">
        <f>(INDEX(Proj[],MATCH(Std[[#This Row],[Player]],Proj[Player],0),17)-J$764)/J$765</f>
        <v>-0.76105581014900237</v>
      </c>
      <c r="K472" s="12">
        <f>(INDEX(Proj[],MATCH(Std[[#This Row],[Player]],Proj[Player],0),18)-K$764)/K$765</f>
        <v>-0.75859266061649311</v>
      </c>
      <c r="L472" s="12">
        <f>(INDEX(Proj[],MATCH(Std[[#This Row],[Player]],Proj[Player],0),19)-L$764)/L$765</f>
        <v>-0.81647589674950882</v>
      </c>
      <c r="M472" s="12">
        <f>(INDEX(Proj[],MATCH(Std[[#This Row],[Player]],Proj[Player],0),20)-M$764)/M$765</f>
        <v>1.3378904761343182</v>
      </c>
      <c r="N472" s="12">
        <f>(INDEX(Proj[],MATCH(Std[[#This Row],[Player]],Proj[Player],0),21)-N$764)/N$765</f>
        <v>1.8656394426816827</v>
      </c>
      <c r="O472" s="12">
        <f>(INDEX(Proj[],MATCH(Std[[#This Row],[Player]],Proj[Player],0),22)-O$764)/O$765</f>
        <v>-0.38188019267463208</v>
      </c>
      <c r="P472" s="12">
        <f>((INDEX(Proj[],MATCH(Std[[#This Row],[Player]],Proj[Player],0),23)-P$764)/P$765)*IF('League Inputs'!$C$23 = "Yes",-1, 1)</f>
        <v>0.90767970403089848</v>
      </c>
      <c r="Q472" s="12">
        <f>(INDEX(Proj[],MATCH(Std[[#This Row],[Player]],Proj[Player],0),24)-Q$764)/Q$765</f>
        <v>1.5075841621766533</v>
      </c>
      <c r="R472" s="12">
        <f>(INDEX(Proj[],MATCH(Std[[#This Row],[Player]],Proj[Player],0),25)-R$764)/R$765</f>
        <v>1.7185084433051359</v>
      </c>
      <c r="S472" s="12">
        <f>(INDEX(Proj[],MATCH(Std[[#This Row],[Player]],Proj[Player],0),26)-S$764)/S$765</f>
        <v>-0.18036047006973993</v>
      </c>
      <c r="T4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150.33081178610152</v>
      </c>
      <c r="U472" s="11"/>
      <c r="W472" t="str">
        <v>Sean Kuraly</v>
      </c>
      <c r="AA472" t="str">
        <v>Sean Kuraly</v>
      </c>
      <c r="AB472" t="str">
        <v>Sean Kuraly</v>
      </c>
    </row>
    <row r="473" spans="1:28" x14ac:dyDescent="0.25">
      <c r="A473" t="s">
        <v>1117</v>
      </c>
      <c r="B473">
        <f>INDEX(Proj[],MATCH(Std[[#This Row],[Player]],Proj[Player],0),2)</f>
        <v>26</v>
      </c>
      <c r="C473" t="s">
        <v>102</v>
      </c>
      <c r="D473" s="75"/>
      <c r="E473" s="57"/>
      <c r="F473" t="s">
        <v>22</v>
      </c>
      <c r="G473" s="12">
        <f>(INDEX(Proj[],MATCH(Std[[#This Row],[Player]],Proj[Player],0),14)-G$764)/G$765</f>
        <v>-0.45121751886595246</v>
      </c>
      <c r="H473" s="12">
        <f>(INDEX(Proj[],MATCH(Std[[#This Row],[Player]],Proj[Player],0),15)-H$764)/H$765</f>
        <v>-0.51361029952310455</v>
      </c>
      <c r="I473" s="12">
        <f>(INDEX(Proj[],MATCH(Std[[#This Row],[Player]],Proj[Player],0),16)-I$764)/I$765</f>
        <v>-0.5273646184537828</v>
      </c>
      <c r="J473" s="12">
        <f>(INDEX(Proj[],MATCH(Std[[#This Row],[Player]],Proj[Player],0),17)-J$764)/J$765</f>
        <v>-0.76105581014900237</v>
      </c>
      <c r="K473" s="12">
        <f>(INDEX(Proj[],MATCH(Std[[#This Row],[Player]],Proj[Player],0),18)-K$764)/K$765</f>
        <v>-0.75859266061649311</v>
      </c>
      <c r="L473" s="12">
        <f>(INDEX(Proj[],MATCH(Std[[#This Row],[Player]],Proj[Player],0),19)-L$764)/L$765</f>
        <v>-0.81647589674950882</v>
      </c>
      <c r="M473" s="12">
        <f>(INDEX(Proj[],MATCH(Std[[#This Row],[Player]],Proj[Player],0),20)-M$764)/M$765</f>
        <v>2.3633801304301665</v>
      </c>
      <c r="N473" s="12">
        <f>(INDEX(Proj[],MATCH(Std[[#This Row],[Player]],Proj[Player],0),21)-N$764)/N$765</f>
        <v>2.3307530430420482</v>
      </c>
      <c r="O473" s="12">
        <f>(INDEX(Proj[],MATCH(Std[[#This Row],[Player]],Proj[Player],0),22)-O$764)/O$765</f>
        <v>0.36103191417931069</v>
      </c>
      <c r="P473" s="12">
        <f>((INDEX(Proj[],MATCH(Std[[#This Row],[Player]],Proj[Player],0),23)-P$764)/P$765)*IF('League Inputs'!$C$23 = "Yes",-1, 1)</f>
        <v>-0.39543397632313848</v>
      </c>
      <c r="Q473" s="12">
        <f>(INDEX(Proj[],MATCH(Std[[#This Row],[Player]],Proj[Player],0),24)-Q$764)/Q$765</f>
        <v>-0.37938474687274459</v>
      </c>
      <c r="R473" s="12">
        <f>(INDEX(Proj[],MATCH(Std[[#This Row],[Player]],Proj[Player],0),25)-R$764)/R$765</f>
        <v>-0.3926354884025971</v>
      </c>
      <c r="S473" s="12">
        <f>(INDEX(Proj[],MATCH(Std[[#This Row],[Player]],Proj[Player],0),26)-S$764)/S$765</f>
        <v>-0.43985957421962762</v>
      </c>
      <c r="T4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-83.156167378650068</v>
      </c>
      <c r="U473" s="11"/>
      <c r="W473" t="str">
        <v>Beck Malenstyn</v>
      </c>
      <c r="AA473" t="str">
        <v>Beck Malenstyn</v>
      </c>
      <c r="AB473" t="str">
        <v>Beck Malenstyn</v>
      </c>
    </row>
    <row r="474" spans="1:28" x14ac:dyDescent="0.25">
      <c r="A474" t="s">
        <v>516</v>
      </c>
      <c r="B474">
        <f>INDEX(Proj[],MATCH(Std[[#This Row],[Player]],Proj[Player],0),2)</f>
        <v>31</v>
      </c>
      <c r="C474" t="s">
        <v>102</v>
      </c>
      <c r="D474" s="75"/>
      <c r="E474" s="57"/>
      <c r="F474" t="s">
        <v>29</v>
      </c>
      <c r="G474" s="12">
        <f>(INDEX(Proj[],MATCH(Std[[#This Row],[Player]],Proj[Player],0),14)-G$764)/G$765</f>
        <v>-0.873752993897015</v>
      </c>
      <c r="H474" s="12">
        <f>(INDEX(Proj[],MATCH(Std[[#This Row],[Player]],Proj[Player],0),15)-H$764)/H$765</f>
        <v>-0.21549323157004366</v>
      </c>
      <c r="I474" s="12">
        <f>(INDEX(Proj[],MATCH(Std[[#This Row],[Player]],Proj[Player],0),16)-I$764)/I$765</f>
        <v>-0.5273646184537828</v>
      </c>
      <c r="J474" s="12">
        <f>(INDEX(Proj[],MATCH(Std[[#This Row],[Player]],Proj[Player],0),17)-J$764)/J$765</f>
        <v>-0.46669252292436259</v>
      </c>
      <c r="K474" s="12">
        <f>(INDEX(Proj[],MATCH(Std[[#This Row],[Player]],Proj[Player],0),18)-K$764)/K$765</f>
        <v>-0.14224887932464234</v>
      </c>
      <c r="L474" s="12">
        <f>(INDEX(Proj[],MATCH(Std[[#This Row],[Player]],Proj[Player],0),19)-L$764)/L$765</f>
        <v>-0.27278273918567114</v>
      </c>
      <c r="M474" s="12">
        <f>(INDEX(Proj[],MATCH(Std[[#This Row],[Player]],Proj[Player],0),20)-M$764)/M$765</f>
        <v>-0.71308883245737775</v>
      </c>
      <c r="N474" s="12">
        <f>(INDEX(Proj[],MATCH(Std[[#This Row],[Player]],Proj[Player],0),21)-N$764)/N$765</f>
        <v>-0.61496642590693373</v>
      </c>
      <c r="O474" s="12">
        <f>(INDEX(Proj[],MATCH(Std[[#This Row],[Player]],Proj[Player],0),22)-O$764)/O$765</f>
        <v>0.54675994089279634</v>
      </c>
      <c r="P474" s="12">
        <f>((INDEX(Proj[],MATCH(Std[[#This Row],[Player]],Proj[Player],0),23)-P$764)/P$765)*IF('League Inputs'!$C$23 = "Yes",-1, 1)</f>
        <v>-0.39543397632313848</v>
      </c>
      <c r="Q474" s="12">
        <f>(INDEX(Proj[],MATCH(Std[[#This Row],[Player]],Proj[Player],0),24)-Q$764)/Q$765</f>
        <v>-0.5766103108129359</v>
      </c>
      <c r="R474" s="12">
        <f>(INDEX(Proj[],MATCH(Std[[#This Row],[Player]],Proj[Player],0),25)-R$764)/R$765</f>
        <v>-0.62531533033812681</v>
      </c>
      <c r="S474" s="12">
        <f>(INDEX(Proj[],MATCH(Std[[#This Row],[Player]],Proj[Player],0),26)-S$764)/S$765</f>
        <v>-0.5696091262945715</v>
      </c>
      <c r="T4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-349.9253481551296</v>
      </c>
      <c r="U474" s="11"/>
      <c r="W474" t="str">
        <v>Matt Grzelcyk</v>
      </c>
      <c r="AA474" t="str">
        <v>Matt Grzelcyk</v>
      </c>
      <c r="AB474" t="str">
        <v>Matt Grzelcyk</v>
      </c>
    </row>
    <row r="475" spans="1:28" x14ac:dyDescent="0.25">
      <c r="A475" t="s">
        <v>568</v>
      </c>
      <c r="B475">
        <f>INDEX(Proj[],MATCH(Std[[#This Row],[Player]],Proj[Player],0),2)</f>
        <v>32</v>
      </c>
      <c r="C475" t="s">
        <v>3</v>
      </c>
      <c r="D475" s="75"/>
      <c r="E475" s="57"/>
      <c r="F475" t="s">
        <v>23</v>
      </c>
      <c r="G475" s="12">
        <f>(INDEX(Proj[],MATCH(Std[[#This Row],[Player]],Proj[Player],0),14)-G$764)/G$765</f>
        <v>-0.34558365010818687</v>
      </c>
      <c r="H475" s="12">
        <f>(INDEX(Proj[],MATCH(Std[[#This Row],[Player]],Proj[Player],0),15)-H$764)/H$765</f>
        <v>-0.58813956651136978</v>
      </c>
      <c r="I475" s="12">
        <f>(INDEX(Proj[],MATCH(Std[[#This Row],[Player]],Proj[Player],0),16)-I$764)/I$765</f>
        <v>-0.5273646184537828</v>
      </c>
      <c r="J475" s="12">
        <f>(INDEX(Proj[],MATCH(Std[[#This Row],[Player]],Proj[Player],0),17)-J$764)/J$765</f>
        <v>-0.17232923569972286</v>
      </c>
      <c r="K475" s="12">
        <f>(INDEX(Proj[],MATCH(Std[[#This Row],[Player]],Proj[Player],0),18)-K$764)/K$765</f>
        <v>-0.45042076997056774</v>
      </c>
      <c r="L475" s="12">
        <f>(INDEX(Proj[],MATCH(Std[[#This Row],[Player]],Proj[Player],0),19)-L$764)/L$765</f>
        <v>-0.38152137069843867</v>
      </c>
      <c r="M475" s="12">
        <f>(INDEX(Proj[],MATCH(Std[[#This Row],[Player]],Proj[Player],0),20)-M$764)/M$765</f>
        <v>-0.71308883245737775</v>
      </c>
      <c r="N475" s="12">
        <f>(INDEX(Proj[],MATCH(Std[[#This Row],[Player]],Proj[Player],0),21)-N$764)/N$765</f>
        <v>-0.22737175893996248</v>
      </c>
      <c r="O475" s="12">
        <f>(INDEX(Proj[],MATCH(Std[[#This Row],[Player]],Proj[Player],0),22)-O$764)/O$765</f>
        <v>-0.52117621270974634</v>
      </c>
      <c r="P475" s="12">
        <f>((INDEX(Proj[],MATCH(Std[[#This Row],[Player]],Proj[Player],0),23)-P$764)/P$765)*IF('League Inputs'!$C$23 = "Yes",-1, 1)</f>
        <v>0.81460015543418163</v>
      </c>
      <c r="Q475" s="12">
        <f>(INDEX(Proj[],MATCH(Std[[#This Row],[Player]],Proj[Player],0),24)-Q$764)/Q$765</f>
        <v>-0.48066273916635632</v>
      </c>
      <c r="R475" s="12">
        <f>(INDEX(Proj[],MATCH(Std[[#This Row],[Player]],Proj[Player],0),25)-R$764)/R$765</f>
        <v>-0.43236131507451681</v>
      </c>
      <c r="S475" s="12">
        <f>(INDEX(Proj[],MATCH(Std[[#This Row],[Player]],Proj[Player],0),26)-S$764)/S$765</f>
        <v>-0.13170438804163598</v>
      </c>
      <c r="T4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-238.89241491952978</v>
      </c>
      <c r="U475" s="11"/>
      <c r="W475" t="str">
        <v>Tanner Pearson</v>
      </c>
      <c r="AA475" t="str">
        <v>Tanner Pearson</v>
      </c>
      <c r="AB475" t="str">
        <v>Tanner Pearson</v>
      </c>
    </row>
    <row r="476" spans="1:28" x14ac:dyDescent="0.25">
      <c r="A476" t="s">
        <v>756</v>
      </c>
      <c r="B476">
        <f>INDEX(Proj[],MATCH(Std[[#This Row],[Player]],Proj[Player],0),2)</f>
        <v>28</v>
      </c>
      <c r="C476" t="s">
        <v>3</v>
      </c>
      <c r="D476" s="75"/>
      <c r="E476" s="57"/>
      <c r="F476" t="s">
        <v>15</v>
      </c>
      <c r="G476" s="12">
        <f>(INDEX(Proj[],MATCH(Std[[#This Row],[Player]],Proj[Player],0),14)-G$764)/G$765</f>
        <v>-0.13431591259265557</v>
      </c>
      <c r="H476" s="12">
        <f>(INDEX(Proj[],MATCH(Std[[#This Row],[Player]],Proj[Player],0),15)-H$764)/H$765</f>
        <v>-0.73719810048790013</v>
      </c>
      <c r="I476" s="12">
        <f>(INDEX(Proj[],MATCH(Std[[#This Row],[Player]],Proj[Player],0),16)-I$764)/I$765</f>
        <v>-0.5273646184537828</v>
      </c>
      <c r="J476" s="12">
        <f>(INDEX(Proj[],MATCH(Std[[#This Row],[Player]],Proj[Player],0),17)-J$764)/J$765</f>
        <v>-0.17232923569972286</v>
      </c>
      <c r="K476" s="12">
        <f>(INDEX(Proj[],MATCH(Std[[#This Row],[Player]],Proj[Player],0),18)-K$764)/K$765</f>
        <v>-0.14224887932464234</v>
      </c>
      <c r="L476" s="12">
        <f>(INDEX(Proj[],MATCH(Std[[#This Row],[Player]],Proj[Player],0),19)-L$764)/L$765</f>
        <v>-0.16404410767290362</v>
      </c>
      <c r="M476" s="12">
        <f>(INDEX(Proj[],MATCH(Std[[#This Row],[Player]],Proj[Player],0),20)-M$764)/M$765</f>
        <v>2.3633801304301665</v>
      </c>
      <c r="N476" s="12">
        <f>(INDEX(Proj[],MATCH(Std[[#This Row],[Player]],Proj[Player],0),21)-N$764)/N$765</f>
        <v>-0.30489069233335675</v>
      </c>
      <c r="O476" s="12">
        <f>(INDEX(Proj[],MATCH(Std[[#This Row],[Player]],Proj[Player],0),22)-O$764)/O$765</f>
        <v>-0.31223218265707492</v>
      </c>
      <c r="P476" s="12">
        <f>((INDEX(Proj[],MATCH(Std[[#This Row],[Player]],Proj[Player],0),23)-P$764)/P$765)*IF('League Inputs'!$C$23 = "Yes",-1, 1)</f>
        <v>0.44228196104731388</v>
      </c>
      <c r="Q476" s="12">
        <f>(INDEX(Proj[],MATCH(Std[[#This Row],[Player]],Proj[Player],0),24)-Q$764)/Q$765</f>
        <v>1.6568359402935549</v>
      </c>
      <c r="R476" s="12">
        <f>(INDEX(Proj[],MATCH(Std[[#This Row],[Player]],Proj[Player],0),25)-R$764)/R$765</f>
        <v>1.5823056090014112</v>
      </c>
      <c r="S476" s="12">
        <f>(INDEX(Proj[],MATCH(Std[[#This Row],[Player]],Proj[Player],0),26)-S$764)/S$765</f>
        <v>-0.40742218620089166</v>
      </c>
      <c r="T4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-48.834989905769667</v>
      </c>
      <c r="U476" s="11"/>
      <c r="W476" t="str">
        <v>Kevin Stenlund</v>
      </c>
      <c r="AA476" t="str">
        <v>Kevin Stenlund</v>
      </c>
      <c r="AB476" t="str">
        <v>Kevin Stenlund</v>
      </c>
    </row>
    <row r="477" spans="1:28" x14ac:dyDescent="0.25">
      <c r="A477" t="s">
        <v>929</v>
      </c>
      <c r="B477">
        <f>INDEX(Proj[],MATCH(Std[[#This Row],[Player]],Proj[Player],0),2)</f>
        <v>30</v>
      </c>
      <c r="C477" t="s">
        <v>102</v>
      </c>
      <c r="D477" s="75"/>
      <c r="E477" s="57"/>
      <c r="F477" t="s">
        <v>9</v>
      </c>
      <c r="G477" s="12">
        <f>(INDEX(Proj[],MATCH(Std[[#This Row],[Player]],Proj[Player],0),14)-G$764)/G$765</f>
        <v>-0.55685138762371811</v>
      </c>
      <c r="H477" s="12">
        <f>(INDEX(Proj[],MATCH(Std[[#This Row],[Player]],Proj[Player],0),15)-H$764)/H$765</f>
        <v>-0.43908103253483932</v>
      </c>
      <c r="I477" s="12">
        <f>(INDEX(Proj[],MATCH(Std[[#This Row],[Player]],Proj[Player],0),16)-I$764)/I$765</f>
        <v>-0.5273646184537828</v>
      </c>
      <c r="J477" s="12">
        <f>(INDEX(Proj[],MATCH(Std[[#This Row],[Player]],Proj[Player],0),17)-J$764)/J$765</f>
        <v>-0.76105581014900237</v>
      </c>
      <c r="K477" s="12">
        <f>(INDEX(Proj[],MATCH(Std[[#This Row],[Player]],Proj[Player],0),18)-K$764)/K$765</f>
        <v>-0.75859266061649311</v>
      </c>
      <c r="L477" s="12">
        <f>(INDEX(Proj[],MATCH(Std[[#This Row],[Player]],Proj[Player],0),19)-L$764)/L$765</f>
        <v>-0.81647589674950882</v>
      </c>
      <c r="M477" s="12">
        <f>(INDEX(Proj[],MATCH(Std[[#This Row],[Player]],Proj[Player],0),20)-M$764)/M$765</f>
        <v>-0.71308883245737775</v>
      </c>
      <c r="N477" s="12">
        <f>(INDEX(Proj[],MATCH(Std[[#This Row],[Player]],Proj[Player],0),21)-N$764)/N$765</f>
        <v>-1.0994597596156479</v>
      </c>
      <c r="O477" s="12">
        <f>(INDEX(Proj[],MATCH(Std[[#This Row],[Player]],Proj[Player],0),22)-O$764)/O$765</f>
        <v>0.43067992419686779</v>
      </c>
      <c r="P477" s="12">
        <f>((INDEX(Proj[],MATCH(Std[[#This Row],[Player]],Proj[Player],0),23)-P$764)/P$765)*IF('League Inputs'!$C$23 = "Yes",-1, 1)</f>
        <v>-0.72121239641164769</v>
      </c>
      <c r="Q477" s="12">
        <f>(INDEX(Proj[],MATCH(Std[[#This Row],[Player]],Proj[Player],0),24)-Q$764)/Q$765</f>
        <v>-0.5766103108129359</v>
      </c>
      <c r="R477" s="12">
        <f>(INDEX(Proj[],MATCH(Std[[#This Row],[Player]],Proj[Player],0),25)-R$764)/R$765</f>
        <v>-0.62531533033812681</v>
      </c>
      <c r="S477" s="12">
        <f>(INDEX(Proj[],MATCH(Std[[#This Row],[Player]],Proj[Player],0),26)-S$764)/S$765</f>
        <v>-0.7155773723788833</v>
      </c>
      <c r="T4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-502.19528503840962</v>
      </c>
      <c r="U477" s="11"/>
      <c r="W477" t="str">
        <v>Calle Rosen</v>
      </c>
      <c r="AA477" t="str">
        <v>Calle Rosen</v>
      </c>
      <c r="AB477" t="str">
        <v>Calle Rosen</v>
      </c>
    </row>
    <row r="478" spans="1:28" x14ac:dyDescent="0.25">
      <c r="A478" t="s">
        <v>551</v>
      </c>
      <c r="B478">
        <f>INDEX(Proj[],MATCH(Std[[#This Row],[Player]],Proj[Player],0),2)</f>
        <v>23</v>
      </c>
      <c r="C478" t="s">
        <v>3</v>
      </c>
      <c r="D478" s="75"/>
      <c r="E478" s="57"/>
      <c r="F478" t="s">
        <v>4</v>
      </c>
      <c r="G478" s="12">
        <f>(INDEX(Proj[],MATCH(Std[[#This Row],[Player]],Proj[Player],0),14)-G$764)/G$765</f>
        <v>-0.13431591259265557</v>
      </c>
      <c r="H478" s="12">
        <f>(INDEX(Proj[],MATCH(Std[[#This Row],[Player]],Proj[Player],0),15)-H$764)/H$765</f>
        <v>-0.73719810048790013</v>
      </c>
      <c r="I478" s="12">
        <f>(INDEX(Proj[],MATCH(Std[[#This Row],[Player]],Proj[Player],0),16)-I$764)/I$765</f>
        <v>-0.5273646184537828</v>
      </c>
      <c r="J478" s="12">
        <f>(INDEX(Proj[],MATCH(Std[[#This Row],[Player]],Proj[Player],0),17)-J$764)/J$765</f>
        <v>0.41639733874955659</v>
      </c>
      <c r="K478" s="12">
        <f>(INDEX(Proj[],MATCH(Std[[#This Row],[Player]],Proj[Player],0),18)-K$764)/K$765</f>
        <v>-0.45042076997056774</v>
      </c>
      <c r="L478" s="12">
        <f>(INDEX(Proj[],MATCH(Std[[#This Row],[Player]],Proj[Player],0),19)-L$764)/L$765</f>
        <v>-0.16404410767290362</v>
      </c>
      <c r="M478" s="12">
        <f>(INDEX(Proj[],MATCH(Std[[#This Row],[Player]],Proj[Player],0),20)-M$764)/M$765</f>
        <v>-0.71308883245737775</v>
      </c>
      <c r="N478" s="12">
        <f>(INDEX(Proj[],MATCH(Std[[#This Row],[Player]],Proj[Player],0),21)-N$764)/N$765</f>
        <v>-0.98318135952555652</v>
      </c>
      <c r="O478" s="12">
        <f>(INDEX(Proj[],MATCH(Std[[#This Row],[Player]],Proj[Player],0),22)-O$764)/O$765</f>
        <v>-1.1247922995285748</v>
      </c>
      <c r="P478" s="12">
        <f>((INDEX(Proj[],MATCH(Std[[#This Row],[Player]],Proj[Player],0),23)-P$764)/P$765)*IF('League Inputs'!$C$23 = "Yes",-1, 1)</f>
        <v>-0.76775217071000623</v>
      </c>
      <c r="Q478" s="12">
        <f>(INDEX(Proj[],MATCH(Std[[#This Row],[Player]],Proj[Player],0),24)-Q$764)/Q$765</f>
        <v>-0.54995820757777492</v>
      </c>
      <c r="R478" s="12">
        <f>(INDEX(Proj[],MATCH(Std[[#This Row],[Player]],Proj[Player],0),25)-R$764)/R$765</f>
        <v>-0.59693973985818416</v>
      </c>
      <c r="S478" s="12">
        <f>(INDEX(Proj[],MATCH(Std[[#This Row],[Player]],Proj[Player],0),26)-S$764)/S$765</f>
        <v>0.1764507981363557</v>
      </c>
      <c r="T4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-481.21559784127987</v>
      </c>
      <c r="U478" s="11"/>
      <c r="W478" t="str">
        <v>Arthur Kaliyev</v>
      </c>
      <c r="AA478" t="str">
        <v>Arthur Kaliyev</v>
      </c>
      <c r="AB478" t="str">
        <v>Arthur Kaliyev</v>
      </c>
    </row>
    <row r="479" spans="1:28" x14ac:dyDescent="0.25">
      <c r="A479" t="s">
        <v>806</v>
      </c>
      <c r="B479">
        <f>INDEX(Proj[],MATCH(Std[[#This Row],[Player]],Proj[Player],0),2)</f>
        <v>26</v>
      </c>
      <c r="C479" t="s">
        <v>102</v>
      </c>
      <c r="D479" s="75" t="s">
        <v>103</v>
      </c>
      <c r="E479" s="56"/>
      <c r="F479" t="s">
        <v>18</v>
      </c>
      <c r="G479" s="12">
        <f>(INDEX(Proj[],MATCH(Std[[#This Row],[Player]],Proj[Player],0),14)-G$764)/G$765</f>
        <v>-0.23994978135042122</v>
      </c>
      <c r="H479" s="12">
        <f>(INDEX(Proj[],MATCH(Std[[#This Row],[Player]],Proj[Player],0),15)-H$764)/H$765</f>
        <v>-0.6626688334996349</v>
      </c>
      <c r="I479" s="12">
        <f>(INDEX(Proj[],MATCH(Std[[#This Row],[Player]],Proj[Player],0),16)-I$764)/I$765</f>
        <v>-0.5273646184537828</v>
      </c>
      <c r="J479" s="12">
        <f>(INDEX(Proj[],MATCH(Std[[#This Row],[Player]],Proj[Player],0),17)-J$764)/J$765</f>
        <v>-0.76105581014900237</v>
      </c>
      <c r="K479" s="12">
        <f>(INDEX(Proj[],MATCH(Std[[#This Row],[Player]],Proj[Player],0),18)-K$764)/K$765</f>
        <v>-0.75859266061649311</v>
      </c>
      <c r="L479" s="12">
        <f>(INDEX(Proj[],MATCH(Std[[#This Row],[Player]],Proj[Player],0),19)-L$764)/L$765</f>
        <v>-0.81647589674950882</v>
      </c>
      <c r="M479" s="12">
        <f>(INDEX(Proj[],MATCH(Std[[#This Row],[Player]],Proj[Player],0),20)-M$764)/M$765</f>
        <v>0.31240082183847029</v>
      </c>
      <c r="N479" s="12">
        <f>(INDEX(Proj[],MATCH(Std[[#This Row],[Player]],Proj[Player],0),21)-N$764)/N$765</f>
        <v>0.21836210807205453</v>
      </c>
      <c r="O479" s="12">
        <f>(INDEX(Proj[],MATCH(Std[[#This Row],[Player]],Proj[Player],0),22)-O$764)/O$765</f>
        <v>-0.12650415594358927</v>
      </c>
      <c r="P479" s="12">
        <f>((INDEX(Proj[],MATCH(Std[[#This Row],[Player]],Proj[Player],0),23)-P$764)/P$765)*IF('League Inputs'!$C$23 = "Yes",-1, 1)</f>
        <v>0.44228196104731388</v>
      </c>
      <c r="Q479" s="12">
        <f>(INDEX(Proj[],MATCH(Std[[#This Row],[Player]],Proj[Player],0),24)-Q$764)/Q$765</f>
        <v>0.3881958262998918</v>
      </c>
      <c r="R479" s="12">
        <f>(INDEX(Proj[],MATCH(Std[[#This Row],[Player]],Proj[Player],0),25)-R$764)/R$765</f>
        <v>0.56645946981946438</v>
      </c>
      <c r="S479" s="12">
        <f>(INDEX(Proj[],MATCH(Std[[#This Row],[Player]],Proj[Player],0),26)-S$764)/S$765</f>
        <v>-0.7155773723788833</v>
      </c>
      <c r="T4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-203.9700762956561</v>
      </c>
      <c r="U479" s="11"/>
      <c r="W479" t="str">
        <v>Brett Howden</v>
      </c>
      <c r="AA479" t="str">
        <v>Brett Howden</v>
      </c>
      <c r="AB479" t="str">
        <v>Brett Howden</v>
      </c>
    </row>
    <row r="480" spans="1:28" x14ac:dyDescent="0.25">
      <c r="A480" t="s">
        <v>694</v>
      </c>
      <c r="B480">
        <f>INDEX(Proj[],MATCH(Std[[#This Row],[Player]],Proj[Player],0),2)</f>
        <v>24</v>
      </c>
      <c r="C480" t="s">
        <v>102</v>
      </c>
      <c r="D480" s="75" t="s">
        <v>103</v>
      </c>
      <c r="E480" s="56"/>
      <c r="F480" t="s">
        <v>13</v>
      </c>
      <c r="G480" s="12">
        <f>(INDEX(Proj[],MATCH(Std[[#This Row],[Player]],Proj[Player],0),14)-G$764)/G$765</f>
        <v>-0.55685138762371811</v>
      </c>
      <c r="H480" s="12">
        <f>(INDEX(Proj[],MATCH(Std[[#This Row],[Player]],Proj[Player],0),15)-H$764)/H$765</f>
        <v>-0.43908103253483932</v>
      </c>
      <c r="I480" s="12">
        <f>(INDEX(Proj[],MATCH(Std[[#This Row],[Player]],Proj[Player],0),16)-I$764)/I$765</f>
        <v>-0.5273646184537828</v>
      </c>
      <c r="J480" s="12">
        <f>(INDEX(Proj[],MATCH(Std[[#This Row],[Player]],Proj[Player],0),17)-J$764)/J$765</f>
        <v>-0.46669252292436259</v>
      </c>
      <c r="K480" s="12">
        <f>(INDEX(Proj[],MATCH(Std[[#This Row],[Player]],Proj[Player],0),18)-K$764)/K$765</f>
        <v>-0.60450671529353051</v>
      </c>
      <c r="L480" s="12">
        <f>(INDEX(Proj[],MATCH(Std[[#This Row],[Player]],Proj[Player],0),19)-L$764)/L$765</f>
        <v>-0.59899863372397377</v>
      </c>
      <c r="M480" s="12">
        <f>(INDEX(Proj[],MATCH(Std[[#This Row],[Player]],Proj[Player],0),20)-M$764)/M$765</f>
        <v>-0.71308883245737775</v>
      </c>
      <c r="N480" s="12">
        <f>(INDEX(Proj[],MATCH(Std[[#This Row],[Player]],Proj[Player],0),21)-N$764)/N$765</f>
        <v>0.17960264137535742</v>
      </c>
      <c r="O480" s="12">
        <f>(INDEX(Proj[],MATCH(Std[[#This Row],[Player]],Proj[Player],0),22)-O$764)/O$765</f>
        <v>-0.93906427281508909</v>
      </c>
      <c r="P480" s="12">
        <f>((INDEX(Proj[],MATCH(Std[[#This Row],[Player]],Proj[Player],0),23)-P$764)/P$765)*IF('League Inputs'!$C$23 = "Yes",-1, 1)</f>
        <v>0.67498083253910623</v>
      </c>
      <c r="Q480" s="12">
        <f>(INDEX(Proj[],MATCH(Std[[#This Row],[Player]],Proj[Player],0),24)-Q$764)/Q$765</f>
        <v>0.83062074000356423</v>
      </c>
      <c r="R480" s="12">
        <f>(INDEX(Proj[],MATCH(Std[[#This Row],[Player]],Proj[Player],0),25)-R$764)/R$765</f>
        <v>1.1509966337062829</v>
      </c>
      <c r="S480" s="12">
        <f>(INDEX(Proj[],MATCH(Std[[#This Row],[Player]],Proj[Player],0),26)-S$764)/S$765</f>
        <v>-0.74801476039761927</v>
      </c>
      <c r="T4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-212.41704916309939</v>
      </c>
      <c r="U480" s="11"/>
      <c r="W480" t="str">
        <v>Peyton Krebs</v>
      </c>
      <c r="AA480" t="str">
        <v>Peyton Krebs</v>
      </c>
      <c r="AB480" t="str">
        <v>Peyton Krebs</v>
      </c>
    </row>
    <row r="481" spans="1:28" x14ac:dyDescent="0.25">
      <c r="A481" t="s">
        <v>325</v>
      </c>
      <c r="B481">
        <f>INDEX(Proj[],MATCH(Std[[#This Row],[Player]],Proj[Player],0),2)</f>
        <v>33</v>
      </c>
      <c r="C481" t="s">
        <v>74</v>
      </c>
      <c r="D481" s="75" t="s">
        <v>102</v>
      </c>
      <c r="E481" s="57"/>
      <c r="F481" t="s">
        <v>22</v>
      </c>
      <c r="G481" s="12">
        <f>(INDEX(Proj[],MATCH(Std[[#This Row],[Player]],Proj[Player],0),14)-G$764)/G$765</f>
        <v>-0.7681191251392494</v>
      </c>
      <c r="H481" s="12">
        <f>(INDEX(Proj[],MATCH(Std[[#This Row],[Player]],Proj[Player],0),15)-H$764)/H$765</f>
        <v>-0.36455176554657409</v>
      </c>
      <c r="I481" s="12">
        <f>(INDEX(Proj[],MATCH(Std[[#This Row],[Player]],Proj[Player],0),16)-I$764)/I$765</f>
        <v>-0.57460717741588596</v>
      </c>
      <c r="J481" s="12">
        <f>(INDEX(Proj[],MATCH(Std[[#This Row],[Player]],Proj[Player],0),17)-J$764)/J$765</f>
        <v>-0.76105581014900237</v>
      </c>
      <c r="K481" s="12">
        <f>(INDEX(Proj[],MATCH(Std[[#This Row],[Player]],Proj[Player],0),18)-K$764)/K$765</f>
        <v>-0.60450671529353051</v>
      </c>
      <c r="L481" s="12">
        <f>(INDEX(Proj[],MATCH(Std[[#This Row],[Player]],Proj[Player],0),19)-L$764)/L$765</f>
        <v>-0.7077372652367413</v>
      </c>
      <c r="M481" s="12">
        <f>(INDEX(Proj[],MATCH(Std[[#This Row],[Player]],Proj[Player],0),20)-M$764)/M$765</f>
        <v>-0.71308883245737775</v>
      </c>
      <c r="N481" s="12">
        <f>(INDEX(Proj[],MATCH(Std[[#This Row],[Player]],Proj[Player],0),21)-N$764)/N$765</f>
        <v>1.1292095754444371</v>
      </c>
      <c r="O481" s="12">
        <f>(INDEX(Proj[],MATCH(Std[[#This Row],[Player]],Proj[Player],0),22)-O$764)/O$765</f>
        <v>2.427256211366839</v>
      </c>
      <c r="P481" s="12">
        <f>((INDEX(Proj[],MATCH(Std[[#This Row],[Player]],Proj[Player],0),23)-P$764)/P$765)*IF('League Inputs'!$C$23 = "Yes",-1, 1)</f>
        <v>0.76806038113582309</v>
      </c>
      <c r="Q481" s="12">
        <f>(INDEX(Proj[],MATCH(Std[[#This Row],[Player]],Proj[Player],0),24)-Q$764)/Q$765</f>
        <v>-0.5766103108129359</v>
      </c>
      <c r="R481" s="12">
        <f>(INDEX(Proj[],MATCH(Std[[#This Row],[Player]],Proj[Player],0),25)-R$764)/R$765</f>
        <v>-0.62531533033812681</v>
      </c>
      <c r="S481" s="12">
        <f>(INDEX(Proj[],MATCH(Std[[#This Row],[Player]],Proj[Player],0),26)-S$764)/S$765</f>
        <v>-0.18036047006973993</v>
      </c>
      <c r="T4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115.25400537259729</v>
      </c>
      <c r="U481" s="11"/>
      <c r="W481" t="str">
        <v>Ben Chiarot</v>
      </c>
      <c r="AA481" t="str">
        <v>Ben Chiarot</v>
      </c>
      <c r="AB481" t="str">
        <v>Ben Chiarot</v>
      </c>
    </row>
    <row r="482" spans="1:28" x14ac:dyDescent="0.25">
      <c r="A482" t="s">
        <v>871</v>
      </c>
      <c r="B482">
        <f>INDEX(Proj[],MATCH(Std[[#This Row],[Player]],Proj[Player],0),2)</f>
        <v>34</v>
      </c>
      <c r="C482" t="s">
        <v>102</v>
      </c>
      <c r="D482" s="75"/>
      <c r="E482" s="57"/>
      <c r="F482" t="s">
        <v>11</v>
      </c>
      <c r="G482" s="12">
        <f>(INDEX(Proj[],MATCH(Std[[#This Row],[Player]],Proj[Player],0),14)-G$764)/G$765</f>
        <v>-0.9793868626547807</v>
      </c>
      <c r="H482" s="12">
        <f>(INDEX(Proj[],MATCH(Std[[#This Row],[Player]],Proj[Player],0),15)-H$764)/H$765</f>
        <v>-0.21549323157004366</v>
      </c>
      <c r="I482" s="12">
        <f>(INDEX(Proj[],MATCH(Std[[#This Row],[Player]],Proj[Player],0),16)-I$764)/I$765</f>
        <v>-0.57460717741588596</v>
      </c>
      <c r="J482" s="12">
        <f>(INDEX(Proj[],MATCH(Std[[#This Row],[Player]],Proj[Player],0),17)-J$764)/J$765</f>
        <v>-0.76105581014900237</v>
      </c>
      <c r="K482" s="12">
        <f>(INDEX(Proj[],MATCH(Std[[#This Row],[Player]],Proj[Player],0),18)-K$764)/K$765</f>
        <v>-0.75859266061649311</v>
      </c>
      <c r="L482" s="12">
        <f>(INDEX(Proj[],MATCH(Std[[#This Row],[Player]],Proj[Player],0),19)-L$764)/L$765</f>
        <v>-0.81647589674950882</v>
      </c>
      <c r="M482" s="12">
        <f>(INDEX(Proj[],MATCH(Std[[#This Row],[Player]],Proj[Player],0),20)-M$764)/M$765</f>
        <v>0.31240082183847029</v>
      </c>
      <c r="N482" s="12">
        <f>(INDEX(Proj[],MATCH(Std[[#This Row],[Player]],Proj[Player],0),21)-N$764)/N$765</f>
        <v>1.22610824218618</v>
      </c>
      <c r="O482" s="12">
        <f>(INDEX(Proj[],MATCH(Std[[#This Row],[Player]],Proj[Player],0),22)-O$764)/O$765</f>
        <v>3.3326803415950814</v>
      </c>
      <c r="P482" s="12">
        <f>((INDEX(Proj[],MATCH(Std[[#This Row],[Player]],Proj[Player],0),23)-P$764)/P$765)*IF('League Inputs'!$C$23 = "Yes",-1, 1)</f>
        <v>0.11650354095880462</v>
      </c>
      <c r="Q482" s="12">
        <f>(INDEX(Proj[],MATCH(Std[[#This Row],[Player]],Proj[Player],0),24)-Q$764)/Q$765</f>
        <v>-0.5766103108129359</v>
      </c>
      <c r="R482" s="12">
        <f>(INDEX(Proj[],MATCH(Std[[#This Row],[Player]],Proj[Player],0),25)-R$764)/R$765</f>
        <v>-0.62531533033812681</v>
      </c>
      <c r="S482" s="12">
        <f>(INDEX(Proj[],MATCH(Std[[#This Row],[Player]],Proj[Player],0),26)-S$764)/S$765</f>
        <v>-0.58582782030393954</v>
      </c>
      <c r="T4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92.689082523297145</v>
      </c>
      <c r="U482" s="11"/>
      <c r="W482" t="str">
        <v>Brayden McNabb</v>
      </c>
      <c r="AA482" t="str">
        <v>Brayden McNabb</v>
      </c>
      <c r="AB482" t="str">
        <v>Brayden McNabb</v>
      </c>
    </row>
    <row r="483" spans="1:28" x14ac:dyDescent="0.25">
      <c r="A483" t="s">
        <v>459</v>
      </c>
      <c r="B483">
        <f>INDEX(Proj[],MATCH(Std[[#This Row],[Player]],Proj[Player],0),2)</f>
        <v>32</v>
      </c>
      <c r="C483" t="s">
        <v>74</v>
      </c>
      <c r="D483" s="75"/>
      <c r="E483" s="57"/>
      <c r="F483" t="s">
        <v>153</v>
      </c>
      <c r="G483" s="12">
        <f>(INDEX(Proj[],MATCH(Std[[#This Row],[Player]],Proj[Player],0),14)-G$764)/G$765</f>
        <v>-0.7681191251392494</v>
      </c>
      <c r="H483" s="12">
        <f>(INDEX(Proj[],MATCH(Std[[#This Row],[Player]],Proj[Player],0),15)-H$764)/H$765</f>
        <v>-0.36455176554657409</v>
      </c>
      <c r="I483" s="12">
        <f>(INDEX(Proj[],MATCH(Std[[#This Row],[Player]],Proj[Player],0),16)-I$764)/I$765</f>
        <v>-0.57460717741588596</v>
      </c>
      <c r="J483" s="12">
        <f>(INDEX(Proj[],MATCH(Std[[#This Row],[Player]],Proj[Player],0),17)-J$764)/J$765</f>
        <v>-0.76105581014900237</v>
      </c>
      <c r="K483" s="12">
        <f>(INDEX(Proj[],MATCH(Std[[#This Row],[Player]],Proj[Player],0),18)-K$764)/K$765</f>
        <v>-0.75859266061649311</v>
      </c>
      <c r="L483" s="12">
        <f>(INDEX(Proj[],MATCH(Std[[#This Row],[Player]],Proj[Player],0),19)-L$764)/L$765</f>
        <v>-0.81647589674950882</v>
      </c>
      <c r="M483" s="12">
        <f>(INDEX(Proj[],MATCH(Std[[#This Row],[Player]],Proj[Player],0),20)-M$764)/M$765</f>
        <v>1.3378904761343182</v>
      </c>
      <c r="N483" s="12">
        <f>(INDEX(Proj[],MATCH(Std[[#This Row],[Player]],Proj[Player],0),21)-N$764)/N$765</f>
        <v>0.43153917490388877</v>
      </c>
      <c r="O483" s="12">
        <f>(INDEX(Proj[],MATCH(Std[[#This Row],[Player]],Proj[Player],0),22)-O$764)/O$765</f>
        <v>2.009368151261496</v>
      </c>
      <c r="P483" s="12">
        <f>((INDEX(Proj[],MATCH(Std[[#This Row],[Player]],Proj[Player],0),23)-P$764)/P$765)*IF('League Inputs'!$C$23 = "Yes",-1, 1)</f>
        <v>0.72152060683746466</v>
      </c>
      <c r="Q483" s="12">
        <f>(INDEX(Proj[],MATCH(Std[[#This Row],[Player]],Proj[Player],0),24)-Q$764)/Q$765</f>
        <v>-0.5766103108129359</v>
      </c>
      <c r="R483" s="12">
        <f>(INDEX(Proj[],MATCH(Std[[#This Row],[Player]],Proj[Player],0),25)-R$764)/R$765</f>
        <v>-0.62531533033812681</v>
      </c>
      <c r="S483" s="12">
        <f>(INDEX(Proj[],MATCH(Std[[#This Row],[Player]],Proj[Player],0),26)-S$764)/S$765</f>
        <v>-0.43985957421962762</v>
      </c>
      <c r="T4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-37.77959168809322</v>
      </c>
      <c r="U483" s="11"/>
      <c r="W483" t="str">
        <v>Jamie Oleksiak</v>
      </c>
      <c r="AA483" t="str">
        <v>Jamie Oleksiak</v>
      </c>
      <c r="AB483" t="str">
        <v>Jamie Oleksiak</v>
      </c>
    </row>
    <row r="484" spans="1:28" x14ac:dyDescent="0.25">
      <c r="A484" t="s">
        <v>378</v>
      </c>
      <c r="B484">
        <f>INDEX(Proj[],MATCH(Std[[#This Row],[Player]],Proj[Player],0),2)</f>
        <v>29</v>
      </c>
      <c r="C484" t="s">
        <v>102</v>
      </c>
      <c r="D484" s="75" t="s">
        <v>103</v>
      </c>
      <c r="E484" s="57"/>
      <c r="F484" t="s">
        <v>14</v>
      </c>
      <c r="G484" s="12">
        <f>(INDEX(Proj[],MATCH(Std[[#This Row],[Player]],Proj[Player],0),14)-G$764)/G$765</f>
        <v>-0.873752993897015</v>
      </c>
      <c r="H484" s="12">
        <f>(INDEX(Proj[],MATCH(Std[[#This Row],[Player]],Proj[Player],0),15)-H$764)/H$765</f>
        <v>-0.29002249855830886</v>
      </c>
      <c r="I484" s="12">
        <f>(INDEX(Proj[],MATCH(Std[[#This Row],[Player]],Proj[Player],0),16)-I$764)/I$765</f>
        <v>-0.57460717741588596</v>
      </c>
      <c r="J484" s="12">
        <f>(INDEX(Proj[],MATCH(Std[[#This Row],[Player]],Proj[Player],0),17)-J$764)/J$765</f>
        <v>-0.76105581014900237</v>
      </c>
      <c r="K484" s="12">
        <f>(INDEX(Proj[],MATCH(Std[[#This Row],[Player]],Proj[Player],0),18)-K$764)/K$765</f>
        <v>-0.75859266061649311</v>
      </c>
      <c r="L484" s="12">
        <f>(INDEX(Proj[],MATCH(Std[[#This Row],[Player]],Proj[Player],0),19)-L$764)/L$765</f>
        <v>-0.81647589674950882</v>
      </c>
      <c r="M484" s="12">
        <f>(INDEX(Proj[],MATCH(Std[[#This Row],[Player]],Proj[Player],0),20)-M$764)/M$765</f>
        <v>0.31240082183847029</v>
      </c>
      <c r="N484" s="12">
        <f>(INDEX(Proj[],MATCH(Std[[#This Row],[Player]],Proj[Player],0),21)-N$764)/N$765</f>
        <v>1.0323109087026943</v>
      </c>
      <c r="O484" s="12">
        <f>(INDEX(Proj[],MATCH(Std[[#This Row],[Player]],Proj[Player],0),22)-O$764)/O$765</f>
        <v>1.3825360611034818</v>
      </c>
      <c r="P484" s="12">
        <f>((INDEX(Proj[],MATCH(Std[[#This Row],[Player]],Proj[Player],0),23)-P$764)/P$765)*IF('League Inputs'!$C$23 = "Yes",-1, 1)</f>
        <v>0.44228196104731388</v>
      </c>
      <c r="Q484" s="12">
        <f>(INDEX(Proj[],MATCH(Std[[#This Row],[Player]],Proj[Player],0),24)-Q$764)/Q$765</f>
        <v>-0.5766103108129359</v>
      </c>
      <c r="R484" s="12">
        <f>(INDEX(Proj[],MATCH(Std[[#This Row],[Player]],Proj[Player],0),25)-R$764)/R$765</f>
        <v>-0.62531533033812681</v>
      </c>
      <c r="S484" s="12">
        <f>(INDEX(Proj[],MATCH(Std[[#This Row],[Player]],Proj[Player],0),26)-S$764)/S$765</f>
        <v>-0.7155773723788833</v>
      </c>
      <c r="T4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-98.991731895904806</v>
      </c>
      <c r="U484" s="11"/>
      <c r="W484" t="str">
        <v>Artem Zub</v>
      </c>
      <c r="AA484" t="str">
        <v>Artem Zub</v>
      </c>
      <c r="AB484" t="str">
        <v>Artem Zub</v>
      </c>
    </row>
    <row r="485" spans="1:28" x14ac:dyDescent="0.25">
      <c r="A485" t="s">
        <v>666</v>
      </c>
      <c r="B485">
        <f>INDEX(Proj[],MATCH(Std[[#This Row],[Player]],Proj[Player],0),2)</f>
        <v>23</v>
      </c>
      <c r="C485" t="s">
        <v>103</v>
      </c>
      <c r="D485" s="75"/>
      <c r="E485" s="56"/>
      <c r="F485" t="s">
        <v>12</v>
      </c>
      <c r="G485" s="12">
        <f>(INDEX(Proj[],MATCH(Std[[#This Row],[Player]],Proj[Player],0),14)-G$764)/G$765</f>
        <v>-0.7681191251392494</v>
      </c>
      <c r="H485" s="12">
        <f>(INDEX(Proj[],MATCH(Std[[#This Row],[Player]],Proj[Player],0),15)-H$764)/H$765</f>
        <v>-0.36455176554657409</v>
      </c>
      <c r="I485" s="12">
        <f>(INDEX(Proj[],MATCH(Std[[#This Row],[Player]],Proj[Player],0),16)-I$764)/I$765</f>
        <v>-0.57460717741588596</v>
      </c>
      <c r="J485" s="12">
        <f>(INDEX(Proj[],MATCH(Std[[#This Row],[Player]],Proj[Player],0),17)-J$764)/J$765</f>
        <v>-0.76105581014900237</v>
      </c>
      <c r="K485" s="12">
        <f>(INDEX(Proj[],MATCH(Std[[#This Row],[Player]],Proj[Player],0),18)-K$764)/K$765</f>
        <v>-0.75859266061649311</v>
      </c>
      <c r="L485" s="12">
        <f>(INDEX(Proj[],MATCH(Std[[#This Row],[Player]],Proj[Player],0),19)-L$764)/L$765</f>
        <v>-0.81647589674950882</v>
      </c>
      <c r="M485" s="12">
        <f>(INDEX(Proj[],MATCH(Std[[#This Row],[Player]],Proj[Player],0),20)-M$764)/M$765</f>
        <v>0.31240082183847029</v>
      </c>
      <c r="N485" s="12">
        <f>(INDEX(Proj[],MATCH(Std[[#This Row],[Player]],Proj[Player],0),21)-N$764)/N$765</f>
        <v>1.3036271755795743</v>
      </c>
      <c r="O485" s="12">
        <f>(INDEX(Proj[],MATCH(Std[[#This Row],[Player]],Proj[Player],0),22)-O$764)/O$765</f>
        <v>1.8236401245480105</v>
      </c>
      <c r="P485" s="12">
        <f>((INDEX(Proj[],MATCH(Std[[#This Row],[Player]],Proj[Player],0),23)-P$764)/P$765)*IF('League Inputs'!$C$23 = "Yes",-1, 1)</f>
        <v>-0.76775217071000623</v>
      </c>
      <c r="Q485" s="12">
        <f>(INDEX(Proj[],MATCH(Std[[#This Row],[Player]],Proj[Player],0),24)-Q$764)/Q$765</f>
        <v>-0.5766103108129359</v>
      </c>
      <c r="R485" s="12">
        <f>(INDEX(Proj[],MATCH(Std[[#This Row],[Player]],Proj[Player],0),25)-R$764)/R$765</f>
        <v>-0.62531533033812681</v>
      </c>
      <c r="S485" s="12">
        <f>(INDEX(Proj[],MATCH(Std[[#This Row],[Player]],Proj[Player],0),26)-S$764)/S$765</f>
        <v>-0.5209530442664676</v>
      </c>
      <c r="T4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-126.18021905130435</v>
      </c>
      <c r="U485" s="11"/>
      <c r="W485" t="str">
        <v>Braden Schneider</v>
      </c>
      <c r="AA485" t="str">
        <v>Braden Schneider</v>
      </c>
      <c r="AB485" t="str">
        <v>Braden Schneider</v>
      </c>
    </row>
    <row r="486" spans="1:28" x14ac:dyDescent="0.25">
      <c r="A486" t="s">
        <v>1035</v>
      </c>
      <c r="B486">
        <f>INDEX(Proj[],MATCH(Std[[#This Row],[Player]],Proj[Player],0),2)</f>
        <v>23</v>
      </c>
      <c r="C486" t="s">
        <v>3</v>
      </c>
      <c r="D486" s="75"/>
      <c r="E486" s="56"/>
      <c r="F486" t="s">
        <v>22</v>
      </c>
      <c r="G486" s="12">
        <f>(INDEX(Proj[],MATCH(Std[[#This Row],[Player]],Proj[Player],0),14)-G$764)/G$765</f>
        <v>-0.13431591259265557</v>
      </c>
      <c r="H486" s="12">
        <f>(INDEX(Proj[],MATCH(Std[[#This Row],[Player]],Proj[Player],0),15)-H$764)/H$765</f>
        <v>-0.81172736747616536</v>
      </c>
      <c r="I486" s="12">
        <f>(INDEX(Proj[],MATCH(Std[[#This Row],[Player]],Proj[Player],0),16)-I$764)/I$765</f>
        <v>-0.57460717741588596</v>
      </c>
      <c r="J486" s="12">
        <f>(INDEX(Proj[],MATCH(Std[[#This Row],[Player]],Proj[Player],0),17)-J$764)/J$765</f>
        <v>-0.76105581014900237</v>
      </c>
      <c r="K486" s="12">
        <f>(INDEX(Proj[],MATCH(Std[[#This Row],[Player]],Proj[Player],0),18)-K$764)/K$765</f>
        <v>-0.75859266061649311</v>
      </c>
      <c r="L486" s="12">
        <f>(INDEX(Proj[],MATCH(Std[[#This Row],[Player]],Proj[Player],0),19)-L$764)/L$765</f>
        <v>-0.81647589674950882</v>
      </c>
      <c r="M486" s="12">
        <f>(INDEX(Proj[],MATCH(Std[[#This Row],[Player]],Proj[Player],0),20)-M$764)/M$765</f>
        <v>-0.71308883245737775</v>
      </c>
      <c r="N486" s="12">
        <f>(INDEX(Proj[],MATCH(Std[[#This Row],[Player]],Proj[Player],0),21)-N$764)/N$765</f>
        <v>-0.42116909242344813</v>
      </c>
      <c r="O486" s="12">
        <f>(INDEX(Proj[],MATCH(Std[[#This Row],[Player]],Proj[Player],0),22)-O$764)/O$765</f>
        <v>-0.79976825277997488</v>
      </c>
      <c r="P486" s="12">
        <f>((INDEX(Proj[],MATCH(Std[[#This Row],[Player]],Proj[Player],0),23)-P$764)/P$765)*IF('League Inputs'!$C$23 = "Yes",-1, 1)</f>
        <v>-0.67467262211328927</v>
      </c>
      <c r="Q486" s="12">
        <f>(INDEX(Proj[],MATCH(Std[[#This Row],[Player]],Proj[Player],0),24)-Q$764)/Q$765</f>
        <v>-0.37405432622571239</v>
      </c>
      <c r="R486" s="12">
        <f>(INDEX(Proj[],MATCH(Std[[#This Row],[Player]],Proj[Player],0),25)-R$764)/R$765</f>
        <v>-0.39831060649858563</v>
      </c>
      <c r="S486" s="12">
        <f>(INDEX(Proj[],MATCH(Std[[#This Row],[Player]],Proj[Player],0),26)-S$764)/S$765</f>
        <v>-0.7155773723788833</v>
      </c>
      <c r="T4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-532.23680201555237</v>
      </c>
      <c r="U486" s="11"/>
      <c r="W486" t="str">
        <v>Elmer Soderblom</v>
      </c>
      <c r="AA486" t="str">
        <v>Elmer Soderblom</v>
      </c>
      <c r="AB486" t="str">
        <v>Elmer Soderblom</v>
      </c>
    </row>
    <row r="487" spans="1:28" x14ac:dyDescent="0.25">
      <c r="A487" t="s">
        <v>543</v>
      </c>
      <c r="B487">
        <f>INDEX(Proj[],MATCH(Std[[#This Row],[Player]],Proj[Player],0),2)</f>
        <v>31</v>
      </c>
      <c r="C487" t="s">
        <v>102</v>
      </c>
      <c r="D487" s="75" t="s">
        <v>103</v>
      </c>
      <c r="E487" s="56"/>
      <c r="F487" t="s">
        <v>154</v>
      </c>
      <c r="G487" s="12">
        <f>(INDEX(Proj[],MATCH(Std[[#This Row],[Player]],Proj[Player],0),14)-G$764)/G$765</f>
        <v>-0.34558365010818687</v>
      </c>
      <c r="H487" s="12">
        <f>(INDEX(Proj[],MATCH(Std[[#This Row],[Player]],Proj[Player],0),15)-H$764)/H$765</f>
        <v>-0.6626688334996349</v>
      </c>
      <c r="I487" s="12">
        <f>(INDEX(Proj[],MATCH(Std[[#This Row],[Player]],Proj[Player],0),16)-I$764)/I$765</f>
        <v>-0.57460717741588596</v>
      </c>
      <c r="J487" s="12">
        <f>(INDEX(Proj[],MATCH(Std[[#This Row],[Player]],Proj[Player],0),17)-J$764)/J$765</f>
        <v>-0.76105581014900237</v>
      </c>
      <c r="K487" s="12">
        <f>(INDEX(Proj[],MATCH(Std[[#This Row],[Player]],Proj[Player],0),18)-K$764)/K$765</f>
        <v>-0.75859266061649311</v>
      </c>
      <c r="L487" s="12">
        <f>(INDEX(Proj[],MATCH(Std[[#This Row],[Player]],Proj[Player],0),19)-L$764)/L$765</f>
        <v>-0.81647589674950882</v>
      </c>
      <c r="M487" s="12">
        <f>(INDEX(Proj[],MATCH(Std[[#This Row],[Player]],Proj[Player],0),20)-M$764)/M$765</f>
        <v>1.3378904761343182</v>
      </c>
      <c r="N487" s="12">
        <f>(INDEX(Proj[],MATCH(Std[[#This Row],[Player]],Proj[Player],0),21)-N$764)/N$765</f>
        <v>-1.0413205595706023</v>
      </c>
      <c r="O487" s="12">
        <f>(INDEX(Proj[],MATCH(Std[[#This Row],[Player]],Proj[Player],0),22)-O$764)/O$765</f>
        <v>-0.73012024276241771</v>
      </c>
      <c r="P487" s="12">
        <f>((INDEX(Proj[],MATCH(Std[[#This Row],[Player]],Proj[Player],0),23)-P$764)/P$765)*IF('League Inputs'!$C$23 = "Yes",-1, 1)</f>
        <v>-1.1866101393952324</v>
      </c>
      <c r="Q487" s="12">
        <f>(INDEX(Proj[],MATCH(Std[[#This Row],[Player]],Proj[Player],0),24)-Q$764)/Q$765</f>
        <v>-0.42735853269603435</v>
      </c>
      <c r="R487" s="12">
        <f>(INDEX(Proj[],MATCH(Std[[#This Row],[Player]],Proj[Player],0),25)-R$764)/R$765</f>
        <v>-0.3926354884025971</v>
      </c>
      <c r="S487" s="12">
        <f>(INDEX(Proj[],MATCH(Std[[#This Row],[Player]],Proj[Player],0),26)-S$764)/S$765</f>
        <v>-0.2127978580884759</v>
      </c>
      <c r="T4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-599.7542890285979</v>
      </c>
      <c r="U487" s="11"/>
      <c r="W487" t="str">
        <v>Connor Brown</v>
      </c>
      <c r="AA487" t="str">
        <v>Connor Brown</v>
      </c>
      <c r="AB487" t="str">
        <v>Connor Brown</v>
      </c>
    </row>
    <row r="488" spans="1:28" x14ac:dyDescent="0.25">
      <c r="A488" t="s">
        <v>1044</v>
      </c>
      <c r="B488">
        <f>INDEX(Proj[],MATCH(Std[[#This Row],[Player]],Proj[Player],0),2)</f>
        <v>23</v>
      </c>
      <c r="C488" t="s">
        <v>102</v>
      </c>
      <c r="D488" s="75"/>
      <c r="E488" s="56"/>
      <c r="F488" t="s">
        <v>16</v>
      </c>
      <c r="G488" s="12">
        <f>(INDEX(Proj[],MATCH(Std[[#This Row],[Player]],Proj[Player],0),14)-G$764)/G$765</f>
        <v>-0.23994978135042122</v>
      </c>
      <c r="H488" s="12">
        <f>(INDEX(Proj[],MATCH(Std[[#This Row],[Player]],Proj[Player],0),15)-H$764)/H$765</f>
        <v>-0.73719810048790013</v>
      </c>
      <c r="I488" s="12">
        <f>(INDEX(Proj[],MATCH(Std[[#This Row],[Player]],Proj[Player],0),16)-I$764)/I$765</f>
        <v>-0.57460717741588596</v>
      </c>
      <c r="J488" s="12">
        <f>(INDEX(Proj[],MATCH(Std[[#This Row],[Player]],Proj[Player],0),17)-J$764)/J$765</f>
        <v>-0.76105581014900237</v>
      </c>
      <c r="K488" s="12">
        <f>(INDEX(Proj[],MATCH(Std[[#This Row],[Player]],Proj[Player],0),18)-K$764)/K$765</f>
        <v>-0.75859266061649311</v>
      </c>
      <c r="L488" s="12">
        <f>(INDEX(Proj[],MATCH(Std[[#This Row],[Player]],Proj[Player],0),19)-L$764)/L$765</f>
        <v>-0.81647589674950882</v>
      </c>
      <c r="M488" s="12">
        <f>(INDEX(Proj[],MATCH(Std[[#This Row],[Player]],Proj[Player],0),20)-M$764)/M$765</f>
        <v>1.3378904761343182</v>
      </c>
      <c r="N488" s="12">
        <f>(INDEX(Proj[],MATCH(Std[[#This Row],[Player]],Proj[Player],0),21)-N$764)/N$765</f>
        <v>-1.1963584263573908</v>
      </c>
      <c r="O488" s="12">
        <f>(INDEX(Proj[],MATCH(Std[[#This Row],[Player]],Proj[Player],0),22)-O$764)/O$765</f>
        <v>-0.45152820269218918</v>
      </c>
      <c r="P488" s="12">
        <f>((INDEX(Proj[],MATCH(Std[[#This Row],[Player]],Proj[Player],0),23)-P$764)/P$765)*IF('League Inputs'!$C$23 = "Yes",-1, 1)</f>
        <v>-1.2331499136935908</v>
      </c>
      <c r="Q488" s="12">
        <f>(INDEX(Proj[],MATCH(Std[[#This Row],[Player]],Proj[Player],0),24)-Q$764)/Q$765</f>
        <v>-0.49665400110745295</v>
      </c>
      <c r="R488" s="12">
        <f>(INDEX(Proj[],MATCH(Std[[#This Row],[Player]],Proj[Player],0),25)-R$764)/R$765</f>
        <v>-0.50613785032236769</v>
      </c>
      <c r="S488" s="12">
        <f>(INDEX(Proj[],MATCH(Std[[#This Row],[Player]],Proj[Player],0),26)-S$764)/S$765</f>
        <v>-0.79667084242572328</v>
      </c>
      <c r="T4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-654.25923422800633</v>
      </c>
      <c r="U488" s="11"/>
      <c r="W488" t="str">
        <v>Simon Holmstrom</v>
      </c>
      <c r="AA488" t="str">
        <v>Simon Holmstrom</v>
      </c>
      <c r="AB488" t="str">
        <v>Simon Holmstrom</v>
      </c>
    </row>
    <row r="489" spans="1:28" x14ac:dyDescent="0.25">
      <c r="A489" t="s">
        <v>664</v>
      </c>
      <c r="B489">
        <f>INDEX(Proj[],MATCH(Std[[#This Row],[Player]],Proj[Player],0),2)</f>
        <v>31</v>
      </c>
      <c r="C489" t="s">
        <v>74</v>
      </c>
      <c r="D489" s="75" t="s">
        <v>103</v>
      </c>
      <c r="E489" s="56"/>
      <c r="F489" t="s">
        <v>2</v>
      </c>
      <c r="G489" s="12">
        <f>(INDEX(Proj[],MATCH(Std[[#This Row],[Player]],Proj[Player],0),14)-G$764)/G$765</f>
        <v>-0.13431591259265557</v>
      </c>
      <c r="H489" s="12">
        <f>(INDEX(Proj[],MATCH(Std[[#This Row],[Player]],Proj[Player],0),15)-H$764)/H$765</f>
        <v>-0.81172736747616536</v>
      </c>
      <c r="I489" s="12">
        <f>(INDEX(Proj[],MATCH(Std[[#This Row],[Player]],Proj[Player],0),16)-I$764)/I$765</f>
        <v>-0.57460717741588596</v>
      </c>
      <c r="J489" s="12">
        <f>(INDEX(Proj[],MATCH(Std[[#This Row],[Player]],Proj[Player],0),17)-J$764)/J$765</f>
        <v>-0.76105581014900237</v>
      </c>
      <c r="K489" s="12">
        <f>(INDEX(Proj[],MATCH(Std[[#This Row],[Player]],Proj[Player],0),18)-K$764)/K$765</f>
        <v>-0.75859266061649311</v>
      </c>
      <c r="L489" s="12">
        <f>(INDEX(Proj[],MATCH(Std[[#This Row],[Player]],Proj[Player],0),19)-L$764)/L$765</f>
        <v>-0.81647589674950882</v>
      </c>
      <c r="M489" s="12">
        <f>(INDEX(Proj[],MATCH(Std[[#This Row],[Player]],Proj[Player],0),20)-M$764)/M$765</f>
        <v>1.3378904761343182</v>
      </c>
      <c r="N489" s="12">
        <f>(INDEX(Proj[],MATCH(Std[[#This Row],[Player]],Proj[Player],0),21)-N$764)/N$765</f>
        <v>-1.4194692108128246E-2</v>
      </c>
      <c r="O489" s="12">
        <f>(INDEX(Proj[],MATCH(Std[[#This Row],[Player]],Proj[Player],0),22)-O$764)/O$765</f>
        <v>-0.61404022606648923</v>
      </c>
      <c r="P489" s="12">
        <f>((INDEX(Proj[],MATCH(Std[[#This Row],[Player]],Proj[Player],0),23)-P$764)/P$765)*IF('League Inputs'!$C$23 = "Yes",-1, 1)</f>
        <v>-1.0935305907985153</v>
      </c>
      <c r="Q489" s="12">
        <f>(INDEX(Proj[],MATCH(Std[[#This Row],[Player]],Proj[Player],0),24)-Q$764)/Q$765</f>
        <v>-0.25145465134397188</v>
      </c>
      <c r="R489" s="12">
        <f>(INDEX(Proj[],MATCH(Std[[#This Row],[Player]],Proj[Player],0),25)-R$764)/R$765</f>
        <v>-0.22238194552294122</v>
      </c>
      <c r="S489" s="12">
        <f>(INDEX(Proj[],MATCH(Std[[#This Row],[Player]],Proj[Player],0),26)-S$764)/S$765</f>
        <v>-1.9548359666921177E-3</v>
      </c>
      <c r="T4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-431.23013505180126</v>
      </c>
      <c r="U489" s="11"/>
      <c r="W489" t="str">
        <v>Colin Blackwell</v>
      </c>
      <c r="AA489" t="str">
        <v>Colin Blackwell</v>
      </c>
      <c r="AB489" t="str">
        <v>Colin Blackwell</v>
      </c>
    </row>
    <row r="490" spans="1:28" x14ac:dyDescent="0.25">
      <c r="A490" t="s">
        <v>574</v>
      </c>
      <c r="B490">
        <f>INDEX(Proj[],MATCH(Std[[#This Row],[Player]],Proj[Player],0),2)</f>
        <v>35</v>
      </c>
      <c r="C490" t="s">
        <v>3</v>
      </c>
      <c r="D490" s="75"/>
      <c r="E490" s="56"/>
      <c r="F490" t="s">
        <v>12</v>
      </c>
      <c r="G490" s="12">
        <f>(INDEX(Proj[],MATCH(Std[[#This Row],[Player]],Proj[Player],0),14)-G$764)/G$765</f>
        <v>-0.13431591259265557</v>
      </c>
      <c r="H490" s="12">
        <f>(INDEX(Proj[],MATCH(Std[[#This Row],[Player]],Proj[Player],0),15)-H$764)/H$765</f>
        <v>-0.81172736747616536</v>
      </c>
      <c r="I490" s="12">
        <f>(INDEX(Proj[],MATCH(Std[[#This Row],[Player]],Proj[Player],0),16)-I$764)/I$765</f>
        <v>-0.57460717741588596</v>
      </c>
      <c r="J490" s="12">
        <f>(INDEX(Proj[],MATCH(Std[[#This Row],[Player]],Proj[Player],0),17)-J$764)/J$765</f>
        <v>-0.76105581014900237</v>
      </c>
      <c r="K490" s="12">
        <f>(INDEX(Proj[],MATCH(Std[[#This Row],[Player]],Proj[Player],0),18)-K$764)/K$765</f>
        <v>-0.75859266061649311</v>
      </c>
      <c r="L490" s="12">
        <f>(INDEX(Proj[],MATCH(Std[[#This Row],[Player]],Proj[Player],0),19)-L$764)/L$765</f>
        <v>-0.81647589674950882</v>
      </c>
      <c r="M490" s="12">
        <f>(INDEX(Proj[],MATCH(Std[[#This Row],[Player]],Proj[Player],0),20)-M$764)/M$765</f>
        <v>-0.71308883245737775</v>
      </c>
      <c r="N490" s="12">
        <f>(INDEX(Proj[],MATCH(Std[[#This Row],[Player]],Proj[Player],0),21)-N$764)/N$765</f>
        <v>-0.61496642590693373</v>
      </c>
      <c r="O490" s="12">
        <f>(INDEX(Proj[],MATCH(Std[[#This Row],[Player]],Proj[Player],0),22)-O$764)/O$765</f>
        <v>-0.8229842561191606</v>
      </c>
      <c r="P490" s="12">
        <f>((INDEX(Proj[],MATCH(Std[[#This Row],[Player]],Proj[Player],0),23)-P$764)/P$765)*IF('League Inputs'!$C$23 = "Yes",-1, 1)</f>
        <v>-0.5815930735165723</v>
      </c>
      <c r="Q490" s="12">
        <f>(INDEX(Proj[],MATCH(Std[[#This Row],[Player]],Proj[Player],0),24)-Q$764)/Q$765</f>
        <v>-0.54995820757777492</v>
      </c>
      <c r="R490" s="12">
        <f>(INDEX(Proj[],MATCH(Std[[#This Row],[Player]],Proj[Player],0),25)-R$764)/R$765</f>
        <v>-0.5855895036662071</v>
      </c>
      <c r="S490" s="12">
        <f>(INDEX(Proj[],MATCH(Std[[#This Row],[Player]],Proj[Player],0),26)-S$764)/S$765</f>
        <v>-9.9267000022900009E-2</v>
      </c>
      <c r="T4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-500.58953173775569</v>
      </c>
      <c r="U490" s="11"/>
      <c r="W490" t="str">
        <v>Craig Smith</v>
      </c>
      <c r="AA490" t="str">
        <v>Craig Smith</v>
      </c>
      <c r="AB490" t="str">
        <v>Craig Smith</v>
      </c>
    </row>
    <row r="491" spans="1:28" x14ac:dyDescent="0.25">
      <c r="A491" t="s">
        <v>351</v>
      </c>
      <c r="B491">
        <f>INDEX(Proj[],MATCH(Std[[#This Row],[Player]],Proj[Player],0),2)</f>
        <v>34</v>
      </c>
      <c r="C491" t="s">
        <v>74</v>
      </c>
      <c r="D491" s="75" t="s">
        <v>103</v>
      </c>
      <c r="E491" s="56"/>
      <c r="F491" t="s">
        <v>10</v>
      </c>
      <c r="G491" s="12">
        <f>(INDEX(Proj[],MATCH(Std[[#This Row],[Player]],Proj[Player],0),14)-G$764)/G$765</f>
        <v>-0.873752993897015</v>
      </c>
      <c r="H491" s="12">
        <f>(INDEX(Proj[],MATCH(Std[[#This Row],[Player]],Proj[Player],0),15)-H$764)/H$765</f>
        <v>-0.36455176554657409</v>
      </c>
      <c r="I491" s="12">
        <f>(INDEX(Proj[],MATCH(Std[[#This Row],[Player]],Proj[Player],0),16)-I$764)/I$765</f>
        <v>-0.62184973637798924</v>
      </c>
      <c r="J491" s="12">
        <f>(INDEX(Proj[],MATCH(Std[[#This Row],[Player]],Proj[Player],0),17)-J$764)/J$765</f>
        <v>-0.76105581014900237</v>
      </c>
      <c r="K491" s="12">
        <f>(INDEX(Proj[],MATCH(Std[[#This Row],[Player]],Proj[Player],0),18)-K$764)/K$765</f>
        <v>-0.75859266061649311</v>
      </c>
      <c r="L491" s="12">
        <f>(INDEX(Proj[],MATCH(Std[[#This Row],[Player]],Proj[Player],0),19)-L$764)/L$765</f>
        <v>-0.81647589674950882</v>
      </c>
      <c r="M491" s="12">
        <f>(INDEX(Proj[],MATCH(Std[[#This Row],[Player]],Proj[Player],0),20)-M$764)/M$765</f>
        <v>-0.71308883245737775</v>
      </c>
      <c r="N491" s="12">
        <f>(INDEX(Proj[],MATCH(Std[[#This Row],[Player]],Proj[Player],0),21)-N$764)/N$765</f>
        <v>2.4664111764804884</v>
      </c>
      <c r="O491" s="12">
        <f>(INDEX(Proj[],MATCH(Std[[#This Row],[Player]],Proj[Player],0),22)-O$764)/O$765</f>
        <v>1.2664560444075534</v>
      </c>
      <c r="P491" s="12">
        <f>((INDEX(Proj[],MATCH(Std[[#This Row],[Player]],Proj[Player],0),23)-P$764)/P$765)*IF('League Inputs'!$C$23 = "Yes",-1, 1)</f>
        <v>1.6057763185062754</v>
      </c>
      <c r="Q491" s="12">
        <f>(INDEX(Proj[],MATCH(Std[[#This Row],[Player]],Proj[Player],0),24)-Q$764)/Q$765</f>
        <v>-0.5766103108129359</v>
      </c>
      <c r="R491" s="12">
        <f>(INDEX(Proj[],MATCH(Std[[#This Row],[Player]],Proj[Player],0),25)-R$764)/R$765</f>
        <v>-0.62531533033812681</v>
      </c>
      <c r="S491" s="12">
        <f>(INDEX(Proj[],MATCH(Std[[#This Row],[Player]],Proj[Player],0),26)-S$764)/S$765</f>
        <v>-0.66692129035077941</v>
      </c>
      <c r="T4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141.84815456595146</v>
      </c>
      <c r="U491" s="11"/>
      <c r="W491" t="str">
        <v>Brenden Dillon</v>
      </c>
      <c r="AA491" t="str">
        <v>Brenden Dillon</v>
      </c>
      <c r="AB491" t="str">
        <v>Brenden Dillon</v>
      </c>
    </row>
    <row r="492" spans="1:28" x14ac:dyDescent="0.25">
      <c r="A492" t="s">
        <v>867</v>
      </c>
      <c r="B492">
        <f>INDEX(Proj[],MATCH(Std[[#This Row],[Player]],Proj[Player],0),2)</f>
        <v>25</v>
      </c>
      <c r="C492" t="s">
        <v>74</v>
      </c>
      <c r="D492" s="75" t="s">
        <v>102</v>
      </c>
      <c r="E492" s="56"/>
      <c r="F492" t="s">
        <v>10</v>
      </c>
      <c r="G492" s="12">
        <f>(INDEX(Proj[],MATCH(Std[[#This Row],[Player]],Proj[Player],0),14)-G$764)/G$765</f>
        <v>-0.873752993897015</v>
      </c>
      <c r="H492" s="12">
        <f>(INDEX(Proj[],MATCH(Std[[#This Row],[Player]],Proj[Player],0),15)-H$764)/H$765</f>
        <v>-0.36455176554657409</v>
      </c>
      <c r="I492" s="12">
        <f>(INDEX(Proj[],MATCH(Std[[#This Row],[Player]],Proj[Player],0),16)-I$764)/I$765</f>
        <v>-0.62184973637798924</v>
      </c>
      <c r="J492" s="12">
        <f>(INDEX(Proj[],MATCH(Std[[#This Row],[Player]],Proj[Player],0),17)-J$764)/J$765</f>
        <v>-0.76105581014900237</v>
      </c>
      <c r="K492" s="12">
        <f>(INDEX(Proj[],MATCH(Std[[#This Row],[Player]],Proj[Player],0),18)-K$764)/K$765</f>
        <v>-0.75859266061649311</v>
      </c>
      <c r="L492" s="12">
        <f>(INDEX(Proj[],MATCH(Std[[#This Row],[Player]],Proj[Player],0),19)-L$764)/L$765</f>
        <v>-0.81647589674950882</v>
      </c>
      <c r="M492" s="12">
        <f>(INDEX(Proj[],MATCH(Std[[#This Row],[Player]],Proj[Player],0),20)-M$764)/M$765</f>
        <v>-0.71308883245737775</v>
      </c>
      <c r="N492" s="12">
        <f>(INDEX(Proj[],MATCH(Std[[#This Row],[Player]],Proj[Player],0),21)-N$764)/N$765</f>
        <v>1.4199055756696657</v>
      </c>
      <c r="O492" s="12">
        <f>(INDEX(Proj[],MATCH(Std[[#This Row],[Player]],Proj[Player],0),22)-O$764)/O$765</f>
        <v>2.2183121813141673</v>
      </c>
      <c r="P492" s="12">
        <f>((INDEX(Proj[],MATCH(Std[[#This Row],[Player]],Proj[Player],0),23)-P$764)/P$765)*IF('League Inputs'!$C$23 = "Yes",-1, 1)</f>
        <v>0.20958308955552155</v>
      </c>
      <c r="Q492" s="12">
        <f>(INDEX(Proj[],MATCH(Std[[#This Row],[Player]],Proj[Player],0),24)-Q$764)/Q$765</f>
        <v>-0.5766103108129359</v>
      </c>
      <c r="R492" s="12">
        <f>(INDEX(Proj[],MATCH(Std[[#This Row],[Player]],Proj[Player],0),25)-R$764)/R$765</f>
        <v>-0.62531533033812681</v>
      </c>
      <c r="S492" s="12">
        <f>(INDEX(Proj[],MATCH(Std[[#This Row],[Player]],Proj[Player],0),26)-S$764)/S$765</f>
        <v>-0.2127978580884759</v>
      </c>
      <c r="T4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38.176228506685518</v>
      </c>
      <c r="U492" s="11"/>
      <c r="W492" t="str">
        <v>Alexander Romanov</v>
      </c>
      <c r="AA492" t="str">
        <v>Alexander Romanov</v>
      </c>
      <c r="AB492" t="str">
        <v>Alexander Romanov</v>
      </c>
    </row>
    <row r="493" spans="1:28" x14ac:dyDescent="0.25">
      <c r="A493" t="s">
        <v>401</v>
      </c>
      <c r="B493">
        <f>INDEX(Proj[],MATCH(Std[[#This Row],[Player]],Proj[Player],0),2)</f>
        <v>33</v>
      </c>
      <c r="C493" t="s">
        <v>74</v>
      </c>
      <c r="D493" s="75"/>
      <c r="E493" s="56"/>
      <c r="F493" t="s">
        <v>7</v>
      </c>
      <c r="G493" s="12">
        <f>(INDEX(Proj[],MATCH(Std[[#This Row],[Player]],Proj[Player],0),14)-G$764)/G$765</f>
        <v>-0.873752993897015</v>
      </c>
      <c r="H493" s="12">
        <f>(INDEX(Proj[],MATCH(Std[[#This Row],[Player]],Proj[Player],0),15)-H$764)/H$765</f>
        <v>-0.36455176554657409</v>
      </c>
      <c r="I493" s="12">
        <f>(INDEX(Proj[],MATCH(Std[[#This Row],[Player]],Proj[Player],0),16)-I$764)/I$765</f>
        <v>-0.62184973637798924</v>
      </c>
      <c r="J493" s="12">
        <f>(INDEX(Proj[],MATCH(Std[[#This Row],[Player]],Proj[Player],0),17)-J$764)/J$765</f>
        <v>-0.76105581014900237</v>
      </c>
      <c r="K493" s="12">
        <f>(INDEX(Proj[],MATCH(Std[[#This Row],[Player]],Proj[Player],0),18)-K$764)/K$765</f>
        <v>-0.75859266061649311</v>
      </c>
      <c r="L493" s="12">
        <f>(INDEX(Proj[],MATCH(Std[[#This Row],[Player]],Proj[Player],0),19)-L$764)/L$765</f>
        <v>-0.81647589674950882</v>
      </c>
      <c r="M493" s="12">
        <f>(INDEX(Proj[],MATCH(Std[[#This Row],[Player]],Proj[Player],0),20)-M$764)/M$765</f>
        <v>0.31240082183847029</v>
      </c>
      <c r="N493" s="12">
        <f>(INDEX(Proj[],MATCH(Std[[#This Row],[Player]],Proj[Player],0),21)-N$764)/N$765</f>
        <v>0.25712157476875169</v>
      </c>
      <c r="O493" s="12">
        <f>(INDEX(Proj[],MATCH(Std[[#This Row],[Player]],Proj[Player],0),22)-O$764)/O$765</f>
        <v>2.1486641712966104</v>
      </c>
      <c r="P493" s="12">
        <f>((INDEX(Proj[],MATCH(Std[[#This Row],[Player]],Proj[Player],0),23)-P$764)/P$765)*IF('League Inputs'!$C$23 = "Yes",-1, 1)</f>
        <v>1.3265376727161247</v>
      </c>
      <c r="Q493" s="12">
        <f>(INDEX(Proj[],MATCH(Std[[#This Row],[Player]],Proj[Player],0),24)-Q$764)/Q$765</f>
        <v>-0.5766103108129359</v>
      </c>
      <c r="R493" s="12">
        <f>(INDEX(Proj[],MATCH(Std[[#This Row],[Player]],Proj[Player],0),25)-R$764)/R$765</f>
        <v>-0.62531533033812681</v>
      </c>
      <c r="S493" s="12">
        <f>(INDEX(Proj[],MATCH(Std[[#This Row],[Player]],Proj[Player],0),26)-S$764)/S$765</f>
        <v>-0.34254741016341977</v>
      </c>
      <c r="T4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13.653530523404346</v>
      </c>
      <c r="U493" s="11"/>
      <c r="W493" t="str">
        <v>Erik Gudbranson</v>
      </c>
      <c r="AA493" t="str">
        <v>Erik Gudbranson</v>
      </c>
      <c r="AB493" t="str">
        <v>Erik Gudbranson</v>
      </c>
    </row>
    <row r="494" spans="1:28" x14ac:dyDescent="0.25">
      <c r="A494" t="s">
        <v>861</v>
      </c>
      <c r="B494">
        <f>INDEX(Proj[],MATCH(Std[[#This Row],[Player]],Proj[Player],0),2)</f>
        <v>21</v>
      </c>
      <c r="C494" t="s">
        <v>102</v>
      </c>
      <c r="D494" s="75"/>
      <c r="E494" s="57"/>
      <c r="F494" t="s">
        <v>5</v>
      </c>
      <c r="G494" s="12">
        <f>(INDEX(Proj[],MATCH(Std[[#This Row],[Player]],Proj[Player],0),14)-G$764)/G$765</f>
        <v>-0.45121751886595246</v>
      </c>
      <c r="H494" s="12">
        <f>(INDEX(Proj[],MATCH(Std[[#This Row],[Player]],Proj[Player],0),15)-H$764)/H$765</f>
        <v>-0.6626688334996349</v>
      </c>
      <c r="I494" s="12">
        <f>(INDEX(Proj[],MATCH(Std[[#This Row],[Player]],Proj[Player],0),16)-I$764)/I$765</f>
        <v>-0.62184973637798924</v>
      </c>
      <c r="J494" s="12">
        <f>(INDEX(Proj[],MATCH(Std[[#This Row],[Player]],Proj[Player],0),17)-J$764)/J$765</f>
        <v>-0.76105581014900237</v>
      </c>
      <c r="K494" s="12">
        <f>(INDEX(Proj[],MATCH(Std[[#This Row],[Player]],Proj[Player],0),18)-K$764)/K$765</f>
        <v>-0.75859266061649311</v>
      </c>
      <c r="L494" s="12">
        <f>(INDEX(Proj[],MATCH(Std[[#This Row],[Player]],Proj[Player],0),19)-L$764)/L$765</f>
        <v>-0.81647589674950882</v>
      </c>
      <c r="M494" s="12">
        <f>(INDEX(Proj[],MATCH(Std[[#This Row],[Player]],Proj[Player],0),20)-M$764)/M$765</f>
        <v>0.31240082183847029</v>
      </c>
      <c r="N494" s="12">
        <f>(INDEX(Proj[],MATCH(Std[[#This Row],[Player]],Proj[Player],0),21)-N$764)/N$765</f>
        <v>0.6059567750390259</v>
      </c>
      <c r="O494" s="12">
        <f>(INDEX(Proj[],MATCH(Std[[#This Row],[Player]],Proj[Player],0),22)-O$764)/O$765</f>
        <v>1.1735920310508106</v>
      </c>
      <c r="P494" s="12">
        <f>((INDEX(Proj[],MATCH(Std[[#This Row],[Player]],Proj[Player],0),23)-P$764)/P$765)*IF('League Inputs'!$C$23 = "Yes",-1, 1)</f>
        <v>0.90767970403089848</v>
      </c>
      <c r="Q494" s="12">
        <f>(INDEX(Proj[],MATCH(Std[[#This Row],[Player]],Proj[Player],0),24)-Q$764)/Q$765</f>
        <v>-0.5766103108129359</v>
      </c>
      <c r="R494" s="12">
        <f>(INDEX(Proj[],MATCH(Std[[#This Row],[Player]],Proj[Player],0),25)-R$764)/R$765</f>
        <v>-0.62531533033812681</v>
      </c>
      <c r="S494" s="12">
        <f>(INDEX(Proj[],MATCH(Std[[#This Row],[Player]],Proj[Player],0),26)-S$764)/S$765</f>
        <v>-0.76423345440698731</v>
      </c>
      <c r="T4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-120.58272405922739</v>
      </c>
      <c r="U494" s="11"/>
      <c r="W494" t="str">
        <v>Simon Edvinsson</v>
      </c>
      <c r="AA494" t="str">
        <v>Simon Edvinsson</v>
      </c>
      <c r="AB494" t="str">
        <v>Simon Edvinsson</v>
      </c>
    </row>
    <row r="495" spans="1:28" x14ac:dyDescent="0.25">
      <c r="A495" t="s">
        <v>1206</v>
      </c>
      <c r="B495">
        <f>INDEX(Proj[],MATCH(Std[[#This Row],[Player]],Proj[Player],0),2)</f>
        <v>24</v>
      </c>
      <c r="C495" t="s">
        <v>102</v>
      </c>
      <c r="D495" s="75" t="s">
        <v>103</v>
      </c>
      <c r="E495" s="56"/>
      <c r="F495" t="s">
        <v>11</v>
      </c>
      <c r="G495" s="12">
        <f>(INDEX(Proj[],MATCH(Std[[#This Row],[Player]],Proj[Player],0),14)-G$764)/G$765</f>
        <v>-0.873752993897015</v>
      </c>
      <c r="H495" s="12">
        <f>(INDEX(Proj[],MATCH(Std[[#This Row],[Player]],Proj[Player],0),15)-H$764)/H$765</f>
        <v>-0.36455176554657409</v>
      </c>
      <c r="I495" s="12">
        <f>(INDEX(Proj[],MATCH(Std[[#This Row],[Player]],Proj[Player],0),16)-I$764)/I$765</f>
        <v>-0.62184973637798924</v>
      </c>
      <c r="J495" s="12">
        <f>(INDEX(Proj[],MATCH(Std[[#This Row],[Player]],Proj[Player],0),17)-J$764)/J$765</f>
        <v>-0.76105581014900237</v>
      </c>
      <c r="K495" s="12">
        <f>(INDEX(Proj[],MATCH(Std[[#This Row],[Player]],Proj[Player],0),18)-K$764)/K$765</f>
        <v>-0.75859266061649311</v>
      </c>
      <c r="L495" s="12">
        <f>(INDEX(Proj[],MATCH(Std[[#This Row],[Player]],Proj[Player],0),19)-L$764)/L$765</f>
        <v>-0.81647589674950882</v>
      </c>
      <c r="M495" s="12">
        <f>(INDEX(Proj[],MATCH(Std[[#This Row],[Player]],Proj[Player],0),20)-M$764)/M$765</f>
        <v>0.31240082183847029</v>
      </c>
      <c r="N495" s="12">
        <f>(INDEX(Proj[],MATCH(Std[[#This Row],[Player]],Proj[Player],0),21)-N$764)/N$765</f>
        <v>1.5168042424114083</v>
      </c>
      <c r="O495" s="12">
        <f>(INDEX(Proj[],MATCH(Std[[#This Row],[Player]],Proj[Player],0),22)-O$764)/O$765</f>
        <v>1.2432400410683677</v>
      </c>
      <c r="P495" s="12">
        <f>((INDEX(Proj[],MATCH(Std[[#This Row],[Player]],Proj[Player],0),23)-P$764)/P$765)*IF('League Inputs'!$C$23 = "Yes",-1, 1)</f>
        <v>-0.34889420202478</v>
      </c>
      <c r="Q495" s="12">
        <f>(INDEX(Proj[],MATCH(Std[[#This Row],[Player]],Proj[Player],0),24)-Q$764)/Q$765</f>
        <v>-0.5766103108129359</v>
      </c>
      <c r="R495" s="12">
        <f>(INDEX(Proj[],MATCH(Std[[#This Row],[Player]],Proj[Player],0),25)-R$764)/R$765</f>
        <v>-0.62531533033812681</v>
      </c>
      <c r="S495" s="12">
        <f>(INDEX(Proj[],MATCH(Std[[#This Row],[Player]],Proj[Player],0),26)-S$764)/S$765</f>
        <v>-0.5696091262945715</v>
      </c>
      <c r="T4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-141.1699748223599</v>
      </c>
      <c r="U495" s="11"/>
      <c r="W495" t="str">
        <v>Ty Emberson</v>
      </c>
      <c r="AA495" t="str">
        <v>Ty Emberson</v>
      </c>
      <c r="AB495" t="str">
        <v>Ty Emberson</v>
      </c>
    </row>
    <row r="496" spans="1:28" x14ac:dyDescent="0.25">
      <c r="A496" t="s">
        <v>919</v>
      </c>
      <c r="B496">
        <f>INDEX(Proj[],MATCH(Std[[#This Row],[Player]],Proj[Player],0),2)</f>
        <v>32</v>
      </c>
      <c r="C496" t="s">
        <v>3</v>
      </c>
      <c r="D496" s="75"/>
      <c r="E496" s="57"/>
      <c r="F496" t="s">
        <v>12</v>
      </c>
      <c r="G496" s="12">
        <f>(INDEX(Proj[],MATCH(Std[[#This Row],[Player]],Proj[Player],0),14)-G$764)/G$765</f>
        <v>-0.23994978135042122</v>
      </c>
      <c r="H496" s="12">
        <f>(INDEX(Proj[],MATCH(Std[[#This Row],[Player]],Proj[Player],0),15)-H$764)/H$765</f>
        <v>-0.81172736747616536</v>
      </c>
      <c r="I496" s="12">
        <f>(INDEX(Proj[],MATCH(Std[[#This Row],[Player]],Proj[Player],0),16)-I$764)/I$765</f>
        <v>-0.62184973637798924</v>
      </c>
      <c r="J496" s="12">
        <f>(INDEX(Proj[],MATCH(Std[[#This Row],[Player]],Proj[Player],0),17)-J$764)/J$765</f>
        <v>-0.17232923569972286</v>
      </c>
      <c r="K496" s="12">
        <f>(INDEX(Proj[],MATCH(Std[[#This Row],[Player]],Proj[Player],0),18)-K$764)/K$765</f>
        <v>-0.45042076997056774</v>
      </c>
      <c r="L496" s="12">
        <f>(INDEX(Proj[],MATCH(Std[[#This Row],[Player]],Proj[Player],0),19)-L$764)/L$765</f>
        <v>-0.38152137069843867</v>
      </c>
      <c r="M496" s="12">
        <f>(INDEX(Proj[],MATCH(Std[[#This Row],[Player]],Proj[Player],0),20)-M$764)/M$765</f>
        <v>0.31240082183847029</v>
      </c>
      <c r="N496" s="12">
        <f>(INDEX(Proj[],MATCH(Std[[#This Row],[Player]],Proj[Player],0),21)-N$764)/N$765</f>
        <v>1.0710703753993913</v>
      </c>
      <c r="O496" s="12">
        <f>(INDEX(Proj[],MATCH(Std[[#This Row],[Player]],Proj[Player],0),22)-O$764)/O$765</f>
        <v>-0.66047223274486055</v>
      </c>
      <c r="P496" s="12">
        <f>((INDEX(Proj[],MATCH(Std[[#This Row],[Player]],Proj[Player],0),23)-P$764)/P$765)*IF('League Inputs'!$C$23 = "Yes",-1, 1)</f>
        <v>3.2812081932471799</v>
      </c>
      <c r="Q496" s="12">
        <f>(INDEX(Proj[],MATCH(Std[[#This Row],[Player]],Proj[Player],0),24)-Q$764)/Q$765</f>
        <v>1.3583323840597519</v>
      </c>
      <c r="R496" s="12">
        <f>(INDEX(Proj[],MATCH(Std[[#This Row],[Player]],Proj[Player],0),25)-R$764)/R$765</f>
        <v>1.2701741137220421</v>
      </c>
      <c r="S496" s="12">
        <f>(INDEX(Proj[],MATCH(Std[[#This Row],[Player]],Proj[Player],0),26)-S$764)/S$765</f>
        <v>-0.43985957421962762</v>
      </c>
      <c r="T4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255.52308898388202</v>
      </c>
      <c r="U496" s="11"/>
      <c r="W496" t="str">
        <v>Sam Carrick</v>
      </c>
      <c r="AA496" t="str">
        <v>Sam Carrick</v>
      </c>
      <c r="AB496" t="str">
        <v>Sam Carrick</v>
      </c>
    </row>
    <row r="497" spans="1:28" x14ac:dyDescent="0.25">
      <c r="A497" t="s">
        <v>363</v>
      </c>
      <c r="B497">
        <f>INDEX(Proj[],MATCH(Std[[#This Row],[Player]],Proj[Player],0),2)</f>
        <v>37</v>
      </c>
      <c r="C497" t="s">
        <v>3</v>
      </c>
      <c r="D497" s="75"/>
      <c r="E497" s="57"/>
      <c r="F497" t="s">
        <v>23</v>
      </c>
      <c r="G497" s="12">
        <f>(INDEX(Proj[],MATCH(Std[[#This Row],[Player]],Proj[Player],0),14)-G$764)/G$765</f>
        <v>-0.7681191251392494</v>
      </c>
      <c r="H497" s="12">
        <f>(INDEX(Proj[],MATCH(Std[[#This Row],[Player]],Proj[Player],0),15)-H$764)/H$765</f>
        <v>-0.43908103253483932</v>
      </c>
      <c r="I497" s="12">
        <f>(INDEX(Proj[],MATCH(Std[[#This Row],[Player]],Proj[Player],0),16)-I$764)/I$765</f>
        <v>-0.62184973637798924</v>
      </c>
      <c r="J497" s="12">
        <f>(INDEX(Proj[],MATCH(Std[[#This Row],[Player]],Proj[Player],0),17)-J$764)/J$765</f>
        <v>-0.76105581014900237</v>
      </c>
      <c r="K497" s="12">
        <f>(INDEX(Proj[],MATCH(Std[[#This Row],[Player]],Proj[Player],0),18)-K$764)/K$765</f>
        <v>-0.29633482464760502</v>
      </c>
      <c r="L497" s="12">
        <f>(INDEX(Proj[],MATCH(Std[[#This Row],[Player]],Proj[Player],0),19)-L$764)/L$765</f>
        <v>-0.49026000221120619</v>
      </c>
      <c r="M497" s="12">
        <f>(INDEX(Proj[],MATCH(Std[[#This Row],[Player]],Proj[Player],0),20)-M$764)/M$765</f>
        <v>-0.71308883245737775</v>
      </c>
      <c r="N497" s="12">
        <f>(INDEX(Proj[],MATCH(Std[[#This Row],[Player]],Proj[Player],0),21)-N$764)/N$765</f>
        <v>-0.82814349273876797</v>
      </c>
      <c r="O497" s="12">
        <f>(INDEX(Proj[],MATCH(Std[[#This Row],[Player]],Proj[Player],0),22)-O$764)/O$765</f>
        <v>3.3558963449342674</v>
      </c>
      <c r="P497" s="12">
        <f>((INDEX(Proj[],MATCH(Std[[#This Row],[Player]],Proj[Player],0),23)-P$764)/P$765)*IF('League Inputs'!$C$23 = "Yes",-1, 1)</f>
        <v>-0.95391126790344005</v>
      </c>
      <c r="Q497" s="12">
        <f>(INDEX(Proj[],MATCH(Std[[#This Row],[Player]],Proj[Player],0),24)-Q$764)/Q$765</f>
        <v>-0.5766103108129359</v>
      </c>
      <c r="R497" s="12">
        <f>(INDEX(Proj[],MATCH(Std[[#This Row],[Player]],Proj[Player],0),25)-R$764)/R$765</f>
        <v>-0.62531533033812681</v>
      </c>
      <c r="S497" s="12">
        <f>(INDEX(Proj[],MATCH(Std[[#This Row],[Player]],Proj[Player],0),26)-S$764)/S$765</f>
        <v>-0.55339043228520357</v>
      </c>
      <c r="T4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-187.54690550693641</v>
      </c>
      <c r="U497" s="11"/>
      <c r="W497" t="str">
        <v>Alec Martinez</v>
      </c>
      <c r="AA497" t="str">
        <v>Alec Martinez</v>
      </c>
      <c r="AB497" t="str">
        <v>Alec Martinez</v>
      </c>
    </row>
    <row r="498" spans="1:28" x14ac:dyDescent="0.25">
      <c r="A498" t="s">
        <v>525</v>
      </c>
      <c r="B498">
        <f>INDEX(Proj[],MATCH(Std[[#This Row],[Player]],Proj[Player],0),2)</f>
        <v>27</v>
      </c>
      <c r="C498" t="s">
        <v>102</v>
      </c>
      <c r="D498" s="75" t="s">
        <v>103</v>
      </c>
      <c r="E498" s="56"/>
      <c r="F498" t="s">
        <v>5</v>
      </c>
      <c r="G498" s="12">
        <f>(INDEX(Proj[],MATCH(Std[[#This Row],[Player]],Proj[Player],0),14)-G$764)/G$765</f>
        <v>-0.13431591259265557</v>
      </c>
      <c r="H498" s="12">
        <f>(INDEX(Proj[],MATCH(Std[[#This Row],[Player]],Proj[Player],0),15)-H$764)/H$765</f>
        <v>-0.88625663446443059</v>
      </c>
      <c r="I498" s="12">
        <f>(INDEX(Proj[],MATCH(Std[[#This Row],[Player]],Proj[Player],0),16)-I$764)/I$765</f>
        <v>-0.62184973637798924</v>
      </c>
      <c r="J498" s="12">
        <f>(INDEX(Proj[],MATCH(Std[[#This Row],[Player]],Proj[Player],0),17)-J$764)/J$765</f>
        <v>-0.46669252292436259</v>
      </c>
      <c r="K498" s="12">
        <f>(INDEX(Proj[],MATCH(Std[[#This Row],[Player]],Proj[Player],0),18)-K$764)/K$765</f>
        <v>-0.75859266061649311</v>
      </c>
      <c r="L498" s="12">
        <f>(INDEX(Proj[],MATCH(Std[[#This Row],[Player]],Proj[Player],0),19)-L$764)/L$765</f>
        <v>-0.7077372652367413</v>
      </c>
      <c r="M498" s="12">
        <f>(INDEX(Proj[],MATCH(Std[[#This Row],[Player]],Proj[Player],0),20)-M$764)/M$765</f>
        <v>0.31240082183847029</v>
      </c>
      <c r="N498" s="12">
        <f>(INDEX(Proj[],MATCH(Std[[#This Row],[Player]],Proj[Player],0),21)-N$764)/N$765</f>
        <v>1.8075002426366369</v>
      </c>
      <c r="O498" s="12">
        <f>(INDEX(Proj[],MATCH(Std[[#This Row],[Player]],Proj[Player],0),22)-O$764)/O$765</f>
        <v>-0.35866418933544636</v>
      </c>
      <c r="P498" s="12">
        <f>((INDEX(Proj[],MATCH(Std[[#This Row],[Player]],Proj[Player],0),23)-P$764)/P$765)*IF('League Inputs'!$C$23 = "Yes",-1, 1)</f>
        <v>0.95421947832925702</v>
      </c>
      <c r="Q498" s="12">
        <f>(INDEX(Proj[],MATCH(Std[[#This Row],[Player]],Proj[Player],0),24)-Q$764)/Q$765</f>
        <v>-0.43268895334306656</v>
      </c>
      <c r="R498" s="12">
        <f>(INDEX(Proj[],MATCH(Std[[#This Row],[Player]],Proj[Player],0),25)-R$764)/R$765</f>
        <v>-0.45506178745847092</v>
      </c>
      <c r="S498" s="12">
        <f>(INDEX(Proj[],MATCH(Std[[#This Row],[Player]],Proj[Player],0),26)-S$764)/S$765</f>
        <v>-0.48851565624773158</v>
      </c>
      <c r="T4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-86.830862663216763</v>
      </c>
      <c r="U498" s="11"/>
      <c r="W498" t="str">
        <v>Nathan Bastian</v>
      </c>
      <c r="AA498" t="str">
        <v>Nathan Bastian</v>
      </c>
      <c r="AB498" t="str">
        <v>Nathan Bastian</v>
      </c>
    </row>
    <row r="499" spans="1:28" x14ac:dyDescent="0.25">
      <c r="A499" t="s">
        <v>549</v>
      </c>
      <c r="B499">
        <f>INDEX(Proj[],MATCH(Std[[#This Row],[Player]],Proj[Player],0),2)</f>
        <v>26</v>
      </c>
      <c r="C499" t="s">
        <v>102</v>
      </c>
      <c r="D499" s="75" t="s">
        <v>103</v>
      </c>
      <c r="E499" s="56"/>
      <c r="F499" t="s">
        <v>9</v>
      </c>
      <c r="G499" s="12">
        <f>(INDEX(Proj[],MATCH(Std[[#This Row],[Player]],Proj[Player],0),14)-G$764)/G$765</f>
        <v>-0.7681191251392494</v>
      </c>
      <c r="H499" s="12">
        <f>(INDEX(Proj[],MATCH(Std[[#This Row],[Player]],Proj[Player],0),15)-H$764)/H$765</f>
        <v>-0.43908103253483932</v>
      </c>
      <c r="I499" s="12">
        <f>(INDEX(Proj[],MATCH(Std[[#This Row],[Player]],Proj[Player],0),16)-I$764)/I$765</f>
        <v>-0.62184973637798924</v>
      </c>
      <c r="J499" s="12">
        <f>(INDEX(Proj[],MATCH(Std[[#This Row],[Player]],Proj[Player],0),17)-J$764)/J$765</f>
        <v>-0.76105581014900237</v>
      </c>
      <c r="K499" s="12">
        <f>(INDEX(Proj[],MATCH(Std[[#This Row],[Player]],Proj[Player],0),18)-K$764)/K$765</f>
        <v>-0.75859266061649311</v>
      </c>
      <c r="L499" s="12">
        <f>(INDEX(Proj[],MATCH(Std[[#This Row],[Player]],Proj[Player],0),19)-L$764)/L$765</f>
        <v>-0.81647589674950882</v>
      </c>
      <c r="M499" s="12">
        <f>(INDEX(Proj[],MATCH(Std[[#This Row],[Player]],Proj[Player],0),20)-M$764)/M$765</f>
        <v>0.31240082183847029</v>
      </c>
      <c r="N499" s="12">
        <f>(INDEX(Proj[],MATCH(Std[[#This Row],[Player]],Proj[Player],0),21)-N$764)/N$765</f>
        <v>-0.80876375939041945</v>
      </c>
      <c r="O499" s="12">
        <f>(INDEX(Proj[],MATCH(Std[[#This Row],[Player]],Proj[Player],0),22)-O$764)/O$765</f>
        <v>1.3825360611034818</v>
      </c>
      <c r="P499" s="12">
        <f>((INDEX(Proj[],MATCH(Std[[#This Row],[Player]],Proj[Player],0),23)-P$764)/P$765)*IF('League Inputs'!$C$23 = "Yes",-1, 1)</f>
        <v>-2.3115781936270764E-2</v>
      </c>
      <c r="Q499" s="12">
        <f>(INDEX(Proj[],MATCH(Std[[#This Row],[Player]],Proj[Player],0),24)-Q$764)/Q$765</f>
        <v>-0.5766103108129359</v>
      </c>
      <c r="R499" s="12">
        <f>(INDEX(Proj[],MATCH(Std[[#This Row],[Player]],Proj[Player],0),25)-R$764)/R$765</f>
        <v>-0.62531533033812681</v>
      </c>
      <c r="S499" s="12">
        <f>(INDEX(Proj[],MATCH(Std[[#This Row],[Player]],Proj[Player],0),26)-S$764)/S$765</f>
        <v>-0.55339043228520357</v>
      </c>
      <c r="T4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-322.48700141229347</v>
      </c>
      <c r="U499" s="11"/>
      <c r="W499" t="str">
        <v>Jake Bean</v>
      </c>
      <c r="AA499" t="str">
        <v>Jake Bean</v>
      </c>
      <c r="AB499" t="str">
        <v>Jake Bean</v>
      </c>
    </row>
    <row r="500" spans="1:28" x14ac:dyDescent="0.25">
      <c r="A500" t="s">
        <v>606</v>
      </c>
      <c r="B500">
        <f>INDEX(Proj[],MATCH(Std[[#This Row],[Player]],Proj[Player],0),2)</f>
        <v>34</v>
      </c>
      <c r="C500" t="s">
        <v>74</v>
      </c>
      <c r="D500" s="75" t="s">
        <v>102</v>
      </c>
      <c r="E500" s="56"/>
      <c r="F500" t="s">
        <v>153</v>
      </c>
      <c r="G500" s="12">
        <f>(INDEX(Proj[],MATCH(Std[[#This Row],[Player]],Proj[Player],0),14)-G$764)/G$765</f>
        <v>-0.9793868626547807</v>
      </c>
      <c r="H500" s="12">
        <f>(INDEX(Proj[],MATCH(Std[[#This Row],[Player]],Proj[Player],0),15)-H$764)/H$765</f>
        <v>-0.29002249855830886</v>
      </c>
      <c r="I500" s="12">
        <f>(INDEX(Proj[],MATCH(Std[[#This Row],[Player]],Proj[Player],0),16)-I$764)/I$765</f>
        <v>-0.62184973637798924</v>
      </c>
      <c r="J500" s="12">
        <f>(INDEX(Proj[],MATCH(Std[[#This Row],[Player]],Proj[Player],0),17)-J$764)/J$765</f>
        <v>-0.76105581014900237</v>
      </c>
      <c r="K500" s="12">
        <f>(INDEX(Proj[],MATCH(Std[[#This Row],[Player]],Proj[Player],0),18)-K$764)/K$765</f>
        <v>-0.75859266061649311</v>
      </c>
      <c r="L500" s="12">
        <f>(INDEX(Proj[],MATCH(Std[[#This Row],[Player]],Proj[Player],0),19)-L$764)/L$765</f>
        <v>-0.81647589674950882</v>
      </c>
      <c r="M500" s="12">
        <f>(INDEX(Proj[],MATCH(Std[[#This Row],[Player]],Proj[Player],0),20)-M$764)/M$765</f>
        <v>0.31240082183847029</v>
      </c>
      <c r="N500" s="12">
        <f>(INDEX(Proj[],MATCH(Std[[#This Row],[Player]],Proj[Player],0),21)-N$764)/N$765</f>
        <v>-0.1498528255465682</v>
      </c>
      <c r="O500" s="12">
        <f>(INDEX(Proj[],MATCH(Std[[#This Row],[Player]],Proj[Player],0),22)-O$764)/O$765</f>
        <v>1.3825360611034818</v>
      </c>
      <c r="P500" s="12">
        <f>((INDEX(Proj[],MATCH(Std[[#This Row],[Player]],Proj[Player],0),23)-P$764)/P$765)*IF('League Inputs'!$C$23 = "Yes",-1, 1)</f>
        <v>-0.86083171930672309</v>
      </c>
      <c r="Q500" s="12">
        <f>(INDEX(Proj[],MATCH(Std[[#This Row],[Player]],Proj[Player],0),24)-Q$764)/Q$765</f>
        <v>-0.5766103108129359</v>
      </c>
      <c r="R500" s="12">
        <f>(INDEX(Proj[],MATCH(Std[[#This Row],[Player]],Proj[Player],0),25)-R$764)/R$765</f>
        <v>-0.62531533033812681</v>
      </c>
      <c r="S500" s="12">
        <f>(INDEX(Proj[],MATCH(Std[[#This Row],[Player]],Proj[Player],0),26)-S$764)/S$765</f>
        <v>-0.65070259634141148</v>
      </c>
      <c r="T5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-356.3196385244745</v>
      </c>
      <c r="U500" s="11"/>
      <c r="W500" t="str">
        <v>Nick Jensen</v>
      </c>
      <c r="AA500" t="str">
        <v>Nick Jensen</v>
      </c>
      <c r="AB500" t="str">
        <v>Nick Jensen</v>
      </c>
    </row>
    <row r="501" spans="1:28" x14ac:dyDescent="0.25">
      <c r="A501" t="s">
        <v>1053</v>
      </c>
      <c r="B501">
        <f>INDEX(Proj[],MATCH(Std[[#This Row],[Player]],Proj[Player],0),2)</f>
        <v>24</v>
      </c>
      <c r="C501" t="s">
        <v>74</v>
      </c>
      <c r="D501" s="75" t="s">
        <v>102</v>
      </c>
      <c r="E501" s="57"/>
      <c r="F501" t="s">
        <v>4</v>
      </c>
      <c r="G501" s="12">
        <f>(INDEX(Proj[],MATCH(Std[[#This Row],[Player]],Proj[Player],0),14)-G$764)/G$765</f>
        <v>-0.9793868626547807</v>
      </c>
      <c r="H501" s="12">
        <f>(INDEX(Proj[],MATCH(Std[[#This Row],[Player]],Proj[Player],0),15)-H$764)/H$765</f>
        <v>-0.29002249855830886</v>
      </c>
      <c r="I501" s="12">
        <f>(INDEX(Proj[],MATCH(Std[[#This Row],[Player]],Proj[Player],0),16)-I$764)/I$765</f>
        <v>-0.62184973637798924</v>
      </c>
      <c r="J501" s="12">
        <f>(INDEX(Proj[],MATCH(Std[[#This Row],[Player]],Proj[Player],0),17)-J$764)/J$765</f>
        <v>-0.46669252292436259</v>
      </c>
      <c r="K501" s="12">
        <f>(INDEX(Proj[],MATCH(Std[[#This Row],[Player]],Proj[Player],0),18)-K$764)/K$765</f>
        <v>0.32000895664424578</v>
      </c>
      <c r="L501" s="12">
        <f>(INDEX(Proj[],MATCH(Std[[#This Row],[Player]],Proj[Player],0),19)-L$764)/L$765</f>
        <v>5.3433155352631455E-2</v>
      </c>
      <c r="M501" s="12">
        <f>(INDEX(Proj[],MATCH(Std[[#This Row],[Player]],Proj[Player],0),20)-M$764)/M$765</f>
        <v>-0.71308883245737775</v>
      </c>
      <c r="N501" s="12">
        <f>(INDEX(Proj[],MATCH(Std[[#This Row],[Player]],Proj[Player],0),21)-N$764)/N$765</f>
        <v>-0.92504215948051083</v>
      </c>
      <c r="O501" s="12">
        <f>(INDEX(Proj[],MATCH(Std[[#This Row],[Player]],Proj[Player],0),22)-O$764)/O$765</f>
        <v>0.5003279342144249</v>
      </c>
      <c r="P501" s="12">
        <f>((INDEX(Proj[],MATCH(Std[[#This Row],[Player]],Proj[Player],0),23)-P$764)/P$765)*IF('League Inputs'!$C$23 = "Yes",-1, 1)</f>
        <v>-0.48851352491985539</v>
      </c>
      <c r="Q501" s="12">
        <f>(INDEX(Proj[],MATCH(Std[[#This Row],[Player]],Proj[Player],0),24)-Q$764)/Q$765</f>
        <v>-0.5766103108129359</v>
      </c>
      <c r="R501" s="12">
        <f>(INDEX(Proj[],MATCH(Std[[#This Row],[Player]],Proj[Player],0),25)-R$764)/R$765</f>
        <v>-0.62531533033812681</v>
      </c>
      <c r="S501" s="12">
        <f>(INDEX(Proj[],MATCH(Std[[#This Row],[Player]],Proj[Player],0),26)-S$764)/S$765</f>
        <v>-1.0237325585568751</v>
      </c>
      <c r="T5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-435.13965617942</v>
      </c>
      <c r="U501" s="11"/>
      <c r="W501" t="str">
        <v>Egor Zamula</v>
      </c>
      <c r="AA501" t="str">
        <v>Egor Zamula</v>
      </c>
      <c r="AB501" t="str">
        <v>Egor Zamula</v>
      </c>
    </row>
    <row r="502" spans="1:28" x14ac:dyDescent="0.25">
      <c r="A502" t="s">
        <v>420</v>
      </c>
      <c r="B502">
        <f>INDEX(Proj[],MATCH(Std[[#This Row],[Player]],Proj[Player],0),2)</f>
        <v>31</v>
      </c>
      <c r="C502" t="s">
        <v>102</v>
      </c>
      <c r="D502" s="75" t="s">
        <v>103</v>
      </c>
      <c r="E502" s="57"/>
      <c r="F502" t="s">
        <v>15</v>
      </c>
      <c r="G502" s="12">
        <f>(INDEX(Proj[],MATCH(Std[[#This Row],[Player]],Proj[Player],0),14)-G$764)/G$765</f>
        <v>-0.55685138762371811</v>
      </c>
      <c r="H502" s="12">
        <f>(INDEX(Proj[],MATCH(Std[[#This Row],[Player]],Proj[Player],0),15)-H$764)/H$765</f>
        <v>-0.58813956651136978</v>
      </c>
      <c r="I502" s="12">
        <f>(INDEX(Proj[],MATCH(Std[[#This Row],[Player]],Proj[Player],0),16)-I$764)/I$765</f>
        <v>-0.62184973637798924</v>
      </c>
      <c r="J502" s="12">
        <f>(INDEX(Proj[],MATCH(Std[[#This Row],[Player]],Proj[Player],0),17)-J$764)/J$765</f>
        <v>-0.76105581014900237</v>
      </c>
      <c r="K502" s="12">
        <f>(INDEX(Proj[],MATCH(Std[[#This Row],[Player]],Proj[Player],0),18)-K$764)/K$765</f>
        <v>-0.75859266061649311</v>
      </c>
      <c r="L502" s="12">
        <f>(INDEX(Proj[],MATCH(Std[[#This Row],[Player]],Proj[Player],0),19)-L$764)/L$765</f>
        <v>-0.81647589674950882</v>
      </c>
      <c r="M502" s="12">
        <f>(INDEX(Proj[],MATCH(Std[[#This Row],[Player]],Proj[Player],0),20)-M$764)/M$765</f>
        <v>1.3378904761343182</v>
      </c>
      <c r="N502" s="12">
        <f>(INDEX(Proj[],MATCH(Std[[#This Row],[Player]],Proj[Player],0),21)-N$764)/N$765</f>
        <v>1.0516906420510428</v>
      </c>
      <c r="O502" s="12">
        <f>(INDEX(Proj[],MATCH(Std[[#This Row],[Player]],Proj[Player],0),22)-O$764)/O$765</f>
        <v>0.17530388746582498</v>
      </c>
      <c r="P502" s="12">
        <f>((INDEX(Proj[],MATCH(Std[[#This Row],[Player]],Proj[Player],0),23)-P$764)/P$765)*IF('League Inputs'!$C$23 = "Yes",-1, 1)</f>
        <v>1.1403785755226907</v>
      </c>
      <c r="Q502" s="12">
        <f>(INDEX(Proj[],MATCH(Std[[#This Row],[Player]],Proj[Player],0),24)-Q$764)/Q$765</f>
        <v>1.1184634549433028</v>
      </c>
      <c r="R502" s="12">
        <f>(INDEX(Proj[],MATCH(Std[[#This Row],[Player]],Proj[Player],0),25)-R$764)/R$765</f>
        <v>1.0034435632105811</v>
      </c>
      <c r="S502" s="12">
        <f>(INDEX(Proj[],MATCH(Std[[#This Row],[Player]],Proj[Player],0),26)-S$764)/S$765</f>
        <v>-0.86154561846319522</v>
      </c>
      <c r="T5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4.0974354257079737</v>
      </c>
      <c r="U502" s="11"/>
      <c r="W502" t="str">
        <v>Barclay Goodrow</v>
      </c>
      <c r="AA502" t="str">
        <v>Barclay Goodrow</v>
      </c>
      <c r="AB502" t="str">
        <v>Barclay Goodrow</v>
      </c>
    </row>
    <row r="503" spans="1:28" x14ac:dyDescent="0.25">
      <c r="A503" t="s">
        <v>708</v>
      </c>
      <c r="B503">
        <f>INDEX(Proj[],MATCH(Std[[#This Row],[Player]],Proj[Player],0),2)</f>
        <v>33</v>
      </c>
      <c r="C503" t="s">
        <v>74</v>
      </c>
      <c r="D503" s="75" t="s">
        <v>103</v>
      </c>
      <c r="E503" s="57"/>
      <c r="F503" t="s">
        <v>5</v>
      </c>
      <c r="G503" s="12">
        <f>(INDEX(Proj[],MATCH(Std[[#This Row],[Player]],Proj[Player],0),14)-G$764)/G$765</f>
        <v>-0.34558365010818687</v>
      </c>
      <c r="H503" s="12">
        <f>(INDEX(Proj[],MATCH(Std[[#This Row],[Player]],Proj[Player],0),15)-H$764)/H$765</f>
        <v>-0.73719810048790013</v>
      </c>
      <c r="I503" s="12">
        <f>(INDEX(Proj[],MATCH(Std[[#This Row],[Player]],Proj[Player],0),16)-I$764)/I$765</f>
        <v>-0.62184973637798924</v>
      </c>
      <c r="J503" s="12">
        <f>(INDEX(Proj[],MATCH(Std[[#This Row],[Player]],Proj[Player],0),17)-J$764)/J$765</f>
        <v>-0.76105581014900237</v>
      </c>
      <c r="K503" s="12">
        <f>(INDEX(Proj[],MATCH(Std[[#This Row],[Player]],Proj[Player],0),18)-K$764)/K$765</f>
        <v>-0.75859266061649311</v>
      </c>
      <c r="L503" s="12">
        <f>(INDEX(Proj[],MATCH(Std[[#This Row],[Player]],Proj[Player],0),19)-L$764)/L$765</f>
        <v>-0.81647589674950882</v>
      </c>
      <c r="M503" s="12">
        <f>(INDEX(Proj[],MATCH(Std[[#This Row],[Player]],Proj[Player],0),20)-M$764)/M$765</f>
        <v>1.3378904761343182</v>
      </c>
      <c r="N503" s="12">
        <f>(INDEX(Proj[],MATCH(Std[[#This Row],[Player]],Proj[Player],0),21)-N$764)/N$765</f>
        <v>0.91603250861260288</v>
      </c>
      <c r="O503" s="12">
        <f>(INDEX(Proj[],MATCH(Std[[#This Row],[Player]],Proj[Player],0),22)-O$764)/O$765</f>
        <v>-1.0424139247660705E-2</v>
      </c>
      <c r="P503" s="12">
        <f>((INDEX(Proj[],MATCH(Std[[#This Row],[Player]],Proj[Player],0),23)-P$764)/P$765)*IF('League Inputs'!$C$23 = "Yes",-1, 1)</f>
        <v>0.20958308955552155</v>
      </c>
      <c r="Q503" s="12">
        <f>(INDEX(Proj[],MATCH(Std[[#This Row],[Player]],Proj[Player],0),24)-Q$764)/Q$765</f>
        <v>1.470271217647428</v>
      </c>
      <c r="R503" s="12">
        <f>(INDEX(Proj[],MATCH(Std[[#This Row],[Player]],Proj[Player],0),25)-R$764)/R$765</f>
        <v>1.2928745861059963</v>
      </c>
      <c r="S503" s="12">
        <f>(INDEX(Proj[],MATCH(Std[[#This Row],[Player]],Proj[Player],0),26)-S$764)/S$765</f>
        <v>-0.53717173827583553</v>
      </c>
      <c r="T5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-47.281644543152844</v>
      </c>
      <c r="U503" s="11"/>
      <c r="W503" t="str">
        <v>Casey Cizikas</v>
      </c>
      <c r="AA503" t="str">
        <v>Casey Cizikas</v>
      </c>
      <c r="AB503" t="str">
        <v>Casey Cizikas</v>
      </c>
    </row>
    <row r="504" spans="1:28" x14ac:dyDescent="0.25">
      <c r="A504" t="s">
        <v>829</v>
      </c>
      <c r="B504">
        <f>INDEX(Proj[],MATCH(Std[[#This Row],[Player]],Proj[Player],0),2)</f>
        <v>26</v>
      </c>
      <c r="C504" t="s">
        <v>3</v>
      </c>
      <c r="D504" s="75"/>
      <c r="E504" s="57"/>
      <c r="F504" t="s">
        <v>31</v>
      </c>
      <c r="G504" s="12">
        <f>(INDEX(Proj[],MATCH(Std[[#This Row],[Player]],Proj[Player],0),14)-G$764)/G$765</f>
        <v>-0.23994978135042122</v>
      </c>
      <c r="H504" s="12">
        <f>(INDEX(Proj[],MATCH(Std[[#This Row],[Player]],Proj[Player],0),15)-H$764)/H$765</f>
        <v>-0.81172736747616536</v>
      </c>
      <c r="I504" s="12">
        <f>(INDEX(Proj[],MATCH(Std[[#This Row],[Player]],Proj[Player],0),16)-I$764)/I$765</f>
        <v>-0.62184973637798924</v>
      </c>
      <c r="J504" s="12">
        <f>(INDEX(Proj[],MATCH(Std[[#This Row],[Player]],Proj[Player],0),17)-J$764)/J$765</f>
        <v>0.41639733874955659</v>
      </c>
      <c r="K504" s="12">
        <f>(INDEX(Proj[],MATCH(Std[[#This Row],[Player]],Proj[Player],0),18)-K$764)/K$765</f>
        <v>-0.45042076997056774</v>
      </c>
      <c r="L504" s="12">
        <f>(INDEX(Proj[],MATCH(Std[[#This Row],[Player]],Proj[Player],0),19)-L$764)/L$765</f>
        <v>-0.16404410767290362</v>
      </c>
      <c r="M504" s="12">
        <f>(INDEX(Proj[],MATCH(Std[[#This Row],[Player]],Proj[Player],0),20)-M$764)/M$765</f>
        <v>0.31240082183847029</v>
      </c>
      <c r="N504" s="12">
        <f>(INDEX(Proj[],MATCH(Std[[#This Row],[Player]],Proj[Player],0),21)-N$764)/N$765</f>
        <v>0.2958810414654488</v>
      </c>
      <c r="O504" s="12">
        <f>(INDEX(Proj[],MATCH(Std[[#This Row],[Player]],Proj[Player],0),22)-O$764)/O$765</f>
        <v>-0.96228027615427481</v>
      </c>
      <c r="P504" s="12">
        <f>((INDEX(Proj[],MATCH(Std[[#This Row],[Player]],Proj[Player],0),23)-P$764)/P$765)*IF('League Inputs'!$C$23 = "Yes",-1, 1)</f>
        <v>-0.16273510483134615</v>
      </c>
      <c r="Q504" s="12">
        <f>(INDEX(Proj[],MATCH(Std[[#This Row],[Player]],Proj[Player],0),24)-Q$764)/Q$765</f>
        <v>-0.42202811204900215</v>
      </c>
      <c r="R504" s="12">
        <f>(INDEX(Proj[],MATCH(Std[[#This Row],[Player]],Proj[Player],0),25)-R$764)/R$765</f>
        <v>-0.43236131507451681</v>
      </c>
      <c r="S504" s="12">
        <f>(INDEX(Proj[],MATCH(Std[[#This Row],[Player]],Proj[Player],0),26)-S$764)/S$765</f>
        <v>-0.32632871615405179</v>
      </c>
      <c r="T5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-341.50621606007053</v>
      </c>
      <c r="U504" s="11"/>
      <c r="W504" t="str">
        <v>Boris Katchouk</v>
      </c>
      <c r="AA504" t="str">
        <v>Boris Katchouk</v>
      </c>
      <c r="AB504" t="str">
        <v>Boris Katchouk</v>
      </c>
    </row>
    <row r="505" spans="1:28" x14ac:dyDescent="0.25">
      <c r="A505" t="s">
        <v>765</v>
      </c>
      <c r="B505">
        <f>INDEX(Proj[],MATCH(Std[[#This Row],[Player]],Proj[Player],0),2)</f>
        <v>25</v>
      </c>
      <c r="C505" t="s">
        <v>74</v>
      </c>
      <c r="D505" s="75"/>
      <c r="E505" s="57"/>
      <c r="F505" t="s">
        <v>154</v>
      </c>
      <c r="G505" s="12">
        <f>(INDEX(Proj[],MATCH(Std[[#This Row],[Player]],Proj[Player],0),14)-G$764)/G$765</f>
        <v>-0.34558365010818687</v>
      </c>
      <c r="H505" s="12">
        <f>(INDEX(Proj[],MATCH(Std[[#This Row],[Player]],Proj[Player],0),15)-H$764)/H$765</f>
        <v>-0.73719810048790013</v>
      </c>
      <c r="I505" s="12">
        <f>(INDEX(Proj[],MATCH(Std[[#This Row],[Player]],Proj[Player],0),16)-I$764)/I$765</f>
        <v>-0.62184973637798924</v>
      </c>
      <c r="J505" s="12">
        <f>(INDEX(Proj[],MATCH(Std[[#This Row],[Player]],Proj[Player],0),17)-J$764)/J$765</f>
        <v>0.12203405152491688</v>
      </c>
      <c r="K505" s="12">
        <f>(INDEX(Proj[],MATCH(Std[[#This Row],[Player]],Proj[Player],0),18)-K$764)/K$765</f>
        <v>-0.45042076997056774</v>
      </c>
      <c r="L505" s="12">
        <f>(INDEX(Proj[],MATCH(Std[[#This Row],[Player]],Proj[Player],0),19)-L$764)/L$765</f>
        <v>-0.27278273918567114</v>
      </c>
      <c r="M505" s="12">
        <f>(INDEX(Proj[],MATCH(Std[[#This Row],[Player]],Proj[Player],0),20)-M$764)/M$765</f>
        <v>-0.71308883245737775</v>
      </c>
      <c r="N505" s="12">
        <f>(INDEX(Proj[],MATCH(Std[[#This Row],[Player]],Proj[Player],0),21)-N$764)/N$765</f>
        <v>-0.92504215948051083</v>
      </c>
      <c r="O505" s="12">
        <f>(INDEX(Proj[],MATCH(Std[[#This Row],[Player]],Proj[Player],0),22)-O$764)/O$765</f>
        <v>-0.8229842561191606</v>
      </c>
      <c r="P505" s="12">
        <f>((INDEX(Proj[],MATCH(Std[[#This Row],[Player]],Proj[Player],0),23)-P$764)/P$765)*IF('League Inputs'!$C$23 = "Yes",-1, 1)</f>
        <v>-1.1866101393952324</v>
      </c>
      <c r="Q505" s="12">
        <f>(INDEX(Proj[],MATCH(Std[[#This Row],[Player]],Proj[Player],0),24)-Q$764)/Q$765</f>
        <v>-0.51264526304854952</v>
      </c>
      <c r="R505" s="12">
        <f>(INDEX(Proj[],MATCH(Std[[#This Row],[Player]],Proj[Player],0),25)-R$764)/R$765</f>
        <v>-0.53451344080231034</v>
      </c>
      <c r="S505" s="12">
        <f>(INDEX(Proj[],MATCH(Std[[#This Row],[Player]],Proj[Player],0),26)-S$764)/S$765</f>
        <v>-0.32632871615405179</v>
      </c>
      <c r="T5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-575.1024760357252</v>
      </c>
      <c r="U505" s="11"/>
      <c r="W505" t="str">
        <v>Emil Bemstrom</v>
      </c>
      <c r="AA505" t="str">
        <v>Emil Bemstrom</v>
      </c>
      <c r="AB505" t="str">
        <v>Emil Bemstrom</v>
      </c>
    </row>
    <row r="506" spans="1:28" x14ac:dyDescent="0.25">
      <c r="A506" t="s">
        <v>762</v>
      </c>
      <c r="B506">
        <f>INDEX(Proj[],MATCH(Std[[#This Row],[Player]],Proj[Player],0),2)</f>
        <v>30</v>
      </c>
      <c r="C506" t="s">
        <v>74</v>
      </c>
      <c r="D506" s="75"/>
      <c r="E506" s="56"/>
      <c r="F506" t="s">
        <v>13</v>
      </c>
      <c r="G506" s="12">
        <f>(INDEX(Proj[],MATCH(Std[[#This Row],[Player]],Proj[Player],0),14)-G$764)/G$765</f>
        <v>-0.45121751886595246</v>
      </c>
      <c r="H506" s="12">
        <f>(INDEX(Proj[],MATCH(Std[[#This Row],[Player]],Proj[Player],0),15)-H$764)/H$765</f>
        <v>-0.6626688334996349</v>
      </c>
      <c r="I506" s="12">
        <f>(INDEX(Proj[],MATCH(Std[[#This Row],[Player]],Proj[Player],0),16)-I$764)/I$765</f>
        <v>-0.62184973637798924</v>
      </c>
      <c r="J506" s="12">
        <f>(INDEX(Proj[],MATCH(Std[[#This Row],[Player]],Proj[Player],0),17)-J$764)/J$765</f>
        <v>-0.76105581014900237</v>
      </c>
      <c r="K506" s="12">
        <f>(INDEX(Proj[],MATCH(Std[[#This Row],[Player]],Proj[Player],0),18)-K$764)/K$765</f>
        <v>-0.75859266061649311</v>
      </c>
      <c r="L506" s="12">
        <f>(INDEX(Proj[],MATCH(Std[[#This Row],[Player]],Proj[Player],0),19)-L$764)/L$765</f>
        <v>-0.81647589674950882</v>
      </c>
      <c r="M506" s="12">
        <f>(INDEX(Proj[],MATCH(Std[[#This Row],[Player]],Proj[Player],0),20)-M$764)/M$765</f>
        <v>0.31240082183847029</v>
      </c>
      <c r="N506" s="12">
        <f>(INDEX(Proj[],MATCH(Std[[#This Row],[Player]],Proj[Player],0),21)-N$764)/N$765</f>
        <v>-0.16923255889491676</v>
      </c>
      <c r="O506" s="12">
        <f>(INDEX(Proj[],MATCH(Std[[#This Row],[Player]],Proj[Player],0),22)-O$764)/O$765</f>
        <v>-0.77655224944078916</v>
      </c>
      <c r="P506" s="12">
        <f>((INDEX(Proj[],MATCH(Std[[#This Row],[Player]],Proj[Player],0),23)-P$764)/P$765)*IF('League Inputs'!$C$23 = "Yes",-1, 1)</f>
        <v>-1.0004510422017985</v>
      </c>
      <c r="Q506" s="12">
        <f>(INDEX(Proj[],MATCH(Std[[#This Row],[Player]],Proj[Player],0),24)-Q$764)/Q$765</f>
        <v>2.013974123644712</v>
      </c>
      <c r="R506" s="12">
        <f>(INDEX(Proj[],MATCH(Std[[#This Row],[Player]],Proj[Player],0),25)-R$764)/R$765</f>
        <v>2.0476652928724706</v>
      </c>
      <c r="S506" s="12">
        <f>(INDEX(Proj[],MATCH(Std[[#This Row],[Player]],Proj[Player],0),26)-S$764)/S$765</f>
        <v>-0.60204651431330747</v>
      </c>
      <c r="T5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-308.65202266991855</v>
      </c>
      <c r="U506" s="11"/>
      <c r="W506" t="str">
        <v>David Kampf</v>
      </c>
      <c r="AA506" t="str">
        <v>David Kampf</v>
      </c>
      <c r="AB506" t="str">
        <v>David Kampf</v>
      </c>
    </row>
    <row r="507" spans="1:28" x14ac:dyDescent="0.25">
      <c r="A507" t="s">
        <v>1095</v>
      </c>
      <c r="B507">
        <f>INDEX(Proj[],MATCH(Std[[#This Row],[Player]],Proj[Player],0),2)</f>
        <v>22</v>
      </c>
      <c r="C507" t="s">
        <v>74</v>
      </c>
      <c r="D507" s="75"/>
      <c r="E507" s="56"/>
      <c r="F507" t="s">
        <v>15</v>
      </c>
      <c r="G507" s="12">
        <f>(INDEX(Proj[],MATCH(Std[[#This Row],[Player]],Proj[Player],0),14)-G$764)/G$765</f>
        <v>-0.45121751886595246</v>
      </c>
      <c r="H507" s="12">
        <f>(INDEX(Proj[],MATCH(Std[[#This Row],[Player]],Proj[Player],0),15)-H$764)/H$765</f>
        <v>-0.6626688334996349</v>
      </c>
      <c r="I507" s="12">
        <f>(INDEX(Proj[],MATCH(Std[[#This Row],[Player]],Proj[Player],0),16)-I$764)/I$765</f>
        <v>-0.62184973637798924</v>
      </c>
      <c r="J507" s="12">
        <f>(INDEX(Proj[],MATCH(Std[[#This Row],[Player]],Proj[Player],0),17)-J$764)/J$765</f>
        <v>0.12203405152491688</v>
      </c>
      <c r="K507" s="12">
        <f>(INDEX(Proj[],MATCH(Std[[#This Row],[Player]],Proj[Player],0),18)-K$764)/K$765</f>
        <v>-0.29633482464760502</v>
      </c>
      <c r="L507" s="12">
        <f>(INDEX(Proj[],MATCH(Std[[#This Row],[Player]],Proj[Player],0),19)-L$764)/L$765</f>
        <v>-0.16404410767290362</v>
      </c>
      <c r="M507" s="12">
        <f>(INDEX(Proj[],MATCH(Std[[#This Row],[Player]],Proj[Player],0),20)-M$764)/M$765</f>
        <v>-0.71308883245737775</v>
      </c>
      <c r="N507" s="12">
        <f>(INDEX(Proj[],MATCH(Std[[#This Row],[Player]],Proj[Player],0),21)-N$764)/N$765</f>
        <v>-1.2157381597057393</v>
      </c>
      <c r="O507" s="12">
        <f>(INDEX(Proj[],MATCH(Std[[#This Row],[Player]],Proj[Player],0),22)-O$764)/O$765</f>
        <v>-1.1247922995285748</v>
      </c>
      <c r="P507" s="12">
        <f>((INDEX(Proj[],MATCH(Std[[#This Row],[Player]],Proj[Player],0),23)-P$764)/P$765)*IF('League Inputs'!$C$23 = "Yes",-1, 1)</f>
        <v>-1.1866101393952324</v>
      </c>
      <c r="Q507" s="12">
        <f>(INDEX(Proj[],MATCH(Std[[#This Row],[Player]],Proj[Player],0),24)-Q$764)/Q$765</f>
        <v>-0.39004558816680895</v>
      </c>
      <c r="R507" s="12">
        <f>(INDEX(Proj[],MATCH(Std[[#This Row],[Player]],Proj[Player],0),25)-R$764)/R$765</f>
        <v>-0.36993501601864298</v>
      </c>
      <c r="S507" s="12">
        <f>(INDEX(Proj[],MATCH(Std[[#This Row],[Player]],Proj[Player],0),26)-S$764)/S$765</f>
        <v>-0.45607826822899561</v>
      </c>
      <c r="T5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-627.30446514418315</v>
      </c>
      <c r="U507" s="11"/>
      <c r="W507" t="str">
        <v>Matt Coronato</v>
      </c>
      <c r="AA507" t="str">
        <v>Matt Coronato</v>
      </c>
      <c r="AB507" t="str">
        <v>Matt Coronato</v>
      </c>
    </row>
    <row r="508" spans="1:28" x14ac:dyDescent="0.25">
      <c r="A508" t="s">
        <v>415</v>
      </c>
      <c r="B508">
        <f>INDEX(Proj[],MATCH(Std[[#This Row],[Player]],Proj[Player],0),2)</f>
        <v>29</v>
      </c>
      <c r="C508" t="s">
        <v>103</v>
      </c>
      <c r="D508" s="75"/>
      <c r="E508" s="56"/>
      <c r="F508" t="s">
        <v>8</v>
      </c>
      <c r="G508" s="12">
        <f>(INDEX(Proj[],MATCH(Std[[#This Row],[Player]],Proj[Player],0),14)-G$764)/G$765</f>
        <v>-0.66248525638148381</v>
      </c>
      <c r="H508" s="12">
        <f>(INDEX(Proj[],MATCH(Std[[#This Row],[Player]],Proj[Player],0),15)-H$764)/H$765</f>
        <v>-0.58813956651136978</v>
      </c>
      <c r="I508" s="12">
        <f>(INDEX(Proj[],MATCH(Std[[#This Row],[Player]],Proj[Player],0),16)-I$764)/I$765</f>
        <v>-0.66909229534009251</v>
      </c>
      <c r="J508" s="12">
        <f>(INDEX(Proj[],MATCH(Std[[#This Row],[Player]],Proj[Player],0),17)-J$764)/J$765</f>
        <v>-0.76105581014900237</v>
      </c>
      <c r="K508" s="12">
        <f>(INDEX(Proj[],MATCH(Std[[#This Row],[Player]],Proj[Player],0),18)-K$764)/K$765</f>
        <v>-0.75859266061649311</v>
      </c>
      <c r="L508" s="12">
        <f>(INDEX(Proj[],MATCH(Std[[#This Row],[Player]],Proj[Player],0),19)-L$764)/L$765</f>
        <v>-0.81647589674950882</v>
      </c>
      <c r="M508" s="12">
        <f>(INDEX(Proj[],MATCH(Std[[#This Row],[Player]],Proj[Player],0),20)-M$764)/M$765</f>
        <v>0.31240082183847029</v>
      </c>
      <c r="N508" s="12">
        <f>(INDEX(Proj[],MATCH(Std[[#This Row],[Player]],Proj[Player],0),21)-N$764)/N$765</f>
        <v>1.4974245090630598</v>
      </c>
      <c r="O508" s="12">
        <f>(INDEX(Proj[],MATCH(Std[[#This Row],[Player]],Proj[Player],0),22)-O$764)/O$765</f>
        <v>0.26816790082256781</v>
      </c>
      <c r="P508" s="12">
        <f>((INDEX(Proj[],MATCH(Std[[#This Row],[Player]],Proj[Player],0),23)-P$764)/P$765)*IF('League Inputs'!$C$23 = "Yes",-1, 1)</f>
        <v>2.4900320301750862</v>
      </c>
      <c r="Q508" s="12">
        <f>(INDEX(Proj[],MATCH(Std[[#This Row],[Player]],Proj[Player],0),24)-Q$764)/Q$765</f>
        <v>-0.5766103108129359</v>
      </c>
      <c r="R508" s="12">
        <f>(INDEX(Proj[],MATCH(Std[[#This Row],[Player]],Proj[Player],0),25)-R$764)/R$765</f>
        <v>-0.62531533033812681</v>
      </c>
      <c r="S508" s="12">
        <f>(INDEX(Proj[],MATCH(Std[[#This Row],[Player]],Proj[Player],0),26)-S$764)/S$765</f>
        <v>-0.35876610417278776</v>
      </c>
      <c r="T5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58.405501009253499</v>
      </c>
      <c r="U508" s="11"/>
      <c r="W508" t="str">
        <v>Nikita Zadorov</v>
      </c>
      <c r="AA508" t="str">
        <v>Nikita Zadorov</v>
      </c>
      <c r="AB508" t="str">
        <v>Nikita Zadorov</v>
      </c>
    </row>
    <row r="509" spans="1:28" x14ac:dyDescent="0.25">
      <c r="A509" t="s">
        <v>390</v>
      </c>
      <c r="B509">
        <f>INDEX(Proj[],MATCH(Std[[#This Row],[Player]],Proj[Player],0),2)</f>
        <v>26</v>
      </c>
      <c r="C509" t="s">
        <v>102</v>
      </c>
      <c r="D509" s="75" t="s">
        <v>103</v>
      </c>
      <c r="E509" s="57"/>
      <c r="F509" t="s">
        <v>2</v>
      </c>
      <c r="G509" s="12">
        <f>(INDEX(Proj[],MATCH(Std[[#This Row],[Player]],Proj[Player],0),14)-G$764)/G$765</f>
        <v>-0.7681191251392494</v>
      </c>
      <c r="H509" s="12">
        <f>(INDEX(Proj[],MATCH(Std[[#This Row],[Player]],Proj[Player],0),15)-H$764)/H$765</f>
        <v>-0.51361029952310455</v>
      </c>
      <c r="I509" s="12">
        <f>(INDEX(Proj[],MATCH(Std[[#This Row],[Player]],Proj[Player],0),16)-I$764)/I$765</f>
        <v>-0.66909229534009251</v>
      </c>
      <c r="J509" s="12">
        <f>(INDEX(Proj[],MATCH(Std[[#This Row],[Player]],Proj[Player],0),17)-J$764)/J$765</f>
        <v>-0.76105581014900237</v>
      </c>
      <c r="K509" s="12">
        <f>(INDEX(Proj[],MATCH(Std[[#This Row],[Player]],Proj[Player],0),18)-K$764)/K$765</f>
        <v>-0.60450671529353051</v>
      </c>
      <c r="L509" s="12">
        <f>(INDEX(Proj[],MATCH(Std[[#This Row],[Player]],Proj[Player],0),19)-L$764)/L$765</f>
        <v>-0.7077372652367413</v>
      </c>
      <c r="M509" s="12">
        <f>(INDEX(Proj[],MATCH(Std[[#This Row],[Player]],Proj[Player],0),20)-M$764)/M$765</f>
        <v>-0.71308883245737775</v>
      </c>
      <c r="N509" s="12">
        <f>(INDEX(Proj[],MATCH(Std[[#This Row],[Player]],Proj[Player],0),21)-N$764)/N$765</f>
        <v>0.64471624173572295</v>
      </c>
      <c r="O509" s="12">
        <f>(INDEX(Proj[],MATCH(Std[[#This Row],[Player]],Proj[Player],0),22)-O$764)/O$765</f>
        <v>3.0540883015248532</v>
      </c>
      <c r="P509" s="12">
        <f>((INDEX(Proj[],MATCH(Std[[#This Row],[Player]],Proj[Player],0),23)-P$764)/P$765)*IF('League Inputs'!$C$23 = "Yes",-1, 1)</f>
        <v>-0.20927487912970463</v>
      </c>
      <c r="Q509" s="12">
        <f>(INDEX(Proj[],MATCH(Std[[#This Row],[Player]],Proj[Player],0),24)-Q$764)/Q$765</f>
        <v>-0.5766103108129359</v>
      </c>
      <c r="R509" s="12">
        <f>(INDEX(Proj[],MATCH(Std[[#This Row],[Player]],Proj[Player],0),25)-R$764)/R$765</f>
        <v>-0.62531533033812681</v>
      </c>
      <c r="S509" s="12">
        <f>(INDEX(Proj[],MATCH(Std[[#This Row],[Player]],Proj[Player],0),26)-S$764)/S$765</f>
        <v>-0.29389132813531582</v>
      </c>
      <c r="T5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-3.9530960056567839</v>
      </c>
      <c r="U509" s="11"/>
      <c r="W509" t="str">
        <v>Mario Ferraro</v>
      </c>
      <c r="AA509" t="str">
        <v>Mario Ferraro</v>
      </c>
      <c r="AB509" t="str">
        <v>Mario Ferraro</v>
      </c>
    </row>
    <row r="510" spans="1:28" x14ac:dyDescent="0.25">
      <c r="A510" t="s">
        <v>526</v>
      </c>
      <c r="B510">
        <f>INDEX(Proj[],MATCH(Std[[#This Row],[Player]],Proj[Player],0),2)</f>
        <v>27</v>
      </c>
      <c r="C510" t="s">
        <v>74</v>
      </c>
      <c r="D510" s="75"/>
      <c r="E510" s="56"/>
      <c r="F510" t="s">
        <v>14</v>
      </c>
      <c r="G510" s="12">
        <f>(INDEX(Proj[],MATCH(Std[[#This Row],[Player]],Proj[Player],0),14)-G$764)/G$765</f>
        <v>-0.55685138762371811</v>
      </c>
      <c r="H510" s="12">
        <f>(INDEX(Proj[],MATCH(Std[[#This Row],[Player]],Proj[Player],0),15)-H$764)/H$765</f>
        <v>-0.6626688334996349</v>
      </c>
      <c r="I510" s="12">
        <f>(INDEX(Proj[],MATCH(Std[[#This Row],[Player]],Proj[Player],0),16)-I$764)/I$765</f>
        <v>-0.66909229534009251</v>
      </c>
      <c r="J510" s="12">
        <f>(INDEX(Proj[],MATCH(Std[[#This Row],[Player]],Proj[Player],0),17)-J$764)/J$765</f>
        <v>-0.76105581014900237</v>
      </c>
      <c r="K510" s="12">
        <f>(INDEX(Proj[],MATCH(Std[[#This Row],[Player]],Proj[Player],0),18)-K$764)/K$765</f>
        <v>-0.75859266061649311</v>
      </c>
      <c r="L510" s="12">
        <f>(INDEX(Proj[],MATCH(Std[[#This Row],[Player]],Proj[Player],0),19)-L$764)/L$765</f>
        <v>-0.81647589674950882</v>
      </c>
      <c r="M510" s="12">
        <f>(INDEX(Proj[],MATCH(Std[[#This Row],[Player]],Proj[Player],0),20)-M$764)/M$765</f>
        <v>0.31240082183847029</v>
      </c>
      <c r="N510" s="12">
        <f>(INDEX(Proj[],MATCH(Std[[#This Row],[Player]],Proj[Player],0),21)-N$764)/N$765</f>
        <v>3.2997397104594763</v>
      </c>
      <c r="O510" s="12">
        <f>(INDEX(Proj[],MATCH(Std[[#This Row],[Player]],Proj[Player],0),22)-O$764)/O$765</f>
        <v>-0.52117621270974634</v>
      </c>
      <c r="P510" s="12">
        <f>((INDEX(Proj[],MATCH(Std[[#This Row],[Player]],Proj[Player],0),23)-P$764)/P$765)*IF('League Inputs'!$C$23 = "Yes",-1, 1)</f>
        <v>1.1869183498210494</v>
      </c>
      <c r="Q510" s="12">
        <f>(INDEX(Proj[],MATCH(Std[[#This Row],[Player]],Proj[Player],0),24)-Q$764)/Q$765</f>
        <v>-0.48066273916635632</v>
      </c>
      <c r="R510" s="12">
        <f>(INDEX(Proj[],MATCH(Std[[#This Row],[Player]],Proj[Player],0),25)-R$764)/R$765</f>
        <v>-0.47208714174643651</v>
      </c>
      <c r="S510" s="12">
        <f>(INDEX(Proj[],MATCH(Std[[#This Row],[Player]],Proj[Player],0),26)-S$764)/S$765</f>
        <v>-0.78045214841635524</v>
      </c>
      <c r="T5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-7.2145322488648134E-2</v>
      </c>
      <c r="U510" s="11"/>
      <c r="W510" t="str">
        <v>Keegan Kolesar</v>
      </c>
      <c r="AA510" t="str">
        <v>Keegan Kolesar</v>
      </c>
      <c r="AB510" t="str">
        <v>Keegan Kolesar</v>
      </c>
    </row>
    <row r="511" spans="1:28" x14ac:dyDescent="0.25">
      <c r="A511" t="s">
        <v>577</v>
      </c>
      <c r="B511">
        <f>INDEX(Proj[],MATCH(Std[[#This Row],[Player]],Proj[Player],0),2)</f>
        <v>34</v>
      </c>
      <c r="C511" t="s">
        <v>74</v>
      </c>
      <c r="D511" s="75" t="s">
        <v>103</v>
      </c>
      <c r="E511" s="57"/>
      <c r="F511" t="s">
        <v>155</v>
      </c>
      <c r="G511" s="12">
        <f>(INDEX(Proj[],MATCH(Std[[#This Row],[Player]],Proj[Player],0),14)-G$764)/G$765</f>
        <v>-0.9793868626547807</v>
      </c>
      <c r="H511" s="12">
        <f>(INDEX(Proj[],MATCH(Std[[#This Row],[Player]],Proj[Player],0),15)-H$764)/H$765</f>
        <v>-0.36455176554657409</v>
      </c>
      <c r="I511" s="12">
        <f>(INDEX(Proj[],MATCH(Std[[#This Row],[Player]],Proj[Player],0),16)-I$764)/I$765</f>
        <v>-0.66909229534009251</v>
      </c>
      <c r="J511" s="12">
        <f>(INDEX(Proj[],MATCH(Std[[#This Row],[Player]],Proj[Player],0),17)-J$764)/J$765</f>
        <v>-0.76105581014900237</v>
      </c>
      <c r="K511" s="12">
        <f>(INDEX(Proj[],MATCH(Std[[#This Row],[Player]],Proj[Player],0),18)-K$764)/K$765</f>
        <v>-0.75859266061649311</v>
      </c>
      <c r="L511" s="12">
        <f>(INDEX(Proj[],MATCH(Std[[#This Row],[Player]],Proj[Player],0),19)-L$764)/L$765</f>
        <v>-0.81647589674950882</v>
      </c>
      <c r="M511" s="12">
        <f>(INDEX(Proj[],MATCH(Std[[#This Row],[Player]],Proj[Player],0),20)-M$764)/M$765</f>
        <v>0.31240082183847029</v>
      </c>
      <c r="N511" s="12">
        <f>(INDEX(Proj[],MATCH(Std[[#This Row],[Player]],Proj[Player],0),21)-N$764)/N$765</f>
        <v>0.6059567750390259</v>
      </c>
      <c r="O511" s="12">
        <f>(INDEX(Proj[],MATCH(Std[[#This Row],[Player]],Proj[Player],0),22)-O$764)/O$765</f>
        <v>0.89499999098058203</v>
      </c>
      <c r="P511" s="12">
        <f>((INDEX(Proj[],MATCH(Std[[#This Row],[Player]],Proj[Player],0),23)-P$764)/P$765)*IF('League Inputs'!$C$23 = "Yes",-1, 1)</f>
        <v>0.20958308955552155</v>
      </c>
      <c r="Q511" s="12">
        <f>(INDEX(Proj[],MATCH(Std[[#This Row],[Player]],Proj[Player],0),24)-Q$764)/Q$765</f>
        <v>-0.5766103108129359</v>
      </c>
      <c r="R511" s="12">
        <f>(INDEX(Proj[],MATCH(Std[[#This Row],[Player]],Proj[Player],0),25)-R$764)/R$765</f>
        <v>-0.62531533033812681</v>
      </c>
      <c r="S511" s="12">
        <f>(INDEX(Proj[],MATCH(Std[[#This Row],[Player]],Proj[Player],0),26)-S$764)/S$765</f>
        <v>-0.73179606638825134</v>
      </c>
      <c r="T5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-242.73733419170145</v>
      </c>
      <c r="U511" s="11"/>
      <c r="W511" t="str">
        <v>Dmitry Kulikov</v>
      </c>
      <c r="AA511" t="str">
        <v>Dmitry Kulikov</v>
      </c>
      <c r="AB511" t="str">
        <v>Dmitry Kulikov</v>
      </c>
    </row>
    <row r="512" spans="1:28" x14ac:dyDescent="0.25">
      <c r="A512" t="s">
        <v>876</v>
      </c>
      <c r="B512">
        <f>INDEX(Proj[],MATCH(Std[[#This Row],[Player]],Proj[Player],0),2)</f>
        <v>35</v>
      </c>
      <c r="C512" t="s">
        <v>102</v>
      </c>
      <c r="D512" s="75" t="s">
        <v>103</v>
      </c>
      <c r="E512" s="57"/>
      <c r="F512" t="s">
        <v>154</v>
      </c>
      <c r="G512" s="12">
        <f>(INDEX(Proj[],MATCH(Std[[#This Row],[Player]],Proj[Player],0),14)-G$764)/G$765</f>
        <v>-1.0850207314125464</v>
      </c>
      <c r="H512" s="12">
        <f>(INDEX(Proj[],MATCH(Std[[#This Row],[Player]],Proj[Player],0),15)-H$764)/H$765</f>
        <v>-0.29002249855830886</v>
      </c>
      <c r="I512" s="12">
        <f>(INDEX(Proj[],MATCH(Std[[#This Row],[Player]],Proj[Player],0),16)-I$764)/I$765</f>
        <v>-0.66909229534009251</v>
      </c>
      <c r="J512" s="12">
        <f>(INDEX(Proj[],MATCH(Std[[#This Row],[Player]],Proj[Player],0),17)-J$764)/J$765</f>
        <v>-0.76105581014900237</v>
      </c>
      <c r="K512" s="12">
        <f>(INDEX(Proj[],MATCH(Std[[#This Row],[Player]],Proj[Player],0),18)-K$764)/K$765</f>
        <v>-0.75859266061649311</v>
      </c>
      <c r="L512" s="12">
        <f>(INDEX(Proj[],MATCH(Std[[#This Row],[Player]],Proj[Player],0),19)-L$764)/L$765</f>
        <v>-0.81647589674950882</v>
      </c>
      <c r="M512" s="12">
        <f>(INDEX(Proj[],MATCH(Std[[#This Row],[Player]],Proj[Player],0),20)-M$764)/M$765</f>
        <v>-0.71308883245737775</v>
      </c>
      <c r="N512" s="12">
        <f>(INDEX(Proj[],MATCH(Std[[#This Row],[Player]],Proj[Player],0),21)-N$764)/N$765</f>
        <v>-0.73124482599702512</v>
      </c>
      <c r="O512" s="12">
        <f>(INDEX(Proj[],MATCH(Std[[#This Row],[Player]],Proj[Player],0),22)-O$764)/O$765</f>
        <v>2.7987122647938101</v>
      </c>
      <c r="P512" s="12">
        <f>((INDEX(Proj[],MATCH(Std[[#This Row],[Player]],Proj[Player],0),23)-P$764)/P$765)*IF('League Inputs'!$C$23 = "Yes",-1, 1)</f>
        <v>-0.53505329921821387</v>
      </c>
      <c r="Q512" s="12">
        <f>(INDEX(Proj[],MATCH(Std[[#This Row],[Player]],Proj[Player],0),24)-Q$764)/Q$765</f>
        <v>-0.5766103108129359</v>
      </c>
      <c r="R512" s="12">
        <f>(INDEX(Proj[],MATCH(Std[[#This Row],[Player]],Proj[Player],0),25)-R$764)/R$765</f>
        <v>-0.62531533033812681</v>
      </c>
      <c r="S512" s="12">
        <f>(INDEX(Proj[],MATCH(Std[[#This Row],[Player]],Proj[Player],0),26)-S$764)/S$765</f>
        <v>-0.87776431247256315</v>
      </c>
      <c r="T5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-278.25719057673848</v>
      </c>
      <c r="U512" s="11"/>
      <c r="W512" t="str">
        <v>Christopher Tanev</v>
      </c>
      <c r="AA512" t="str">
        <v>Christopher Tanev</v>
      </c>
      <c r="AB512" t="str">
        <v>Christopher Tanev</v>
      </c>
    </row>
    <row r="513" spans="1:28" x14ac:dyDescent="0.25">
      <c r="A513" t="s">
        <v>609</v>
      </c>
      <c r="B513">
        <f>INDEX(Proj[],MATCH(Std[[#This Row],[Player]],Proj[Player],0),2)</f>
        <v>37</v>
      </c>
      <c r="C513" t="s">
        <v>3</v>
      </c>
      <c r="D513" s="75"/>
      <c r="E513" s="57"/>
      <c r="F513" t="s">
        <v>154</v>
      </c>
      <c r="G513" s="12">
        <f>(INDEX(Proj[],MATCH(Std[[#This Row],[Player]],Proj[Player],0),14)-G$764)/G$765</f>
        <v>-0.45121751886595246</v>
      </c>
      <c r="H513" s="12">
        <f>(INDEX(Proj[],MATCH(Std[[#This Row],[Player]],Proj[Player],0),15)-H$764)/H$765</f>
        <v>-0.73719810048790013</v>
      </c>
      <c r="I513" s="12">
        <f>(INDEX(Proj[],MATCH(Std[[#This Row],[Player]],Proj[Player],0),16)-I$764)/I$765</f>
        <v>-0.66909229534009251</v>
      </c>
      <c r="J513" s="12">
        <f>(INDEX(Proj[],MATCH(Std[[#This Row],[Player]],Proj[Player],0),17)-J$764)/J$765</f>
        <v>-0.76105581014900237</v>
      </c>
      <c r="K513" s="12">
        <f>(INDEX(Proj[],MATCH(Std[[#This Row],[Player]],Proj[Player],0),18)-K$764)/K$765</f>
        <v>-0.75859266061649311</v>
      </c>
      <c r="L513" s="12">
        <f>(INDEX(Proj[],MATCH(Std[[#This Row],[Player]],Proj[Player],0),19)-L$764)/L$765</f>
        <v>-0.81647589674950882</v>
      </c>
      <c r="M513" s="12">
        <f>(INDEX(Proj[],MATCH(Std[[#This Row],[Player]],Proj[Player],0),20)-M$764)/M$765</f>
        <v>0.31240082183847029</v>
      </c>
      <c r="N513" s="12">
        <f>(INDEX(Proj[],MATCH(Std[[#This Row],[Player]],Proj[Player],0),21)-N$764)/N$765</f>
        <v>3.2222207770660818</v>
      </c>
      <c r="O513" s="12">
        <f>(INDEX(Proj[],MATCH(Std[[#This Row],[Player]],Proj[Player],0),22)-O$764)/O$765</f>
        <v>-0.33544818599626064</v>
      </c>
      <c r="P513" s="12">
        <f>((INDEX(Proj[],MATCH(Std[[#This Row],[Player]],Proj[Player],0),23)-P$764)/P$765)*IF('League Inputs'!$C$23 = "Yes",-1, 1)</f>
        <v>-0.34889420202478</v>
      </c>
      <c r="Q513" s="12">
        <f>(INDEX(Proj[],MATCH(Std[[#This Row],[Player]],Proj[Player],0),24)-Q$764)/Q$765</f>
        <v>-0.49132358046042074</v>
      </c>
      <c r="R513" s="12">
        <f>(INDEX(Proj[],MATCH(Std[[#This Row],[Player]],Proj[Player],0),25)-R$764)/R$765</f>
        <v>-0.4891124960344021</v>
      </c>
      <c r="S513" s="12">
        <f>(INDEX(Proj[],MATCH(Std[[#This Row],[Player]],Proj[Player],0),26)-S$764)/S$765</f>
        <v>-0.89398300648193119</v>
      </c>
      <c r="T5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-152.14120093407649</v>
      </c>
      <c r="U513" s="11"/>
      <c r="W513" t="str">
        <v>Cal Clutterbuck</v>
      </c>
      <c r="AA513" t="str">
        <v>Cal Clutterbuck</v>
      </c>
      <c r="AB513" t="str">
        <v>Cal Clutterbuck</v>
      </c>
    </row>
    <row r="514" spans="1:28" x14ac:dyDescent="0.25">
      <c r="A514" t="s">
        <v>922</v>
      </c>
      <c r="B514">
        <f>INDEX(Proj[],MATCH(Std[[#This Row],[Player]],Proj[Player],0),2)</f>
        <v>23</v>
      </c>
      <c r="C514" t="s">
        <v>102</v>
      </c>
      <c r="D514" s="75"/>
      <c r="E514" s="56"/>
      <c r="F514" t="s">
        <v>7</v>
      </c>
      <c r="G514" s="12">
        <f>(INDEX(Proj[],MATCH(Std[[#This Row],[Player]],Proj[Player],0),14)-G$764)/G$765</f>
        <v>-0.873752993897015</v>
      </c>
      <c r="H514" s="12">
        <f>(INDEX(Proj[],MATCH(Std[[#This Row],[Player]],Proj[Player],0),15)-H$764)/H$765</f>
        <v>-0.43908103253483932</v>
      </c>
      <c r="I514" s="12">
        <f>(INDEX(Proj[],MATCH(Std[[#This Row],[Player]],Proj[Player],0),16)-I$764)/I$765</f>
        <v>-0.66909229534009251</v>
      </c>
      <c r="J514" s="12">
        <f>(INDEX(Proj[],MATCH(Std[[#This Row],[Player]],Proj[Player],0),17)-J$764)/J$765</f>
        <v>-0.76105581014900237</v>
      </c>
      <c r="K514" s="12">
        <f>(INDEX(Proj[],MATCH(Std[[#This Row],[Player]],Proj[Player],0),18)-K$764)/K$765</f>
        <v>-0.29633482464760502</v>
      </c>
      <c r="L514" s="12">
        <f>(INDEX(Proj[],MATCH(Std[[#This Row],[Player]],Proj[Player],0),19)-L$764)/L$765</f>
        <v>-0.49026000221120619</v>
      </c>
      <c r="M514" s="12">
        <f>(INDEX(Proj[],MATCH(Std[[#This Row],[Player]],Proj[Player],0),20)-M$764)/M$765</f>
        <v>-0.71308883245737775</v>
      </c>
      <c r="N514" s="12">
        <f>(INDEX(Proj[],MATCH(Std[[#This Row],[Player]],Proj[Player],0),21)-N$764)/N$765</f>
        <v>-0.51806775916519099</v>
      </c>
      <c r="O514" s="12">
        <f>(INDEX(Proj[],MATCH(Std[[#This Row],[Player]],Proj[Player],0),22)-O$764)/O$765</f>
        <v>1.6379120978345247</v>
      </c>
      <c r="P514" s="12">
        <f>((INDEX(Proj[],MATCH(Std[[#This Row],[Player]],Proj[Player],0),23)-P$764)/P$765)*IF('League Inputs'!$C$23 = "Yes",-1, 1)</f>
        <v>-0.39543397632313848</v>
      </c>
      <c r="Q514" s="12">
        <f>(INDEX(Proj[],MATCH(Std[[#This Row],[Player]],Proj[Player],0),24)-Q$764)/Q$765</f>
        <v>-0.5766103108129359</v>
      </c>
      <c r="R514" s="12">
        <f>(INDEX(Proj[],MATCH(Std[[#This Row],[Player]],Proj[Player],0),25)-R$764)/R$765</f>
        <v>-0.62531533033812681</v>
      </c>
      <c r="S514" s="12">
        <f>(INDEX(Proj[],MATCH(Std[[#This Row],[Player]],Proj[Player],0),26)-S$764)/S$765</f>
        <v>-0.5696091262945715</v>
      </c>
      <c r="T5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-289.39953987444653</v>
      </c>
      <c r="U514" s="11"/>
      <c r="W514" t="str">
        <v>Alex Vlasic</v>
      </c>
      <c r="AA514" t="str">
        <v>Alex Vlasic</v>
      </c>
      <c r="AB514" t="str">
        <v>Alex Vlasic</v>
      </c>
    </row>
    <row r="515" spans="1:28" x14ac:dyDescent="0.25">
      <c r="A515" t="s">
        <v>987</v>
      </c>
      <c r="B515">
        <f>INDEX(Proj[],MATCH(Std[[#This Row],[Player]],Proj[Player],0),2)</f>
        <v>25</v>
      </c>
      <c r="C515" t="s">
        <v>102</v>
      </c>
      <c r="D515" s="75" t="s">
        <v>103</v>
      </c>
      <c r="E515" s="57"/>
      <c r="F515" t="s">
        <v>20</v>
      </c>
      <c r="G515" s="12">
        <f>(INDEX(Proj[],MATCH(Std[[#This Row],[Player]],Proj[Player],0),14)-G$764)/G$765</f>
        <v>-0.45121751886595246</v>
      </c>
      <c r="H515" s="12">
        <f>(INDEX(Proj[],MATCH(Std[[#This Row],[Player]],Proj[Player],0),15)-H$764)/H$765</f>
        <v>-0.73719810048790013</v>
      </c>
      <c r="I515" s="12">
        <f>(INDEX(Proj[],MATCH(Std[[#This Row],[Player]],Proj[Player],0),16)-I$764)/I$765</f>
        <v>-0.66909229534009251</v>
      </c>
      <c r="J515" s="12">
        <f>(INDEX(Proj[],MATCH(Std[[#This Row],[Player]],Proj[Player],0),17)-J$764)/J$765</f>
        <v>-0.17232923569972286</v>
      </c>
      <c r="K515" s="12">
        <f>(INDEX(Proj[],MATCH(Std[[#This Row],[Player]],Proj[Player],0),18)-K$764)/K$765</f>
        <v>-0.14224887932464234</v>
      </c>
      <c r="L515" s="12">
        <f>(INDEX(Proj[],MATCH(Std[[#This Row],[Player]],Proj[Player],0),19)-L$764)/L$765</f>
        <v>-0.16404410767290362</v>
      </c>
      <c r="M515" s="12">
        <f>(INDEX(Proj[],MATCH(Std[[#This Row],[Player]],Proj[Player],0),20)-M$764)/M$765</f>
        <v>0.31240082183847029</v>
      </c>
      <c r="N515" s="12">
        <f>(INDEX(Proj[],MATCH(Std[[#This Row],[Player]],Proj[Player],0),21)-N$764)/N$765</f>
        <v>1.0904501087477401</v>
      </c>
      <c r="O515" s="12">
        <f>(INDEX(Proj[],MATCH(Std[[#This Row],[Player]],Proj[Player],0),22)-O$764)/O$765</f>
        <v>-0.68368823608404627</v>
      </c>
      <c r="P515" s="12">
        <f>((INDEX(Proj[],MATCH(Std[[#This Row],[Player]],Proj[Player],0),23)-P$764)/P$765)*IF('League Inputs'!$C$23 = "Yes",-1, 1)</f>
        <v>-2.3115781936270764E-2</v>
      </c>
      <c r="Q515" s="12">
        <f>(INDEX(Proj[],MATCH(Std[[#This Row],[Player]],Proj[Player],0),24)-Q$764)/Q$765</f>
        <v>0.30290909594737664</v>
      </c>
      <c r="R515" s="12">
        <f>(INDEX(Proj[],MATCH(Std[[#This Row],[Player]],Proj[Player],0),25)-R$764)/R$765</f>
        <v>0.56078435172347585</v>
      </c>
      <c r="S515" s="12">
        <f>(INDEX(Proj[],MATCH(Std[[#This Row],[Player]],Proj[Player],0),26)-S$764)/S$765</f>
        <v>-0.79667084242572328</v>
      </c>
      <c r="T5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-213.16676781177713</v>
      </c>
      <c r="U515" s="11"/>
      <c r="W515" t="str">
        <v>MacKenzie Entwistle</v>
      </c>
      <c r="AA515" t="str">
        <v>MacKenzie Entwistle</v>
      </c>
      <c r="AB515" t="str">
        <v>MacKenzie Entwistle</v>
      </c>
    </row>
    <row r="516" spans="1:28" x14ac:dyDescent="0.25">
      <c r="A516" t="s">
        <v>900</v>
      </c>
      <c r="B516">
        <f>INDEX(Proj[],MATCH(Std[[#This Row],[Player]],Proj[Player],0),2)</f>
        <v>33</v>
      </c>
      <c r="C516" t="s">
        <v>103</v>
      </c>
      <c r="D516" s="75"/>
      <c r="E516" s="56"/>
      <c r="F516" t="s">
        <v>20</v>
      </c>
      <c r="G516" s="12">
        <f>(INDEX(Proj[],MATCH(Std[[#This Row],[Player]],Proj[Player],0),14)-G$764)/G$765</f>
        <v>-0.9793868626547807</v>
      </c>
      <c r="H516" s="12">
        <f>(INDEX(Proj[],MATCH(Std[[#This Row],[Player]],Proj[Player],0),15)-H$764)/H$765</f>
        <v>-0.36455176554657409</v>
      </c>
      <c r="I516" s="12">
        <f>(INDEX(Proj[],MATCH(Std[[#This Row],[Player]],Proj[Player],0),16)-I$764)/I$765</f>
        <v>-0.66909229534009251</v>
      </c>
      <c r="J516" s="12">
        <f>(INDEX(Proj[],MATCH(Std[[#This Row],[Player]],Proj[Player],0),17)-J$764)/J$765</f>
        <v>-0.76105581014900237</v>
      </c>
      <c r="K516" s="12">
        <f>(INDEX(Proj[],MATCH(Std[[#This Row],[Player]],Proj[Player],0),18)-K$764)/K$765</f>
        <v>-0.75859266061649311</v>
      </c>
      <c r="L516" s="12">
        <f>(INDEX(Proj[],MATCH(Std[[#This Row],[Player]],Proj[Player],0),19)-L$764)/L$765</f>
        <v>-0.81647589674950882</v>
      </c>
      <c r="M516" s="12">
        <f>(INDEX(Proj[],MATCH(Std[[#This Row],[Player]],Proj[Player],0),20)-M$764)/M$765</f>
        <v>0.31240082183847029</v>
      </c>
      <c r="N516" s="12">
        <f>(INDEX(Proj[],MATCH(Std[[#This Row],[Player]],Proj[Player],0),21)-N$764)/N$765</f>
        <v>-1.1188394929639964</v>
      </c>
      <c r="O516" s="12">
        <f>(INDEX(Proj[],MATCH(Std[[#This Row],[Player]],Proj[Player],0),22)-O$764)/O$765</f>
        <v>1.6843441045128962</v>
      </c>
      <c r="P516" s="12">
        <f>((INDEX(Proj[],MATCH(Std[[#This Row],[Player]],Proj[Player],0),23)-P$764)/P$765)*IF('League Inputs'!$C$23 = "Yes",-1, 1)</f>
        <v>-0.30235442772642157</v>
      </c>
      <c r="Q516" s="12">
        <f>(INDEX(Proj[],MATCH(Std[[#This Row],[Player]],Proj[Player],0),24)-Q$764)/Q$765</f>
        <v>-0.5766103108129359</v>
      </c>
      <c r="R516" s="12">
        <f>(INDEX(Proj[],MATCH(Std[[#This Row],[Player]],Proj[Player],0),25)-R$764)/R$765</f>
        <v>-0.62531533033812681</v>
      </c>
      <c r="S516" s="12">
        <f>(INDEX(Proj[],MATCH(Std[[#This Row],[Player]],Proj[Player],0),26)-S$764)/S$765</f>
        <v>-0.61826520832267551</v>
      </c>
      <c r="T5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-376.12321556040899</v>
      </c>
      <c r="U516" s="11"/>
      <c r="W516" t="str">
        <v>Trevor van Riemsdyk</v>
      </c>
      <c r="AA516" t="str">
        <v>Trevor van Riemsdyk</v>
      </c>
      <c r="AB516" t="str">
        <v>Trevor van Riemsdyk</v>
      </c>
    </row>
    <row r="517" spans="1:28" x14ac:dyDescent="0.25">
      <c r="A517" t="s">
        <v>513</v>
      </c>
      <c r="B517">
        <f>INDEX(Proj[],MATCH(Std[[#This Row],[Player]],Proj[Player],0),2)</f>
        <v>31</v>
      </c>
      <c r="C517" t="s">
        <v>3</v>
      </c>
      <c r="D517" s="75"/>
      <c r="E517" s="57"/>
      <c r="F517" t="s">
        <v>25</v>
      </c>
      <c r="G517" s="12">
        <f>(INDEX(Proj[],MATCH(Std[[#This Row],[Player]],Proj[Player],0),14)-G$764)/G$765</f>
        <v>-0.873752993897015</v>
      </c>
      <c r="H517" s="12">
        <f>(INDEX(Proj[],MATCH(Std[[#This Row],[Player]],Proj[Player],0),15)-H$764)/H$765</f>
        <v>-0.43908103253483932</v>
      </c>
      <c r="I517" s="12">
        <f>(INDEX(Proj[],MATCH(Std[[#This Row],[Player]],Proj[Player],0),16)-I$764)/I$765</f>
        <v>-0.66909229534009251</v>
      </c>
      <c r="J517" s="12">
        <f>(INDEX(Proj[],MATCH(Std[[#This Row],[Player]],Proj[Player],0),17)-J$764)/J$765</f>
        <v>-0.46669252292436259</v>
      </c>
      <c r="K517" s="12">
        <f>(INDEX(Proj[],MATCH(Std[[#This Row],[Player]],Proj[Player],0),18)-K$764)/K$765</f>
        <v>1.1837065998320361E-2</v>
      </c>
      <c r="L517" s="12">
        <f>(INDEX(Proj[],MATCH(Std[[#This Row],[Player]],Proj[Player],0),19)-L$764)/L$765</f>
        <v>-0.16404410767290362</v>
      </c>
      <c r="M517" s="12">
        <f>(INDEX(Proj[],MATCH(Std[[#This Row],[Player]],Proj[Player],0),20)-M$764)/M$765</f>
        <v>-0.71308883245737775</v>
      </c>
      <c r="N517" s="12">
        <f>(INDEX(Proj[],MATCH(Std[[#This Row],[Player]],Proj[Player],0),21)-N$764)/N$765</f>
        <v>-0.45992855912014524</v>
      </c>
      <c r="O517" s="12">
        <f>(INDEX(Proj[],MATCH(Std[[#This Row],[Player]],Proj[Player],0),22)-O$764)/O$765</f>
        <v>-5.6856145926032123E-2</v>
      </c>
      <c r="P517" s="12">
        <f>((INDEX(Proj[],MATCH(Std[[#This Row],[Player]],Proj[Player],0),23)-P$764)/P$765)*IF('League Inputs'!$C$23 = "Yes",-1, 1)</f>
        <v>-0.48851352491985539</v>
      </c>
      <c r="Q517" s="12">
        <f>(INDEX(Proj[],MATCH(Std[[#This Row],[Player]],Proj[Player],0),24)-Q$764)/Q$765</f>
        <v>-0.5766103108129359</v>
      </c>
      <c r="R517" s="12">
        <f>(INDEX(Proj[],MATCH(Std[[#This Row],[Player]],Proj[Player],0),25)-R$764)/R$765</f>
        <v>-0.62531533033812681</v>
      </c>
      <c r="S517" s="12">
        <f>(INDEX(Proj[],MATCH(Std[[#This Row],[Player]],Proj[Player],0),26)-S$764)/S$765</f>
        <v>-0.27767263412594784</v>
      </c>
      <c r="T5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-400.5551604349767</v>
      </c>
      <c r="U517" s="11"/>
      <c r="W517" t="str">
        <v>Mike Reilly</v>
      </c>
      <c r="AA517" t="str">
        <v>Mike Reilly</v>
      </c>
      <c r="AB517" t="str">
        <v>Mike Reilly</v>
      </c>
    </row>
    <row r="518" spans="1:28" x14ac:dyDescent="0.25">
      <c r="A518" t="s">
        <v>801</v>
      </c>
      <c r="B518">
        <f>INDEX(Proj[],MATCH(Std[[#This Row],[Player]],Proj[Player],0),2)</f>
        <v>23</v>
      </c>
      <c r="C518" t="s">
        <v>3</v>
      </c>
      <c r="D518" s="75"/>
      <c r="E518" s="56"/>
      <c r="F518" t="s">
        <v>5</v>
      </c>
      <c r="G518" s="12">
        <f>(INDEX(Proj[],MATCH(Std[[#This Row],[Player]],Proj[Player],0),14)-G$764)/G$765</f>
        <v>-0.873752993897015</v>
      </c>
      <c r="H518" s="12">
        <f>(INDEX(Proj[],MATCH(Std[[#This Row],[Player]],Proj[Player],0),15)-H$764)/H$765</f>
        <v>-0.43908103253483932</v>
      </c>
      <c r="I518" s="12">
        <f>(INDEX(Proj[],MATCH(Std[[#This Row],[Player]],Proj[Player],0),16)-I$764)/I$765</f>
        <v>-0.66909229534009251</v>
      </c>
      <c r="J518" s="12">
        <f>(INDEX(Proj[],MATCH(Std[[#This Row],[Player]],Proj[Player],0),17)-J$764)/J$765</f>
        <v>-0.76105581014900237</v>
      </c>
      <c r="K518" s="12">
        <f>(INDEX(Proj[],MATCH(Std[[#This Row],[Player]],Proj[Player],0),18)-K$764)/K$765</f>
        <v>-0.75859266061649311</v>
      </c>
      <c r="L518" s="12">
        <f>(INDEX(Proj[],MATCH(Std[[#This Row],[Player]],Proj[Player],0),19)-L$764)/L$765</f>
        <v>-0.81647589674950882</v>
      </c>
      <c r="M518" s="12">
        <f>(INDEX(Proj[],MATCH(Std[[#This Row],[Player]],Proj[Player],0),20)-M$764)/M$765</f>
        <v>-0.71308883245737775</v>
      </c>
      <c r="N518" s="12">
        <f>(INDEX(Proj[],MATCH(Std[[#This Row],[Player]],Proj[Player],0),21)-N$764)/N$765</f>
        <v>-0.45992855912014524</v>
      </c>
      <c r="O518" s="12">
        <f>(INDEX(Proj[],MATCH(Std[[#This Row],[Player]],Proj[Player],0),22)-O$764)/O$765</f>
        <v>0.56997594423198206</v>
      </c>
      <c r="P518" s="12">
        <f>((INDEX(Proj[],MATCH(Std[[#This Row],[Player]],Proj[Player],0),23)-P$764)/P$765)*IF('League Inputs'!$C$23 = "Yes",-1, 1)</f>
        <v>-0.44197375062149696</v>
      </c>
      <c r="Q518" s="12">
        <f>(INDEX(Proj[],MATCH(Std[[#This Row],[Player]],Proj[Player],0),24)-Q$764)/Q$765</f>
        <v>-0.5766103108129359</v>
      </c>
      <c r="R518" s="12">
        <f>(INDEX(Proj[],MATCH(Std[[#This Row],[Player]],Proj[Player],0),25)-R$764)/R$765</f>
        <v>-0.62531533033812681</v>
      </c>
      <c r="S518" s="12">
        <f>(INDEX(Proj[],MATCH(Std[[#This Row],[Player]],Proj[Player],0),26)-S$764)/S$765</f>
        <v>-0.5696091262945715</v>
      </c>
      <c r="T5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-427.65480211386244</v>
      </c>
      <c r="U518" s="11"/>
      <c r="W518" t="str">
        <v>Philip Broberg</v>
      </c>
      <c r="AA518" t="str">
        <v>Philip Broberg</v>
      </c>
      <c r="AB518" t="str">
        <v>Philip Broberg</v>
      </c>
    </row>
    <row r="519" spans="1:28" x14ac:dyDescent="0.25">
      <c r="A519" t="s">
        <v>945</v>
      </c>
      <c r="B519">
        <f>INDEX(Proj[],MATCH(Std[[#This Row],[Player]],Proj[Player],0),2)</f>
        <v>23</v>
      </c>
      <c r="C519" t="s">
        <v>102</v>
      </c>
      <c r="D519" s="75" t="s">
        <v>103</v>
      </c>
      <c r="E519" s="57"/>
      <c r="F519" t="s">
        <v>13</v>
      </c>
      <c r="G519" s="12">
        <f>(INDEX(Proj[],MATCH(Std[[#This Row],[Player]],Proj[Player],0),14)-G$764)/G$765</f>
        <v>-0.7681191251392494</v>
      </c>
      <c r="H519" s="12">
        <f>(INDEX(Proj[],MATCH(Std[[#This Row],[Player]],Proj[Player],0),15)-H$764)/H$765</f>
        <v>-0.51361029952310455</v>
      </c>
      <c r="I519" s="12">
        <f>(INDEX(Proj[],MATCH(Std[[#This Row],[Player]],Proj[Player],0),16)-I$764)/I$765</f>
        <v>-0.66909229534009251</v>
      </c>
      <c r="J519" s="12">
        <f>(INDEX(Proj[],MATCH(Std[[#This Row],[Player]],Proj[Player],0),17)-J$764)/J$765</f>
        <v>-0.46669252292436259</v>
      </c>
      <c r="K519" s="12">
        <f>(INDEX(Proj[],MATCH(Std[[#This Row],[Player]],Proj[Player],0),18)-K$764)/K$765</f>
        <v>-0.29633482464760502</v>
      </c>
      <c r="L519" s="12">
        <f>(INDEX(Proj[],MATCH(Std[[#This Row],[Player]],Proj[Player],0),19)-L$764)/L$765</f>
        <v>-0.38152137069843867</v>
      </c>
      <c r="M519" s="12">
        <f>(INDEX(Proj[],MATCH(Std[[#This Row],[Player]],Proj[Player],0),20)-M$764)/M$765</f>
        <v>0.31240082183847029</v>
      </c>
      <c r="N519" s="12">
        <f>(INDEX(Proj[],MATCH(Std[[#This Row],[Player]],Proj[Player],0),21)-N$764)/N$765</f>
        <v>-0.45992855912014524</v>
      </c>
      <c r="O519" s="12">
        <f>(INDEX(Proj[],MATCH(Std[[#This Row],[Player]],Proj[Player],0),22)-O$764)/O$765</f>
        <v>0.1985198908050107</v>
      </c>
      <c r="P519" s="12">
        <f>((INDEX(Proj[],MATCH(Std[[#This Row],[Player]],Proj[Player],0),23)-P$764)/P$765)*IF('League Inputs'!$C$23 = "Yes",-1, 1)</f>
        <v>-0.39543397632313848</v>
      </c>
      <c r="Q519" s="12">
        <f>(INDEX(Proj[],MATCH(Std[[#This Row],[Player]],Proj[Player],0),24)-Q$764)/Q$765</f>
        <v>-0.5766103108129359</v>
      </c>
      <c r="R519" s="12">
        <f>(INDEX(Proj[],MATCH(Std[[#This Row],[Player]],Proj[Player],0),25)-R$764)/R$765</f>
        <v>-0.62531533033812681</v>
      </c>
      <c r="S519" s="12">
        <f>(INDEX(Proj[],MATCH(Std[[#This Row],[Player]],Proj[Player],0),26)-S$764)/S$765</f>
        <v>-0.81288953643509121</v>
      </c>
      <c r="T5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-437.86855825871856</v>
      </c>
      <c r="U519" s="11"/>
      <c r="W519" t="str">
        <v>Justin Barron</v>
      </c>
      <c r="AA519" t="str">
        <v>Justin Barron</v>
      </c>
      <c r="AB519" t="str">
        <v>Justin Barron</v>
      </c>
    </row>
    <row r="520" spans="1:28" x14ac:dyDescent="0.25">
      <c r="A520" t="s">
        <v>542</v>
      </c>
      <c r="B520">
        <f>INDEX(Proj[],MATCH(Std[[#This Row],[Player]],Proj[Player],0),2)</f>
        <v>36</v>
      </c>
      <c r="C520" t="s">
        <v>3</v>
      </c>
      <c r="D520" s="75"/>
      <c r="E520" s="57"/>
      <c r="F520" t="s">
        <v>155</v>
      </c>
      <c r="G520" s="12">
        <f>(INDEX(Proj[],MATCH(Std[[#This Row],[Player]],Proj[Player],0),14)-G$764)/G$765</f>
        <v>-0.45121751886595246</v>
      </c>
      <c r="H520" s="12">
        <f>(INDEX(Proj[],MATCH(Std[[#This Row],[Player]],Proj[Player],0),15)-H$764)/H$765</f>
        <v>-0.73719810048790013</v>
      </c>
      <c r="I520" s="12">
        <f>(INDEX(Proj[],MATCH(Std[[#This Row],[Player]],Proj[Player],0),16)-I$764)/I$765</f>
        <v>-0.66909229534009251</v>
      </c>
      <c r="J520" s="12">
        <f>(INDEX(Proj[],MATCH(Std[[#This Row],[Player]],Proj[Player],0),17)-J$764)/J$765</f>
        <v>-0.76105581014900237</v>
      </c>
      <c r="K520" s="12">
        <f>(INDEX(Proj[],MATCH(Std[[#This Row],[Player]],Proj[Player],0),18)-K$764)/K$765</f>
        <v>-0.75859266061649311</v>
      </c>
      <c r="L520" s="12">
        <f>(INDEX(Proj[],MATCH(Std[[#This Row],[Player]],Proj[Player],0),19)-L$764)/L$765</f>
        <v>-0.81647589674950882</v>
      </c>
      <c r="M520" s="12">
        <f>(INDEX(Proj[],MATCH(Std[[#This Row],[Player]],Proj[Player],0),20)-M$764)/M$765</f>
        <v>-0.71308883245737775</v>
      </c>
      <c r="N520" s="12">
        <f>(INDEX(Proj[],MATCH(Std[[#This Row],[Player]],Proj[Player],0),21)-N$764)/N$765</f>
        <v>1.6330826425014999</v>
      </c>
      <c r="O520" s="12">
        <f>(INDEX(Proj[],MATCH(Std[[#This Row],[Player]],Proj[Player],0),22)-O$764)/O$765</f>
        <v>-0.98549627949346053</v>
      </c>
      <c r="P520" s="12">
        <f>((INDEX(Proj[],MATCH(Std[[#This Row],[Player]],Proj[Player],0),23)-P$764)/P$765)*IF('League Inputs'!$C$23 = "Yes",-1, 1)</f>
        <v>1.0472990269259739</v>
      </c>
      <c r="Q520" s="12">
        <f>(INDEX(Proj[],MATCH(Std[[#This Row],[Player]],Proj[Player],0),24)-Q$764)/Q$765</f>
        <v>-0.44334979463713092</v>
      </c>
      <c r="R520" s="12">
        <f>(INDEX(Proj[],MATCH(Std[[#This Row],[Player]],Proj[Player],0),25)-R$764)/R$765</f>
        <v>-0.47776225984242504</v>
      </c>
      <c r="S520" s="12">
        <f>(INDEX(Proj[],MATCH(Std[[#This Row],[Player]],Proj[Player],0),26)-S$764)/S$765</f>
        <v>-0.76423345440698731</v>
      </c>
      <c r="T5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-218.66816705535587</v>
      </c>
      <c r="U520" s="11"/>
      <c r="W520" t="str">
        <v>Milan Lucic</v>
      </c>
      <c r="AA520" t="str">
        <v>Milan Lucic</v>
      </c>
      <c r="AB520" t="str">
        <v>Milan Lucic</v>
      </c>
    </row>
    <row r="521" spans="1:28" x14ac:dyDescent="0.25">
      <c r="A521" t="s">
        <v>711</v>
      </c>
      <c r="B521">
        <f>INDEX(Proj[],MATCH(Std[[#This Row],[Player]],Proj[Player],0),2)</f>
        <v>27</v>
      </c>
      <c r="C521" t="s">
        <v>102</v>
      </c>
      <c r="D521" s="75" t="s">
        <v>103</v>
      </c>
      <c r="E521" s="56"/>
      <c r="F521" t="s">
        <v>154</v>
      </c>
      <c r="G521" s="12">
        <f>(INDEX(Proj[],MATCH(Std[[#This Row],[Player]],Proj[Player],0),14)-G$764)/G$765</f>
        <v>-0.55685138762371811</v>
      </c>
      <c r="H521" s="12">
        <f>(INDEX(Proj[],MATCH(Std[[#This Row],[Player]],Proj[Player],0),15)-H$764)/H$765</f>
        <v>-0.6626688334996349</v>
      </c>
      <c r="I521" s="12">
        <f>(INDEX(Proj[],MATCH(Std[[#This Row],[Player]],Proj[Player],0),16)-I$764)/I$765</f>
        <v>-0.66909229534009251</v>
      </c>
      <c r="J521" s="12">
        <f>(INDEX(Proj[],MATCH(Std[[#This Row],[Player]],Proj[Player],0),17)-J$764)/J$765</f>
        <v>-0.76105581014900237</v>
      </c>
      <c r="K521" s="12">
        <f>(INDEX(Proj[],MATCH(Std[[#This Row],[Player]],Proj[Player],0),18)-K$764)/K$765</f>
        <v>-0.75859266061649311</v>
      </c>
      <c r="L521" s="12">
        <f>(INDEX(Proj[],MATCH(Std[[#This Row],[Player]],Proj[Player],0),19)-L$764)/L$765</f>
        <v>-0.81647589674950882</v>
      </c>
      <c r="M521" s="12">
        <f>(INDEX(Proj[],MATCH(Std[[#This Row],[Player]],Proj[Player],0),20)-M$764)/M$765</f>
        <v>0.31240082183847029</v>
      </c>
      <c r="N521" s="12">
        <f>(INDEX(Proj[],MATCH(Std[[#This Row],[Player]],Proj[Player],0),21)-N$764)/N$765</f>
        <v>0.66409597508407159</v>
      </c>
      <c r="O521" s="12">
        <f>(INDEX(Proj[],MATCH(Std[[#This Row],[Player]],Proj[Player],0),22)-O$764)/O$765</f>
        <v>-0.68368823608404627</v>
      </c>
      <c r="P521" s="12">
        <f>((INDEX(Proj[],MATCH(Std[[#This Row],[Player]],Proj[Player],0),23)-P$764)/P$765)*IF('League Inputs'!$C$23 = "Yes",-1, 1)</f>
        <v>-0.53505329921821387</v>
      </c>
      <c r="Q521" s="12">
        <f>(INDEX(Proj[],MATCH(Std[[#This Row],[Player]],Proj[Player],0),24)-Q$764)/Q$765</f>
        <v>-0.14484623840332791</v>
      </c>
      <c r="R521" s="12">
        <f>(INDEX(Proj[],MATCH(Std[[#This Row],[Player]],Proj[Player],0),25)-R$764)/R$765</f>
        <v>0.11245002214038202</v>
      </c>
      <c r="S521" s="12">
        <f>(INDEX(Proj[],MATCH(Std[[#This Row],[Player]],Proj[Player],0),26)-S$764)/S$765</f>
        <v>-0.50473435025709956</v>
      </c>
      <c r="T5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-390.93145620915709</v>
      </c>
      <c r="U521" s="11"/>
      <c r="W521" t="str">
        <v>Christian Fischer</v>
      </c>
      <c r="AA521" t="str">
        <v>Christian Fischer</v>
      </c>
      <c r="AB521" t="str">
        <v>Christian Fischer</v>
      </c>
    </row>
    <row r="522" spans="1:28" x14ac:dyDescent="0.25">
      <c r="A522" t="s">
        <v>655</v>
      </c>
      <c r="B522">
        <f>INDEX(Proj[],MATCH(Std[[#This Row],[Player]],Proj[Player],0),2)</f>
        <v>31</v>
      </c>
      <c r="C522" t="s">
        <v>102</v>
      </c>
      <c r="D522" s="75"/>
      <c r="E522" s="56"/>
      <c r="F522" t="s">
        <v>8</v>
      </c>
      <c r="G522" s="12">
        <f>(INDEX(Proj[],MATCH(Std[[#This Row],[Player]],Proj[Player],0),14)-G$764)/G$765</f>
        <v>-0.23994978135042122</v>
      </c>
      <c r="H522" s="12">
        <f>(INDEX(Proj[],MATCH(Std[[#This Row],[Player]],Proj[Player],0),15)-H$764)/H$765</f>
        <v>-0.88625663446443059</v>
      </c>
      <c r="I522" s="12">
        <f>(INDEX(Proj[],MATCH(Std[[#This Row],[Player]],Proj[Player],0),16)-I$764)/I$765</f>
        <v>-0.66909229534009251</v>
      </c>
      <c r="J522" s="12">
        <f>(INDEX(Proj[],MATCH(Std[[#This Row],[Player]],Proj[Player],0),17)-J$764)/J$765</f>
        <v>-0.76105581014900237</v>
      </c>
      <c r="K522" s="12">
        <f>(INDEX(Proj[],MATCH(Std[[#This Row],[Player]],Proj[Player],0),18)-K$764)/K$765</f>
        <v>-0.75859266061649311</v>
      </c>
      <c r="L522" s="12">
        <f>(INDEX(Proj[],MATCH(Std[[#This Row],[Player]],Proj[Player],0),19)-L$764)/L$765</f>
        <v>-0.81647589674950882</v>
      </c>
      <c r="M522" s="12">
        <f>(INDEX(Proj[],MATCH(Std[[#This Row],[Player]],Proj[Player],0),20)-M$764)/M$765</f>
        <v>0.31240082183847029</v>
      </c>
      <c r="N522" s="12">
        <f>(INDEX(Proj[],MATCH(Std[[#This Row],[Player]],Proj[Player],0),21)-N$764)/N$765</f>
        <v>1.0710703753993913</v>
      </c>
      <c r="O522" s="12">
        <f>(INDEX(Proj[],MATCH(Std[[#This Row],[Player]],Proj[Player],0),22)-O$764)/O$765</f>
        <v>-0.49796020937056062</v>
      </c>
      <c r="P522" s="12">
        <f>((INDEX(Proj[],MATCH(Std[[#This Row],[Player]],Proj[Player],0),23)-P$764)/P$765)*IF('League Inputs'!$C$23 = "Yes",-1, 1)</f>
        <v>-0.5815930735165723</v>
      </c>
      <c r="Q522" s="12">
        <f>(INDEX(Proj[],MATCH(Std[[#This Row],[Player]],Proj[Player],0),24)-Q$764)/Q$765</f>
        <v>2.57272223017024E-2</v>
      </c>
      <c r="R522" s="12">
        <f>(INDEX(Proj[],MATCH(Std[[#This Row],[Player]],Proj[Player],0),25)-R$764)/R$765</f>
        <v>0.10109978594840496</v>
      </c>
      <c r="S522" s="12">
        <f>(INDEX(Proj[],MATCH(Std[[#This Row],[Player]],Proj[Player],0),26)-S$764)/S$765</f>
        <v>-0.48851565624773158</v>
      </c>
      <c r="T5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-308.30459493382244</v>
      </c>
      <c r="U522" s="11"/>
      <c r="W522" t="str">
        <v>Zemgus Girgensons</v>
      </c>
      <c r="AA522" t="str">
        <v>Zemgus Girgensons</v>
      </c>
      <c r="AB522" t="str">
        <v>Zemgus Girgensons</v>
      </c>
    </row>
    <row r="523" spans="1:28" x14ac:dyDescent="0.25">
      <c r="A523" t="s">
        <v>726</v>
      </c>
      <c r="B523">
        <f>INDEX(Proj[],MATCH(Std[[#This Row],[Player]],Proj[Player],0),2)</f>
        <v>29</v>
      </c>
      <c r="C523" t="s">
        <v>3</v>
      </c>
      <c r="D523" s="75"/>
      <c r="E523" s="57"/>
      <c r="F523" t="s">
        <v>18</v>
      </c>
      <c r="G523" s="12">
        <f>(INDEX(Proj[],MATCH(Std[[#This Row],[Player]],Proj[Player],0),14)-G$764)/G$765</f>
        <v>-0.55685138762371811</v>
      </c>
      <c r="H523" s="12">
        <f>(INDEX(Proj[],MATCH(Std[[#This Row],[Player]],Proj[Player],0),15)-H$764)/H$765</f>
        <v>-0.6626688334996349</v>
      </c>
      <c r="I523" s="12">
        <f>(INDEX(Proj[],MATCH(Std[[#This Row],[Player]],Proj[Player],0),16)-I$764)/I$765</f>
        <v>-0.66909229534009251</v>
      </c>
      <c r="J523" s="12">
        <f>(INDEX(Proj[],MATCH(Std[[#This Row],[Player]],Proj[Player],0),17)-J$764)/J$765</f>
        <v>-0.76105581014900237</v>
      </c>
      <c r="K523" s="12">
        <f>(INDEX(Proj[],MATCH(Std[[#This Row],[Player]],Proj[Player],0),18)-K$764)/K$765</f>
        <v>-0.75859266061649311</v>
      </c>
      <c r="L523" s="12">
        <f>(INDEX(Proj[],MATCH(Std[[#This Row],[Player]],Proj[Player],0),19)-L$764)/L$765</f>
        <v>-0.81647589674950882</v>
      </c>
      <c r="M523" s="12">
        <f>(INDEX(Proj[],MATCH(Std[[#This Row],[Player]],Proj[Player],0),20)-M$764)/M$765</f>
        <v>0.31240082183847029</v>
      </c>
      <c r="N523" s="12">
        <f>(INDEX(Proj[],MATCH(Std[[#This Row],[Player]],Proj[Player],0),21)-N$764)/N$765</f>
        <v>1.4780447757147113</v>
      </c>
      <c r="O523" s="12">
        <f>(INDEX(Proj[],MATCH(Std[[#This Row],[Player]],Proj[Player],0),22)-O$764)/O$765</f>
        <v>1.2791864091525006E-2</v>
      </c>
      <c r="P523" s="12">
        <f>((INDEX(Proj[],MATCH(Std[[#This Row],[Player]],Proj[Player],0),23)-P$764)/P$765)*IF('League Inputs'!$C$23 = "Yes",-1, 1)</f>
        <v>-0.16273510483134615</v>
      </c>
      <c r="Q523" s="12">
        <f>(INDEX(Proj[],MATCH(Std[[#This Row],[Player]],Proj[Player],0),24)-Q$764)/Q$765</f>
        <v>0.32956119918253762</v>
      </c>
      <c r="R523" s="12">
        <f>(INDEX(Proj[],MATCH(Std[[#This Row],[Player]],Proj[Player],0),25)-R$764)/R$765</f>
        <v>0.37918057265184291</v>
      </c>
      <c r="S523" s="12">
        <f>(INDEX(Proj[],MATCH(Std[[#This Row],[Player]],Proj[Player],0),26)-S$764)/S$765</f>
        <v>-0.68313998436014733</v>
      </c>
      <c r="T5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-173.05656634156742</v>
      </c>
      <c r="U523" s="11"/>
      <c r="W523" t="str">
        <v>Curtis Lazar</v>
      </c>
      <c r="AA523" t="str">
        <v>Curtis Lazar</v>
      </c>
      <c r="AB523" t="str">
        <v>Curtis Lazar</v>
      </c>
    </row>
    <row r="524" spans="1:28" x14ac:dyDescent="0.25">
      <c r="A524" t="s">
        <v>905</v>
      </c>
      <c r="B524">
        <f>INDEX(Proj[],MATCH(Std[[#This Row],[Player]],Proj[Player],0),2)</f>
        <v>25</v>
      </c>
      <c r="C524" t="s">
        <v>3</v>
      </c>
      <c r="D524" s="75"/>
      <c r="E524" s="57"/>
      <c r="F524" t="s">
        <v>155</v>
      </c>
      <c r="G524" s="12">
        <f>(INDEX(Proj[],MATCH(Std[[#This Row],[Player]],Proj[Player],0),14)-G$764)/G$765</f>
        <v>-0.34558365010818687</v>
      </c>
      <c r="H524" s="12">
        <f>(INDEX(Proj[],MATCH(Std[[#This Row],[Player]],Proj[Player],0),15)-H$764)/H$765</f>
        <v>-0.81172736747616536</v>
      </c>
      <c r="I524" s="12">
        <f>(INDEX(Proj[],MATCH(Std[[#This Row],[Player]],Proj[Player],0),16)-I$764)/I$765</f>
        <v>-0.66909229534009251</v>
      </c>
      <c r="J524" s="12">
        <f>(INDEX(Proj[],MATCH(Std[[#This Row],[Player]],Proj[Player],0),17)-J$764)/J$765</f>
        <v>-0.76105581014900237</v>
      </c>
      <c r="K524" s="12">
        <f>(INDEX(Proj[],MATCH(Std[[#This Row],[Player]],Proj[Player],0),18)-K$764)/K$765</f>
        <v>-0.75859266061649311</v>
      </c>
      <c r="L524" s="12">
        <f>(INDEX(Proj[],MATCH(Std[[#This Row],[Player]],Proj[Player],0),19)-L$764)/L$765</f>
        <v>-0.81647589674950882</v>
      </c>
      <c r="M524" s="12">
        <f>(INDEX(Proj[],MATCH(Std[[#This Row],[Player]],Proj[Player],0),20)-M$764)/M$765</f>
        <v>2.3633801304301665</v>
      </c>
      <c r="N524" s="12">
        <f>(INDEX(Proj[],MATCH(Std[[#This Row],[Player]],Proj[Player],0),21)-N$764)/N$765</f>
        <v>0.56719730834232873</v>
      </c>
      <c r="O524" s="12">
        <f>(INDEX(Proj[],MATCH(Std[[#This Row],[Player]],Proj[Player],0),22)-O$764)/O$765</f>
        <v>-0.31223218265707492</v>
      </c>
      <c r="P524" s="12">
        <f>((INDEX(Proj[],MATCH(Std[[#This Row],[Player]],Proj[Player],0),23)-P$764)/P$765)*IF('League Inputs'!$C$23 = "Yes",-1, 1)</f>
        <v>0.39574218674895539</v>
      </c>
      <c r="Q524" s="12">
        <f>(INDEX(Proj[],MATCH(Std[[#This Row],[Player]],Proj[Player],0),24)-Q$764)/Q$765</f>
        <v>0.43083919147614941</v>
      </c>
      <c r="R524" s="12">
        <f>(INDEX(Proj[],MATCH(Std[[#This Row],[Player]],Proj[Player],0),25)-R$764)/R$765</f>
        <v>0.62321065077934967</v>
      </c>
      <c r="S524" s="12">
        <f>(INDEX(Proj[],MATCH(Std[[#This Row],[Player]],Proj[Player],0),26)-S$764)/S$765</f>
        <v>-0.55339043228520357</v>
      </c>
      <c r="T5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-211.47231380487989</v>
      </c>
      <c r="U524" s="11"/>
      <c r="W524" t="str">
        <v>Connor Dewar</v>
      </c>
      <c r="AA524" t="str">
        <v>Connor Dewar</v>
      </c>
      <c r="AB524" t="str">
        <v>Connor Dewar</v>
      </c>
    </row>
    <row r="525" spans="1:28" x14ac:dyDescent="0.25">
      <c r="A525" t="s">
        <v>1042</v>
      </c>
      <c r="B525">
        <f>INDEX(Proj[],MATCH(Std[[#This Row],[Player]],Proj[Player],0),2)</f>
        <v>25</v>
      </c>
      <c r="C525" t="s">
        <v>3</v>
      </c>
      <c r="D525" s="75"/>
      <c r="E525" s="57"/>
      <c r="F525" t="s">
        <v>25</v>
      </c>
      <c r="G525" s="12">
        <f>(INDEX(Proj[],MATCH(Std[[#This Row],[Player]],Proj[Player],0),14)-G$764)/G$765</f>
        <v>-0.55685138762371811</v>
      </c>
      <c r="H525" s="12">
        <f>(INDEX(Proj[],MATCH(Std[[#This Row],[Player]],Proj[Player],0),15)-H$764)/H$765</f>
        <v>-0.6626688334996349</v>
      </c>
      <c r="I525" s="12">
        <f>(INDEX(Proj[],MATCH(Std[[#This Row],[Player]],Proj[Player],0),16)-I$764)/I$765</f>
        <v>-0.66909229534009251</v>
      </c>
      <c r="J525" s="12">
        <f>(INDEX(Proj[],MATCH(Std[[#This Row],[Player]],Proj[Player],0),17)-J$764)/J$765</f>
        <v>-0.76105581014900237</v>
      </c>
      <c r="K525" s="12">
        <f>(INDEX(Proj[],MATCH(Std[[#This Row],[Player]],Proj[Player],0),18)-K$764)/K$765</f>
        <v>-0.75859266061649311</v>
      </c>
      <c r="L525" s="12">
        <f>(INDEX(Proj[],MATCH(Std[[#This Row],[Player]],Proj[Player],0),19)-L$764)/L$765</f>
        <v>-0.81647589674950882</v>
      </c>
      <c r="M525" s="12">
        <f>(INDEX(Proj[],MATCH(Std[[#This Row],[Player]],Proj[Player],0),20)-M$764)/M$765</f>
        <v>-0.71308883245737775</v>
      </c>
      <c r="N525" s="12">
        <f>(INDEX(Proj[],MATCH(Std[[#This Row],[Player]],Proj[Player],0),21)-N$764)/N$765</f>
        <v>-0.59558669255858521</v>
      </c>
      <c r="O525" s="12">
        <f>(INDEX(Proj[],MATCH(Std[[#This Row],[Player]],Proj[Player],0),22)-O$764)/O$765</f>
        <v>-0.52117621270974634</v>
      </c>
      <c r="P525" s="12">
        <f>((INDEX(Proj[],MATCH(Std[[#This Row],[Player]],Proj[Player],0),23)-P$764)/P$765)*IF('League Inputs'!$C$23 = "Yes",-1, 1)</f>
        <v>-0.5815930735165723</v>
      </c>
      <c r="Q525" s="12">
        <f>(INDEX(Proj[],MATCH(Std[[#This Row],[Player]],Proj[Player],0),24)-Q$764)/Q$765</f>
        <v>4.1718484242798989E-2</v>
      </c>
      <c r="R525" s="12">
        <f>(INDEX(Proj[],MATCH(Std[[#This Row],[Player]],Proj[Player],0),25)-R$764)/R$765</f>
        <v>0.19757679358020996</v>
      </c>
      <c r="S525" s="12">
        <f>(INDEX(Proj[],MATCH(Std[[#This Row],[Player]],Proj[Player],0),26)-S$764)/S$765</f>
        <v>-1.0561699465756109</v>
      </c>
      <c r="T5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-541.78958543306703</v>
      </c>
      <c r="U525" s="11"/>
      <c r="W525" t="str">
        <v>Pontus Holmberg</v>
      </c>
      <c r="AA525" t="str">
        <v>Pontus Holmberg</v>
      </c>
      <c r="AB525" t="str">
        <v>Pontus Holmberg</v>
      </c>
    </row>
    <row r="526" spans="1:28" x14ac:dyDescent="0.25">
      <c r="A526" t="s">
        <v>790</v>
      </c>
      <c r="B526">
        <f>INDEX(Proj[],MATCH(Std[[#This Row],[Player]],Proj[Player],0),2)</f>
        <v>25</v>
      </c>
      <c r="C526" t="s">
        <v>102</v>
      </c>
      <c r="D526" s="75" t="s">
        <v>103</v>
      </c>
      <c r="E526" s="57"/>
      <c r="F526" t="s">
        <v>7</v>
      </c>
      <c r="G526" s="12">
        <f>(INDEX(Proj[],MATCH(Std[[#This Row],[Player]],Proj[Player],0),14)-G$764)/G$765</f>
        <v>-0.34558365010818687</v>
      </c>
      <c r="H526" s="12">
        <f>(INDEX(Proj[],MATCH(Std[[#This Row],[Player]],Proj[Player],0),15)-H$764)/H$765</f>
        <v>-0.81172736747616536</v>
      </c>
      <c r="I526" s="12">
        <f>(INDEX(Proj[],MATCH(Std[[#This Row],[Player]],Proj[Player],0),16)-I$764)/I$765</f>
        <v>-0.66909229534009251</v>
      </c>
      <c r="J526" s="12">
        <f>(INDEX(Proj[],MATCH(Std[[#This Row],[Player]],Proj[Player],0),17)-J$764)/J$765</f>
        <v>-0.76105581014900237</v>
      </c>
      <c r="K526" s="12">
        <f>(INDEX(Proj[],MATCH(Std[[#This Row],[Player]],Proj[Player],0),18)-K$764)/K$765</f>
        <v>-0.75859266061649311</v>
      </c>
      <c r="L526" s="12">
        <f>(INDEX(Proj[],MATCH(Std[[#This Row],[Player]],Proj[Player],0),19)-L$764)/L$765</f>
        <v>-0.81647589674950882</v>
      </c>
      <c r="M526" s="12">
        <f>(INDEX(Proj[],MATCH(Std[[#This Row],[Player]],Proj[Player],0),20)-M$764)/M$765</f>
        <v>-0.71308883245737775</v>
      </c>
      <c r="N526" s="12">
        <f>(INDEX(Proj[],MATCH(Std[[#This Row],[Player]],Proj[Player],0),21)-N$764)/N$765</f>
        <v>1.0516906420510428</v>
      </c>
      <c r="O526" s="12">
        <f>(INDEX(Proj[],MATCH(Std[[#This Row],[Player]],Proj[Player],0),22)-O$764)/O$765</f>
        <v>-0.98549627949346053</v>
      </c>
      <c r="P526" s="12">
        <f>((INDEX(Proj[],MATCH(Std[[#This Row],[Player]],Proj[Player],0),23)-P$764)/P$765)*IF('League Inputs'!$C$23 = "Yes",-1, 1)</f>
        <v>1.3265376727161247</v>
      </c>
      <c r="Q526" s="12">
        <f>(INDEX(Proj[],MATCH(Std[[#This Row],[Player]],Proj[Player],0),24)-Q$764)/Q$765</f>
        <v>-0.51264526304854952</v>
      </c>
      <c r="R526" s="12">
        <f>(INDEX(Proj[],MATCH(Std[[#This Row],[Player]],Proj[Player],0),25)-R$764)/R$765</f>
        <v>-0.53451344080231034</v>
      </c>
      <c r="S526" s="12">
        <f>(INDEX(Proj[],MATCH(Std[[#This Row],[Player]],Proj[Player],0),26)-S$764)/S$765</f>
        <v>-1.0561699465756109</v>
      </c>
      <c r="T5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-281.8962384024407</v>
      </c>
      <c r="U526" s="11"/>
      <c r="W526" t="str">
        <v>Klim Kostin</v>
      </c>
      <c r="AA526" t="str">
        <v>Klim Kostin</v>
      </c>
      <c r="AB526" t="str">
        <v>Klim Kostin</v>
      </c>
    </row>
    <row r="527" spans="1:28" x14ac:dyDescent="0.25">
      <c r="A527" t="s">
        <v>652</v>
      </c>
      <c r="B527">
        <f>INDEX(Proj[],MATCH(Std[[#This Row],[Player]],Proj[Player],0),2)</f>
        <v>31</v>
      </c>
      <c r="C527" t="s">
        <v>102</v>
      </c>
      <c r="D527" s="75" t="s">
        <v>103</v>
      </c>
      <c r="E527" s="56"/>
      <c r="F527" t="s">
        <v>6</v>
      </c>
      <c r="G527" s="12">
        <f>(INDEX(Proj[],MATCH(Std[[#This Row],[Player]],Proj[Player],0),14)-G$764)/G$765</f>
        <v>-0.55685138762371811</v>
      </c>
      <c r="H527" s="12">
        <f>(INDEX(Proj[],MATCH(Std[[#This Row],[Player]],Proj[Player],0),15)-H$764)/H$765</f>
        <v>-0.6626688334996349</v>
      </c>
      <c r="I527" s="12">
        <f>(INDEX(Proj[],MATCH(Std[[#This Row],[Player]],Proj[Player],0),16)-I$764)/I$765</f>
        <v>-0.66909229534009251</v>
      </c>
      <c r="J527" s="12">
        <f>(INDEX(Proj[],MATCH(Std[[#This Row],[Player]],Proj[Player],0),17)-J$764)/J$765</f>
        <v>-0.76105581014900237</v>
      </c>
      <c r="K527" s="12">
        <f>(INDEX(Proj[],MATCH(Std[[#This Row],[Player]],Proj[Player],0),18)-K$764)/K$765</f>
        <v>-0.75859266061649311</v>
      </c>
      <c r="L527" s="12">
        <f>(INDEX(Proj[],MATCH(Std[[#This Row],[Player]],Proj[Player],0),19)-L$764)/L$765</f>
        <v>-0.81647589674950882</v>
      </c>
      <c r="M527" s="12">
        <f>(INDEX(Proj[],MATCH(Std[[#This Row],[Player]],Proj[Player],0),20)-M$764)/M$765</f>
        <v>2.3633801304301665</v>
      </c>
      <c r="N527" s="12">
        <f>(INDEX(Proj[],MATCH(Std[[#This Row],[Player]],Proj[Player],0),21)-N$764)/N$765</f>
        <v>0.16022290802700884</v>
      </c>
      <c r="O527" s="12">
        <f>(INDEX(Proj[],MATCH(Std[[#This Row],[Player]],Proj[Player],0),22)-O$764)/O$765</f>
        <v>-0.24258417263951781</v>
      </c>
      <c r="P527" s="12">
        <f>((INDEX(Proj[],MATCH(Std[[#This Row],[Player]],Proj[Player],0),23)-P$764)/P$765)*IF('League Inputs'!$C$23 = "Yes",-1, 1)</f>
        <v>-0.25581465342806309</v>
      </c>
      <c r="Q527" s="12">
        <f>(INDEX(Proj[],MATCH(Std[[#This Row],[Player]],Proj[Player],0),24)-Q$764)/Q$765</f>
        <v>0.958550835532337</v>
      </c>
      <c r="R527" s="12">
        <f>(INDEX(Proj[],MATCH(Std[[#This Row],[Player]],Proj[Player],0),25)-R$764)/R$765</f>
        <v>0.75941348508307438</v>
      </c>
      <c r="S527" s="12">
        <f>(INDEX(Proj[],MATCH(Std[[#This Row],[Player]],Proj[Player],0),26)-S$764)/S$765</f>
        <v>-0.81288953643509121</v>
      </c>
      <c r="T5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-289.76030321562808</v>
      </c>
      <c r="U527" s="11"/>
      <c r="W527" t="str">
        <v>Radek Faksa</v>
      </c>
      <c r="AA527" t="str">
        <v>Radek Faksa</v>
      </c>
      <c r="AB527" t="str">
        <v>Radek Faksa</v>
      </c>
    </row>
    <row r="528" spans="1:28" x14ac:dyDescent="0.25">
      <c r="A528" t="s">
        <v>942</v>
      </c>
      <c r="B528">
        <f>INDEX(Proj[],MATCH(Std[[#This Row],[Player]],Proj[Player],0),2)</f>
        <v>26</v>
      </c>
      <c r="C528" t="s">
        <v>102</v>
      </c>
      <c r="D528" s="75" t="s">
        <v>103</v>
      </c>
      <c r="E528" s="56"/>
      <c r="F528" t="s">
        <v>5</v>
      </c>
      <c r="G528" s="12">
        <f>(INDEX(Proj[],MATCH(Std[[#This Row],[Player]],Proj[Player],0),14)-G$764)/G$765</f>
        <v>-0.45121751886595246</v>
      </c>
      <c r="H528" s="12">
        <f>(INDEX(Proj[],MATCH(Std[[#This Row],[Player]],Proj[Player],0),15)-H$764)/H$765</f>
        <v>-0.73719810048790013</v>
      </c>
      <c r="I528" s="12">
        <f>(INDEX(Proj[],MATCH(Std[[#This Row],[Player]],Proj[Player],0),16)-I$764)/I$765</f>
        <v>-0.66909229534009251</v>
      </c>
      <c r="J528" s="12">
        <f>(INDEX(Proj[],MATCH(Std[[#This Row],[Player]],Proj[Player],0),17)-J$764)/J$765</f>
        <v>-0.76105581014900237</v>
      </c>
      <c r="K528" s="12">
        <f>(INDEX(Proj[],MATCH(Std[[#This Row],[Player]],Proj[Player],0),18)-K$764)/K$765</f>
        <v>-0.75859266061649311</v>
      </c>
      <c r="L528" s="12">
        <f>(INDEX(Proj[],MATCH(Std[[#This Row],[Player]],Proj[Player],0),19)-L$764)/L$765</f>
        <v>-0.81647589674950882</v>
      </c>
      <c r="M528" s="12">
        <f>(INDEX(Proj[],MATCH(Std[[#This Row],[Player]],Proj[Player],0),20)-M$764)/M$765</f>
        <v>-0.71308883245737775</v>
      </c>
      <c r="N528" s="12">
        <f>(INDEX(Proj[],MATCH(Std[[#This Row],[Player]],Proj[Player],0),21)-N$764)/N$765</f>
        <v>-0.53744749251353952</v>
      </c>
      <c r="O528" s="12">
        <f>(INDEX(Proj[],MATCH(Std[[#This Row],[Player]],Proj[Player],0),22)-O$764)/O$765</f>
        <v>-0.79976825277997488</v>
      </c>
      <c r="P528" s="12">
        <f>((INDEX(Proj[],MATCH(Std[[#This Row],[Player]],Proj[Player],0),23)-P$764)/P$765)*IF('League Inputs'!$C$23 = "Yes",-1, 1)</f>
        <v>-1.3262294622903077</v>
      </c>
      <c r="Q528" s="12">
        <f>(INDEX(Proj[],MATCH(Std[[#This Row],[Player]],Proj[Player],0),24)-Q$764)/Q$765</f>
        <v>-0.51797568369558167</v>
      </c>
      <c r="R528" s="12">
        <f>(INDEX(Proj[],MATCH(Std[[#This Row],[Player]],Proj[Player],0),25)-R$764)/R$765</f>
        <v>-0.54586367699428739</v>
      </c>
      <c r="S528" s="12">
        <f>(INDEX(Proj[],MATCH(Std[[#This Row],[Player]],Proj[Player],0),26)-S$764)/S$765</f>
        <v>-0.81288953643509121</v>
      </c>
      <c r="T5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-666.82942391579491</v>
      </c>
      <c r="U528" s="11"/>
      <c r="W528" t="str">
        <v>Joey Anderson</v>
      </c>
      <c r="AA528" t="str">
        <v>Joey Anderson</v>
      </c>
      <c r="AB528" t="str">
        <v>Joey Anderson</v>
      </c>
    </row>
    <row r="529" spans="1:28" x14ac:dyDescent="0.25">
      <c r="A529" t="s">
        <v>737</v>
      </c>
      <c r="B529">
        <f>INDEX(Proj[],MATCH(Std[[#This Row],[Player]],Proj[Player],0),2)</f>
        <v>32</v>
      </c>
      <c r="C529" t="s">
        <v>74</v>
      </c>
      <c r="D529" s="75" t="s">
        <v>103</v>
      </c>
      <c r="E529" s="56"/>
      <c r="F529" t="s">
        <v>32</v>
      </c>
      <c r="G529" s="12">
        <f>(INDEX(Proj[],MATCH(Std[[#This Row],[Player]],Proj[Player],0),14)-G$764)/G$765</f>
        <v>-0.55685138762371811</v>
      </c>
      <c r="H529" s="12">
        <f>(INDEX(Proj[],MATCH(Std[[#This Row],[Player]],Proj[Player],0),15)-H$764)/H$765</f>
        <v>-0.6626688334996349</v>
      </c>
      <c r="I529" s="12">
        <f>(INDEX(Proj[],MATCH(Std[[#This Row],[Player]],Proj[Player],0),16)-I$764)/I$765</f>
        <v>-0.66909229534009251</v>
      </c>
      <c r="J529" s="12">
        <f>(INDEX(Proj[],MATCH(Std[[#This Row],[Player]],Proj[Player],0),17)-J$764)/J$765</f>
        <v>-0.76105581014900237</v>
      </c>
      <c r="K529" s="12">
        <f>(INDEX(Proj[],MATCH(Std[[#This Row],[Player]],Proj[Player],0),18)-K$764)/K$765</f>
        <v>-0.75859266061649311</v>
      </c>
      <c r="L529" s="12">
        <f>(INDEX(Proj[],MATCH(Std[[#This Row],[Player]],Proj[Player],0),19)-L$764)/L$765</f>
        <v>-0.81647589674950882</v>
      </c>
      <c r="M529" s="12">
        <f>(INDEX(Proj[],MATCH(Std[[#This Row],[Player]],Proj[Player],0),20)-M$764)/M$765</f>
        <v>0.31240082183847029</v>
      </c>
      <c r="N529" s="12">
        <f>(INDEX(Proj[],MATCH(Std[[#This Row],[Player]],Proj[Player],0),21)-N$764)/N$765</f>
        <v>-0.71186509264867659</v>
      </c>
      <c r="O529" s="12">
        <f>(INDEX(Proj[],MATCH(Std[[#This Row],[Player]],Proj[Player],0),22)-O$764)/O$765</f>
        <v>-0.8229842561191606</v>
      </c>
      <c r="P529" s="12">
        <f>((INDEX(Proj[],MATCH(Std[[#This Row],[Player]],Proj[Player],0),23)-P$764)/P$765)*IF('League Inputs'!$C$23 = "Yes",-1, 1)</f>
        <v>-6.9655556234629226E-2</v>
      </c>
      <c r="Q529" s="12">
        <f>(INDEX(Proj[],MATCH(Std[[#This Row],[Player]],Proj[Player],0),24)-Q$764)/Q$765</f>
        <v>-0.3847151675197768</v>
      </c>
      <c r="R529" s="12">
        <f>(INDEX(Proj[],MATCH(Std[[#This Row],[Player]],Proj[Player],0),25)-R$764)/R$765</f>
        <v>-0.36993501601864298</v>
      </c>
      <c r="S529" s="12">
        <f>(INDEX(Proj[],MATCH(Std[[#This Row],[Player]],Proj[Player],0),26)-S$764)/S$765</f>
        <v>-0.74801476039761927</v>
      </c>
      <c r="T5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-544.23232461328166</v>
      </c>
      <c r="U529" s="11"/>
      <c r="W529" t="str">
        <v>Mattias Janmark</v>
      </c>
      <c r="AA529" t="str">
        <v>Mattias Janmark</v>
      </c>
      <c r="AB529" t="str">
        <v>Mattias Janmark</v>
      </c>
    </row>
    <row r="530" spans="1:28" x14ac:dyDescent="0.25">
      <c r="A530" t="s">
        <v>1112</v>
      </c>
      <c r="B530">
        <f>INDEX(Proj[],MATCH(Std[[#This Row],[Player]],Proj[Player],0),2)</f>
        <v>23</v>
      </c>
      <c r="C530" t="s">
        <v>102</v>
      </c>
      <c r="D530" s="75" t="s">
        <v>103</v>
      </c>
      <c r="E530" s="56"/>
      <c r="F530" t="s">
        <v>21</v>
      </c>
      <c r="G530" s="12">
        <f>(INDEX(Proj[],MATCH(Std[[#This Row],[Player]],Proj[Player],0),14)-G$764)/G$765</f>
        <v>-0.55685138762371811</v>
      </c>
      <c r="H530" s="12">
        <f>(INDEX(Proj[],MATCH(Std[[#This Row],[Player]],Proj[Player],0),15)-H$764)/H$765</f>
        <v>-0.6626688334996349</v>
      </c>
      <c r="I530" s="12">
        <f>(INDEX(Proj[],MATCH(Std[[#This Row],[Player]],Proj[Player],0),16)-I$764)/I$765</f>
        <v>-0.66909229534009251</v>
      </c>
      <c r="J530" s="12">
        <f>(INDEX(Proj[],MATCH(Std[[#This Row],[Player]],Proj[Player],0),17)-J$764)/J$765</f>
        <v>-0.76105581014900237</v>
      </c>
      <c r="K530" s="12">
        <f>(INDEX(Proj[],MATCH(Std[[#This Row],[Player]],Proj[Player],0),18)-K$764)/K$765</f>
        <v>-0.75859266061649311</v>
      </c>
      <c r="L530" s="12">
        <f>(INDEX(Proj[],MATCH(Std[[#This Row],[Player]],Proj[Player],0),19)-L$764)/L$765</f>
        <v>-0.81647589674950882</v>
      </c>
      <c r="M530" s="12">
        <f>(INDEX(Proj[],MATCH(Std[[#This Row],[Player]],Proj[Player],0),20)-M$764)/M$765</f>
        <v>-0.71308883245737775</v>
      </c>
      <c r="N530" s="12">
        <f>(INDEX(Proj[],MATCH(Std[[#This Row],[Player]],Proj[Player],0),21)-N$764)/N$765</f>
        <v>-0.80876375939041945</v>
      </c>
      <c r="O530" s="12">
        <f>(INDEX(Proj[],MATCH(Std[[#This Row],[Player]],Proj[Player],0),22)-O$764)/O$765</f>
        <v>-0.75333624610160344</v>
      </c>
      <c r="P530" s="12">
        <f>((INDEX(Proj[],MATCH(Std[[#This Row],[Player]],Proj[Player],0),23)-P$764)/P$765)*IF('League Inputs'!$C$23 = "Yes",-1, 1)</f>
        <v>-0.44197375062149696</v>
      </c>
      <c r="Q530" s="12">
        <f>(INDEX(Proj[],MATCH(Std[[#This Row],[Player]],Proj[Player],0),24)-Q$764)/Q$765</f>
        <v>-8.0881190638941544E-2</v>
      </c>
      <c r="R530" s="12">
        <f>(INDEX(Proj[],MATCH(Std[[#This Row],[Player]],Proj[Player],0),25)-R$764)/R$765</f>
        <v>-9.7529347411193582E-2</v>
      </c>
      <c r="S530" s="12">
        <f>(INDEX(Proj[],MATCH(Std[[#This Row],[Player]],Proj[Player],0),26)-S$764)/S$765</f>
        <v>-0.95885778251940312</v>
      </c>
      <c r="T5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-574.89011424848195</v>
      </c>
      <c r="U530" s="11"/>
      <c r="W530" t="str">
        <v>Alex Turcotte</v>
      </c>
      <c r="AA530" t="str">
        <v>Alex Turcotte</v>
      </c>
      <c r="AB530" t="str">
        <v>Alex Turcotte</v>
      </c>
    </row>
    <row r="531" spans="1:28" x14ac:dyDescent="0.25">
      <c r="A531" t="s">
        <v>783</v>
      </c>
      <c r="B531">
        <f>INDEX(Proj[],MATCH(Std[[#This Row],[Player]],Proj[Player],0),2)</f>
        <v>26</v>
      </c>
      <c r="C531" t="s">
        <v>102</v>
      </c>
      <c r="D531" s="75" t="s">
        <v>103</v>
      </c>
      <c r="E531" s="57"/>
      <c r="F531" t="s">
        <v>25</v>
      </c>
      <c r="G531" s="12">
        <f>(INDEX(Proj[],MATCH(Std[[#This Row],[Player]],Proj[Player],0),14)-G$764)/G$765</f>
        <v>-0.45121751886595246</v>
      </c>
      <c r="H531" s="12">
        <f>(INDEX(Proj[],MATCH(Std[[#This Row],[Player]],Proj[Player],0),15)-H$764)/H$765</f>
        <v>-0.73719810048790013</v>
      </c>
      <c r="I531" s="12">
        <f>(INDEX(Proj[],MATCH(Std[[#This Row],[Player]],Proj[Player],0),16)-I$764)/I$765</f>
        <v>-0.66909229534009251</v>
      </c>
      <c r="J531" s="12">
        <f>(INDEX(Proj[],MATCH(Std[[#This Row],[Player]],Proj[Player],0),17)-J$764)/J$765</f>
        <v>-0.76105581014900237</v>
      </c>
      <c r="K531" s="12">
        <f>(INDEX(Proj[],MATCH(Std[[#This Row],[Player]],Proj[Player],0),18)-K$764)/K$765</f>
        <v>-0.75859266061649311</v>
      </c>
      <c r="L531" s="12">
        <f>(INDEX(Proj[],MATCH(Std[[#This Row],[Player]],Proj[Player],0),19)-L$764)/L$765</f>
        <v>-0.81647589674950882</v>
      </c>
      <c r="M531" s="12">
        <f>(INDEX(Proj[],MATCH(Std[[#This Row],[Player]],Proj[Player],0),20)-M$764)/M$765</f>
        <v>-0.71308883245737775</v>
      </c>
      <c r="N531" s="12">
        <f>(INDEX(Proj[],MATCH(Std[[#This Row],[Player]],Proj[Player],0),21)-N$764)/N$765</f>
        <v>-0.13047309219821965</v>
      </c>
      <c r="O531" s="12">
        <f>(INDEX(Proj[],MATCH(Std[[#This Row],[Player]],Proj[Player],0),22)-O$764)/O$765</f>
        <v>-0.98549627949346053</v>
      </c>
      <c r="P531" s="12">
        <f>((INDEX(Proj[],MATCH(Std[[#This Row],[Player]],Proj[Player],0),23)-P$764)/P$765)*IF('League Inputs'!$C$23 = "Yes",-1, 1)</f>
        <v>-1.2796896879919493</v>
      </c>
      <c r="Q531" s="12">
        <f>(INDEX(Proj[],MATCH(Std[[#This Row],[Player]],Proj[Player],0),24)-Q$764)/Q$765</f>
        <v>-0.17682876228552108</v>
      </c>
      <c r="R531" s="12">
        <f>(INDEX(Proj[],MATCH(Std[[#This Row],[Player]],Proj[Player],0),25)-R$764)/R$765</f>
        <v>0.17487632119625585</v>
      </c>
      <c r="S531" s="12">
        <f>(INDEX(Proj[],MATCH(Std[[#This Row],[Player]],Proj[Player],0),26)-S$764)/S$765</f>
        <v>-0.89398300648193119</v>
      </c>
      <c r="T5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-614.04546398945365</v>
      </c>
      <c r="U531" s="11"/>
      <c r="W531" t="str">
        <v>Jesper Boqvist</v>
      </c>
      <c r="AA531" t="str">
        <v>Jesper Boqvist</v>
      </c>
      <c r="AB531" t="str">
        <v>Jesper Boqvist</v>
      </c>
    </row>
    <row r="532" spans="1:28" x14ac:dyDescent="0.25">
      <c r="A532" t="s">
        <v>908</v>
      </c>
      <c r="B532">
        <f>INDEX(Proj[],MATCH(Std[[#This Row],[Player]],Proj[Player],0),2)</f>
        <v>29</v>
      </c>
      <c r="C532" t="s">
        <v>74</v>
      </c>
      <c r="D532" s="75" t="s">
        <v>103</v>
      </c>
      <c r="E532" s="57"/>
      <c r="F532" t="s">
        <v>23</v>
      </c>
      <c r="G532" s="12">
        <f>(INDEX(Proj[],MATCH(Std[[#This Row],[Player]],Proj[Player],0),14)-G$764)/G$765</f>
        <v>-0.7681191251392494</v>
      </c>
      <c r="H532" s="12">
        <f>(INDEX(Proj[],MATCH(Std[[#This Row],[Player]],Proj[Player],0),15)-H$764)/H$765</f>
        <v>-0.58813956651136978</v>
      </c>
      <c r="I532" s="12">
        <f>(INDEX(Proj[],MATCH(Std[[#This Row],[Player]],Proj[Player],0),16)-I$764)/I$765</f>
        <v>-0.71633485430219568</v>
      </c>
      <c r="J532" s="12">
        <f>(INDEX(Proj[],MATCH(Std[[#This Row],[Player]],Proj[Player],0),17)-J$764)/J$765</f>
        <v>-0.76105581014900237</v>
      </c>
      <c r="K532" s="12">
        <f>(INDEX(Proj[],MATCH(Std[[#This Row],[Player]],Proj[Player],0),18)-K$764)/K$765</f>
        <v>-0.75859266061649311</v>
      </c>
      <c r="L532" s="12">
        <f>(INDEX(Proj[],MATCH(Std[[#This Row],[Player]],Proj[Player],0),19)-L$764)/L$765</f>
        <v>-0.81647589674950882</v>
      </c>
      <c r="M532" s="12">
        <f>(INDEX(Proj[],MATCH(Std[[#This Row],[Player]],Proj[Player],0),20)-M$764)/M$765</f>
        <v>0.31240082183847029</v>
      </c>
      <c r="N532" s="12">
        <f>(INDEX(Proj[],MATCH(Std[[#This Row],[Player]],Proj[Player],0),21)-N$764)/N$765</f>
        <v>0.81913384187086002</v>
      </c>
      <c r="O532" s="12">
        <f>(INDEX(Proj[],MATCH(Std[[#This Row],[Player]],Proj[Player],0),22)-O$764)/O$765</f>
        <v>2.3808242046884676</v>
      </c>
      <c r="P532" s="12">
        <f>((INDEX(Proj[],MATCH(Std[[#This Row],[Player]],Proj[Player],0),23)-P$764)/P$765)*IF('League Inputs'!$C$23 = "Yes",-1, 1)</f>
        <v>1.9780945128931431</v>
      </c>
      <c r="Q532" s="12">
        <f>(INDEX(Proj[],MATCH(Std[[#This Row],[Player]],Proj[Player],0),24)-Q$764)/Q$765</f>
        <v>-0.5766103108129359</v>
      </c>
      <c r="R532" s="12">
        <f>(INDEX(Proj[],MATCH(Std[[#This Row],[Player]],Proj[Player],0),25)-R$764)/R$765</f>
        <v>-0.62531533033812681</v>
      </c>
      <c r="S532" s="12">
        <f>(INDEX(Proj[],MATCH(Std[[#This Row],[Player]],Proj[Player],0),26)-S$764)/S$765</f>
        <v>-0.63448390233204344</v>
      </c>
      <c r="T5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107.78889036051677</v>
      </c>
      <c r="U532" s="11"/>
      <c r="W532" t="str">
        <v>Jake Middleton</v>
      </c>
      <c r="AA532" t="str">
        <v>Jake Middleton</v>
      </c>
      <c r="AB532" t="str">
        <v>Jake Middleton</v>
      </c>
    </row>
    <row r="533" spans="1:28" x14ac:dyDescent="0.25">
      <c r="A533" t="s">
        <v>914</v>
      </c>
      <c r="B533">
        <f>INDEX(Proj[],MATCH(Std[[#This Row],[Player]],Proj[Player],0),2)</f>
        <v>29</v>
      </c>
      <c r="C533" t="s">
        <v>102</v>
      </c>
      <c r="D533" s="75"/>
      <c r="E533" s="57"/>
      <c r="F533" t="s">
        <v>22</v>
      </c>
      <c r="G533" s="12">
        <f>(INDEX(Proj[],MATCH(Std[[#This Row],[Player]],Proj[Player],0),14)-G$764)/G$765</f>
        <v>-0.23994978135042122</v>
      </c>
      <c r="H533" s="12">
        <f>(INDEX(Proj[],MATCH(Std[[#This Row],[Player]],Proj[Player],0),15)-H$764)/H$765</f>
        <v>-0.96078590145269582</v>
      </c>
      <c r="I533" s="12">
        <f>(INDEX(Proj[],MATCH(Std[[#This Row],[Player]],Proj[Player],0),16)-I$764)/I$765</f>
        <v>-0.71633485430219568</v>
      </c>
      <c r="J533" s="12">
        <f>(INDEX(Proj[],MATCH(Std[[#This Row],[Player]],Proj[Player],0),17)-J$764)/J$765</f>
        <v>-0.76105581014900237</v>
      </c>
      <c r="K533" s="12">
        <f>(INDEX(Proj[],MATCH(Std[[#This Row],[Player]],Proj[Player],0),18)-K$764)/K$765</f>
        <v>-0.75859266061649311</v>
      </c>
      <c r="L533" s="12">
        <f>(INDEX(Proj[],MATCH(Std[[#This Row],[Player]],Proj[Player],0),19)-L$764)/L$765</f>
        <v>-0.81647589674950882</v>
      </c>
      <c r="M533" s="12">
        <f>(INDEX(Proj[],MATCH(Std[[#This Row],[Player]],Proj[Player],0),20)-M$764)/M$765</f>
        <v>0.31240082183847029</v>
      </c>
      <c r="N533" s="12">
        <f>(INDEX(Proj[],MATCH(Std[[#This Row],[Player]],Proj[Player],0),21)-N$764)/N$765</f>
        <v>1.1485893087927856</v>
      </c>
      <c r="O533" s="12">
        <f>(INDEX(Proj[],MATCH(Std[[#This Row],[Player]],Proj[Player],0),22)-O$764)/O$765</f>
        <v>-0.26580017597870353</v>
      </c>
      <c r="P533" s="12">
        <f>((INDEX(Proj[],MATCH(Std[[#This Row],[Player]],Proj[Player],0),23)-P$764)/P$765)*IF('League Inputs'!$C$23 = "Yes",-1, 1)</f>
        <v>2.2573331586832941</v>
      </c>
      <c r="Q533" s="12">
        <f>(INDEX(Proj[],MATCH(Std[[#This Row],[Player]],Proj[Player],0),24)-Q$764)/Q$765</f>
        <v>1.0598288278259487</v>
      </c>
      <c r="R533" s="12">
        <f>(INDEX(Proj[],MATCH(Std[[#This Row],[Player]],Proj[Player],0),25)-R$764)/R$765</f>
        <v>0.88426608319482203</v>
      </c>
      <c r="S533" s="12">
        <f>(INDEX(Proj[],MATCH(Std[[#This Row],[Player]],Proj[Player],0),26)-S$764)/S$765</f>
        <v>-0.50473435025709956</v>
      </c>
      <c r="T5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96.167033521140425</v>
      </c>
      <c r="U533" s="11"/>
      <c r="W533" t="str">
        <v>Michael McCarron</v>
      </c>
      <c r="AA533" t="str">
        <v>Michael McCarron</v>
      </c>
      <c r="AB533" t="str">
        <v>Michael McCarron</v>
      </c>
    </row>
    <row r="534" spans="1:28" x14ac:dyDescent="0.25">
      <c r="A534" t="s">
        <v>584</v>
      </c>
      <c r="B534">
        <f>INDEX(Proj[],MATCH(Std[[#This Row],[Player]],Proj[Player],0),2)</f>
        <v>29</v>
      </c>
      <c r="C534" t="s">
        <v>3</v>
      </c>
      <c r="D534" s="75"/>
      <c r="E534" s="57"/>
      <c r="F534" t="s">
        <v>16</v>
      </c>
      <c r="G534" s="12">
        <f>(INDEX(Proj[],MATCH(Std[[#This Row],[Player]],Proj[Player],0),14)-G$764)/G$765</f>
        <v>-0.873752993897015</v>
      </c>
      <c r="H534" s="12">
        <f>(INDEX(Proj[],MATCH(Std[[#This Row],[Player]],Proj[Player],0),15)-H$764)/H$765</f>
        <v>-0.51361029952310455</v>
      </c>
      <c r="I534" s="12">
        <f>(INDEX(Proj[],MATCH(Std[[#This Row],[Player]],Proj[Player],0),16)-I$764)/I$765</f>
        <v>-0.71633485430219568</v>
      </c>
      <c r="J534" s="12">
        <f>(INDEX(Proj[],MATCH(Std[[#This Row],[Player]],Proj[Player],0),17)-J$764)/J$765</f>
        <v>-0.76105581014900237</v>
      </c>
      <c r="K534" s="12">
        <f>(INDEX(Proj[],MATCH(Std[[#This Row],[Player]],Proj[Player],0),18)-K$764)/K$765</f>
        <v>-0.75859266061649311</v>
      </c>
      <c r="L534" s="12">
        <f>(INDEX(Proj[],MATCH(Std[[#This Row],[Player]],Proj[Player],0),19)-L$764)/L$765</f>
        <v>-0.81647589674950882</v>
      </c>
      <c r="M534" s="12">
        <f>(INDEX(Proj[],MATCH(Std[[#This Row],[Player]],Proj[Player],0),20)-M$764)/M$765</f>
        <v>0.31240082183847029</v>
      </c>
      <c r="N534" s="12">
        <f>(INDEX(Proj[],MATCH(Std[[#This Row],[Player]],Proj[Player],0),21)-N$764)/N$765</f>
        <v>1.9237786427267283</v>
      </c>
      <c r="O534" s="12">
        <f>(INDEX(Proj[],MATCH(Std[[#This Row],[Player]],Proj[Player],0),22)-O$764)/O$765</f>
        <v>1.1968080343899963</v>
      </c>
      <c r="P534" s="12">
        <f>((INDEX(Proj[],MATCH(Std[[#This Row],[Player]],Proj[Player],0),23)-P$764)/P$765)*IF('League Inputs'!$C$23 = "Yes",-1, 1)</f>
        <v>0.6284410582407477</v>
      </c>
      <c r="Q534" s="12">
        <f>(INDEX(Proj[],MATCH(Std[[#This Row],[Player]],Proj[Player],0),24)-Q$764)/Q$765</f>
        <v>-0.5766103108129359</v>
      </c>
      <c r="R534" s="12">
        <f>(INDEX(Proj[],MATCH(Std[[#This Row],[Player]],Proj[Player],0),25)-R$764)/R$765</f>
        <v>-0.62531533033812681</v>
      </c>
      <c r="S534" s="12">
        <f>(INDEX(Proj[],MATCH(Std[[#This Row],[Player]],Proj[Player],0),26)-S$764)/S$765</f>
        <v>-0.61826520832267551</v>
      </c>
      <c r="T5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-36.602182824996291</v>
      </c>
      <c r="U534" s="11"/>
      <c r="W534" t="str">
        <v>Connor Clifton</v>
      </c>
      <c r="AA534" t="str">
        <v>Connor Clifton</v>
      </c>
      <c r="AB534" t="str">
        <v>Connor Clifton</v>
      </c>
    </row>
    <row r="535" spans="1:28" x14ac:dyDescent="0.25">
      <c r="A535" t="s">
        <v>392</v>
      </c>
      <c r="B535">
        <f>INDEX(Proj[],MATCH(Std[[#This Row],[Player]],Proj[Player],0),2)</f>
        <v>25</v>
      </c>
      <c r="C535" t="s">
        <v>103</v>
      </c>
      <c r="D535" s="75"/>
      <c r="E535" s="57"/>
      <c r="F535" t="s">
        <v>155</v>
      </c>
      <c r="G535" s="12">
        <f>(INDEX(Proj[],MATCH(Std[[#This Row],[Player]],Proj[Player],0),14)-G$764)/G$765</f>
        <v>-0.7681191251392494</v>
      </c>
      <c r="H535" s="12">
        <f>(INDEX(Proj[],MATCH(Std[[#This Row],[Player]],Proj[Player],0),15)-H$764)/H$765</f>
        <v>-0.58813956651136978</v>
      </c>
      <c r="I535" s="12">
        <f>(INDEX(Proj[],MATCH(Std[[#This Row],[Player]],Proj[Player],0),16)-I$764)/I$765</f>
        <v>-0.71633485430219568</v>
      </c>
      <c r="J535" s="12">
        <f>(INDEX(Proj[],MATCH(Std[[#This Row],[Player]],Proj[Player],0),17)-J$764)/J$765</f>
        <v>-0.76105581014900237</v>
      </c>
      <c r="K535" s="12">
        <f>(INDEX(Proj[],MATCH(Std[[#This Row],[Player]],Proj[Player],0),18)-K$764)/K$765</f>
        <v>-0.75859266061649311</v>
      </c>
      <c r="L535" s="12">
        <f>(INDEX(Proj[],MATCH(Std[[#This Row],[Player]],Proj[Player],0),19)-L$764)/L$765</f>
        <v>-0.81647589674950882</v>
      </c>
      <c r="M535" s="12">
        <f>(INDEX(Proj[],MATCH(Std[[#This Row],[Player]],Proj[Player],0),20)-M$764)/M$765</f>
        <v>0.31240082183847029</v>
      </c>
      <c r="N535" s="12">
        <f>(INDEX(Proj[],MATCH(Std[[#This Row],[Player]],Proj[Player],0),21)-N$764)/N$765</f>
        <v>2.3113733096936997</v>
      </c>
      <c r="O535" s="12">
        <f>(INDEX(Proj[],MATCH(Std[[#This Row],[Player]],Proj[Player],0),22)-O$764)/O$765</f>
        <v>1.6379120978345247</v>
      </c>
      <c r="P535" s="12">
        <f>((INDEX(Proj[],MATCH(Std[[#This Row],[Player]],Proj[Player],0),23)-P$764)/P$765)*IF('League Inputs'!$C$23 = "Yes",-1, 1)</f>
        <v>-0.25581465342806309</v>
      </c>
      <c r="Q535" s="12">
        <f>(INDEX(Proj[],MATCH(Std[[#This Row],[Player]],Proj[Player],0),24)-Q$764)/Q$765</f>
        <v>-0.5766103108129359</v>
      </c>
      <c r="R535" s="12">
        <f>(INDEX(Proj[],MATCH(Std[[#This Row],[Player]],Proj[Player],0),25)-R$764)/R$765</f>
        <v>-0.62531533033812681</v>
      </c>
      <c r="S535" s="12">
        <f>(INDEX(Proj[],MATCH(Std[[#This Row],[Player]],Proj[Player],0),26)-S$764)/S$765</f>
        <v>-0.63448390233204344</v>
      </c>
      <c r="T5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-40.669290174714156</v>
      </c>
      <c r="U535" s="11"/>
      <c r="W535" t="str">
        <v>Martin Fehervary</v>
      </c>
      <c r="AA535" t="str">
        <v>Martin Fehervary</v>
      </c>
      <c r="AB535" t="str">
        <v>Martin Fehervary</v>
      </c>
    </row>
    <row r="536" spans="1:28" x14ac:dyDescent="0.25">
      <c r="A536" t="s">
        <v>557</v>
      </c>
      <c r="B536">
        <f>INDEX(Proj[],MATCH(Std[[#This Row],[Player]],Proj[Player],0),2)</f>
        <v>25</v>
      </c>
      <c r="C536" t="s">
        <v>3</v>
      </c>
      <c r="D536" s="75"/>
      <c r="E536" s="57"/>
      <c r="F536" t="s">
        <v>155</v>
      </c>
      <c r="G536" s="12">
        <f>(INDEX(Proj[],MATCH(Std[[#This Row],[Player]],Proj[Player],0),14)-G$764)/G$765</f>
        <v>-0.873752993897015</v>
      </c>
      <c r="H536" s="12">
        <f>(INDEX(Proj[],MATCH(Std[[#This Row],[Player]],Proj[Player],0),15)-H$764)/H$765</f>
        <v>-0.51361029952310455</v>
      </c>
      <c r="I536" s="12">
        <f>(INDEX(Proj[],MATCH(Std[[#This Row],[Player]],Proj[Player],0),16)-I$764)/I$765</f>
        <v>-0.71633485430219568</v>
      </c>
      <c r="J536" s="12">
        <f>(INDEX(Proj[],MATCH(Std[[#This Row],[Player]],Proj[Player],0),17)-J$764)/J$765</f>
        <v>-0.76105581014900237</v>
      </c>
      <c r="K536" s="12">
        <f>(INDEX(Proj[],MATCH(Std[[#This Row],[Player]],Proj[Player],0),18)-K$764)/K$765</f>
        <v>-0.75859266061649311</v>
      </c>
      <c r="L536" s="12">
        <f>(INDEX(Proj[],MATCH(Std[[#This Row],[Player]],Proj[Player],0),19)-L$764)/L$765</f>
        <v>-0.81647589674950882</v>
      </c>
      <c r="M536" s="12">
        <f>(INDEX(Proj[],MATCH(Std[[#This Row],[Player]],Proj[Player],0),20)-M$764)/M$765</f>
        <v>0.31240082183847029</v>
      </c>
      <c r="N536" s="12">
        <f>(INDEX(Proj[],MATCH(Std[[#This Row],[Player]],Proj[Player],0),21)-N$764)/N$765</f>
        <v>1.0710703753993913</v>
      </c>
      <c r="O536" s="12">
        <f>(INDEX(Proj[],MATCH(Std[[#This Row],[Player]],Proj[Player],0),22)-O$764)/O$765</f>
        <v>1.7307761111912676</v>
      </c>
      <c r="P536" s="12">
        <f>((INDEX(Proj[],MATCH(Std[[#This Row],[Player]],Proj[Player],0),23)-P$764)/P$765)*IF('League Inputs'!$C$23 = "Yes",-1, 1)</f>
        <v>-0.39543397632313848</v>
      </c>
      <c r="Q536" s="12">
        <f>(INDEX(Proj[],MATCH(Std[[#This Row],[Player]],Proj[Player],0),24)-Q$764)/Q$765</f>
        <v>-0.5766103108129359</v>
      </c>
      <c r="R536" s="12">
        <f>(INDEX(Proj[],MATCH(Std[[#This Row],[Player]],Proj[Player],0),25)-R$764)/R$765</f>
        <v>-0.62531533033812681</v>
      </c>
      <c r="S536" s="12">
        <f>(INDEX(Proj[],MATCH(Std[[#This Row],[Player]],Proj[Player],0),26)-S$764)/S$765</f>
        <v>-0.50473435025709956</v>
      </c>
      <c r="T5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-159.5106195274339</v>
      </c>
      <c r="U536" s="11"/>
      <c r="W536" t="str">
        <v>Mikey Anderson</v>
      </c>
      <c r="AA536" t="str">
        <v>Mikey Anderson</v>
      </c>
      <c r="AB536" t="str">
        <v>Mikey Anderson</v>
      </c>
    </row>
    <row r="537" spans="1:28" x14ac:dyDescent="0.25">
      <c r="A537" t="s">
        <v>1099</v>
      </c>
      <c r="B537">
        <f>INDEX(Proj[],MATCH(Std[[#This Row],[Player]],Proj[Player],0),2)</f>
        <v>23</v>
      </c>
      <c r="C537" t="s">
        <v>3</v>
      </c>
      <c r="D537" s="75"/>
      <c r="E537" s="57"/>
      <c r="F537" t="s">
        <v>34</v>
      </c>
      <c r="G537" s="12">
        <f>(INDEX(Proj[],MATCH(Std[[#This Row],[Player]],Proj[Player],0),14)-G$764)/G$765</f>
        <v>-0.873752993897015</v>
      </c>
      <c r="H537" s="12">
        <f>(INDEX(Proj[],MATCH(Std[[#This Row],[Player]],Proj[Player],0),15)-H$764)/H$765</f>
        <v>-0.51361029952310455</v>
      </c>
      <c r="I537" s="12">
        <f>(INDEX(Proj[],MATCH(Std[[#This Row],[Player]],Proj[Player],0),16)-I$764)/I$765</f>
        <v>-0.71633485430219568</v>
      </c>
      <c r="J537" s="12">
        <f>(INDEX(Proj[],MATCH(Std[[#This Row],[Player]],Proj[Player],0),17)-J$764)/J$765</f>
        <v>-0.76105581014900237</v>
      </c>
      <c r="K537" s="12">
        <f>(INDEX(Proj[],MATCH(Std[[#This Row],[Player]],Proj[Player],0),18)-K$764)/K$765</f>
        <v>-0.29633482464760502</v>
      </c>
      <c r="L537" s="12">
        <f>(INDEX(Proj[],MATCH(Std[[#This Row],[Player]],Proj[Player],0),19)-L$764)/L$765</f>
        <v>-0.49026000221120619</v>
      </c>
      <c r="M537" s="12">
        <f>(INDEX(Proj[],MATCH(Std[[#This Row],[Player]],Proj[Player],0),20)-M$764)/M$765</f>
        <v>-0.71308883245737775</v>
      </c>
      <c r="N537" s="12">
        <f>(INDEX(Proj[],MATCH(Std[[#This Row],[Player]],Proj[Player],0),21)-N$764)/N$765</f>
        <v>0.78037437517416297</v>
      </c>
      <c r="O537" s="12">
        <f>(INDEX(Proj[],MATCH(Std[[#This Row],[Player]],Proj[Player],0),22)-O$764)/O$765</f>
        <v>0.63962395424953922</v>
      </c>
      <c r="P537" s="12">
        <f>((INDEX(Proj[],MATCH(Std[[#This Row],[Player]],Proj[Player],0),23)-P$764)/P$765)*IF('League Inputs'!$C$23 = "Yes",-1, 1)</f>
        <v>0.20958308955552155</v>
      </c>
      <c r="Q537" s="12">
        <f>(INDEX(Proj[],MATCH(Std[[#This Row],[Player]],Proj[Player],0),24)-Q$764)/Q$765</f>
        <v>-0.5766103108129359</v>
      </c>
      <c r="R537" s="12">
        <f>(INDEX(Proj[],MATCH(Std[[#This Row],[Player]],Proj[Player],0),25)-R$764)/R$765</f>
        <v>-0.62531533033812681</v>
      </c>
      <c r="S537" s="12">
        <f>(INDEX(Proj[],MATCH(Std[[#This Row],[Player]],Proj[Player],0),26)-S$764)/S$765</f>
        <v>-0.47229696223836359</v>
      </c>
      <c r="T5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-201.32840040055967</v>
      </c>
      <c r="U537" s="11"/>
      <c r="W537" t="str">
        <v>Ryker Evans</v>
      </c>
      <c r="AA537" t="str">
        <v>Ryker Evans</v>
      </c>
      <c r="AB537" t="str">
        <v>Ryker Evans</v>
      </c>
    </row>
    <row r="538" spans="1:28" x14ac:dyDescent="0.25">
      <c r="A538" t="s">
        <v>316</v>
      </c>
      <c r="B538">
        <f>INDEX(Proj[],MATCH(Std[[#This Row],[Player]],Proj[Player],0),2)</f>
        <v>41</v>
      </c>
      <c r="C538" t="s">
        <v>102</v>
      </c>
      <c r="D538" s="75" t="s">
        <v>103</v>
      </c>
      <c r="E538" s="56"/>
      <c r="F538" t="s">
        <v>10</v>
      </c>
      <c r="G538" s="12">
        <f>(INDEX(Proj[],MATCH(Std[[#This Row],[Player]],Proj[Player],0),14)-G$764)/G$765</f>
        <v>-0.873752993897015</v>
      </c>
      <c r="H538" s="12">
        <f>(INDEX(Proj[],MATCH(Std[[#This Row],[Player]],Proj[Player],0),15)-H$764)/H$765</f>
        <v>-0.51361029952310455</v>
      </c>
      <c r="I538" s="12">
        <f>(INDEX(Proj[],MATCH(Std[[#This Row],[Player]],Proj[Player],0),16)-I$764)/I$765</f>
        <v>-0.71633485430219568</v>
      </c>
      <c r="J538" s="12">
        <f>(INDEX(Proj[],MATCH(Std[[#This Row],[Player]],Proj[Player],0),17)-J$764)/J$765</f>
        <v>-0.76105581014900237</v>
      </c>
      <c r="K538" s="12">
        <f>(INDEX(Proj[],MATCH(Std[[#This Row],[Player]],Proj[Player],0),18)-K$764)/K$765</f>
        <v>-0.45042076997056774</v>
      </c>
      <c r="L538" s="12">
        <f>(INDEX(Proj[],MATCH(Std[[#This Row],[Player]],Proj[Player],0),19)-L$764)/L$765</f>
        <v>-0.59899863372397377</v>
      </c>
      <c r="M538" s="12">
        <f>(INDEX(Proj[],MATCH(Std[[#This Row],[Player]],Proj[Player],0),20)-M$764)/M$765</f>
        <v>-0.71308883245737775</v>
      </c>
      <c r="N538" s="12">
        <f>(INDEX(Proj[],MATCH(Std[[#This Row],[Player]],Proj[Player],0),21)-N$764)/N$765</f>
        <v>-0.32427042568170528</v>
      </c>
      <c r="O538" s="12">
        <f>(INDEX(Proj[],MATCH(Std[[#This Row],[Player]],Proj[Player],0),22)-O$764)/O$765</f>
        <v>1.452184071121039</v>
      </c>
      <c r="P538" s="12">
        <f>((INDEX(Proj[],MATCH(Std[[#This Row],[Player]],Proj[Player],0),23)-P$764)/P$765)*IF('League Inputs'!$C$23 = "Yes",-1, 1)</f>
        <v>0.67498083253910623</v>
      </c>
      <c r="Q538" s="12">
        <f>(INDEX(Proj[],MATCH(Std[[#This Row],[Player]],Proj[Player],0),24)-Q$764)/Q$765</f>
        <v>-0.5766103108129359</v>
      </c>
      <c r="R538" s="12">
        <f>(INDEX(Proj[],MATCH(Std[[#This Row],[Player]],Proj[Player],0),25)-R$764)/R$765</f>
        <v>-0.62531533033812681</v>
      </c>
      <c r="S538" s="12">
        <f>(INDEX(Proj[],MATCH(Std[[#This Row],[Player]],Proj[Player],0),26)-S$764)/S$765</f>
        <v>-0.53717173827583553</v>
      </c>
      <c r="T5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-201.35843525566196</v>
      </c>
      <c r="U538" s="11"/>
      <c r="W538" t="str">
        <v>Mark Giordano</v>
      </c>
      <c r="AA538" t="str">
        <v>Mark Giordano</v>
      </c>
      <c r="AB538" t="str">
        <v>Mark Giordano</v>
      </c>
    </row>
    <row r="539" spans="1:28" x14ac:dyDescent="0.25">
      <c r="A539" t="s">
        <v>432</v>
      </c>
      <c r="B539">
        <f>INDEX(Proj[],MATCH(Std[[#This Row],[Player]],Proj[Player],0),2)</f>
        <v>26</v>
      </c>
      <c r="C539" t="s">
        <v>103</v>
      </c>
      <c r="D539" s="75"/>
      <c r="E539" s="57"/>
      <c r="F539" t="s">
        <v>87</v>
      </c>
      <c r="G539" s="12">
        <f>(INDEX(Proj[],MATCH(Std[[#This Row],[Player]],Proj[Player],0),14)-G$764)/G$765</f>
        <v>-0.9793868626547807</v>
      </c>
      <c r="H539" s="12">
        <f>(INDEX(Proj[],MATCH(Std[[#This Row],[Player]],Proj[Player],0),15)-H$764)/H$765</f>
        <v>-0.43908103253483932</v>
      </c>
      <c r="I539" s="12">
        <f>(INDEX(Proj[],MATCH(Std[[#This Row],[Player]],Proj[Player],0),16)-I$764)/I$765</f>
        <v>-0.71633485430219568</v>
      </c>
      <c r="J539" s="12">
        <f>(INDEX(Proj[],MATCH(Std[[#This Row],[Player]],Proj[Player],0),17)-J$764)/J$765</f>
        <v>-0.76105581014900237</v>
      </c>
      <c r="K539" s="12">
        <f>(INDEX(Proj[],MATCH(Std[[#This Row],[Player]],Proj[Player],0),18)-K$764)/K$765</f>
        <v>-0.75859266061649311</v>
      </c>
      <c r="L539" s="12">
        <f>(INDEX(Proj[],MATCH(Std[[#This Row],[Player]],Proj[Player],0),19)-L$764)/L$765</f>
        <v>-0.81647589674950882</v>
      </c>
      <c r="M539" s="12">
        <f>(INDEX(Proj[],MATCH(Std[[#This Row],[Player]],Proj[Player],0),20)-M$764)/M$765</f>
        <v>0.31240082183847029</v>
      </c>
      <c r="N539" s="12">
        <f>(INDEX(Proj[],MATCH(Std[[#This Row],[Player]],Proj[Player],0),21)-N$764)/N$765</f>
        <v>0.16022290802700884</v>
      </c>
      <c r="O539" s="12">
        <f>(INDEX(Proj[],MATCH(Std[[#This Row],[Player]],Proj[Player],0),22)-O$764)/O$765</f>
        <v>1.2896720477467392</v>
      </c>
      <c r="P539" s="12">
        <f>((INDEX(Proj[],MATCH(Std[[#This Row],[Player]],Proj[Player],0),23)-P$764)/P$765)*IF('League Inputs'!$C$23 = "Yes",-1, 1)</f>
        <v>0.25612286385388</v>
      </c>
      <c r="Q539" s="12">
        <f>(INDEX(Proj[],MATCH(Std[[#This Row],[Player]],Proj[Player],0),24)-Q$764)/Q$765</f>
        <v>-0.5766103108129359</v>
      </c>
      <c r="R539" s="12">
        <f>(INDEX(Proj[],MATCH(Std[[#This Row],[Player]],Proj[Player],0),25)-R$764)/R$765</f>
        <v>-0.62531533033812681</v>
      </c>
      <c r="S539" s="12">
        <f>(INDEX(Proj[],MATCH(Std[[#This Row],[Player]],Proj[Player],0),26)-S$764)/S$765</f>
        <v>-0.74801476039761927</v>
      </c>
      <c r="T5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-256.98858978242515</v>
      </c>
      <c r="U539" s="11"/>
      <c r="W539" t="str">
        <v>Ryan Lindgren</v>
      </c>
      <c r="AA539" t="str">
        <v>Ryan Lindgren</v>
      </c>
      <c r="AB539" t="str">
        <v>Ryan Lindgren</v>
      </c>
    </row>
    <row r="540" spans="1:28" x14ac:dyDescent="0.25">
      <c r="A540" t="s">
        <v>1018</v>
      </c>
      <c r="B540">
        <f>INDEX(Proj[],MATCH(Std[[#This Row],[Player]],Proj[Player],0),2)</f>
        <v>36</v>
      </c>
      <c r="C540" t="s">
        <v>103</v>
      </c>
      <c r="D540" s="75"/>
      <c r="E540" s="57"/>
      <c r="F540" t="s">
        <v>16</v>
      </c>
      <c r="G540" s="12">
        <f>(INDEX(Proj[],MATCH(Std[[#This Row],[Player]],Proj[Player],0),14)-G$764)/G$765</f>
        <v>-0.66248525638148381</v>
      </c>
      <c r="H540" s="12">
        <f>(INDEX(Proj[],MATCH(Std[[#This Row],[Player]],Proj[Player],0),15)-H$764)/H$765</f>
        <v>-0.6626688334996349</v>
      </c>
      <c r="I540" s="12">
        <f>(INDEX(Proj[],MATCH(Std[[#This Row],[Player]],Proj[Player],0),16)-I$764)/I$765</f>
        <v>-0.71633485430219568</v>
      </c>
      <c r="J540" s="12">
        <f>(INDEX(Proj[],MATCH(Std[[#This Row],[Player]],Proj[Player],0),17)-J$764)/J$765</f>
        <v>-0.46669252292436259</v>
      </c>
      <c r="K540" s="12">
        <f>(INDEX(Proj[],MATCH(Std[[#This Row],[Player]],Proj[Player],0),18)-K$764)/K$765</f>
        <v>-0.45042076997056774</v>
      </c>
      <c r="L540" s="12">
        <f>(INDEX(Proj[],MATCH(Std[[#This Row],[Player]],Proj[Player],0),19)-L$764)/L$765</f>
        <v>-0.49026000221120619</v>
      </c>
      <c r="M540" s="12">
        <f>(INDEX(Proj[],MATCH(Std[[#This Row],[Player]],Proj[Player],0),20)-M$764)/M$765</f>
        <v>-0.71308883245737775</v>
      </c>
      <c r="N540" s="12">
        <f>(INDEX(Proj[],MATCH(Std[[#This Row],[Player]],Proj[Player],0),21)-N$764)/N$765</f>
        <v>0.25712157476875169</v>
      </c>
      <c r="O540" s="12">
        <f>(INDEX(Proj[],MATCH(Std[[#This Row],[Player]],Proj[Player],0),22)-O$764)/O$765</f>
        <v>-1.1015762961893891</v>
      </c>
      <c r="P540" s="12">
        <f>((INDEX(Proj[],MATCH(Std[[#This Row],[Player]],Proj[Player],0),23)-P$764)/P$765)*IF('League Inputs'!$C$23 = "Yes",-1, 1)</f>
        <v>3.6069866133356894</v>
      </c>
      <c r="Q540" s="12">
        <f>(INDEX(Proj[],MATCH(Std[[#This Row],[Player]],Proj[Player],0),24)-Q$764)/Q$765</f>
        <v>-0.48066273916635632</v>
      </c>
      <c r="R540" s="12">
        <f>(INDEX(Proj[],MATCH(Std[[#This Row],[Player]],Proj[Player],0),25)-R$764)/R$765</f>
        <v>-0.47776225984242504</v>
      </c>
      <c r="S540" s="12">
        <f>(INDEX(Proj[],MATCH(Std[[#This Row],[Player]],Proj[Player],0),26)-S$764)/S$765</f>
        <v>-0.86154561846319522</v>
      </c>
      <c r="T5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-111.142541210902</v>
      </c>
      <c r="U540" s="11"/>
      <c r="W540" t="str">
        <v>Pat Maroon</v>
      </c>
      <c r="AA540" t="str">
        <v>Pat Maroon</v>
      </c>
      <c r="AB540" t="str">
        <v>Pat Maroon</v>
      </c>
    </row>
    <row r="541" spans="1:28" x14ac:dyDescent="0.25">
      <c r="A541" t="s">
        <v>530</v>
      </c>
      <c r="B541">
        <f>INDEX(Proj[],MATCH(Std[[#This Row],[Player]],Proj[Player],0),2)</f>
        <v>25</v>
      </c>
      <c r="C541" t="s">
        <v>3</v>
      </c>
      <c r="D541" s="75"/>
      <c r="E541" s="56"/>
      <c r="F541" t="s">
        <v>87</v>
      </c>
      <c r="G541" s="12">
        <f>(INDEX(Proj[],MATCH(Std[[#This Row],[Player]],Proj[Player],0),14)-G$764)/G$765</f>
        <v>-0.9793868626547807</v>
      </c>
      <c r="H541" s="12">
        <f>(INDEX(Proj[],MATCH(Std[[#This Row],[Player]],Proj[Player],0),15)-H$764)/H$765</f>
        <v>-0.43908103253483932</v>
      </c>
      <c r="I541" s="12">
        <f>(INDEX(Proj[],MATCH(Std[[#This Row],[Player]],Proj[Player],0),16)-I$764)/I$765</f>
        <v>-0.71633485430219568</v>
      </c>
      <c r="J541" s="12">
        <f>(INDEX(Proj[],MATCH(Std[[#This Row],[Player]],Proj[Player],0),17)-J$764)/J$765</f>
        <v>-0.76105581014900237</v>
      </c>
      <c r="K541" s="12">
        <f>(INDEX(Proj[],MATCH(Std[[#This Row],[Player]],Proj[Player],0),18)-K$764)/K$765</f>
        <v>-0.75859266061649311</v>
      </c>
      <c r="L541" s="12">
        <f>(INDEX(Proj[],MATCH(Std[[#This Row],[Player]],Proj[Player],0),19)-L$764)/L$765</f>
        <v>-0.81647589674950882</v>
      </c>
      <c r="M541" s="12">
        <f>(INDEX(Proj[],MATCH(Std[[#This Row],[Player]],Proj[Player],0),20)-M$764)/M$765</f>
        <v>0.31240082183847029</v>
      </c>
      <c r="N541" s="12">
        <f>(INDEX(Proj[],MATCH(Std[[#This Row],[Player]],Proj[Player],0),21)-N$764)/N$765</f>
        <v>-1.4194692108128246E-2</v>
      </c>
      <c r="O541" s="12">
        <f>(INDEX(Proj[],MATCH(Std[[#This Row],[Player]],Proj[Player],0),22)-O$764)/O$765</f>
        <v>0.82535198096302487</v>
      </c>
      <c r="P541" s="12">
        <f>((INDEX(Proj[],MATCH(Std[[#This Row],[Player]],Proj[Player],0),23)-P$764)/P$765)*IF('League Inputs'!$C$23 = "Yes",-1, 1)</f>
        <v>-0.25581465342806309</v>
      </c>
      <c r="Q541" s="12">
        <f>(INDEX(Proj[],MATCH(Std[[#This Row],[Player]],Proj[Player],0),24)-Q$764)/Q$765</f>
        <v>-0.5766103108129359</v>
      </c>
      <c r="R541" s="12">
        <f>(INDEX(Proj[],MATCH(Std[[#This Row],[Player]],Proj[Player],0),25)-R$764)/R$765</f>
        <v>-0.62531533033812681</v>
      </c>
      <c r="S541" s="12">
        <f>(INDEX(Proj[],MATCH(Std[[#This Row],[Player]],Proj[Player],0),26)-S$764)/S$765</f>
        <v>-0.55339043228520357</v>
      </c>
      <c r="T5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-352.59367539126305</v>
      </c>
      <c r="U541" s="11"/>
      <c r="W541" t="str">
        <v>Henri Jokiharju</v>
      </c>
      <c r="AA541" t="str">
        <v>Henri Jokiharju</v>
      </c>
      <c r="AB541" t="str">
        <v>Henri Jokiharju</v>
      </c>
    </row>
    <row r="542" spans="1:28" x14ac:dyDescent="0.25">
      <c r="A542" t="s">
        <v>1071</v>
      </c>
      <c r="B542">
        <f>INDEX(Proj[],MATCH(Std[[#This Row],[Player]],Proj[Player],0),2)</f>
        <v>21</v>
      </c>
      <c r="C542" t="s">
        <v>103</v>
      </c>
      <c r="D542" s="75"/>
      <c r="E542" s="57"/>
      <c r="F542" t="s">
        <v>13</v>
      </c>
      <c r="G542" s="12">
        <f>(INDEX(Proj[],MATCH(Std[[#This Row],[Player]],Proj[Player],0),14)-G$764)/G$765</f>
        <v>-0.23994978135042122</v>
      </c>
      <c r="H542" s="12">
        <f>(INDEX(Proj[],MATCH(Std[[#This Row],[Player]],Proj[Player],0),15)-H$764)/H$765</f>
        <v>0.75338723927740403</v>
      </c>
      <c r="I542" s="12">
        <f>(INDEX(Proj[],MATCH(Std[[#This Row],[Player]],Proj[Player],0),16)-I$764)/I$765</f>
        <v>0.37024400182617856</v>
      </c>
      <c r="J542" s="12">
        <f>(INDEX(Proj[],MATCH(Std[[#This Row],[Player]],Proj[Player],0),17)-J$764)/J$765</f>
        <v>-0.17232923569972286</v>
      </c>
      <c r="K542" s="12">
        <f>(INDEX(Proj[],MATCH(Std[[#This Row],[Player]],Proj[Player],0),18)-K$764)/K$765</f>
        <v>0.93635273793609664</v>
      </c>
      <c r="L542" s="12">
        <f>(INDEX(Proj[],MATCH(Std[[#This Row],[Player]],Proj[Player],0),19)-L$764)/L$765</f>
        <v>0.59712631291646912</v>
      </c>
      <c r="M542" s="12">
        <f>(INDEX(Proj[],MATCH(Std[[#This Row],[Player]],Proj[Player],0),20)-M$764)/M$765</f>
        <v>-0.71308883245737775</v>
      </c>
      <c r="N542" s="12">
        <f>(INDEX(Proj[],MATCH(Std[[#This Row],[Player]],Proj[Player],0),21)-N$764)/N$765</f>
        <v>-0.59558669255858521</v>
      </c>
      <c r="O542" s="12">
        <f>(INDEX(Proj[],MATCH(Std[[#This Row],[Player]],Proj[Player],0),22)-O$764)/O$765</f>
        <v>1.8932881345655677</v>
      </c>
      <c r="P542" s="12">
        <f>((INDEX(Proj[],MATCH(Std[[#This Row],[Player]],Proj[Player],0),23)-P$764)/P$765)*IF('League Inputs'!$C$23 = "Yes",-1, 1)</f>
        <v>0.90767970403089848</v>
      </c>
      <c r="Q542" s="12">
        <f>(INDEX(Proj[],MATCH(Std[[#This Row],[Player]],Proj[Player],0),24)-Q$764)/Q$765</f>
        <v>-0.5766103108129359</v>
      </c>
      <c r="R542" s="12">
        <f>(INDEX(Proj[],MATCH(Std[[#This Row],[Player]],Proj[Player],0),25)-R$764)/R$765</f>
        <v>-0.62531533033812681</v>
      </c>
      <c r="S542" s="12">
        <f>(INDEX(Proj[],MATCH(Std[[#This Row],[Player]],Proj[Player],0),26)-S$764)/S$765</f>
        <v>0.87385464053917894</v>
      </c>
      <c r="T5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398.34332484337546</v>
      </c>
      <c r="U542" s="11"/>
      <c r="W542" t="str">
        <v>Brandt Clarke</v>
      </c>
      <c r="AA542" t="str">
        <v>Brandt Clarke</v>
      </c>
      <c r="AB542" t="str">
        <v>Brandt Clarke</v>
      </c>
    </row>
    <row r="543" spans="1:28" x14ac:dyDescent="0.25">
      <c r="A543" t="s">
        <v>811</v>
      </c>
      <c r="B543">
        <f>INDEX(Proj[],MATCH(Std[[#This Row],[Player]],Proj[Player],0),2)</f>
        <v>25</v>
      </c>
      <c r="C543" t="s">
        <v>3</v>
      </c>
      <c r="D543" s="75"/>
      <c r="E543" s="56"/>
      <c r="F543" t="s">
        <v>14</v>
      </c>
      <c r="G543" s="12">
        <f>(INDEX(Proj[],MATCH(Std[[#This Row],[Player]],Proj[Player],0),14)-G$764)/G$765</f>
        <v>-0.13431591259265557</v>
      </c>
      <c r="H543" s="12">
        <f>(INDEX(Proj[],MATCH(Std[[#This Row],[Player]],Proj[Player],0),15)-H$764)/H$765</f>
        <v>-1.0353151684409609</v>
      </c>
      <c r="I543" s="12">
        <f>(INDEX(Proj[],MATCH(Std[[#This Row],[Player]],Proj[Player],0),16)-I$764)/I$765</f>
        <v>-0.71633485430219568</v>
      </c>
      <c r="J543" s="12">
        <f>(INDEX(Proj[],MATCH(Std[[#This Row],[Player]],Proj[Player],0),17)-J$764)/J$765</f>
        <v>-0.76105581014900237</v>
      </c>
      <c r="K543" s="12">
        <f>(INDEX(Proj[],MATCH(Std[[#This Row],[Player]],Proj[Player],0),18)-K$764)/K$765</f>
        <v>-0.75859266061649311</v>
      </c>
      <c r="L543" s="12">
        <f>(INDEX(Proj[],MATCH(Std[[#This Row],[Player]],Proj[Player],0),19)-L$764)/L$765</f>
        <v>-0.81647589674950882</v>
      </c>
      <c r="M543" s="12">
        <f>(INDEX(Proj[],MATCH(Std[[#This Row],[Player]],Proj[Player],0),20)-M$764)/M$765</f>
        <v>0.31240082183847029</v>
      </c>
      <c r="N543" s="12">
        <f>(INDEX(Proj[],MATCH(Std[[#This Row],[Player]],Proj[Player],0),21)-N$764)/N$765</f>
        <v>1.3036271755795743</v>
      </c>
      <c r="O543" s="12">
        <f>(INDEX(Proj[],MATCH(Std[[#This Row],[Player]],Proj[Player],0),22)-O$764)/O$765</f>
        <v>-8.0072149265217829E-2</v>
      </c>
      <c r="P543" s="12">
        <f>((INDEX(Proj[],MATCH(Std[[#This Row],[Player]],Proj[Player],0),23)-P$764)/P$765)*IF('League Inputs'!$C$23 = "Yes",-1, 1)</f>
        <v>-0.30235442772642157</v>
      </c>
      <c r="Q543" s="12">
        <f>(INDEX(Proj[],MATCH(Std[[#This Row],[Player]],Proj[Player],0),24)-Q$764)/Q$765</f>
        <v>-0.5392973662837105</v>
      </c>
      <c r="R543" s="12">
        <f>(INDEX(Proj[],MATCH(Std[[#This Row],[Player]],Proj[Player],0),25)-R$764)/R$765</f>
        <v>-0.56856414937824151</v>
      </c>
      <c r="S543" s="12">
        <f>(INDEX(Proj[],MATCH(Std[[#This Row],[Player]],Proj[Player],0),26)-S$764)/S$765</f>
        <v>-0.16414177606037195</v>
      </c>
      <c r="T5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-248.46803758414686</v>
      </c>
      <c r="U543" s="11"/>
      <c r="W543" t="str">
        <v>Alexei Toropchenko</v>
      </c>
      <c r="AA543" t="str">
        <v>Alexei Toropchenko</v>
      </c>
      <c r="AB543" t="str">
        <v>Alexei Toropchenko</v>
      </c>
    </row>
    <row r="544" spans="1:28" x14ac:dyDescent="0.25">
      <c r="A544" t="s">
        <v>1075</v>
      </c>
      <c r="B544">
        <f>INDEX(Proj[],MATCH(Std[[#This Row],[Player]],Proj[Player],0),2)</f>
        <v>23</v>
      </c>
      <c r="C544" t="s">
        <v>3</v>
      </c>
      <c r="D544" s="75"/>
      <c r="E544" s="57"/>
      <c r="F544" t="s">
        <v>23</v>
      </c>
      <c r="G544" s="12">
        <f>(INDEX(Proj[],MATCH(Std[[#This Row],[Player]],Proj[Player],0),14)-G$764)/G$765</f>
        <v>-0.9793868626547807</v>
      </c>
      <c r="H544" s="12">
        <f>(INDEX(Proj[],MATCH(Std[[#This Row],[Player]],Proj[Player],0),15)-H$764)/H$765</f>
        <v>-0.43908103253483932</v>
      </c>
      <c r="I544" s="12">
        <f>(INDEX(Proj[],MATCH(Std[[#This Row],[Player]],Proj[Player],0),16)-I$764)/I$765</f>
        <v>-0.71633485430219568</v>
      </c>
      <c r="J544" s="12">
        <f>(INDEX(Proj[],MATCH(Std[[#This Row],[Player]],Proj[Player],0),17)-J$764)/J$765</f>
        <v>-0.46669252292436259</v>
      </c>
      <c r="K544" s="12">
        <f>(INDEX(Proj[],MATCH(Std[[#This Row],[Player]],Proj[Player],0),18)-K$764)/K$765</f>
        <v>-0.14224887932464234</v>
      </c>
      <c r="L544" s="12">
        <f>(INDEX(Proj[],MATCH(Std[[#This Row],[Player]],Proj[Player],0),19)-L$764)/L$765</f>
        <v>-0.27278273918567114</v>
      </c>
      <c r="M544" s="12">
        <f>(INDEX(Proj[],MATCH(Std[[#This Row],[Player]],Proj[Player],0),20)-M$764)/M$765</f>
        <v>0.31240082183847029</v>
      </c>
      <c r="N544" s="12">
        <f>(INDEX(Proj[],MATCH(Std[[#This Row],[Player]],Proj[Player],0),21)-N$764)/N$765</f>
        <v>-0.94442189282885936</v>
      </c>
      <c r="O544" s="12">
        <f>(INDEX(Proj[],MATCH(Std[[#This Row],[Player]],Proj[Player],0),22)-O$764)/O$765</f>
        <v>0.63962395424953922</v>
      </c>
      <c r="P544" s="12">
        <f>((INDEX(Proj[],MATCH(Std[[#This Row],[Player]],Proj[Player],0),23)-P$764)/P$765)*IF('League Inputs'!$C$23 = "Yes",-1, 1)</f>
        <v>-0.44197375062149696</v>
      </c>
      <c r="Q544" s="12">
        <f>(INDEX(Proj[],MATCH(Std[[#This Row],[Player]],Proj[Player],0),24)-Q$764)/Q$765</f>
        <v>-0.5766103108129359</v>
      </c>
      <c r="R544" s="12">
        <f>(INDEX(Proj[],MATCH(Std[[#This Row],[Player]],Proj[Player],0),25)-R$764)/R$765</f>
        <v>-0.62531533033812681</v>
      </c>
      <c r="S544" s="12">
        <f>(INDEX(Proj[],MATCH(Std[[#This Row],[Player]],Proj[Player],0),26)-S$764)/S$765</f>
        <v>-0.79667084242572328</v>
      </c>
      <c r="T5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-452.76383311169639</v>
      </c>
      <c r="U544" s="11"/>
      <c r="W544" t="str">
        <v>Henry Thrun</v>
      </c>
      <c r="AA544" t="str">
        <v>Henry Thrun</v>
      </c>
      <c r="AB544" t="str">
        <v>Henry Thrun</v>
      </c>
    </row>
    <row r="545" spans="1:28" x14ac:dyDescent="0.25">
      <c r="A545" t="s">
        <v>544</v>
      </c>
      <c r="B545">
        <f>INDEX(Proj[],MATCH(Std[[#This Row],[Player]],Proj[Player],0),2)</f>
        <v>33</v>
      </c>
      <c r="C545" t="s">
        <v>102</v>
      </c>
      <c r="D545" s="75" t="s">
        <v>103</v>
      </c>
      <c r="E545" s="57"/>
      <c r="F545" t="s">
        <v>11</v>
      </c>
      <c r="G545" s="12">
        <f>(INDEX(Proj[],MATCH(Std[[#This Row],[Player]],Proj[Player],0),14)-G$764)/G$765</f>
        <v>-0.873752993897015</v>
      </c>
      <c r="H545" s="12">
        <f>(INDEX(Proj[],MATCH(Std[[#This Row],[Player]],Proj[Player],0),15)-H$764)/H$765</f>
        <v>-0.51361029952310455</v>
      </c>
      <c r="I545" s="12">
        <f>(INDEX(Proj[],MATCH(Std[[#This Row],[Player]],Proj[Player],0),16)-I$764)/I$765</f>
        <v>-0.71633485430219568</v>
      </c>
      <c r="J545" s="12">
        <f>(INDEX(Proj[],MATCH(Std[[#This Row],[Player]],Proj[Player],0),17)-J$764)/J$765</f>
        <v>-0.46669252292436259</v>
      </c>
      <c r="K545" s="12">
        <f>(INDEX(Proj[],MATCH(Std[[#This Row],[Player]],Proj[Player],0),18)-K$764)/K$765</f>
        <v>-0.29633482464760502</v>
      </c>
      <c r="L545" s="12">
        <f>(INDEX(Proj[],MATCH(Std[[#This Row],[Player]],Proj[Player],0),19)-L$764)/L$765</f>
        <v>-0.38152137069843867</v>
      </c>
      <c r="M545" s="12">
        <f>(INDEX(Proj[],MATCH(Std[[#This Row],[Player]],Proj[Player],0),20)-M$764)/M$765</f>
        <v>-0.71308883245737775</v>
      </c>
      <c r="N545" s="12">
        <f>(INDEX(Proj[],MATCH(Std[[#This Row],[Player]],Proj[Player],0),21)-N$764)/N$765</f>
        <v>-0.45992855912014524</v>
      </c>
      <c r="O545" s="12">
        <f>(INDEX(Proj[],MATCH(Std[[#This Row],[Player]],Proj[Player],0),22)-O$764)/O$765</f>
        <v>0.54675994089279634</v>
      </c>
      <c r="P545" s="12">
        <f>((INDEX(Proj[],MATCH(Std[[#This Row],[Player]],Proj[Player],0),23)-P$764)/P$765)*IF('League Inputs'!$C$23 = "Yes",-1, 1)</f>
        <v>-1.0469908165001569</v>
      </c>
      <c r="Q545" s="12">
        <f>(INDEX(Proj[],MATCH(Std[[#This Row],[Player]],Proj[Player],0),24)-Q$764)/Q$765</f>
        <v>-0.5766103108129359</v>
      </c>
      <c r="R545" s="12">
        <f>(INDEX(Proj[],MATCH(Std[[#This Row],[Player]],Proj[Player],0),25)-R$764)/R$765</f>
        <v>-0.62531533033812681</v>
      </c>
      <c r="S545" s="12">
        <f>(INDEX(Proj[],MATCH(Std[[#This Row],[Player]],Proj[Player],0),26)-S$764)/S$765</f>
        <v>-0.5696091262945715</v>
      </c>
      <c r="T5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-459.15983902557667</v>
      </c>
      <c r="U545" s="11"/>
      <c r="W545" t="str">
        <v>Nate Schmidt</v>
      </c>
      <c r="AA545" t="str">
        <v>Nate Schmidt</v>
      </c>
      <c r="AB545" t="str">
        <v>Nate Schmidt</v>
      </c>
    </row>
    <row r="546" spans="1:28" x14ac:dyDescent="0.25">
      <c r="A546" t="s">
        <v>660</v>
      </c>
      <c r="B546">
        <f>INDEX(Proj[],MATCH(Std[[#This Row],[Player]],Proj[Player],0),2)</f>
        <v>28</v>
      </c>
      <c r="C546" t="s">
        <v>3</v>
      </c>
      <c r="D546" s="75"/>
      <c r="E546" s="57"/>
      <c r="F546" t="s">
        <v>25</v>
      </c>
      <c r="G546" s="12">
        <f>(INDEX(Proj[],MATCH(Std[[#This Row],[Player]],Proj[Player],0),14)-G$764)/G$765</f>
        <v>-0.55685138762371811</v>
      </c>
      <c r="H546" s="12">
        <f>(INDEX(Proj[],MATCH(Std[[#This Row],[Player]],Proj[Player],0),15)-H$764)/H$765</f>
        <v>-0.73719810048790013</v>
      </c>
      <c r="I546" s="12">
        <f>(INDEX(Proj[],MATCH(Std[[#This Row],[Player]],Proj[Player],0),16)-I$764)/I$765</f>
        <v>-0.71633485430219568</v>
      </c>
      <c r="J546" s="12">
        <f>(INDEX(Proj[],MATCH(Std[[#This Row],[Player]],Proj[Player],0),17)-J$764)/J$765</f>
        <v>-0.76105581014900237</v>
      </c>
      <c r="K546" s="12">
        <f>(INDEX(Proj[],MATCH(Std[[#This Row],[Player]],Proj[Player],0),18)-K$764)/K$765</f>
        <v>-0.75859266061649311</v>
      </c>
      <c r="L546" s="12">
        <f>(INDEX(Proj[],MATCH(Std[[#This Row],[Player]],Proj[Player],0),19)-L$764)/L$765</f>
        <v>-0.81647589674950882</v>
      </c>
      <c r="M546" s="12">
        <f>(INDEX(Proj[],MATCH(Std[[#This Row],[Player]],Proj[Player],0),20)-M$764)/M$765</f>
        <v>-0.71308883245737775</v>
      </c>
      <c r="N546" s="12">
        <f>(INDEX(Proj[],MATCH(Std[[#This Row],[Player]],Proj[Player],0),21)-N$764)/N$765</f>
        <v>1.3617663756246199</v>
      </c>
      <c r="O546" s="12">
        <f>(INDEX(Proj[],MATCH(Std[[#This Row],[Player]],Proj[Player],0),22)-O$764)/O$765</f>
        <v>-0.86941626279753204</v>
      </c>
      <c r="P546" s="12">
        <f>((INDEX(Proj[],MATCH(Std[[#This Row],[Player]],Proj[Player],0),23)-P$764)/P$765)*IF('League Inputs'!$C$23 = "Yes",-1, 1)</f>
        <v>0.30266263815223848</v>
      </c>
      <c r="Q546" s="12">
        <f>(INDEX(Proj[],MATCH(Std[[#This Row],[Player]],Proj[Player],0),24)-Q$764)/Q$765</f>
        <v>-0.50731484240151736</v>
      </c>
      <c r="R546" s="12">
        <f>(INDEX(Proj[],MATCH(Std[[#This Row],[Player]],Proj[Player],0),25)-R$764)/R$765</f>
        <v>-0.51748808651434475</v>
      </c>
      <c r="S546" s="12">
        <f>(INDEX(Proj[],MATCH(Std[[#This Row],[Player]],Proj[Player],0),26)-S$764)/S$765</f>
        <v>-0.76423345440698731</v>
      </c>
      <c r="T5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-330.33957849925019</v>
      </c>
      <c r="U546" s="11"/>
      <c r="W546" t="str">
        <v>Nicolas Aube-Kubel</v>
      </c>
      <c r="AA546" t="str">
        <v>Nicolas Aube-Kubel</v>
      </c>
      <c r="AB546" t="str">
        <v>Nicolas Aube-Kubel</v>
      </c>
    </row>
    <row r="547" spans="1:28" x14ac:dyDescent="0.25">
      <c r="A547" t="s">
        <v>678</v>
      </c>
      <c r="B547">
        <f>INDEX(Proj[],MATCH(Std[[#This Row],[Player]],Proj[Player],0),2)</f>
        <v>33</v>
      </c>
      <c r="C547" t="s">
        <v>102</v>
      </c>
      <c r="D547" s="75" t="s">
        <v>103</v>
      </c>
      <c r="E547" s="56"/>
      <c r="F547" t="s">
        <v>8</v>
      </c>
      <c r="G547" s="12">
        <f>(INDEX(Proj[],MATCH(Std[[#This Row],[Player]],Proj[Player],0),14)-G$764)/G$765</f>
        <v>-0.34558365010818687</v>
      </c>
      <c r="H547" s="12">
        <f>(INDEX(Proj[],MATCH(Std[[#This Row],[Player]],Proj[Player],0),15)-H$764)/H$765</f>
        <v>-0.88625663446443059</v>
      </c>
      <c r="I547" s="12">
        <f>(INDEX(Proj[],MATCH(Std[[#This Row],[Player]],Proj[Player],0),16)-I$764)/I$765</f>
        <v>-0.71633485430219568</v>
      </c>
      <c r="J547" s="12">
        <f>(INDEX(Proj[],MATCH(Std[[#This Row],[Player]],Proj[Player],0),17)-J$764)/J$765</f>
        <v>-0.76105581014900237</v>
      </c>
      <c r="K547" s="12">
        <f>(INDEX(Proj[],MATCH(Std[[#This Row],[Player]],Proj[Player],0),18)-K$764)/K$765</f>
        <v>-0.75859266061649311</v>
      </c>
      <c r="L547" s="12">
        <f>(INDEX(Proj[],MATCH(Std[[#This Row],[Player]],Proj[Player],0),19)-L$764)/L$765</f>
        <v>-0.81647589674950882</v>
      </c>
      <c r="M547" s="12">
        <f>(INDEX(Proj[],MATCH(Std[[#This Row],[Player]],Proj[Player],0),20)-M$764)/M$765</f>
        <v>0.31240082183847029</v>
      </c>
      <c r="N547" s="12">
        <f>(INDEX(Proj[],MATCH(Std[[#This Row],[Player]],Proj[Player],0),21)-N$764)/N$765</f>
        <v>1.5361839757597571</v>
      </c>
      <c r="O547" s="12">
        <f>(INDEX(Proj[],MATCH(Std[[#This Row],[Player]],Proj[Player],0),22)-O$764)/O$765</f>
        <v>0.6164079509103535</v>
      </c>
      <c r="P547" s="12">
        <f>((INDEX(Proj[],MATCH(Std[[#This Row],[Player]],Proj[Player],0),23)-P$764)/P$765)*IF('League Inputs'!$C$23 = "Yes",-1, 1)</f>
        <v>-0.5815930735165723</v>
      </c>
      <c r="Q547" s="12">
        <f>(INDEX(Proj[],MATCH(Std[[#This Row],[Player]],Proj[Player],0),24)-Q$764)/Q$765</f>
        <v>1.4009757492360093</v>
      </c>
      <c r="R547" s="12">
        <f>(INDEX(Proj[],MATCH(Std[[#This Row],[Player]],Proj[Player],0),25)-R$764)/R$765</f>
        <v>1.2134229327621568</v>
      </c>
      <c r="S547" s="12">
        <f>(INDEX(Proj[],MATCH(Std[[#This Row],[Player]],Proj[Player],0),26)-S$764)/S$765</f>
        <v>-0.5209530442664676</v>
      </c>
      <c r="T5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-31.36294775012415</v>
      </c>
      <c r="U547" s="11"/>
      <c r="W547" t="str">
        <v>Noel Acciari</v>
      </c>
      <c r="AA547" t="str">
        <v>Noel Acciari</v>
      </c>
      <c r="AB547" t="str">
        <v>Noel Acciari</v>
      </c>
    </row>
    <row r="548" spans="1:28" x14ac:dyDescent="0.25">
      <c r="A548" t="s">
        <v>691</v>
      </c>
      <c r="B548">
        <f>INDEX(Proj[],MATCH(Std[[#This Row],[Player]],Proj[Player],0),2)</f>
        <v>31</v>
      </c>
      <c r="C548" t="s">
        <v>3</v>
      </c>
      <c r="D548" s="75"/>
      <c r="E548" s="57"/>
      <c r="F548" t="s">
        <v>28</v>
      </c>
      <c r="G548" s="12">
        <f>(INDEX(Proj[],MATCH(Std[[#This Row],[Player]],Proj[Player],0),14)-G$764)/G$765</f>
        <v>-0.873752993897015</v>
      </c>
      <c r="H548" s="12">
        <f>(INDEX(Proj[],MATCH(Std[[#This Row],[Player]],Proj[Player],0),15)-H$764)/H$765</f>
        <v>-0.51361029952310455</v>
      </c>
      <c r="I548" s="12">
        <f>(INDEX(Proj[],MATCH(Std[[#This Row],[Player]],Proj[Player],0),16)-I$764)/I$765</f>
        <v>-0.71633485430219568</v>
      </c>
      <c r="J548" s="12">
        <f>(INDEX(Proj[],MATCH(Std[[#This Row],[Player]],Proj[Player],0),17)-J$764)/J$765</f>
        <v>-0.46669252292436259</v>
      </c>
      <c r="K548" s="12">
        <f>(INDEX(Proj[],MATCH(Std[[#This Row],[Player]],Proj[Player],0),18)-K$764)/K$765</f>
        <v>-0.14224887932464234</v>
      </c>
      <c r="L548" s="12">
        <f>(INDEX(Proj[],MATCH(Std[[#This Row],[Player]],Proj[Player],0),19)-L$764)/L$765</f>
        <v>-0.27278273918567114</v>
      </c>
      <c r="M548" s="12">
        <f>(INDEX(Proj[],MATCH(Std[[#This Row],[Player]],Proj[Player],0),20)-M$764)/M$765</f>
        <v>-0.71308883245737775</v>
      </c>
      <c r="N548" s="12">
        <f>(INDEX(Proj[],MATCH(Std[[#This Row],[Player]],Proj[Player],0),21)-N$764)/N$765</f>
        <v>-1.0994597596156479</v>
      </c>
      <c r="O548" s="12">
        <f>(INDEX(Proj[],MATCH(Std[[#This Row],[Player]],Proj[Player],0),22)-O$764)/O$765</f>
        <v>0.29138390416175353</v>
      </c>
      <c r="P548" s="12">
        <f>((INDEX(Proj[],MATCH(Std[[#This Row],[Player]],Proj[Player],0),23)-P$764)/P$765)*IF('League Inputs'!$C$23 = "Yes",-1, 1)</f>
        <v>-0.5815930735165723</v>
      </c>
      <c r="Q548" s="12">
        <f>(INDEX(Proj[],MATCH(Std[[#This Row],[Player]],Proj[Player],0),24)-Q$764)/Q$765</f>
        <v>-0.5766103108129359</v>
      </c>
      <c r="R548" s="12">
        <f>(INDEX(Proj[],MATCH(Std[[#This Row],[Player]],Proj[Player],0),25)-R$764)/R$765</f>
        <v>-0.62531533033812681</v>
      </c>
      <c r="S548" s="12">
        <f>(INDEX(Proj[],MATCH(Std[[#This Row],[Player]],Proj[Player],0),26)-S$764)/S$765</f>
        <v>-0.42364088021025964</v>
      </c>
      <c r="T5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-476.64010069016484</v>
      </c>
      <c r="U548" s="11"/>
      <c r="W548" t="str">
        <v>Ben Hutton</v>
      </c>
      <c r="AA548" t="str">
        <v>Ben Hutton</v>
      </c>
      <c r="AB548" t="str">
        <v>Ben Hutton</v>
      </c>
    </row>
    <row r="549" spans="1:28" x14ac:dyDescent="0.25">
      <c r="A549" t="s">
        <v>626</v>
      </c>
      <c r="B549">
        <f>INDEX(Proj[],MATCH(Std[[#This Row],[Player]],Proj[Player],0),2)</f>
        <v>25</v>
      </c>
      <c r="C549" t="s">
        <v>74</v>
      </c>
      <c r="D549" s="75"/>
      <c r="E549" s="57"/>
      <c r="F549" t="s">
        <v>7</v>
      </c>
      <c r="G549" s="12">
        <f>(INDEX(Proj[],MATCH(Std[[#This Row],[Player]],Proj[Player],0),14)-G$764)/G$765</f>
        <v>-0.9793868626547807</v>
      </c>
      <c r="H549" s="12">
        <f>(INDEX(Proj[],MATCH(Std[[#This Row],[Player]],Proj[Player],0),15)-H$764)/H$765</f>
        <v>-0.43908103253483932</v>
      </c>
      <c r="I549" s="12">
        <f>(INDEX(Proj[],MATCH(Std[[#This Row],[Player]],Proj[Player],0),16)-I$764)/I$765</f>
        <v>-0.71633485430219568</v>
      </c>
      <c r="J549" s="12">
        <f>(INDEX(Proj[],MATCH(Std[[#This Row],[Player]],Proj[Player],0),17)-J$764)/J$765</f>
        <v>-0.76105581014900237</v>
      </c>
      <c r="K549" s="12">
        <f>(INDEX(Proj[],MATCH(Std[[#This Row],[Player]],Proj[Player],0),18)-K$764)/K$765</f>
        <v>-0.60450671529353051</v>
      </c>
      <c r="L549" s="12">
        <f>(INDEX(Proj[],MATCH(Std[[#This Row],[Player]],Proj[Player],0),19)-L$764)/L$765</f>
        <v>-0.7077372652367413</v>
      </c>
      <c r="M549" s="12">
        <f>(INDEX(Proj[],MATCH(Std[[#This Row],[Player]],Proj[Player],0),20)-M$764)/M$765</f>
        <v>-0.71308883245737775</v>
      </c>
      <c r="N549" s="12">
        <f>(INDEX(Proj[],MATCH(Std[[#This Row],[Player]],Proj[Player],0),21)-N$764)/N$765</f>
        <v>-0.34365015903005386</v>
      </c>
      <c r="O549" s="12">
        <f>(INDEX(Proj[],MATCH(Std[[#This Row],[Player]],Proj[Player],0),22)-O$764)/O$765</f>
        <v>-0.12650415594358927</v>
      </c>
      <c r="P549" s="12">
        <f>((INDEX(Proj[],MATCH(Std[[#This Row],[Player]],Proj[Player],0),23)-P$764)/P$765)*IF('League Inputs'!$C$23 = "Yes",-1, 1)</f>
        <v>-0.30235442772642157</v>
      </c>
      <c r="Q549" s="12">
        <f>(INDEX(Proj[],MATCH(Std[[#This Row],[Player]],Proj[Player],0),24)-Q$764)/Q$765</f>
        <v>-0.5766103108129359</v>
      </c>
      <c r="R549" s="12">
        <f>(INDEX(Proj[],MATCH(Std[[#This Row],[Player]],Proj[Player],0),25)-R$764)/R$765</f>
        <v>-0.62531533033812681</v>
      </c>
      <c r="S549" s="12">
        <f>(INDEX(Proj[],MATCH(Std[[#This Row],[Player]],Proj[Player],0),26)-S$764)/S$765</f>
        <v>-0.79667084242572328</v>
      </c>
      <c r="T5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-498.83299106672814</v>
      </c>
      <c r="U549" s="11"/>
      <c r="W549" t="str">
        <v>Pierre-Olivier Joseph</v>
      </c>
      <c r="AA549" t="str">
        <v>Pierre-Olivier Joseph</v>
      </c>
      <c r="AB549" t="str">
        <v>Pierre-Olivier Joseph</v>
      </c>
    </row>
    <row r="550" spans="1:28" x14ac:dyDescent="0.25">
      <c r="A550" t="s">
        <v>746</v>
      </c>
      <c r="B550">
        <f>INDEX(Proj[],MATCH(Std[[#This Row],[Player]],Proj[Player],0),2)</f>
        <v>28</v>
      </c>
      <c r="C550" t="s">
        <v>102</v>
      </c>
      <c r="D550" s="75"/>
      <c r="E550" s="57"/>
      <c r="F550" t="s">
        <v>20</v>
      </c>
      <c r="G550" s="12">
        <f>(INDEX(Proj[],MATCH(Std[[#This Row],[Player]],Proj[Player],0),14)-G$764)/G$765</f>
        <v>-0.9793868626547807</v>
      </c>
      <c r="H550" s="12">
        <f>(INDEX(Proj[],MATCH(Std[[#This Row],[Player]],Proj[Player],0),15)-H$764)/H$765</f>
        <v>-0.43908103253483932</v>
      </c>
      <c r="I550" s="12">
        <f>(INDEX(Proj[],MATCH(Std[[#This Row],[Player]],Proj[Player],0),16)-I$764)/I$765</f>
        <v>-0.71633485430219568</v>
      </c>
      <c r="J550" s="12">
        <f>(INDEX(Proj[],MATCH(Std[[#This Row],[Player]],Proj[Player],0),17)-J$764)/J$765</f>
        <v>-0.76105581014900237</v>
      </c>
      <c r="K550" s="12">
        <f>(INDEX(Proj[],MATCH(Std[[#This Row],[Player]],Proj[Player],0),18)-K$764)/K$765</f>
        <v>-0.29633482464760502</v>
      </c>
      <c r="L550" s="12">
        <f>(INDEX(Proj[],MATCH(Std[[#This Row],[Player]],Proj[Player],0),19)-L$764)/L$765</f>
        <v>-0.49026000221120619</v>
      </c>
      <c r="M550" s="12">
        <f>(INDEX(Proj[],MATCH(Std[[#This Row],[Player]],Proj[Player],0),20)-M$764)/M$765</f>
        <v>-0.71308883245737775</v>
      </c>
      <c r="N550" s="12">
        <f>(INDEX(Proj[],MATCH(Std[[#This Row],[Player]],Proj[Player],0),21)-N$764)/N$765</f>
        <v>-0.77000429269372228</v>
      </c>
      <c r="O550" s="12">
        <f>(INDEX(Proj[],MATCH(Std[[#This Row],[Player]],Proj[Player],0),22)-O$764)/O$765</f>
        <v>0.47711193087523923</v>
      </c>
      <c r="P550" s="12">
        <f>((INDEX(Proj[],MATCH(Std[[#This Row],[Player]],Proj[Player],0),23)-P$764)/P$765)*IF('League Inputs'!$C$23 = "Yes",-1, 1)</f>
        <v>-0.76775217071000623</v>
      </c>
      <c r="Q550" s="12">
        <f>(INDEX(Proj[],MATCH(Std[[#This Row],[Player]],Proj[Player],0),24)-Q$764)/Q$765</f>
        <v>-0.5766103108129359</v>
      </c>
      <c r="R550" s="12">
        <f>(INDEX(Proj[],MATCH(Std[[#This Row],[Player]],Proj[Player],0),25)-R$764)/R$765</f>
        <v>-0.62531533033812681</v>
      </c>
      <c r="S550" s="12">
        <f>(INDEX(Proj[],MATCH(Std[[#This Row],[Player]],Proj[Player],0),26)-S$764)/S$765</f>
        <v>-0.87776431247256315</v>
      </c>
      <c r="T5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-514.00819075170091</v>
      </c>
      <c r="U550" s="11"/>
      <c r="W550" t="str">
        <v>Sebastian Aho (D)</v>
      </c>
      <c r="AA550" t="str">
        <v>Sebastian Aho (D)</v>
      </c>
      <c r="AB550" t="str">
        <v>Sebastian Aho (D)</v>
      </c>
    </row>
    <row r="551" spans="1:28" x14ac:dyDescent="0.25">
      <c r="A551" t="s">
        <v>1020</v>
      </c>
      <c r="B551">
        <f>INDEX(Proj[],MATCH(Std[[#This Row],[Player]],Proj[Player],0),2)</f>
        <v>24</v>
      </c>
      <c r="C551" t="s">
        <v>3</v>
      </c>
      <c r="D551" s="75"/>
      <c r="E551" s="56"/>
      <c r="F551" t="s">
        <v>153</v>
      </c>
      <c r="G551" s="12">
        <f>(INDEX(Proj[],MATCH(Std[[#This Row],[Player]],Proj[Player],0),14)-G$764)/G$765</f>
        <v>-0.873752993897015</v>
      </c>
      <c r="H551" s="12">
        <f>(INDEX(Proj[],MATCH(Std[[#This Row],[Player]],Proj[Player],0),15)-H$764)/H$765</f>
        <v>-0.51361029952310455</v>
      </c>
      <c r="I551" s="12">
        <f>(INDEX(Proj[],MATCH(Std[[#This Row],[Player]],Proj[Player],0),16)-I$764)/I$765</f>
        <v>-0.71633485430219568</v>
      </c>
      <c r="J551" s="12">
        <f>(INDEX(Proj[],MATCH(Std[[#This Row],[Player]],Proj[Player],0),17)-J$764)/J$765</f>
        <v>-0.46669252292436259</v>
      </c>
      <c r="K551" s="12">
        <f>(INDEX(Proj[],MATCH(Std[[#This Row],[Player]],Proj[Player],0),18)-K$764)/K$765</f>
        <v>-0.45042076997056774</v>
      </c>
      <c r="L551" s="12">
        <f>(INDEX(Proj[],MATCH(Std[[#This Row],[Player]],Proj[Player],0),19)-L$764)/L$765</f>
        <v>-0.49026000221120619</v>
      </c>
      <c r="M551" s="12">
        <f>(INDEX(Proj[],MATCH(Std[[#This Row],[Player]],Proj[Player],0),20)-M$764)/M$765</f>
        <v>-0.71308883245737775</v>
      </c>
      <c r="N551" s="12">
        <f>(INDEX(Proj[],MATCH(Std[[#This Row],[Player]],Proj[Player],0),21)-N$764)/N$765</f>
        <v>-0.67310562595197942</v>
      </c>
      <c r="O551" s="12">
        <f>(INDEX(Proj[],MATCH(Std[[#This Row],[Player]],Proj[Player],0),22)-O$764)/O$765</f>
        <v>-0.12650415594358927</v>
      </c>
      <c r="P551" s="12">
        <f>((INDEX(Proj[],MATCH(Std[[#This Row],[Player]],Proj[Player],0),23)-P$764)/P$765)*IF('League Inputs'!$C$23 = "Yes",-1, 1)</f>
        <v>-0.86083171930672309</v>
      </c>
      <c r="Q551" s="12">
        <f>(INDEX(Proj[],MATCH(Std[[#This Row],[Player]],Proj[Player],0),24)-Q$764)/Q$765</f>
        <v>-0.5766103108129359</v>
      </c>
      <c r="R551" s="12">
        <f>(INDEX(Proj[],MATCH(Std[[#This Row],[Player]],Proj[Player],0),25)-R$764)/R$765</f>
        <v>-0.62531533033812681</v>
      </c>
      <c r="S551" s="12">
        <f>(INDEX(Proj[],MATCH(Std[[#This Row],[Player]],Proj[Player],0),26)-S$764)/S$765</f>
        <v>-0.50473435025709956</v>
      </c>
      <c r="T5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-533.57443122058476</v>
      </c>
      <c r="U551" s="11"/>
      <c r="W551" t="str">
        <v>Nils Lundkvist</v>
      </c>
      <c r="AA551" t="str">
        <v>Nils Lundkvist</v>
      </c>
      <c r="AB551" t="str">
        <v>Nils Lundkvist</v>
      </c>
    </row>
    <row r="552" spans="1:28" x14ac:dyDescent="0.25">
      <c r="A552" t="s">
        <v>736</v>
      </c>
      <c r="B552">
        <f>INDEX(Proj[],MATCH(Std[[#This Row],[Player]],Proj[Player],0),2)</f>
        <v>31</v>
      </c>
      <c r="C552" t="s">
        <v>3</v>
      </c>
      <c r="D552" s="75"/>
      <c r="E552" s="56"/>
      <c r="F552" t="s">
        <v>15</v>
      </c>
      <c r="G552" s="12">
        <f>(INDEX(Proj[],MATCH(Std[[#This Row],[Player]],Proj[Player],0),14)-G$764)/G$765</f>
        <v>-0.34558365010818687</v>
      </c>
      <c r="H552" s="12">
        <f>(INDEX(Proj[],MATCH(Std[[#This Row],[Player]],Proj[Player],0),15)-H$764)/H$765</f>
        <v>-0.88625663446443059</v>
      </c>
      <c r="I552" s="12">
        <f>(INDEX(Proj[],MATCH(Std[[#This Row],[Player]],Proj[Player],0),16)-I$764)/I$765</f>
        <v>-0.71633485430219568</v>
      </c>
      <c r="J552" s="12">
        <f>(INDEX(Proj[],MATCH(Std[[#This Row],[Player]],Proj[Player],0),17)-J$764)/J$765</f>
        <v>-0.76105581014900237</v>
      </c>
      <c r="K552" s="12">
        <f>(INDEX(Proj[],MATCH(Std[[#This Row],[Player]],Proj[Player],0),18)-K$764)/K$765</f>
        <v>-0.75859266061649311</v>
      </c>
      <c r="L552" s="12">
        <f>(INDEX(Proj[],MATCH(Std[[#This Row],[Player]],Proj[Player],0),19)-L$764)/L$765</f>
        <v>-0.81647589674950882</v>
      </c>
      <c r="M552" s="12">
        <f>(INDEX(Proj[],MATCH(Std[[#This Row],[Player]],Proj[Player],0),20)-M$764)/M$765</f>
        <v>0.31240082183847029</v>
      </c>
      <c r="N552" s="12">
        <f>(INDEX(Proj[],MATCH(Std[[#This Row],[Player]],Proj[Player],0),21)-N$764)/N$765</f>
        <v>0.41215944155554018</v>
      </c>
      <c r="O552" s="12">
        <f>(INDEX(Proj[],MATCH(Std[[#This Row],[Player]],Proj[Player],0),22)-O$764)/O$765</f>
        <v>-0.84620025945834632</v>
      </c>
      <c r="P552" s="12">
        <f>((INDEX(Proj[],MATCH(Std[[#This Row],[Player]],Proj[Player],0),23)-P$764)/P$765)*IF('League Inputs'!$C$23 = "Yes",-1, 1)</f>
        <v>-6.9655556234629226E-2</v>
      </c>
      <c r="Q552" s="12">
        <f>(INDEX(Proj[],MATCH(Std[[#This Row],[Player]],Proj[Player],0),24)-Q$764)/Q$765</f>
        <v>-0.48599315981338853</v>
      </c>
      <c r="R552" s="12">
        <f>(INDEX(Proj[],MATCH(Std[[#This Row],[Player]],Proj[Player],0),25)-R$764)/R$765</f>
        <v>-0.48343737793841357</v>
      </c>
      <c r="S552" s="12">
        <f>(INDEX(Proj[],MATCH(Std[[#This Row],[Player]],Proj[Player],0),26)-S$764)/S$765</f>
        <v>-0.53717173827583553</v>
      </c>
      <c r="T5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-429.15123078509811</v>
      </c>
      <c r="U552" s="11"/>
      <c r="W552" t="str">
        <v>Phillip Di Giuseppe</v>
      </c>
      <c r="AA552" t="str">
        <v>Phillip Di Giuseppe</v>
      </c>
      <c r="AB552" t="str">
        <v>Phillip Di Giuseppe</v>
      </c>
    </row>
    <row r="553" spans="1:28" x14ac:dyDescent="0.25">
      <c r="A553" t="s">
        <v>821</v>
      </c>
      <c r="B553">
        <f>INDEX(Proj[],MATCH(Std[[#This Row],[Player]],Proj[Player],0),2)</f>
        <v>25</v>
      </c>
      <c r="C553" t="s">
        <v>3</v>
      </c>
      <c r="D553" s="75"/>
      <c r="E553" s="57"/>
      <c r="F553" t="s">
        <v>6</v>
      </c>
      <c r="G553" s="12">
        <f>(INDEX(Proj[],MATCH(Std[[#This Row],[Player]],Proj[Player],0),14)-G$764)/G$765</f>
        <v>-0.34558365010818687</v>
      </c>
      <c r="H553" s="12">
        <f>(INDEX(Proj[],MATCH(Std[[#This Row],[Player]],Proj[Player],0),15)-H$764)/H$765</f>
        <v>-0.88625663446443059</v>
      </c>
      <c r="I553" s="12">
        <f>(INDEX(Proj[],MATCH(Std[[#This Row],[Player]],Proj[Player],0),16)-I$764)/I$765</f>
        <v>-0.71633485430219568</v>
      </c>
      <c r="J553" s="12">
        <f>(INDEX(Proj[],MATCH(Std[[#This Row],[Player]],Proj[Player],0),17)-J$764)/J$765</f>
        <v>-0.76105581014900237</v>
      </c>
      <c r="K553" s="12">
        <f>(INDEX(Proj[],MATCH(Std[[#This Row],[Player]],Proj[Player],0),18)-K$764)/K$765</f>
        <v>-0.75859266061649311</v>
      </c>
      <c r="L553" s="12">
        <f>(INDEX(Proj[],MATCH(Std[[#This Row],[Player]],Proj[Player],0),19)-L$764)/L$765</f>
        <v>-0.81647589674950882</v>
      </c>
      <c r="M553" s="12">
        <f>(INDEX(Proj[],MATCH(Std[[#This Row],[Player]],Proj[Player],0),20)-M$764)/M$765</f>
        <v>0.31240082183847029</v>
      </c>
      <c r="N553" s="12">
        <f>(INDEX(Proj[],MATCH(Std[[#This Row],[Player]],Proj[Player],0),21)-N$764)/N$765</f>
        <v>-0.30489069233335675</v>
      </c>
      <c r="O553" s="12">
        <f>(INDEX(Proj[],MATCH(Std[[#This Row],[Player]],Proj[Player],0),22)-O$764)/O$765</f>
        <v>-0.1961521659611464</v>
      </c>
      <c r="P553" s="12">
        <f>((INDEX(Proj[],MATCH(Std[[#This Row],[Player]],Proj[Player],0),23)-P$764)/P$765)*IF('League Inputs'!$C$23 = "Yes",-1, 1)</f>
        <v>-1.0004510422017985</v>
      </c>
      <c r="Q553" s="12">
        <f>(INDEX(Proj[],MATCH(Std[[#This Row],[Player]],Proj[Player],0),24)-Q$764)/Q$765</f>
        <v>-0.47000189787229196</v>
      </c>
      <c r="R553" s="12">
        <f>(INDEX(Proj[],MATCH(Std[[#This Row],[Player]],Proj[Player],0),25)-R$764)/R$765</f>
        <v>-0.4891124960344021</v>
      </c>
      <c r="S553" s="12">
        <f>(INDEX(Proj[],MATCH(Std[[#This Row],[Player]],Proj[Player],0),26)-S$764)/S$765</f>
        <v>-0.50473435025709956</v>
      </c>
      <c r="T5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-524.08811842500154</v>
      </c>
      <c r="U553" s="11"/>
      <c r="W553" t="str">
        <v>Brett Leason</v>
      </c>
      <c r="AA553" t="str">
        <v>Brett Leason</v>
      </c>
      <c r="AB553" t="str">
        <v>Brett Leason</v>
      </c>
    </row>
    <row r="554" spans="1:28" x14ac:dyDescent="0.25">
      <c r="A554" t="s">
        <v>986</v>
      </c>
      <c r="B554">
        <f>INDEX(Proj[],MATCH(Std[[#This Row],[Player]],Proj[Player],0),2)</f>
        <v>29</v>
      </c>
      <c r="C554" t="s">
        <v>3</v>
      </c>
      <c r="D554" s="75"/>
      <c r="E554" s="57"/>
      <c r="F554" t="s">
        <v>7</v>
      </c>
      <c r="G554" s="12">
        <f>(INDEX(Proj[],MATCH(Std[[#This Row],[Player]],Proj[Player],0),14)-G$764)/G$765</f>
        <v>-0.55685138762371811</v>
      </c>
      <c r="H554" s="12">
        <f>(INDEX(Proj[],MATCH(Std[[#This Row],[Player]],Proj[Player],0),15)-H$764)/H$765</f>
        <v>-0.73719810048790013</v>
      </c>
      <c r="I554" s="12">
        <f>(INDEX(Proj[],MATCH(Std[[#This Row],[Player]],Proj[Player],0),16)-I$764)/I$765</f>
        <v>-0.71633485430219568</v>
      </c>
      <c r="J554" s="12">
        <f>(INDEX(Proj[],MATCH(Std[[#This Row],[Player]],Proj[Player],0),17)-J$764)/J$765</f>
        <v>-0.76105581014900237</v>
      </c>
      <c r="K554" s="12">
        <f>(INDEX(Proj[],MATCH(Std[[#This Row],[Player]],Proj[Player],0),18)-K$764)/K$765</f>
        <v>-0.75859266061649311</v>
      </c>
      <c r="L554" s="12">
        <f>(INDEX(Proj[],MATCH(Std[[#This Row],[Player]],Proj[Player],0),19)-L$764)/L$765</f>
        <v>-0.81647589674950882</v>
      </c>
      <c r="M554" s="12">
        <f>(INDEX(Proj[],MATCH(Std[[#This Row],[Player]],Proj[Player],0),20)-M$764)/M$765</f>
        <v>-0.71308883245737775</v>
      </c>
      <c r="N554" s="12">
        <f>(INDEX(Proj[],MATCH(Std[[#This Row],[Player]],Proj[Player],0),21)-N$764)/N$765</f>
        <v>4.3944507936917447E-2</v>
      </c>
      <c r="O554" s="12">
        <f>(INDEX(Proj[],MATCH(Std[[#This Row],[Player]],Proj[Player],0),22)-O$764)/O$765</f>
        <v>-0.70690423942323199</v>
      </c>
      <c r="P554" s="12">
        <f>((INDEX(Proj[],MATCH(Std[[#This Row],[Player]],Proj[Player],0),23)-P$764)/P$765)*IF('League Inputs'!$C$23 = "Yes",-1, 1)</f>
        <v>-1.0935305907985153</v>
      </c>
      <c r="Q554" s="12">
        <f>(INDEX(Proj[],MATCH(Std[[#This Row],[Player]],Proj[Player],0),24)-Q$764)/Q$765</f>
        <v>-0.44334979463713092</v>
      </c>
      <c r="R554" s="12">
        <f>(INDEX(Proj[],MATCH(Std[[#This Row],[Player]],Proj[Player],0),25)-R$764)/R$765</f>
        <v>-0.45506178745847092</v>
      </c>
      <c r="S554" s="12">
        <f>(INDEX(Proj[],MATCH(Std[[#This Row],[Player]],Proj[Player],0),26)-S$764)/S$765</f>
        <v>-0.61826520832267551</v>
      </c>
      <c r="T5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-564.49655644079598</v>
      </c>
      <c r="U554" s="11"/>
      <c r="W554" t="str">
        <v>Justin Bailey</v>
      </c>
      <c r="AA554" t="str">
        <v>Justin Bailey</v>
      </c>
      <c r="AB554" t="str">
        <v>Justin Bailey</v>
      </c>
    </row>
    <row r="555" spans="1:28" x14ac:dyDescent="0.25">
      <c r="A555" t="s">
        <v>805</v>
      </c>
      <c r="B555">
        <f>INDEX(Proj[],MATCH(Std[[#This Row],[Player]],Proj[Player],0),2)</f>
        <v>26</v>
      </c>
      <c r="C555" t="s">
        <v>74</v>
      </c>
      <c r="D555" s="75"/>
      <c r="E555" s="57"/>
      <c r="F555" t="s">
        <v>11</v>
      </c>
      <c r="G555" s="12">
        <f>(INDEX(Proj[],MATCH(Std[[#This Row],[Player]],Proj[Player],0),14)-G$764)/G$765</f>
        <v>-0.34558365010818687</v>
      </c>
      <c r="H555" s="12">
        <f>(INDEX(Proj[],MATCH(Std[[#This Row],[Player]],Proj[Player],0),15)-H$764)/H$765</f>
        <v>-0.88625663446443059</v>
      </c>
      <c r="I555" s="12">
        <f>(INDEX(Proj[],MATCH(Std[[#This Row],[Player]],Proj[Player],0),16)-I$764)/I$765</f>
        <v>-0.71633485430219568</v>
      </c>
      <c r="J555" s="12">
        <f>(INDEX(Proj[],MATCH(Std[[#This Row],[Player]],Proj[Player],0),17)-J$764)/J$765</f>
        <v>-0.76105581014900237</v>
      </c>
      <c r="K555" s="12">
        <f>(INDEX(Proj[],MATCH(Std[[#This Row],[Player]],Proj[Player],0),18)-K$764)/K$765</f>
        <v>-0.75859266061649311</v>
      </c>
      <c r="L555" s="12">
        <f>(INDEX(Proj[],MATCH(Std[[#This Row],[Player]],Proj[Player],0),19)-L$764)/L$765</f>
        <v>-0.81647589674950882</v>
      </c>
      <c r="M555" s="12">
        <f>(INDEX(Proj[],MATCH(Std[[#This Row],[Player]],Proj[Player],0),20)-M$764)/M$765</f>
        <v>0.31240082183847029</v>
      </c>
      <c r="N555" s="12">
        <f>(INDEX(Proj[],MATCH(Std[[#This Row],[Player]],Proj[Player],0),21)-N$764)/N$765</f>
        <v>0.66409597508407159</v>
      </c>
      <c r="O555" s="12">
        <f>(INDEX(Proj[],MATCH(Std[[#This Row],[Player]],Proj[Player],0),22)-O$764)/O$765</f>
        <v>-0.49796020937056062</v>
      </c>
      <c r="P555" s="12">
        <f>((INDEX(Proj[],MATCH(Std[[#This Row],[Player]],Proj[Player],0),23)-P$764)/P$765)*IF('League Inputs'!$C$23 = "Yes",-1, 1)</f>
        <v>-0.48851352491985539</v>
      </c>
      <c r="Q555" s="12">
        <f>(INDEX(Proj[],MATCH(Std[[#This Row],[Player]],Proj[Player],0),24)-Q$764)/Q$765</f>
        <v>-0.26211549263803624</v>
      </c>
      <c r="R555" s="12">
        <f>(INDEX(Proj[],MATCH(Std[[#This Row],[Player]],Proj[Player],0),25)-R$764)/R$765</f>
        <v>-0.22805706361892975</v>
      </c>
      <c r="S555" s="12">
        <f>(INDEX(Proj[],MATCH(Std[[#This Row],[Player]],Proj[Player],0),26)-S$764)/S$765</f>
        <v>-0.42364088021025964</v>
      </c>
      <c r="T5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-377.27851676789618</v>
      </c>
      <c r="U555" s="11"/>
      <c r="W555" t="str">
        <v>Morgan Barron</v>
      </c>
      <c r="AA555" t="str">
        <v>Morgan Barron</v>
      </c>
      <c r="AB555" t="str">
        <v>Morgan Barron</v>
      </c>
    </row>
    <row r="556" spans="1:28" x14ac:dyDescent="0.25">
      <c r="A556" t="s">
        <v>722</v>
      </c>
      <c r="B556">
        <f>INDEX(Proj[],MATCH(Std[[#This Row],[Player]],Proj[Player],0),2)</f>
        <v>35</v>
      </c>
      <c r="C556" t="s">
        <v>74</v>
      </c>
      <c r="D556" s="75" t="s">
        <v>102</v>
      </c>
      <c r="E556" s="56" t="s">
        <v>103</v>
      </c>
      <c r="F556" t="s">
        <v>23</v>
      </c>
      <c r="G556" s="12">
        <f>(INDEX(Proj[],MATCH(Std[[#This Row],[Player]],Proj[Player],0),14)-G$764)/G$765</f>
        <v>-0.34558365010818687</v>
      </c>
      <c r="H556" s="12">
        <f>(INDEX(Proj[],MATCH(Std[[#This Row],[Player]],Proj[Player],0),15)-H$764)/H$765</f>
        <v>-0.88625663446443059</v>
      </c>
      <c r="I556" s="12">
        <f>(INDEX(Proj[],MATCH(Std[[#This Row],[Player]],Proj[Player],0),16)-I$764)/I$765</f>
        <v>-0.71633485430219568</v>
      </c>
      <c r="J556" s="12">
        <f>(INDEX(Proj[],MATCH(Std[[#This Row],[Player]],Proj[Player],0),17)-J$764)/J$765</f>
        <v>-0.46669252292436259</v>
      </c>
      <c r="K556" s="12">
        <f>(INDEX(Proj[],MATCH(Std[[#This Row],[Player]],Proj[Player],0),18)-K$764)/K$765</f>
        <v>-0.45042076997056774</v>
      </c>
      <c r="L556" s="12">
        <f>(INDEX(Proj[],MATCH(Std[[#This Row],[Player]],Proj[Player],0),19)-L$764)/L$765</f>
        <v>-0.49026000221120619</v>
      </c>
      <c r="M556" s="12">
        <f>(INDEX(Proj[],MATCH(Std[[#This Row],[Player]],Proj[Player],0),20)-M$764)/M$765</f>
        <v>-0.71308883245737775</v>
      </c>
      <c r="N556" s="12">
        <f>(INDEX(Proj[],MATCH(Std[[#This Row],[Player]],Proj[Player],0),21)-N$764)/N$765</f>
        <v>-1.1575989596606937</v>
      </c>
      <c r="O556" s="12">
        <f>(INDEX(Proj[],MATCH(Std[[#This Row],[Player]],Proj[Player],0),22)-O$764)/O$765</f>
        <v>-0.98549627949346053</v>
      </c>
      <c r="P556" s="12">
        <f>((INDEX(Proj[],MATCH(Std[[#This Row],[Player]],Proj[Player],0),23)-P$764)/P$765)*IF('League Inputs'!$C$23 = "Yes",-1, 1)</f>
        <v>-0.86083171930672309</v>
      </c>
      <c r="Q556" s="12">
        <f>(INDEX(Proj[],MATCH(Std[[#This Row],[Player]],Proj[Player],0),24)-Q$764)/Q$765</f>
        <v>-0.37938474687274459</v>
      </c>
      <c r="R556" s="12">
        <f>(INDEX(Proj[],MATCH(Std[[#This Row],[Player]],Proj[Player],0),25)-R$764)/R$765</f>
        <v>-0.46641202365044798</v>
      </c>
      <c r="S556" s="12">
        <f>(INDEX(Proj[],MATCH(Std[[#This Row],[Player]],Proj[Player],0),26)-S$764)/S$765</f>
        <v>-0.68313998436014733</v>
      </c>
      <c r="T5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-650.48868307797875</v>
      </c>
      <c r="U556" s="11"/>
      <c r="W556" t="str">
        <v>Sam Gagner</v>
      </c>
      <c r="AA556" t="str">
        <v>Sam Gagner</v>
      </c>
      <c r="AB556" t="str">
        <v>Sam Gagner</v>
      </c>
    </row>
    <row r="557" spans="1:28" x14ac:dyDescent="0.25">
      <c r="A557" t="s">
        <v>886</v>
      </c>
      <c r="B557">
        <f>INDEX(Proj[],MATCH(Std[[#This Row],[Player]],Proj[Player],0),2)</f>
        <v>30</v>
      </c>
      <c r="C557" t="s">
        <v>74</v>
      </c>
      <c r="D557" s="75" t="s">
        <v>102</v>
      </c>
      <c r="E557" s="57"/>
      <c r="F557" t="s">
        <v>6</v>
      </c>
      <c r="G557" s="12">
        <f>(INDEX(Proj[],MATCH(Std[[#This Row],[Player]],Proj[Player],0),14)-G$764)/G$765</f>
        <v>-0.45121751886595246</v>
      </c>
      <c r="H557" s="12">
        <f>(INDEX(Proj[],MATCH(Std[[#This Row],[Player]],Proj[Player],0),15)-H$764)/H$765</f>
        <v>-0.81172736747616536</v>
      </c>
      <c r="I557" s="12">
        <f>(INDEX(Proj[],MATCH(Std[[#This Row],[Player]],Proj[Player],0),16)-I$764)/I$765</f>
        <v>-0.71633485430219568</v>
      </c>
      <c r="J557" s="12">
        <f>(INDEX(Proj[],MATCH(Std[[#This Row],[Player]],Proj[Player],0),17)-J$764)/J$765</f>
        <v>-0.76105581014900237</v>
      </c>
      <c r="K557" s="12">
        <f>(INDEX(Proj[],MATCH(Std[[#This Row],[Player]],Proj[Player],0),18)-K$764)/K$765</f>
        <v>-0.75859266061649311</v>
      </c>
      <c r="L557" s="12">
        <f>(INDEX(Proj[],MATCH(Std[[#This Row],[Player]],Proj[Player],0),19)-L$764)/L$765</f>
        <v>-0.81647589674950882</v>
      </c>
      <c r="M557" s="12">
        <f>(INDEX(Proj[],MATCH(Std[[#This Row],[Player]],Proj[Player],0),20)-M$764)/M$765</f>
        <v>1.3378904761343182</v>
      </c>
      <c r="N557" s="12">
        <f>(INDEX(Proj[],MATCH(Std[[#This Row],[Player]],Proj[Player],0),21)-N$764)/N$765</f>
        <v>-1.2351178930540878</v>
      </c>
      <c r="O557" s="12">
        <f>(INDEX(Proj[],MATCH(Std[[#This Row],[Player]],Proj[Player],0),22)-O$764)/O$765</f>
        <v>-0.93906427281508909</v>
      </c>
      <c r="P557" s="12">
        <f>((INDEX(Proj[],MATCH(Std[[#This Row],[Player]],Proj[Player],0),23)-P$764)/P$765)*IF('League Inputs'!$C$23 = "Yes",-1, 1)</f>
        <v>-1.0469908165001569</v>
      </c>
      <c r="Q557" s="12">
        <f>(INDEX(Proj[],MATCH(Std[[#This Row],[Player]],Proj[Player],0),24)-Q$764)/Q$765</f>
        <v>0.15898773847750733</v>
      </c>
      <c r="R557" s="12">
        <f>(INDEX(Proj[],MATCH(Std[[#This Row],[Player]],Proj[Player],0),25)-R$764)/R$765</f>
        <v>0.12380025833235908</v>
      </c>
      <c r="S557" s="12">
        <f>(INDEX(Proj[],MATCH(Std[[#This Row],[Player]],Proj[Player],0),26)-S$764)/S$765</f>
        <v>-0.99129517053813909</v>
      </c>
      <c r="T5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-684.92360518237876</v>
      </c>
      <c r="U557" s="11"/>
      <c r="W557" t="str">
        <v>Mark Jankowski</v>
      </c>
      <c r="AA557" t="str">
        <v>Mark Jankowski</v>
      </c>
      <c r="AB557" t="str">
        <v>Mark Jankowski</v>
      </c>
    </row>
    <row r="558" spans="1:28" x14ac:dyDescent="0.25">
      <c r="A558" t="s">
        <v>319</v>
      </c>
      <c r="B558">
        <f>INDEX(Proj[],MATCH(Std[[#This Row],[Player]],Proj[Player],0),2)</f>
        <v>34</v>
      </c>
      <c r="C558" t="s">
        <v>3</v>
      </c>
      <c r="D558" s="75"/>
      <c r="E558" s="57"/>
      <c r="F558" t="s">
        <v>10</v>
      </c>
      <c r="G558" s="12">
        <f>(INDEX(Proj[],MATCH(Std[[#This Row],[Player]],Proj[Player],0),14)-G$764)/G$765</f>
        <v>-0.873752993897015</v>
      </c>
      <c r="H558" s="12">
        <f>(INDEX(Proj[],MATCH(Std[[#This Row],[Player]],Proj[Player],0),15)-H$764)/H$765</f>
        <v>-0.58813956651136978</v>
      </c>
      <c r="I558" s="12">
        <f>(INDEX(Proj[],MATCH(Std[[#This Row],[Player]],Proj[Player],0),16)-I$764)/I$765</f>
        <v>-0.76357741326429895</v>
      </c>
      <c r="J558" s="12">
        <f>(INDEX(Proj[],MATCH(Std[[#This Row],[Player]],Proj[Player],0),17)-J$764)/J$765</f>
        <v>-0.76105581014900237</v>
      </c>
      <c r="K558" s="12">
        <f>(INDEX(Proj[],MATCH(Std[[#This Row],[Player]],Proj[Player],0),18)-K$764)/K$765</f>
        <v>-0.75859266061649311</v>
      </c>
      <c r="L558" s="12">
        <f>(INDEX(Proj[],MATCH(Std[[#This Row],[Player]],Proj[Player],0),19)-L$764)/L$765</f>
        <v>-0.81647589674950882</v>
      </c>
      <c r="M558" s="12">
        <f>(INDEX(Proj[],MATCH(Std[[#This Row],[Player]],Proj[Player],0),20)-M$764)/M$765</f>
        <v>0.31240082183847029</v>
      </c>
      <c r="N558" s="12">
        <f>(INDEX(Proj[],MATCH(Std[[#This Row],[Player]],Proj[Player],0),21)-N$764)/N$765</f>
        <v>3.2416005104144303</v>
      </c>
      <c r="O558" s="12">
        <f>(INDEX(Proj[],MATCH(Std[[#This Row],[Player]],Proj[Player],0),22)-O$764)/O$765</f>
        <v>2.0790161612790534</v>
      </c>
      <c r="P558" s="12">
        <f>((INDEX(Proj[],MATCH(Std[[#This Row],[Player]],Proj[Player],0),23)-P$764)/P$765)*IF('League Inputs'!$C$23 = "Yes",-1, 1)</f>
        <v>3.0950490960537462</v>
      </c>
      <c r="Q558" s="12">
        <f>(INDEX(Proj[],MATCH(Std[[#This Row],[Player]],Proj[Player],0),24)-Q$764)/Q$765</f>
        <v>-0.5766103108129359</v>
      </c>
      <c r="R558" s="12">
        <f>(INDEX(Proj[],MATCH(Std[[#This Row],[Player]],Proj[Player],0),25)-R$764)/R$765</f>
        <v>-0.62531533033812681</v>
      </c>
      <c r="S558" s="12">
        <f>(INDEX(Proj[],MATCH(Std[[#This Row],[Player]],Proj[Player],0),26)-S$764)/S$765</f>
        <v>-0.35876610417278776</v>
      </c>
      <c r="T5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443.83434823393134</v>
      </c>
      <c r="U558" s="11"/>
      <c r="W558" t="str">
        <v>Radko Gudas</v>
      </c>
      <c r="AA558" t="str">
        <v>Radko Gudas</v>
      </c>
      <c r="AB558" t="str">
        <v>Radko Gudas</v>
      </c>
    </row>
    <row r="559" spans="1:28" x14ac:dyDescent="0.25">
      <c r="A559" t="s">
        <v>347</v>
      </c>
      <c r="B559">
        <f>INDEX(Proj[],MATCH(Std[[#This Row],[Player]],Proj[Player],0),2)</f>
        <v>26</v>
      </c>
      <c r="C559" t="s">
        <v>3</v>
      </c>
      <c r="D559" s="75"/>
      <c r="E559" s="56"/>
      <c r="F559" t="s">
        <v>21</v>
      </c>
      <c r="G559" s="12">
        <f>(INDEX(Proj[],MATCH(Std[[#This Row],[Player]],Proj[Player],0),14)-G$764)/G$765</f>
        <v>-0.873752993897015</v>
      </c>
      <c r="H559" s="12">
        <f>(INDEX(Proj[],MATCH(Std[[#This Row],[Player]],Proj[Player],0),15)-H$764)/H$765</f>
        <v>-0.58813956651136978</v>
      </c>
      <c r="I559" s="12">
        <f>(INDEX(Proj[],MATCH(Std[[#This Row],[Player]],Proj[Player],0),16)-I$764)/I$765</f>
        <v>-0.76357741326429895</v>
      </c>
      <c r="J559" s="12">
        <f>(INDEX(Proj[],MATCH(Std[[#This Row],[Player]],Proj[Player],0),17)-J$764)/J$765</f>
        <v>-0.76105581014900237</v>
      </c>
      <c r="K559" s="12">
        <f>(INDEX(Proj[],MATCH(Std[[#This Row],[Player]],Proj[Player],0),18)-K$764)/K$765</f>
        <v>-0.75859266061649311</v>
      </c>
      <c r="L559" s="12">
        <f>(INDEX(Proj[],MATCH(Std[[#This Row],[Player]],Proj[Player],0),19)-L$764)/L$765</f>
        <v>-0.81647589674950882</v>
      </c>
      <c r="M559" s="12">
        <f>(INDEX(Proj[],MATCH(Std[[#This Row],[Player]],Proj[Player],0),20)-M$764)/M$765</f>
        <v>-0.71308883245737775</v>
      </c>
      <c r="N559" s="12">
        <f>(INDEX(Proj[],MATCH(Std[[#This Row],[Player]],Proj[Player],0),21)-N$764)/N$765</f>
        <v>0.93541224196095141</v>
      </c>
      <c r="O559" s="12">
        <f>(INDEX(Proj[],MATCH(Std[[#This Row],[Player]],Proj[Player],0),22)-O$764)/O$765</f>
        <v>1.4986160777994104</v>
      </c>
      <c r="P559" s="12">
        <f>((INDEX(Proj[],MATCH(Std[[#This Row],[Player]],Proj[Player],0),23)-P$764)/P$765)*IF('League Inputs'!$C$23 = "Yes",-1, 1)</f>
        <v>0.76806038113582309</v>
      </c>
      <c r="Q559" s="12">
        <f>(INDEX(Proj[],MATCH(Std[[#This Row],[Player]],Proj[Player],0),24)-Q$764)/Q$765</f>
        <v>-0.5766103108129359</v>
      </c>
      <c r="R559" s="12">
        <f>(INDEX(Proj[],MATCH(Std[[#This Row],[Player]],Proj[Player],0),25)-R$764)/R$765</f>
        <v>-0.62531533033812681</v>
      </c>
      <c r="S559" s="12">
        <f>(INDEX(Proj[],MATCH(Std[[#This Row],[Player]],Proj[Player],0),26)-S$764)/S$765</f>
        <v>-0.14792308205100396</v>
      </c>
      <c r="T5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-56.439056238994745</v>
      </c>
      <c r="U559" s="11"/>
      <c r="W559" t="str">
        <v>Nicolas Hague</v>
      </c>
      <c r="AA559" t="str">
        <v>Nicolas Hague</v>
      </c>
      <c r="AB559" t="str">
        <v>Nicolas Hague</v>
      </c>
    </row>
    <row r="560" spans="1:28" x14ac:dyDescent="0.25">
      <c r="A560" t="s">
        <v>779</v>
      </c>
      <c r="B560">
        <f>INDEX(Proj[],MATCH(Std[[#This Row],[Player]],Proj[Player],0),2)</f>
        <v>24</v>
      </c>
      <c r="C560" t="s">
        <v>102</v>
      </c>
      <c r="D560" s="75"/>
      <c r="E560" s="57"/>
      <c r="F560" t="s">
        <v>21</v>
      </c>
      <c r="G560" s="12">
        <f>(INDEX(Proj[],MATCH(Std[[#This Row],[Player]],Proj[Player],0),14)-G$764)/G$765</f>
        <v>-0.9793868626547807</v>
      </c>
      <c r="H560" s="12">
        <f>(INDEX(Proj[],MATCH(Std[[#This Row],[Player]],Proj[Player],0),15)-H$764)/H$765</f>
        <v>-0.51361029952310455</v>
      </c>
      <c r="I560" s="12">
        <f>(INDEX(Proj[],MATCH(Std[[#This Row],[Player]],Proj[Player],0),16)-I$764)/I$765</f>
        <v>-0.76357741326429895</v>
      </c>
      <c r="J560" s="12">
        <f>(INDEX(Proj[],MATCH(Std[[#This Row],[Player]],Proj[Player],0),17)-J$764)/J$765</f>
        <v>-0.76105581014900237</v>
      </c>
      <c r="K560" s="12">
        <f>(INDEX(Proj[],MATCH(Std[[#This Row],[Player]],Proj[Player],0),18)-K$764)/K$765</f>
        <v>-0.75859266061649311</v>
      </c>
      <c r="L560" s="12">
        <f>(INDEX(Proj[],MATCH(Std[[#This Row],[Player]],Proj[Player],0),19)-L$764)/L$765</f>
        <v>-0.81647589674950882</v>
      </c>
      <c r="M560" s="12">
        <f>(INDEX(Proj[],MATCH(Std[[#This Row],[Player]],Proj[Player],0),20)-M$764)/M$765</f>
        <v>-0.71308883245737775</v>
      </c>
      <c r="N560" s="12">
        <f>(INDEX(Proj[],MATCH(Std[[#This Row],[Player]],Proj[Player],0),21)-N$764)/N$765</f>
        <v>1.0516906420510428</v>
      </c>
      <c r="O560" s="12">
        <f>(INDEX(Proj[],MATCH(Std[[#This Row],[Player]],Proj[Player],0),22)-O$764)/O$765</f>
        <v>0.96464800099813919</v>
      </c>
      <c r="P560" s="12">
        <f>((INDEX(Proj[],MATCH(Std[[#This Row],[Player]],Proj[Player],0),23)-P$764)/P$765)*IF('League Inputs'!$C$23 = "Yes",-1, 1)</f>
        <v>1.7919354156997094</v>
      </c>
      <c r="Q560" s="12">
        <f>(INDEX(Proj[],MATCH(Std[[#This Row],[Player]],Proj[Player],0),24)-Q$764)/Q$765</f>
        <v>-0.5766103108129359</v>
      </c>
      <c r="R560" s="12">
        <f>(INDEX(Proj[],MATCH(Std[[#This Row],[Player]],Proj[Player],0),25)-R$764)/R$765</f>
        <v>-0.62531533033812681</v>
      </c>
      <c r="S560" s="12">
        <f>(INDEX(Proj[],MATCH(Std[[#This Row],[Player]],Proj[Player],0),26)-S$764)/S$765</f>
        <v>-0.84532692445382718</v>
      </c>
      <c r="T5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-68.671364870956481</v>
      </c>
      <c r="U560" s="11"/>
      <c r="W560" t="str">
        <v>Kevin Bahl</v>
      </c>
      <c r="AA560" t="str">
        <v>Kevin Bahl</v>
      </c>
      <c r="AB560" t="str">
        <v>Kevin Bahl</v>
      </c>
    </row>
    <row r="561" spans="1:28" x14ac:dyDescent="0.25">
      <c r="A561" t="s">
        <v>322</v>
      </c>
      <c r="B561">
        <f>INDEX(Proj[],MATCH(Std[[#This Row],[Player]],Proj[Player],0),2)</f>
        <v>30</v>
      </c>
      <c r="C561" t="s">
        <v>3</v>
      </c>
      <c r="D561" s="75"/>
      <c r="E561" s="56"/>
      <c r="F561" t="s">
        <v>155</v>
      </c>
      <c r="G561" s="12">
        <f>(INDEX(Proj[],MATCH(Std[[#This Row],[Player]],Proj[Player],0),14)-G$764)/G$765</f>
        <v>-0.873752993897015</v>
      </c>
      <c r="H561" s="12">
        <f>(INDEX(Proj[],MATCH(Std[[#This Row],[Player]],Proj[Player],0),15)-H$764)/H$765</f>
        <v>-0.58813956651136978</v>
      </c>
      <c r="I561" s="12">
        <f>(INDEX(Proj[],MATCH(Std[[#This Row],[Player]],Proj[Player],0),16)-I$764)/I$765</f>
        <v>-0.76357741326429895</v>
      </c>
      <c r="J561" s="12">
        <f>(INDEX(Proj[],MATCH(Std[[#This Row],[Player]],Proj[Player],0),17)-J$764)/J$765</f>
        <v>-0.46669252292436259</v>
      </c>
      <c r="K561" s="12">
        <f>(INDEX(Proj[],MATCH(Std[[#This Row],[Player]],Proj[Player],0),18)-K$764)/K$765</f>
        <v>-0.45042076997056774</v>
      </c>
      <c r="L561" s="12">
        <f>(INDEX(Proj[],MATCH(Std[[#This Row],[Player]],Proj[Player],0),19)-L$764)/L$765</f>
        <v>-0.49026000221120619</v>
      </c>
      <c r="M561" s="12">
        <f>(INDEX(Proj[],MATCH(Std[[#This Row],[Player]],Proj[Player],0),20)-M$764)/M$765</f>
        <v>0.31240082183847029</v>
      </c>
      <c r="N561" s="12">
        <f>(INDEX(Proj[],MATCH(Std[[#This Row],[Player]],Proj[Player],0),21)-N$764)/N$765</f>
        <v>0.93541224196095141</v>
      </c>
      <c r="O561" s="12">
        <f>(INDEX(Proj[],MATCH(Std[[#This Row],[Player]],Proj[Player],0),22)-O$764)/O$765</f>
        <v>1.4289680677818533</v>
      </c>
      <c r="P561" s="12">
        <f>((INDEX(Proj[],MATCH(Std[[#This Row],[Player]],Proj[Player],0),23)-P$764)/P$765)*IF('League Inputs'!$C$23 = "Yes",-1, 1)</f>
        <v>-0.25581465342806309</v>
      </c>
      <c r="Q561" s="12">
        <f>(INDEX(Proj[],MATCH(Std[[#This Row],[Player]],Proj[Player],0),24)-Q$764)/Q$765</f>
        <v>-0.5766103108129359</v>
      </c>
      <c r="R561" s="12">
        <f>(INDEX(Proj[],MATCH(Std[[#This Row],[Player]],Proj[Player],0),25)-R$764)/R$765</f>
        <v>-0.62531533033812681</v>
      </c>
      <c r="S561" s="12">
        <f>(INDEX(Proj[],MATCH(Std[[#This Row],[Player]],Proj[Player],0),26)-S$764)/S$765</f>
        <v>-0.26145394011657985</v>
      </c>
      <c r="T5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-144.52285704986636</v>
      </c>
      <c r="U561" s="11"/>
      <c r="W561" t="str">
        <v>Rasmus Ristolainen</v>
      </c>
      <c r="AA561" t="str">
        <v>Rasmus Ristolainen</v>
      </c>
      <c r="AB561" t="str">
        <v>Rasmus Ristolainen</v>
      </c>
    </row>
    <row r="562" spans="1:28" x14ac:dyDescent="0.25">
      <c r="A562" t="s">
        <v>524</v>
      </c>
      <c r="B562">
        <f>INDEX(Proj[],MATCH(Std[[#This Row],[Player]],Proj[Player],0),2)</f>
        <v>28</v>
      </c>
      <c r="C562" t="s">
        <v>3</v>
      </c>
      <c r="D562" s="75"/>
      <c r="E562" s="56"/>
      <c r="F562" t="s">
        <v>25</v>
      </c>
      <c r="G562" s="12">
        <f>(INDEX(Proj[],MATCH(Std[[#This Row],[Player]],Proj[Player],0),14)-G$764)/G$765</f>
        <v>-0.873752993897015</v>
      </c>
      <c r="H562" s="12">
        <f>(INDEX(Proj[],MATCH(Std[[#This Row],[Player]],Proj[Player],0),15)-H$764)/H$765</f>
        <v>-0.58813956651136978</v>
      </c>
      <c r="I562" s="12">
        <f>(INDEX(Proj[],MATCH(Std[[#This Row],[Player]],Proj[Player],0),16)-I$764)/I$765</f>
        <v>-0.76357741326429895</v>
      </c>
      <c r="J562" s="12">
        <f>(INDEX(Proj[],MATCH(Std[[#This Row],[Player]],Proj[Player],0),17)-J$764)/J$765</f>
        <v>-0.76105581014900237</v>
      </c>
      <c r="K562" s="12">
        <f>(INDEX(Proj[],MATCH(Std[[#This Row],[Player]],Proj[Player],0),18)-K$764)/K$765</f>
        <v>-0.75859266061649311</v>
      </c>
      <c r="L562" s="12">
        <f>(INDEX(Proj[],MATCH(Std[[#This Row],[Player]],Proj[Player],0),19)-L$764)/L$765</f>
        <v>-0.81647589674950882</v>
      </c>
      <c r="M562" s="12">
        <f>(INDEX(Proj[],MATCH(Std[[#This Row],[Player]],Proj[Player],0),20)-M$764)/M$765</f>
        <v>-0.71308883245737775</v>
      </c>
      <c r="N562" s="12">
        <f>(INDEX(Proj[],MATCH(Std[[#This Row],[Player]],Proj[Player],0),21)-N$764)/N$765</f>
        <v>0.95479197530930005</v>
      </c>
      <c r="O562" s="12">
        <f>(INDEX(Proj[],MATCH(Std[[#This Row],[Player]],Proj[Player],0),22)-O$764)/O$765</f>
        <v>1.6379120978345247</v>
      </c>
      <c r="P562" s="12">
        <f>((INDEX(Proj[],MATCH(Std[[#This Row],[Player]],Proj[Player],0),23)-P$764)/P$765)*IF('League Inputs'!$C$23 = "Yes",-1, 1)</f>
        <v>0.25612286385388</v>
      </c>
      <c r="Q562" s="12">
        <f>(INDEX(Proj[],MATCH(Std[[#This Row],[Player]],Proj[Player],0),24)-Q$764)/Q$765</f>
        <v>-0.5766103108129359</v>
      </c>
      <c r="R562" s="12">
        <f>(INDEX(Proj[],MATCH(Std[[#This Row],[Player]],Proj[Player],0),25)-R$764)/R$765</f>
        <v>-0.62531533033812681</v>
      </c>
      <c r="S562" s="12">
        <f>(INDEX(Proj[],MATCH(Std[[#This Row],[Player]],Proj[Player],0),26)-S$764)/S$765</f>
        <v>-0.76423345440698731</v>
      </c>
      <c r="T5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-153.39626986444111</v>
      </c>
      <c r="U562" s="11"/>
      <c r="W562" t="str">
        <v>Zach Whitecloud</v>
      </c>
      <c r="AA562" t="str">
        <v>Zach Whitecloud</v>
      </c>
      <c r="AB562" t="str">
        <v>Zach Whitecloud</v>
      </c>
    </row>
    <row r="563" spans="1:28" x14ac:dyDescent="0.25">
      <c r="A563" t="s">
        <v>954</v>
      </c>
      <c r="B563">
        <f>INDEX(Proj[],MATCH(Std[[#This Row],[Player]],Proj[Player],0),2)</f>
        <v>25</v>
      </c>
      <c r="C563" t="s">
        <v>3</v>
      </c>
      <c r="D563" s="75"/>
      <c r="E563" s="57"/>
      <c r="F563" t="s">
        <v>30</v>
      </c>
      <c r="G563" s="12">
        <f>(INDEX(Proj[],MATCH(Std[[#This Row],[Player]],Proj[Player],0),14)-G$764)/G$765</f>
        <v>-0.873752993897015</v>
      </c>
      <c r="H563" s="12">
        <f>(INDEX(Proj[],MATCH(Std[[#This Row],[Player]],Proj[Player],0),15)-H$764)/H$765</f>
        <v>-0.58813956651136978</v>
      </c>
      <c r="I563" s="12">
        <f>(INDEX(Proj[],MATCH(Std[[#This Row],[Player]],Proj[Player],0),16)-I$764)/I$765</f>
        <v>-0.76357741326429895</v>
      </c>
      <c r="J563" s="12">
        <f>(INDEX(Proj[],MATCH(Std[[#This Row],[Player]],Proj[Player],0),17)-J$764)/J$765</f>
        <v>-0.76105581014900237</v>
      </c>
      <c r="K563" s="12">
        <f>(INDEX(Proj[],MATCH(Std[[#This Row],[Player]],Proj[Player],0),18)-K$764)/K$765</f>
        <v>-0.75859266061649311</v>
      </c>
      <c r="L563" s="12">
        <f>(INDEX(Proj[],MATCH(Std[[#This Row],[Player]],Proj[Player],0),19)-L$764)/L$765</f>
        <v>-0.81647589674950882</v>
      </c>
      <c r="M563" s="12">
        <f>(INDEX(Proj[],MATCH(Std[[#This Row],[Player]],Proj[Player],0),20)-M$764)/M$765</f>
        <v>-0.71308883245737775</v>
      </c>
      <c r="N563" s="12">
        <f>(INDEX(Proj[],MATCH(Std[[#This Row],[Player]],Proj[Player],0),21)-N$764)/N$765</f>
        <v>0.3927797082071916</v>
      </c>
      <c r="O563" s="12">
        <f>(INDEX(Proj[],MATCH(Std[[#This Row],[Player]],Proj[Player],0),22)-O$764)/O$765</f>
        <v>0.12887188078745357</v>
      </c>
      <c r="P563" s="12">
        <f>((INDEX(Proj[],MATCH(Std[[#This Row],[Player]],Proj[Player],0),23)-P$764)/P$765)*IF('League Inputs'!$C$23 = "Yes",-1, 1)</f>
        <v>1.0007592526276154</v>
      </c>
      <c r="Q563" s="12">
        <f>(INDEX(Proj[],MATCH(Std[[#This Row],[Player]],Proj[Player],0),24)-Q$764)/Q$765</f>
        <v>-0.5766103108129359</v>
      </c>
      <c r="R563" s="12">
        <f>(INDEX(Proj[],MATCH(Std[[#This Row],[Player]],Proj[Player],0),25)-R$764)/R$765</f>
        <v>-0.62531533033812681</v>
      </c>
      <c r="S563" s="12">
        <f>(INDEX(Proj[],MATCH(Std[[#This Row],[Player]],Proj[Player],0),26)-S$764)/S$765</f>
        <v>-0.73179606638825134</v>
      </c>
      <c r="T5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-282.79414060011197</v>
      </c>
      <c r="U563" s="11"/>
      <c r="W563" t="str">
        <v>Michael Kesselring</v>
      </c>
      <c r="AA563" t="str">
        <v>Michael Kesselring</v>
      </c>
      <c r="AB563" t="str">
        <v>Michael Kesselring</v>
      </c>
    </row>
    <row r="564" spans="1:28" x14ac:dyDescent="0.25">
      <c r="A564" t="s">
        <v>709</v>
      </c>
      <c r="B564">
        <f>INDEX(Proj[],MATCH(Std[[#This Row],[Player]],Proj[Player],0),2)</f>
        <v>26</v>
      </c>
      <c r="C564" t="s">
        <v>102</v>
      </c>
      <c r="D564" s="75" t="s">
        <v>103</v>
      </c>
      <c r="E564" s="56"/>
      <c r="F564" t="s">
        <v>7</v>
      </c>
      <c r="G564" s="12">
        <f>(INDEX(Proj[],MATCH(Std[[#This Row],[Player]],Proj[Player],0),14)-G$764)/G$765</f>
        <v>-1.0850207314125464</v>
      </c>
      <c r="H564" s="12">
        <f>(INDEX(Proj[],MATCH(Std[[#This Row],[Player]],Proj[Player],0),15)-H$764)/H$765</f>
        <v>-0.43908103253483932</v>
      </c>
      <c r="I564" s="12">
        <f>(INDEX(Proj[],MATCH(Std[[#This Row],[Player]],Proj[Player],0),16)-I$764)/I$765</f>
        <v>-0.76357741326429895</v>
      </c>
      <c r="J564" s="12">
        <f>(INDEX(Proj[],MATCH(Std[[#This Row],[Player]],Proj[Player],0),17)-J$764)/J$765</f>
        <v>-0.76105581014900237</v>
      </c>
      <c r="K564" s="12">
        <f>(INDEX(Proj[],MATCH(Std[[#This Row],[Player]],Proj[Player],0),18)-K$764)/K$765</f>
        <v>-0.75859266061649311</v>
      </c>
      <c r="L564" s="12">
        <f>(INDEX(Proj[],MATCH(Std[[#This Row],[Player]],Proj[Player],0),19)-L$764)/L$765</f>
        <v>-0.81647589674950882</v>
      </c>
      <c r="M564" s="12">
        <f>(INDEX(Proj[],MATCH(Std[[#This Row],[Player]],Proj[Player],0),20)-M$764)/M$765</f>
        <v>0.31240082183847029</v>
      </c>
      <c r="N564" s="12">
        <f>(INDEX(Proj[],MATCH(Std[[#This Row],[Player]],Proj[Player],0),21)-N$764)/N$765</f>
        <v>-0.20799202559161389</v>
      </c>
      <c r="O564" s="12">
        <f>(INDEX(Proj[],MATCH(Std[[#This Row],[Player]],Proj[Player],0),22)-O$764)/O$765</f>
        <v>1.5682640878169676</v>
      </c>
      <c r="P564" s="12">
        <f>((INDEX(Proj[],MATCH(Std[[#This Row],[Player]],Proj[Player],0),23)-P$764)/P$765)*IF('League Inputs'!$C$23 = "Yes",-1, 1)</f>
        <v>-0.16273510483134615</v>
      </c>
      <c r="Q564" s="12">
        <f>(INDEX(Proj[],MATCH(Std[[#This Row],[Player]],Proj[Player],0),24)-Q$764)/Q$765</f>
        <v>-0.5766103108129359</v>
      </c>
      <c r="R564" s="12">
        <f>(INDEX(Proj[],MATCH(Std[[#This Row],[Player]],Proj[Player],0),25)-R$764)/R$765</f>
        <v>-0.62531533033812681</v>
      </c>
      <c r="S564" s="12">
        <f>(INDEX(Proj[],MATCH(Std[[#This Row],[Player]],Proj[Player],0),26)-S$764)/S$765</f>
        <v>-0.76423345440698731</v>
      </c>
      <c r="T5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-324.7461881787109</v>
      </c>
      <c r="U564" s="11"/>
      <c r="W564" t="str">
        <v>Dylan Samberg</v>
      </c>
      <c r="AA564" t="str">
        <v>Dylan Samberg</v>
      </c>
      <c r="AB564" t="str">
        <v>Dylan Samberg</v>
      </c>
    </row>
    <row r="565" spans="1:28" x14ac:dyDescent="0.25">
      <c r="A565" t="s">
        <v>733</v>
      </c>
      <c r="B565">
        <f>INDEX(Proj[],MATCH(Std[[#This Row],[Player]],Proj[Player],0),2)</f>
        <v>25</v>
      </c>
      <c r="C565" t="s">
        <v>74</v>
      </c>
      <c r="D565" s="75" t="s">
        <v>103</v>
      </c>
      <c r="E565" s="57"/>
      <c r="F565" t="s">
        <v>17</v>
      </c>
      <c r="G565" s="12">
        <f>(INDEX(Proj[],MATCH(Std[[#This Row],[Player]],Proj[Player],0),14)-G$764)/G$765</f>
        <v>-0.45121751886595246</v>
      </c>
      <c r="H565" s="12">
        <f>(INDEX(Proj[],MATCH(Std[[#This Row],[Player]],Proj[Player],0),15)-H$764)/H$765</f>
        <v>-0.88625663446443059</v>
      </c>
      <c r="I565" s="12">
        <f>(INDEX(Proj[],MATCH(Std[[#This Row],[Player]],Proj[Player],0),16)-I$764)/I$765</f>
        <v>-0.76357741326429895</v>
      </c>
      <c r="J565" s="12">
        <f>(INDEX(Proj[],MATCH(Std[[#This Row],[Player]],Proj[Player],0),17)-J$764)/J$765</f>
        <v>-0.76105581014900237</v>
      </c>
      <c r="K565" s="12">
        <f>(INDEX(Proj[],MATCH(Std[[#This Row],[Player]],Proj[Player],0),18)-K$764)/K$765</f>
        <v>-0.75859266061649311</v>
      </c>
      <c r="L565" s="12">
        <f>(INDEX(Proj[],MATCH(Std[[#This Row],[Player]],Proj[Player],0),19)-L$764)/L$765</f>
        <v>-0.81647589674950882</v>
      </c>
      <c r="M565" s="12">
        <f>(INDEX(Proj[],MATCH(Std[[#This Row],[Player]],Proj[Player],0),20)-M$764)/M$765</f>
        <v>1.3378904761343182</v>
      </c>
      <c r="N565" s="12">
        <f>(INDEX(Proj[],MATCH(Std[[#This Row],[Player]],Proj[Player],0),21)-N$764)/N$765</f>
        <v>1.8850191760300312</v>
      </c>
      <c r="O565" s="12">
        <f>(INDEX(Proj[],MATCH(Std[[#This Row],[Player]],Proj[Player],0),22)-O$764)/O$765</f>
        <v>-0.10328815260440355</v>
      </c>
      <c r="P565" s="12">
        <f>((INDEX(Proj[],MATCH(Std[[#This Row],[Player]],Proj[Player],0),23)-P$764)/P$765)*IF('League Inputs'!$C$23 = "Yes",-1, 1)</f>
        <v>1.0938388012243323</v>
      </c>
      <c r="Q565" s="12">
        <f>(INDEX(Proj[],MATCH(Std[[#This Row],[Player]],Proj[Player],0),24)-Q$764)/Q$765</f>
        <v>-0.49665400110745295</v>
      </c>
      <c r="R565" s="12">
        <f>(INDEX(Proj[],MATCH(Std[[#This Row],[Player]],Proj[Player],0),25)-R$764)/R$765</f>
        <v>-0.43803643317050533</v>
      </c>
      <c r="S565" s="12">
        <f>(INDEX(Proj[],MATCH(Std[[#This Row],[Player]],Proj[Player],0),26)-S$764)/S$765</f>
        <v>-0.58582782030393954</v>
      </c>
      <c r="T5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-112.44394601056233</v>
      </c>
      <c r="U565" s="11"/>
      <c r="W565" t="str">
        <v>Parker Kelly</v>
      </c>
      <c r="AA565" t="str">
        <v>Parker Kelly</v>
      </c>
      <c r="AB565" t="str">
        <v>Parker Kelly</v>
      </c>
    </row>
    <row r="566" spans="1:28" x14ac:dyDescent="0.25">
      <c r="A566" t="s">
        <v>619</v>
      </c>
      <c r="B566">
        <f>INDEX(Proj[],MATCH(Std[[#This Row],[Player]],Proj[Player],0),2)</f>
        <v>31</v>
      </c>
      <c r="C566" t="s">
        <v>3</v>
      </c>
      <c r="D566" s="75"/>
      <c r="E566" s="56"/>
      <c r="F566" t="s">
        <v>6</v>
      </c>
      <c r="G566" s="12">
        <f>(INDEX(Proj[],MATCH(Std[[#This Row],[Player]],Proj[Player],0),14)-G$764)/G$765</f>
        <v>-0.9793868626547807</v>
      </c>
      <c r="H566" s="12">
        <f>(INDEX(Proj[],MATCH(Std[[#This Row],[Player]],Proj[Player],0),15)-H$764)/H$765</f>
        <v>-0.51361029952310455</v>
      </c>
      <c r="I566" s="12">
        <f>(INDEX(Proj[],MATCH(Std[[#This Row],[Player]],Proj[Player],0),16)-I$764)/I$765</f>
        <v>-0.76357741326429895</v>
      </c>
      <c r="J566" s="12">
        <f>(INDEX(Proj[],MATCH(Std[[#This Row],[Player]],Proj[Player],0),17)-J$764)/J$765</f>
        <v>-0.76105581014900237</v>
      </c>
      <c r="K566" s="12">
        <f>(INDEX(Proj[],MATCH(Std[[#This Row],[Player]],Proj[Player],0),18)-K$764)/K$765</f>
        <v>-0.75859266061649311</v>
      </c>
      <c r="L566" s="12">
        <f>(INDEX(Proj[],MATCH(Std[[#This Row],[Player]],Proj[Player],0),19)-L$764)/L$765</f>
        <v>-0.81647589674950882</v>
      </c>
      <c r="M566" s="12">
        <f>(INDEX(Proj[],MATCH(Std[[#This Row],[Player]],Proj[Player],0),20)-M$764)/M$765</f>
        <v>0.31240082183847029</v>
      </c>
      <c r="N566" s="12">
        <f>(INDEX(Proj[],MATCH(Std[[#This Row],[Player]],Proj[Player],0),21)-N$764)/N$765</f>
        <v>-3.3574425456476813E-2</v>
      </c>
      <c r="O566" s="12">
        <f>(INDEX(Proj[],MATCH(Std[[#This Row],[Player]],Proj[Player],0),22)-O$764)/O$765</f>
        <v>0.63962395424953922</v>
      </c>
      <c r="P566" s="12">
        <f>((INDEX(Proj[],MATCH(Std[[#This Row],[Player]],Proj[Player],0),23)-P$764)/P$765)*IF('League Inputs'!$C$23 = "Yes",-1, 1)</f>
        <v>-2.3115781936270764E-2</v>
      </c>
      <c r="Q566" s="12">
        <f>(INDEX(Proj[],MATCH(Std[[#This Row],[Player]],Proj[Player],0),24)-Q$764)/Q$765</f>
        <v>-0.5766103108129359</v>
      </c>
      <c r="R566" s="12">
        <f>(INDEX(Proj[],MATCH(Std[[#This Row],[Player]],Proj[Player],0),25)-R$764)/R$765</f>
        <v>-0.62531533033812681</v>
      </c>
      <c r="S566" s="12">
        <f>(INDEX(Proj[],MATCH(Std[[#This Row],[Player]],Proj[Player],0),26)-S$764)/S$765</f>
        <v>-0.45607826822899561</v>
      </c>
      <c r="T5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-352.2805304376833</v>
      </c>
      <c r="U566" s="11"/>
      <c r="W566" t="str">
        <v>Brett Kulak</v>
      </c>
      <c r="AA566" t="str">
        <v>Brett Kulak</v>
      </c>
      <c r="AB566" t="str">
        <v>Brett Kulak</v>
      </c>
    </row>
    <row r="567" spans="1:28" x14ac:dyDescent="0.25">
      <c r="A567" t="s">
        <v>1225</v>
      </c>
      <c r="B567">
        <f>INDEX(Proj[],MATCH(Std[[#This Row],[Player]],Proj[Player],0),2)</f>
        <v>23</v>
      </c>
      <c r="C567" t="s">
        <v>3</v>
      </c>
      <c r="D567" s="75"/>
      <c r="E567" s="57"/>
      <c r="F567" t="s">
        <v>2</v>
      </c>
      <c r="G567" s="12">
        <f>(INDEX(Proj[],MATCH(Std[[#This Row],[Player]],Proj[Player],0),14)-G$764)/G$765</f>
        <v>-0.873752993897015</v>
      </c>
      <c r="H567" s="12">
        <f>(INDEX(Proj[],MATCH(Std[[#This Row],[Player]],Proj[Player],0),15)-H$764)/H$765</f>
        <v>-0.58813956651136978</v>
      </c>
      <c r="I567" s="12">
        <f>(INDEX(Proj[],MATCH(Std[[#This Row],[Player]],Proj[Player],0),16)-I$764)/I$765</f>
        <v>-0.76357741326429895</v>
      </c>
      <c r="J567" s="12">
        <f>(INDEX(Proj[],MATCH(Std[[#This Row],[Player]],Proj[Player],0),17)-J$764)/J$765</f>
        <v>-0.76105581014900237</v>
      </c>
      <c r="K567" s="12">
        <f>(INDEX(Proj[],MATCH(Std[[#This Row],[Player]],Proj[Player],0),18)-K$764)/K$765</f>
        <v>-0.75859266061649311</v>
      </c>
      <c r="L567" s="12">
        <f>(INDEX(Proj[],MATCH(Std[[#This Row],[Player]],Proj[Player],0),19)-L$764)/L$765</f>
        <v>-0.81647589674950882</v>
      </c>
      <c r="M567" s="12">
        <f>(INDEX(Proj[],MATCH(Std[[#This Row],[Player]],Proj[Player],0),20)-M$764)/M$765</f>
        <v>-0.71308883245737775</v>
      </c>
      <c r="N567" s="12">
        <f>(INDEX(Proj[],MATCH(Std[[#This Row],[Player]],Proj[Player],0),21)-N$764)/N$765</f>
        <v>-0.11109335884987108</v>
      </c>
      <c r="O567" s="12">
        <f>(INDEX(Proj[],MATCH(Std[[#This Row],[Player]],Proj[Player],0),22)-O$764)/O$765</f>
        <v>0.52354393755361062</v>
      </c>
      <c r="P567" s="12">
        <f>((INDEX(Proj[],MATCH(Std[[#This Row],[Player]],Proj[Player],0),23)-P$764)/P$765)*IF('League Inputs'!$C$23 = "Yes",-1, 1)</f>
        <v>-6.9655556234629226E-2</v>
      </c>
      <c r="Q567" s="12">
        <f>(INDEX(Proj[],MATCH(Std[[#This Row],[Player]],Proj[Player],0),24)-Q$764)/Q$765</f>
        <v>-0.5766103108129359</v>
      </c>
      <c r="R567" s="12">
        <f>(INDEX(Proj[],MATCH(Std[[#This Row],[Player]],Proj[Player],0),25)-R$764)/R$765</f>
        <v>-0.62531533033812681</v>
      </c>
      <c r="S567" s="12">
        <f>(INDEX(Proj[],MATCH(Std[[#This Row],[Player]],Proj[Player],0),26)-S$764)/S$765</f>
        <v>-0.76423345440698731</v>
      </c>
      <c r="T5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-403.99946131730047</v>
      </c>
      <c r="U567" s="11"/>
      <c r="W567" t="str">
        <v>Emil Martinsen Lilleberg</v>
      </c>
      <c r="AA567" t="str">
        <v>Emil Martinsen Lilleberg</v>
      </c>
      <c r="AB567" t="str">
        <v>Emil Martinsen Lilleberg</v>
      </c>
    </row>
    <row r="568" spans="1:28" x14ac:dyDescent="0.25">
      <c r="A568" t="s">
        <v>970</v>
      </c>
      <c r="B568">
        <f>INDEX(Proj[],MATCH(Std[[#This Row],[Player]],Proj[Player],0),2)</f>
        <v>28</v>
      </c>
      <c r="C568" t="s">
        <v>3</v>
      </c>
      <c r="D568" s="75"/>
      <c r="E568" s="56"/>
      <c r="F568" t="s">
        <v>14</v>
      </c>
      <c r="G568" s="12">
        <f>(INDEX(Proj[],MATCH(Std[[#This Row],[Player]],Proj[Player],0),14)-G$764)/G$765</f>
        <v>-0.7681191251392494</v>
      </c>
      <c r="H568" s="12">
        <f>(INDEX(Proj[],MATCH(Std[[#This Row],[Player]],Proj[Player],0),15)-H$764)/H$765</f>
        <v>-0.6626688334996349</v>
      </c>
      <c r="I568" s="12">
        <f>(INDEX(Proj[],MATCH(Std[[#This Row],[Player]],Proj[Player],0),16)-I$764)/I$765</f>
        <v>-0.76357741326429895</v>
      </c>
      <c r="J568" s="12">
        <f>(INDEX(Proj[],MATCH(Std[[#This Row],[Player]],Proj[Player],0),17)-J$764)/J$765</f>
        <v>-0.76105581014900237</v>
      </c>
      <c r="K568" s="12">
        <f>(INDEX(Proj[],MATCH(Std[[#This Row],[Player]],Proj[Player],0),18)-K$764)/K$765</f>
        <v>-0.75859266061649311</v>
      </c>
      <c r="L568" s="12">
        <f>(INDEX(Proj[],MATCH(Std[[#This Row],[Player]],Proj[Player],0),19)-L$764)/L$765</f>
        <v>-0.81647589674950882</v>
      </c>
      <c r="M568" s="12">
        <f>(INDEX(Proj[],MATCH(Std[[#This Row],[Player]],Proj[Player],0),20)-M$764)/M$765</f>
        <v>0.31240082183847029</v>
      </c>
      <c r="N568" s="12">
        <f>(INDEX(Proj[],MATCH(Std[[#This Row],[Player]],Proj[Player],0),21)-N$764)/N$765</f>
        <v>-0.32427042568170528</v>
      </c>
      <c r="O568" s="12">
        <f>(INDEX(Proj[],MATCH(Std[[#This Row],[Player]],Proj[Player],0),22)-O$764)/O$765</f>
        <v>0.15208788412663926</v>
      </c>
      <c r="P568" s="12">
        <f>((INDEX(Proj[],MATCH(Std[[#This Row],[Player]],Proj[Player],0),23)-P$764)/P$765)*IF('League Inputs'!$C$23 = "Yes",-1, 1)</f>
        <v>-0.16273510483134615</v>
      </c>
      <c r="Q568" s="12">
        <f>(INDEX(Proj[],MATCH(Std[[#This Row],[Player]],Proj[Player],0),24)-Q$764)/Q$765</f>
        <v>-0.5766103108129359</v>
      </c>
      <c r="R568" s="12">
        <f>(INDEX(Proj[],MATCH(Std[[#This Row],[Player]],Proj[Player],0),25)-R$764)/R$765</f>
        <v>-0.62531533033812681</v>
      </c>
      <c r="S568" s="12">
        <f>(INDEX(Proj[],MATCH(Std[[#This Row],[Player]],Proj[Player],0),26)-S$764)/S$765</f>
        <v>-0.47229696223836359</v>
      </c>
      <c r="T5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-439.46661880904037</v>
      </c>
      <c r="U568" s="11"/>
      <c r="W568" t="str">
        <v>Jalen Chatfield</v>
      </c>
      <c r="AA568" t="str">
        <v>Jalen Chatfield</v>
      </c>
      <c r="AB568" t="str">
        <v>Jalen Chatfield</v>
      </c>
    </row>
    <row r="569" spans="1:28" x14ac:dyDescent="0.25">
      <c r="A569" t="s">
        <v>512</v>
      </c>
      <c r="B569">
        <f>INDEX(Proj[],MATCH(Std[[#This Row],[Player]],Proj[Player],0),2)</f>
        <v>33</v>
      </c>
      <c r="C569" t="s">
        <v>74</v>
      </c>
      <c r="D569" s="75"/>
      <c r="E569" s="56"/>
      <c r="F569" t="s">
        <v>8</v>
      </c>
      <c r="G569" s="12">
        <f>(INDEX(Proj[],MATCH(Std[[#This Row],[Player]],Proj[Player],0),14)-G$764)/G$765</f>
        <v>-0.873752993897015</v>
      </c>
      <c r="H569" s="12">
        <f>(INDEX(Proj[],MATCH(Std[[#This Row],[Player]],Proj[Player],0),15)-H$764)/H$765</f>
        <v>-0.58813956651136978</v>
      </c>
      <c r="I569" s="12">
        <f>(INDEX(Proj[],MATCH(Std[[#This Row],[Player]],Proj[Player],0),16)-I$764)/I$765</f>
        <v>-0.76357741326429895</v>
      </c>
      <c r="J569" s="12">
        <f>(INDEX(Proj[],MATCH(Std[[#This Row],[Player]],Proj[Player],0),17)-J$764)/J$765</f>
        <v>-0.76105581014900237</v>
      </c>
      <c r="K569" s="12">
        <f>(INDEX(Proj[],MATCH(Std[[#This Row],[Player]],Proj[Player],0),18)-K$764)/K$765</f>
        <v>-0.75859266061649311</v>
      </c>
      <c r="L569" s="12">
        <f>(INDEX(Proj[],MATCH(Std[[#This Row],[Player]],Proj[Player],0),19)-L$764)/L$765</f>
        <v>-0.81647589674950882</v>
      </c>
      <c r="M569" s="12">
        <f>(INDEX(Proj[],MATCH(Std[[#This Row],[Player]],Proj[Player],0),20)-M$764)/M$765</f>
        <v>-0.71308883245737775</v>
      </c>
      <c r="N569" s="12">
        <f>(INDEX(Proj[],MATCH(Std[[#This Row],[Player]],Proj[Player],0),21)-N$764)/N$765</f>
        <v>-0.22737175893996248</v>
      </c>
      <c r="O569" s="12">
        <f>(INDEX(Proj[],MATCH(Std[[#This Row],[Player]],Proj[Player],0),22)-O$764)/O$765</f>
        <v>0.96464800099813919</v>
      </c>
      <c r="P569" s="12">
        <f>((INDEX(Proj[],MATCH(Std[[#This Row],[Player]],Proj[Player],0),23)-P$764)/P$765)*IF('League Inputs'!$C$23 = "Yes",-1, 1)</f>
        <v>-0.76775217071000623</v>
      </c>
      <c r="Q569" s="12">
        <f>(INDEX(Proj[],MATCH(Std[[#This Row],[Player]],Proj[Player],0),24)-Q$764)/Q$765</f>
        <v>-0.5766103108129359</v>
      </c>
      <c r="R569" s="12">
        <f>(INDEX(Proj[],MATCH(Std[[#This Row],[Player]],Proj[Player],0),25)-R$764)/R$765</f>
        <v>-0.62531533033812681</v>
      </c>
      <c r="S569" s="12">
        <f>(INDEX(Proj[],MATCH(Std[[#This Row],[Player]],Proj[Player],0),26)-S$764)/S$765</f>
        <v>-0.82910823044445925</v>
      </c>
      <c r="T5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-447.8140340331417</v>
      </c>
      <c r="U569" s="11"/>
      <c r="W569" t="str">
        <v>Brian Dumoulin</v>
      </c>
      <c r="AA569" t="str">
        <v>Brian Dumoulin</v>
      </c>
      <c r="AB569" t="str">
        <v>Brian Dumoulin</v>
      </c>
    </row>
    <row r="570" spans="1:28" x14ac:dyDescent="0.25">
      <c r="A570" t="s">
        <v>1178</v>
      </c>
      <c r="B570">
        <f>INDEX(Proj[],MATCH(Std[[#This Row],[Player]],Proj[Player],0),2)</f>
        <v>25</v>
      </c>
      <c r="C570" t="s">
        <v>3</v>
      </c>
      <c r="D570" s="75"/>
      <c r="E570" s="56"/>
      <c r="F570" t="s">
        <v>30</v>
      </c>
      <c r="G570" s="12">
        <f>(INDEX(Proj[],MATCH(Std[[#This Row],[Player]],Proj[Player],0),14)-G$764)/G$765</f>
        <v>-0.9793868626547807</v>
      </c>
      <c r="H570" s="12">
        <f>(INDEX(Proj[],MATCH(Std[[#This Row],[Player]],Proj[Player],0),15)-H$764)/H$765</f>
        <v>-0.51361029952310455</v>
      </c>
      <c r="I570" s="12">
        <f>(INDEX(Proj[],MATCH(Std[[#This Row],[Player]],Proj[Player],0),16)-I$764)/I$765</f>
        <v>-0.76357741326429895</v>
      </c>
      <c r="J570" s="12">
        <f>(INDEX(Proj[],MATCH(Std[[#This Row],[Player]],Proj[Player],0),17)-J$764)/J$765</f>
        <v>-0.46669252292436259</v>
      </c>
      <c r="K570" s="12">
        <f>(INDEX(Proj[],MATCH(Std[[#This Row],[Player]],Proj[Player],0),18)-K$764)/K$765</f>
        <v>0.16592301132128306</v>
      </c>
      <c r="L570" s="12">
        <f>(INDEX(Proj[],MATCH(Std[[#This Row],[Player]],Proj[Player],0),19)-L$764)/L$765</f>
        <v>-5.5305476160136084E-2</v>
      </c>
      <c r="M570" s="12">
        <f>(INDEX(Proj[],MATCH(Std[[#This Row],[Player]],Proj[Player],0),20)-M$764)/M$765</f>
        <v>-0.71308883245737775</v>
      </c>
      <c r="N570" s="12">
        <f>(INDEX(Proj[],MATCH(Std[[#This Row],[Player]],Proj[Player],0),21)-N$764)/N$765</f>
        <v>-1.0994597596156479</v>
      </c>
      <c r="O570" s="12">
        <f>(INDEX(Proj[],MATCH(Std[[#This Row],[Player]],Proj[Player],0),22)-O$764)/O$765</f>
        <v>-1.0424139247660705E-2</v>
      </c>
      <c r="P570" s="12">
        <f>((INDEX(Proj[],MATCH(Std[[#This Row],[Player]],Proj[Player],0),23)-P$764)/P$765)*IF('League Inputs'!$C$23 = "Yes",-1, 1)</f>
        <v>-0.39543397632313848</v>
      </c>
      <c r="Q570" s="12">
        <f>(INDEX(Proj[],MATCH(Std[[#This Row],[Player]],Proj[Player],0),24)-Q$764)/Q$765</f>
        <v>-0.5766103108129359</v>
      </c>
      <c r="R570" s="12">
        <f>(INDEX(Proj[],MATCH(Std[[#This Row],[Player]],Proj[Player],0),25)-R$764)/R$765</f>
        <v>-0.62531533033812681</v>
      </c>
      <c r="S570" s="12">
        <f>(INDEX(Proj[],MATCH(Std[[#This Row],[Player]],Proj[Player],0),26)-S$764)/S$765</f>
        <v>-1.072388640584979</v>
      </c>
      <c r="T5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-546.61968781866813</v>
      </c>
      <c r="U570" s="11"/>
      <c r="W570" t="str">
        <v>Declan Chisholm</v>
      </c>
      <c r="AA570" t="str">
        <v>Declan Chisholm</v>
      </c>
      <c r="AB570" t="str">
        <v>Declan Chisholm</v>
      </c>
    </row>
    <row r="571" spans="1:28" x14ac:dyDescent="0.25">
      <c r="A571" t="s">
        <v>1139</v>
      </c>
      <c r="B571">
        <f>INDEX(Proj[],MATCH(Std[[#This Row],[Player]],Proj[Player],0),2)</f>
        <v>23</v>
      </c>
      <c r="C571" t="s">
        <v>74</v>
      </c>
      <c r="D571" s="75"/>
      <c r="E571" s="56"/>
      <c r="F571" t="s">
        <v>30</v>
      </c>
      <c r="G571" s="12">
        <f>(INDEX(Proj[],MATCH(Std[[#This Row],[Player]],Proj[Player],0),14)-G$764)/G$765</f>
        <v>-0.23994978135042122</v>
      </c>
      <c r="H571" s="12">
        <f>(INDEX(Proj[],MATCH(Std[[#This Row],[Player]],Proj[Player],0),15)-H$764)/H$765</f>
        <v>-1.0353151684409609</v>
      </c>
      <c r="I571" s="12">
        <f>(INDEX(Proj[],MATCH(Std[[#This Row],[Player]],Proj[Player],0),16)-I$764)/I$765</f>
        <v>-0.76357741326429895</v>
      </c>
      <c r="J571" s="12">
        <f>(INDEX(Proj[],MATCH(Std[[#This Row],[Player]],Proj[Player],0),17)-J$764)/J$765</f>
        <v>-0.76105581014900237</v>
      </c>
      <c r="K571" s="12">
        <f>(INDEX(Proj[],MATCH(Std[[#This Row],[Player]],Proj[Player],0),18)-K$764)/K$765</f>
        <v>-0.75859266061649311</v>
      </c>
      <c r="L571" s="12">
        <f>(INDEX(Proj[],MATCH(Std[[#This Row],[Player]],Proj[Player],0),19)-L$764)/L$765</f>
        <v>-0.81647589674950882</v>
      </c>
      <c r="M571" s="12">
        <f>(INDEX(Proj[],MATCH(Std[[#This Row],[Player]],Proj[Player],0),20)-M$764)/M$765</f>
        <v>0.31240082183847029</v>
      </c>
      <c r="N571" s="12">
        <f>(INDEX(Proj[],MATCH(Std[[#This Row],[Player]],Proj[Player],0),21)-N$764)/N$765</f>
        <v>0.72223517512911728</v>
      </c>
      <c r="O571" s="12">
        <f>(INDEX(Proj[],MATCH(Std[[#This Row],[Player]],Proj[Player],0),22)-O$764)/O$765</f>
        <v>-0.38188019267463208</v>
      </c>
      <c r="P571" s="12">
        <f>((INDEX(Proj[],MATCH(Std[[#This Row],[Player]],Proj[Player],0),23)-P$764)/P$765)*IF('League Inputs'!$C$23 = "Yes",-1, 1)</f>
        <v>-6.9655556234629226E-2</v>
      </c>
      <c r="Q571" s="12">
        <f>(INDEX(Proj[],MATCH(Std[[#This Row],[Player]],Proj[Player],0),24)-Q$764)/Q$765</f>
        <v>1.3583323840597519</v>
      </c>
      <c r="R571" s="12">
        <f>(INDEX(Proj[],MATCH(Std[[#This Row],[Player]],Proj[Player],0),25)-R$764)/R$765</f>
        <v>1.1112708070343633</v>
      </c>
      <c r="S571" s="12">
        <f>(INDEX(Proj[],MATCH(Std[[#This Row],[Player]],Proj[Player],0),26)-S$764)/S$765</f>
        <v>-0.94263908851003508</v>
      </c>
      <c r="T5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-216.89255380356173</v>
      </c>
      <c r="U571" s="11"/>
      <c r="W571" t="str">
        <v>John Beecher</v>
      </c>
      <c r="AA571" t="str">
        <v>John Beecher</v>
      </c>
      <c r="AB571" t="str">
        <v>John Beecher</v>
      </c>
    </row>
    <row r="572" spans="1:28" x14ac:dyDescent="0.25">
      <c r="A572" t="s">
        <v>637</v>
      </c>
      <c r="B572">
        <f>INDEX(Proj[],MATCH(Std[[#This Row],[Player]],Proj[Player],0),2)</f>
        <v>26</v>
      </c>
      <c r="C572" t="s">
        <v>3</v>
      </c>
      <c r="D572" s="75"/>
      <c r="E572" s="57"/>
      <c r="F572" t="s">
        <v>28</v>
      </c>
      <c r="G572" s="12">
        <f>(INDEX(Proj[],MATCH(Std[[#This Row],[Player]],Proj[Player],0),14)-G$764)/G$765</f>
        <v>-0.34558365010818687</v>
      </c>
      <c r="H572" s="12">
        <f>(INDEX(Proj[],MATCH(Std[[#This Row],[Player]],Proj[Player],0),15)-H$764)/H$765</f>
        <v>-0.96078590145269582</v>
      </c>
      <c r="I572" s="12">
        <f>(INDEX(Proj[],MATCH(Std[[#This Row],[Player]],Proj[Player],0),16)-I$764)/I$765</f>
        <v>-0.76357741326429895</v>
      </c>
      <c r="J572" s="12">
        <f>(INDEX(Proj[],MATCH(Std[[#This Row],[Player]],Proj[Player],0),17)-J$764)/J$765</f>
        <v>-0.76105581014900237</v>
      </c>
      <c r="K572" s="12">
        <f>(INDEX(Proj[],MATCH(Std[[#This Row],[Player]],Proj[Player],0),18)-K$764)/K$765</f>
        <v>-0.75859266061649311</v>
      </c>
      <c r="L572" s="12">
        <f>(INDEX(Proj[],MATCH(Std[[#This Row],[Player]],Proj[Player],0),19)-L$764)/L$765</f>
        <v>-0.81647589674950882</v>
      </c>
      <c r="M572" s="12">
        <f>(INDEX(Proj[],MATCH(Std[[#This Row],[Player]],Proj[Player],0),20)-M$764)/M$765</f>
        <v>0.31240082183847029</v>
      </c>
      <c r="N572" s="12">
        <f>(INDEX(Proj[],MATCH(Std[[#This Row],[Player]],Proj[Player],0),21)-N$764)/N$765</f>
        <v>0.93541224196095141</v>
      </c>
      <c r="O572" s="12">
        <f>(INDEX(Proj[],MATCH(Std[[#This Row],[Player]],Proj[Player],0),22)-O$764)/O$765</f>
        <v>-0.68368823608404627</v>
      </c>
      <c r="P572" s="12">
        <f>((INDEX(Proj[],MATCH(Std[[#This Row],[Player]],Proj[Player],0),23)-P$764)/P$765)*IF('League Inputs'!$C$23 = "Yes",-1, 1)</f>
        <v>-0.53505329921821387</v>
      </c>
      <c r="Q572" s="12">
        <f>(INDEX(Proj[],MATCH(Std[[#This Row],[Player]],Proj[Player],0),24)-Q$764)/Q$765</f>
        <v>-0.48066273916635632</v>
      </c>
      <c r="R572" s="12">
        <f>(INDEX(Proj[],MATCH(Std[[#This Row],[Player]],Proj[Player],0),25)-R$764)/R$765</f>
        <v>-0.53451344080231034</v>
      </c>
      <c r="S572" s="12">
        <f>(INDEX(Proj[],MATCH(Std[[#This Row],[Player]],Proj[Player],0),26)-S$764)/S$765</f>
        <v>-3.4392223985428086E-2</v>
      </c>
      <c r="T5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-368.48071180677829</v>
      </c>
      <c r="U572" s="11"/>
      <c r="W572" t="str">
        <v>Noah Gregor</v>
      </c>
      <c r="AA572" t="str">
        <v>Noah Gregor</v>
      </c>
      <c r="AB572" t="str">
        <v>Noah Gregor</v>
      </c>
    </row>
    <row r="573" spans="1:28" x14ac:dyDescent="0.25">
      <c r="A573" t="s">
        <v>732</v>
      </c>
      <c r="B573">
        <f>INDEX(Proj[],MATCH(Std[[#This Row],[Player]],Proj[Player],0),2)</f>
        <v>38</v>
      </c>
      <c r="C573" t="s">
        <v>3</v>
      </c>
      <c r="D573" s="75"/>
      <c r="E573" s="57"/>
      <c r="F573" t="s">
        <v>153</v>
      </c>
      <c r="G573" s="12">
        <f>(INDEX(Proj[],MATCH(Std[[#This Row],[Player]],Proj[Player],0),14)-G$764)/G$765</f>
        <v>-0.45121751886595246</v>
      </c>
      <c r="H573" s="12">
        <f>(INDEX(Proj[],MATCH(Std[[#This Row],[Player]],Proj[Player],0),15)-H$764)/H$765</f>
        <v>-0.88625663446443059</v>
      </c>
      <c r="I573" s="12">
        <f>(INDEX(Proj[],MATCH(Std[[#This Row],[Player]],Proj[Player],0),16)-I$764)/I$765</f>
        <v>-0.76357741326429895</v>
      </c>
      <c r="J573" s="12">
        <f>(INDEX(Proj[],MATCH(Std[[#This Row],[Player]],Proj[Player],0),17)-J$764)/J$765</f>
        <v>-0.76105581014900237</v>
      </c>
      <c r="K573" s="12">
        <f>(INDEX(Proj[],MATCH(Std[[#This Row],[Player]],Proj[Player],0),18)-K$764)/K$765</f>
        <v>-0.75859266061649311</v>
      </c>
      <c r="L573" s="12">
        <f>(INDEX(Proj[],MATCH(Std[[#This Row],[Player]],Proj[Player],0),19)-L$764)/L$765</f>
        <v>-0.81647589674950882</v>
      </c>
      <c r="M573" s="12">
        <f>(INDEX(Proj[],MATCH(Std[[#This Row],[Player]],Proj[Player],0),20)-M$764)/M$765</f>
        <v>1.3378904761343182</v>
      </c>
      <c r="N573" s="12">
        <f>(INDEX(Proj[],MATCH(Std[[#This Row],[Player]],Proj[Player],0),21)-N$764)/N$765</f>
        <v>0.33464050816214591</v>
      </c>
      <c r="O573" s="12">
        <f>(INDEX(Proj[],MATCH(Std[[#This Row],[Player]],Proj[Player],0),22)-O$764)/O$765</f>
        <v>-0.33544818599626064</v>
      </c>
      <c r="P573" s="12">
        <f>((INDEX(Proj[],MATCH(Std[[#This Row],[Player]],Proj[Player],0),23)-P$764)/P$765)*IF('League Inputs'!$C$23 = "Yes",-1, 1)</f>
        <v>-0.90737149360508162</v>
      </c>
      <c r="Q573" s="12">
        <f>(INDEX(Proj[],MATCH(Std[[#This Row],[Player]],Proj[Player],0),24)-Q$764)/Q$765</f>
        <v>5.7709746183895586E-2</v>
      </c>
      <c r="R573" s="12">
        <f>(INDEX(Proj[],MATCH(Std[[#This Row],[Player]],Proj[Player],0),25)-R$764)/R$765</f>
        <v>0.28837868311602644</v>
      </c>
      <c r="S573" s="12">
        <f>(INDEX(Proj[],MATCH(Std[[#This Row],[Player]],Proj[Player],0),26)-S$764)/S$765</f>
        <v>1.4263858042675865E-2</v>
      </c>
      <c r="T5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-375.37330305568162</v>
      </c>
      <c r="U573" s="11"/>
      <c r="W573" t="str">
        <v>Trevor Lewis</v>
      </c>
      <c r="AA573" t="str">
        <v>Trevor Lewis</v>
      </c>
      <c r="AB573" t="str">
        <v>Trevor Lewis</v>
      </c>
    </row>
    <row r="574" spans="1:28" x14ac:dyDescent="0.25">
      <c r="A574" t="s">
        <v>809</v>
      </c>
      <c r="B574">
        <f>INDEX(Proj[],MATCH(Std[[#This Row],[Player]],Proj[Player],0),2)</f>
        <v>29</v>
      </c>
      <c r="C574" t="s">
        <v>102</v>
      </c>
      <c r="D574" s="75" t="s">
        <v>103</v>
      </c>
      <c r="E574" s="56"/>
      <c r="F574" t="s">
        <v>14</v>
      </c>
      <c r="G574" s="12">
        <f>(INDEX(Proj[],MATCH(Std[[#This Row],[Player]],Proj[Player],0),14)-G$764)/G$765</f>
        <v>-0.55685138762371811</v>
      </c>
      <c r="H574" s="12">
        <f>(INDEX(Proj[],MATCH(Std[[#This Row],[Player]],Proj[Player],0),15)-H$764)/H$765</f>
        <v>-0.81172736747616536</v>
      </c>
      <c r="I574" s="12">
        <f>(INDEX(Proj[],MATCH(Std[[#This Row],[Player]],Proj[Player],0),16)-I$764)/I$765</f>
        <v>-0.76357741326429895</v>
      </c>
      <c r="J574" s="12">
        <f>(INDEX(Proj[],MATCH(Std[[#This Row],[Player]],Proj[Player],0),17)-J$764)/J$765</f>
        <v>-0.76105581014900237</v>
      </c>
      <c r="K574" s="12">
        <f>(INDEX(Proj[],MATCH(Std[[#This Row],[Player]],Proj[Player],0),18)-K$764)/K$765</f>
        <v>-0.75859266061649311</v>
      </c>
      <c r="L574" s="12">
        <f>(INDEX(Proj[],MATCH(Std[[#This Row],[Player]],Proj[Player],0),19)-L$764)/L$765</f>
        <v>-0.81647589674950882</v>
      </c>
      <c r="M574" s="12">
        <f>(INDEX(Proj[],MATCH(Std[[#This Row],[Player]],Proj[Player],0),20)-M$764)/M$765</f>
        <v>-0.71308883245737775</v>
      </c>
      <c r="N574" s="12">
        <f>(INDEX(Proj[],MATCH(Std[[#This Row],[Player]],Proj[Player],0),21)-N$764)/N$765</f>
        <v>0.31526077481379738</v>
      </c>
      <c r="O574" s="12">
        <f>(INDEX(Proj[],MATCH(Std[[#This Row],[Player]],Proj[Player],0),22)-O$764)/O$765</f>
        <v>-1.031928286171832</v>
      </c>
      <c r="P574" s="12">
        <f>((INDEX(Proj[],MATCH(Std[[#This Row],[Player]],Proj[Player],0),23)-P$764)/P$765)*IF('League Inputs'!$C$23 = "Yes",-1, 1)</f>
        <v>-1.0004510422017985</v>
      </c>
      <c r="Q574" s="12">
        <f>(INDEX(Proj[],MATCH(Std[[#This Row],[Player]],Proj[Player],0),24)-Q$764)/Q$765</f>
        <v>-0.5392973662837105</v>
      </c>
      <c r="R574" s="12">
        <f>(INDEX(Proj[],MATCH(Std[[#This Row],[Player]],Proj[Player],0),25)-R$764)/R$765</f>
        <v>-0.57991438557021857</v>
      </c>
      <c r="S574" s="12">
        <f>(INDEX(Proj[],MATCH(Std[[#This Row],[Player]],Proj[Player],0),26)-S$764)/S$765</f>
        <v>-0.73179606638825134</v>
      </c>
      <c r="T5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-593.68440513454857</v>
      </c>
      <c r="U574" s="11"/>
      <c r="W574" t="str">
        <v>Eric Robinson</v>
      </c>
      <c r="AA574" t="str">
        <v>Eric Robinson</v>
      </c>
      <c r="AB574" t="str">
        <v>Eric Robinson</v>
      </c>
    </row>
    <row r="575" spans="1:28" x14ac:dyDescent="0.25">
      <c r="A575" t="s">
        <v>485</v>
      </c>
      <c r="B575">
        <f>INDEX(Proj[],MATCH(Std[[#This Row],[Player]],Proj[Player],0),2)</f>
        <v>28</v>
      </c>
      <c r="C575" t="s">
        <v>3</v>
      </c>
      <c r="D575" s="75"/>
      <c r="E575" s="57"/>
      <c r="F575" t="s">
        <v>16</v>
      </c>
      <c r="G575" s="12">
        <f>(INDEX(Proj[],MATCH(Std[[#This Row],[Player]],Proj[Player],0),14)-G$764)/G$765</f>
        <v>-0.23994978135042122</v>
      </c>
      <c r="H575" s="12">
        <f>(INDEX(Proj[],MATCH(Std[[#This Row],[Player]],Proj[Player],0),15)-H$764)/H$765</f>
        <v>-1.0353151684409609</v>
      </c>
      <c r="I575" s="12">
        <f>(INDEX(Proj[],MATCH(Std[[#This Row],[Player]],Proj[Player],0),16)-I$764)/I$765</f>
        <v>-0.76357741326429895</v>
      </c>
      <c r="J575" s="12">
        <f>(INDEX(Proj[],MATCH(Std[[#This Row],[Player]],Proj[Player],0),17)-J$764)/J$765</f>
        <v>0.12203405152491688</v>
      </c>
      <c r="K575" s="12">
        <f>(INDEX(Proj[],MATCH(Std[[#This Row],[Player]],Proj[Player],0),18)-K$764)/K$765</f>
        <v>-0.75859266061649311</v>
      </c>
      <c r="L575" s="12">
        <f>(INDEX(Proj[],MATCH(Std[[#This Row],[Player]],Proj[Player],0),19)-L$764)/L$765</f>
        <v>-0.49026000221120619</v>
      </c>
      <c r="M575" s="12">
        <f>(INDEX(Proj[],MATCH(Std[[#This Row],[Player]],Proj[Player],0),20)-M$764)/M$765</f>
        <v>-0.71308883245737775</v>
      </c>
      <c r="N575" s="12">
        <f>(INDEX(Proj[],MATCH(Std[[#This Row],[Player]],Proj[Player],0),21)-N$764)/N$765</f>
        <v>-1.2738773597507851</v>
      </c>
      <c r="O575" s="12">
        <f>(INDEX(Proj[],MATCH(Std[[#This Row],[Player]],Proj[Player],0),22)-O$764)/O$765</f>
        <v>-1.2408723162245034</v>
      </c>
      <c r="P575" s="12">
        <f>((INDEX(Proj[],MATCH(Std[[#This Row],[Player]],Proj[Player],0),23)-P$764)/P$765)*IF('League Inputs'!$C$23 = "Yes",-1, 1)</f>
        <v>-1.0469908165001569</v>
      </c>
      <c r="Q575" s="12">
        <f>(INDEX(Proj[],MATCH(Std[[#This Row],[Player]],Proj[Player],0),24)-Q$764)/Q$765</f>
        <v>-0.5392973662837105</v>
      </c>
      <c r="R575" s="12">
        <f>(INDEX(Proj[],MATCH(Std[[#This Row],[Player]],Proj[Player],0),25)-R$764)/R$765</f>
        <v>-0.47776225984242504</v>
      </c>
      <c r="S575" s="12">
        <f>(INDEX(Proj[],MATCH(Std[[#This Row],[Player]],Proj[Player],0),26)-S$764)/S$765</f>
        <v>-0.61826520832267551</v>
      </c>
      <c r="T5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-724.8405432348718</v>
      </c>
      <c r="U575" s="11"/>
      <c r="W575" t="str">
        <v>Jakub Vrana</v>
      </c>
      <c r="AA575" t="str">
        <v>Jakub Vrana</v>
      </c>
      <c r="AB575" t="str">
        <v>Jakub Vrana</v>
      </c>
    </row>
    <row r="576" spans="1:28" x14ac:dyDescent="0.25">
      <c r="A576" t="s">
        <v>985</v>
      </c>
      <c r="B576">
        <f>INDEX(Proj[],MATCH(Std[[#This Row],[Player]],Proj[Player],0),2)</f>
        <v>31</v>
      </c>
      <c r="C576" t="s">
        <v>3</v>
      </c>
      <c r="D576" s="75"/>
      <c r="E576" s="57"/>
      <c r="F576" t="s">
        <v>7</v>
      </c>
      <c r="G576" s="12">
        <f>(INDEX(Proj[],MATCH(Std[[#This Row],[Player]],Proj[Player],0),14)-G$764)/G$765</f>
        <v>-0.55685138762371811</v>
      </c>
      <c r="H576" s="12">
        <f>(INDEX(Proj[],MATCH(Std[[#This Row],[Player]],Proj[Player],0),15)-H$764)/H$765</f>
        <v>-0.81172736747616536</v>
      </c>
      <c r="I576" s="12">
        <f>(INDEX(Proj[],MATCH(Std[[#This Row],[Player]],Proj[Player],0),16)-I$764)/I$765</f>
        <v>-0.76357741326429895</v>
      </c>
      <c r="J576" s="12">
        <f>(INDEX(Proj[],MATCH(Std[[#This Row],[Player]],Proj[Player],0),17)-J$764)/J$765</f>
        <v>-0.17232923569972286</v>
      </c>
      <c r="K576" s="12">
        <f>(INDEX(Proj[],MATCH(Std[[#This Row],[Player]],Proj[Player],0),18)-K$764)/K$765</f>
        <v>-0.29633482464760502</v>
      </c>
      <c r="L576" s="12">
        <f>(INDEX(Proj[],MATCH(Std[[#This Row],[Player]],Proj[Player],0),19)-L$764)/L$765</f>
        <v>-0.27278273918567114</v>
      </c>
      <c r="M576" s="12">
        <f>(INDEX(Proj[],MATCH(Std[[#This Row],[Player]],Proj[Player],0),20)-M$764)/M$765</f>
        <v>-0.71308883245737775</v>
      </c>
      <c r="N576" s="12">
        <f>(INDEX(Proj[],MATCH(Std[[#This Row],[Player]],Proj[Player],0),21)-N$764)/N$765</f>
        <v>-0.94442189282885936</v>
      </c>
      <c r="O576" s="12">
        <f>(INDEX(Proj[],MATCH(Std[[#This Row],[Player]],Proj[Player],0),22)-O$764)/O$765</f>
        <v>-0.96228027615427481</v>
      </c>
      <c r="P576" s="12">
        <f>((INDEX(Proj[],MATCH(Std[[#This Row],[Player]],Proj[Player],0),23)-P$764)/P$765)*IF('League Inputs'!$C$23 = "Yes",-1, 1)</f>
        <v>-0.72121239641164769</v>
      </c>
      <c r="Q576" s="12">
        <f>(INDEX(Proj[],MATCH(Std[[#This Row],[Player]],Proj[Player],0),24)-Q$764)/Q$765</f>
        <v>0.32956119918253762</v>
      </c>
      <c r="R576" s="12">
        <f>(INDEX(Proj[],MATCH(Std[[#This Row],[Player]],Proj[Player],0),25)-R$764)/R$765</f>
        <v>0.31675427359596908</v>
      </c>
      <c r="S576" s="12">
        <f>(INDEX(Proj[],MATCH(Std[[#This Row],[Player]],Proj[Player],0),26)-S$764)/S$765</f>
        <v>-0.31011002214468381</v>
      </c>
      <c r="T5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-501.34022959067812</v>
      </c>
      <c r="U576" s="11"/>
      <c r="W576" t="str">
        <v>Jonny Brodzinski</v>
      </c>
      <c r="AA576" t="str">
        <v>Jonny Brodzinski</v>
      </c>
      <c r="AB576" t="str">
        <v>Jonny Brodzinski</v>
      </c>
    </row>
    <row r="577" spans="1:28" x14ac:dyDescent="0.25">
      <c r="A577" t="s">
        <v>763</v>
      </c>
      <c r="B577">
        <f>INDEX(Proj[],MATCH(Std[[#This Row],[Player]],Proj[Player],0),2)</f>
        <v>25</v>
      </c>
      <c r="C577" t="s">
        <v>3</v>
      </c>
      <c r="D577" s="75"/>
      <c r="E577" s="56"/>
      <c r="F577" t="s">
        <v>155</v>
      </c>
      <c r="G577" s="12">
        <f>(INDEX(Proj[],MATCH(Std[[#This Row],[Player]],Proj[Player],0),14)-G$764)/G$765</f>
        <v>-0.55685138762371811</v>
      </c>
      <c r="H577" s="12">
        <f>(INDEX(Proj[],MATCH(Std[[#This Row],[Player]],Proj[Player],0),15)-H$764)/H$765</f>
        <v>-0.81172736747616536</v>
      </c>
      <c r="I577" s="12">
        <f>(INDEX(Proj[],MATCH(Std[[#This Row],[Player]],Proj[Player],0),16)-I$764)/I$765</f>
        <v>-0.76357741326429895</v>
      </c>
      <c r="J577" s="12">
        <f>(INDEX(Proj[],MATCH(Std[[#This Row],[Player]],Proj[Player],0),17)-J$764)/J$765</f>
        <v>-0.76105581014900237</v>
      </c>
      <c r="K577" s="12">
        <f>(INDEX(Proj[],MATCH(Std[[#This Row],[Player]],Proj[Player],0),18)-K$764)/K$765</f>
        <v>-0.75859266061649311</v>
      </c>
      <c r="L577" s="12">
        <f>(INDEX(Proj[],MATCH(Std[[#This Row],[Player]],Proj[Player],0),19)-L$764)/L$765</f>
        <v>-0.81647589674950882</v>
      </c>
      <c r="M577" s="12">
        <f>(INDEX(Proj[],MATCH(Std[[#This Row],[Player]],Proj[Player],0),20)-M$764)/M$765</f>
        <v>0.31240082183847029</v>
      </c>
      <c r="N577" s="12">
        <f>(INDEX(Proj[],MATCH(Std[[#This Row],[Player]],Proj[Player],0),21)-N$764)/N$765</f>
        <v>-0.47930829246849382</v>
      </c>
      <c r="O577" s="12">
        <f>(INDEX(Proj[],MATCH(Std[[#This Row],[Player]],Proj[Player],0),22)-O$764)/O$765</f>
        <v>-0.42831219935300352</v>
      </c>
      <c r="P577" s="12">
        <f>((INDEX(Proj[],MATCH(Std[[#This Row],[Player]],Proj[Player],0),23)-P$764)/P$765)*IF('League Inputs'!$C$23 = "Yes",-1, 1)</f>
        <v>-1.4193090108870248</v>
      </c>
      <c r="Q577" s="12">
        <f>(INDEX(Proj[],MATCH(Std[[#This Row],[Player]],Proj[Player],0),24)-Q$764)/Q$765</f>
        <v>0.80929905741543551</v>
      </c>
      <c r="R577" s="12">
        <f>(INDEX(Proj[],MATCH(Std[[#This Row],[Player]],Proj[Player],0),25)-R$764)/R$765</f>
        <v>1.173697106090237</v>
      </c>
      <c r="S577" s="12">
        <f>(INDEX(Proj[],MATCH(Std[[#This Row],[Player]],Proj[Player],0),26)-S$764)/S$765</f>
        <v>-1.0237325585568751</v>
      </c>
      <c r="T5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-548.99950689636535</v>
      </c>
      <c r="U577" s="11"/>
      <c r="W577" t="str">
        <v>Isac Lundestrom</v>
      </c>
      <c r="AA577" t="str">
        <v>Isac Lundestrom</v>
      </c>
      <c r="AB577" t="str">
        <v>Isac Lundestrom</v>
      </c>
    </row>
    <row r="578" spans="1:28" x14ac:dyDescent="0.25">
      <c r="A578" t="s">
        <v>792</v>
      </c>
      <c r="B578">
        <f>INDEX(Proj[],MATCH(Std[[#This Row],[Player]],Proj[Player],0),2)</f>
        <v>38</v>
      </c>
      <c r="C578" t="s">
        <v>3</v>
      </c>
      <c r="D578" s="75"/>
      <c r="E578" s="57"/>
      <c r="F578" t="s">
        <v>16</v>
      </c>
      <c r="G578" s="12">
        <f>(INDEX(Proj[],MATCH(Std[[#This Row],[Player]],Proj[Player],0),14)-G$764)/G$765</f>
        <v>-0.55685138762371811</v>
      </c>
      <c r="H578" s="12">
        <f>(INDEX(Proj[],MATCH(Std[[#This Row],[Player]],Proj[Player],0),15)-H$764)/H$765</f>
        <v>-0.81172736747616536</v>
      </c>
      <c r="I578" s="12">
        <f>(INDEX(Proj[],MATCH(Std[[#This Row],[Player]],Proj[Player],0),16)-I$764)/I$765</f>
        <v>-0.76357741326429895</v>
      </c>
      <c r="J578" s="12">
        <f>(INDEX(Proj[],MATCH(Std[[#This Row],[Player]],Proj[Player],0),17)-J$764)/J$765</f>
        <v>-0.76105581014900237</v>
      </c>
      <c r="K578" s="12">
        <f>(INDEX(Proj[],MATCH(Std[[#This Row],[Player]],Proj[Player],0),18)-K$764)/K$765</f>
        <v>-0.75859266061649311</v>
      </c>
      <c r="L578" s="12">
        <f>(INDEX(Proj[],MATCH(Std[[#This Row],[Player]],Proj[Player],0),19)-L$764)/L$765</f>
        <v>-0.81647589674950882</v>
      </c>
      <c r="M578" s="12">
        <f>(INDEX(Proj[],MATCH(Std[[#This Row],[Player]],Proj[Player],0),20)-M$764)/M$765</f>
        <v>1.3378904761343182</v>
      </c>
      <c r="N578" s="12">
        <f>(INDEX(Proj[],MATCH(Std[[#This Row],[Player]],Proj[Player],0),21)-N$764)/N$765</f>
        <v>-0.57620695921023668</v>
      </c>
      <c r="O578" s="12">
        <f>(INDEX(Proj[],MATCH(Std[[#This Row],[Player]],Proj[Player],0),22)-O$764)/O$765</f>
        <v>-0.66047223274486055</v>
      </c>
      <c r="P578" s="12">
        <f>((INDEX(Proj[],MATCH(Std[[#This Row],[Player]],Proj[Player],0),23)-P$764)/P$765)*IF('League Inputs'!$C$23 = "Yes",-1, 1)</f>
        <v>-1.0469908165001569</v>
      </c>
      <c r="Q578" s="12">
        <f>(INDEX(Proj[],MATCH(Std[[#This Row],[Player]],Proj[Player],0),24)-Q$764)/Q$765</f>
        <v>0.66004727929853391</v>
      </c>
      <c r="R578" s="12">
        <f>(INDEX(Proj[],MATCH(Std[[#This Row],[Player]],Proj[Player],0),25)-R$764)/R$765</f>
        <v>0.44728198980370526</v>
      </c>
      <c r="S578" s="12">
        <f>(INDEX(Proj[],MATCH(Std[[#This Row],[Player]],Proj[Player],0),26)-S$764)/S$765</f>
        <v>-0.95885778251940312</v>
      </c>
      <c r="T5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-553.11125767898147</v>
      </c>
      <c r="U578" s="11"/>
      <c r="W578" t="str">
        <v>Derek Ryan</v>
      </c>
      <c r="AA578" t="str">
        <v>Derek Ryan</v>
      </c>
      <c r="AB578" t="str">
        <v>Derek Ryan</v>
      </c>
    </row>
    <row r="579" spans="1:28" x14ac:dyDescent="0.25">
      <c r="A579" t="s">
        <v>424</v>
      </c>
      <c r="B579">
        <f>INDEX(Proj[],MATCH(Std[[#This Row],[Player]],Proj[Player],0),2)</f>
        <v>32</v>
      </c>
      <c r="C579" t="s">
        <v>74</v>
      </c>
      <c r="D579" s="75" t="s">
        <v>102</v>
      </c>
      <c r="E579" s="57" t="s">
        <v>103</v>
      </c>
      <c r="F579" t="s">
        <v>21</v>
      </c>
      <c r="G579" s="12">
        <f>(INDEX(Proj[],MATCH(Std[[#This Row],[Player]],Proj[Player],0),14)-G$764)/G$765</f>
        <v>-0.9793868626547807</v>
      </c>
      <c r="H579" s="12">
        <f>(INDEX(Proj[],MATCH(Std[[#This Row],[Player]],Proj[Player],0),15)-H$764)/H$765</f>
        <v>-0.58813956651136978</v>
      </c>
      <c r="I579" s="12">
        <f>(INDEX(Proj[],MATCH(Std[[#This Row],[Player]],Proj[Player],0),16)-I$764)/I$765</f>
        <v>-0.81081997222640212</v>
      </c>
      <c r="J579" s="12">
        <f>(INDEX(Proj[],MATCH(Std[[#This Row],[Player]],Proj[Player],0),17)-J$764)/J$765</f>
        <v>-0.76105581014900237</v>
      </c>
      <c r="K579" s="12">
        <f>(INDEX(Proj[],MATCH(Std[[#This Row],[Player]],Proj[Player],0),18)-K$764)/K$765</f>
        <v>-0.75859266061649311</v>
      </c>
      <c r="L579" s="12">
        <f>(INDEX(Proj[],MATCH(Std[[#This Row],[Player]],Proj[Player],0),19)-L$764)/L$765</f>
        <v>-0.81647589674950882</v>
      </c>
      <c r="M579" s="12">
        <f>(INDEX(Proj[],MATCH(Std[[#This Row],[Player]],Proj[Player],0),20)-M$764)/M$765</f>
        <v>-0.71308883245737775</v>
      </c>
      <c r="N579" s="12">
        <f>(INDEX(Proj[],MATCH(Std[[#This Row],[Player]],Proj[Player],0),21)-N$764)/N$765</f>
        <v>0.45091890825223735</v>
      </c>
      <c r="O579" s="12">
        <f>(INDEX(Proj[],MATCH(Std[[#This Row],[Player]],Proj[Player],0),22)-O$764)/O$765</f>
        <v>2.6594162447586962</v>
      </c>
      <c r="P579" s="12">
        <f>((INDEX(Proj[],MATCH(Std[[#This Row],[Player]],Proj[Player],0),23)-P$764)/P$765)*IF('League Inputs'!$C$23 = "Yes",-1, 1)</f>
        <v>1.2334581241194078</v>
      </c>
      <c r="Q579" s="12">
        <f>(INDEX(Proj[],MATCH(Std[[#This Row],[Player]],Proj[Player],0),24)-Q$764)/Q$765</f>
        <v>-0.5766103108129359</v>
      </c>
      <c r="R579" s="12">
        <f>(INDEX(Proj[],MATCH(Std[[#This Row],[Player]],Proj[Player],0),25)-R$764)/R$765</f>
        <v>-0.62531533033812681</v>
      </c>
      <c r="S579" s="12">
        <f>(INDEX(Proj[],MATCH(Std[[#This Row],[Player]],Proj[Player],0),26)-S$764)/S$765</f>
        <v>-0.65070259634141148</v>
      </c>
      <c r="T5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-7.8341928166067776</v>
      </c>
      <c r="U579" s="11"/>
      <c r="W579" t="str">
        <v>Scott Mayfield</v>
      </c>
      <c r="AA579" t="str">
        <v>Scott Mayfield</v>
      </c>
      <c r="AB579" t="str">
        <v>Scott Mayfield</v>
      </c>
    </row>
    <row r="580" spans="1:28" x14ac:dyDescent="0.25">
      <c r="A580" t="s">
        <v>383</v>
      </c>
      <c r="B580">
        <f>INDEX(Proj[],MATCH(Std[[#This Row],[Player]],Proj[Player],0),2)</f>
        <v>27</v>
      </c>
      <c r="C580" t="s">
        <v>102</v>
      </c>
      <c r="D580" s="75" t="s">
        <v>103</v>
      </c>
      <c r="E580" s="57"/>
      <c r="F580" t="s">
        <v>32</v>
      </c>
      <c r="G580" s="12">
        <f>(INDEX(Proj[],MATCH(Std[[#This Row],[Player]],Proj[Player],0),14)-G$764)/G$765</f>
        <v>-1.0850207314125464</v>
      </c>
      <c r="H580" s="12">
        <f>(INDEX(Proj[],MATCH(Std[[#This Row],[Player]],Proj[Player],0),15)-H$764)/H$765</f>
        <v>-0.51361029952310455</v>
      </c>
      <c r="I580" s="12">
        <f>(INDEX(Proj[],MATCH(Std[[#This Row],[Player]],Proj[Player],0),16)-I$764)/I$765</f>
        <v>-0.81081997222640212</v>
      </c>
      <c r="J580" s="12">
        <f>(INDEX(Proj[],MATCH(Std[[#This Row],[Player]],Proj[Player],0),17)-J$764)/J$765</f>
        <v>-0.76105581014900237</v>
      </c>
      <c r="K580" s="12">
        <f>(INDEX(Proj[],MATCH(Std[[#This Row],[Player]],Proj[Player],0),18)-K$764)/K$765</f>
        <v>-0.75859266061649311</v>
      </c>
      <c r="L580" s="12">
        <f>(INDEX(Proj[],MATCH(Std[[#This Row],[Player]],Proj[Player],0),19)-L$764)/L$765</f>
        <v>-0.81647589674950882</v>
      </c>
      <c r="M580" s="12">
        <f>(INDEX(Proj[],MATCH(Std[[#This Row],[Player]],Proj[Player],0),20)-M$764)/M$765</f>
        <v>0.31240082183847029</v>
      </c>
      <c r="N580" s="12">
        <f>(INDEX(Proj[],MATCH(Std[[#This Row],[Player]],Proj[Player],0),21)-N$764)/N$765</f>
        <v>2.1369557095585625</v>
      </c>
      <c r="O580" s="12">
        <f>(INDEX(Proj[],MATCH(Std[[#This Row],[Player]],Proj[Player],0),22)-O$764)/O$765</f>
        <v>1.220024037729182</v>
      </c>
      <c r="P580" s="12">
        <f>((INDEX(Proj[],MATCH(Std[[#This Row],[Player]],Proj[Player],0),23)-P$764)/P$765)*IF('League Inputs'!$C$23 = "Yes",-1, 1)</f>
        <v>0.86113992973254005</v>
      </c>
      <c r="Q580" s="12">
        <f>(INDEX(Proj[],MATCH(Std[[#This Row],[Player]],Proj[Player],0),24)-Q$764)/Q$765</f>
        <v>-0.5766103108129359</v>
      </c>
      <c r="R580" s="12">
        <f>(INDEX(Proj[],MATCH(Std[[#This Row],[Player]],Proj[Player],0),25)-R$764)/R$765</f>
        <v>-0.62531533033812681</v>
      </c>
      <c r="S580" s="12">
        <f>(INDEX(Proj[],MATCH(Std[[#This Row],[Player]],Proj[Player],0),26)-S$764)/S$765</f>
        <v>-0.79667084242572328</v>
      </c>
      <c r="T5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-38.108837612993653</v>
      </c>
      <c r="U580" s="11"/>
      <c r="W580" t="str">
        <v>Erik Cernak</v>
      </c>
      <c r="AA580" t="str">
        <v>Erik Cernak</v>
      </c>
      <c r="AB580" t="str">
        <v>Erik Cernak</v>
      </c>
    </row>
    <row r="581" spans="1:28" x14ac:dyDescent="0.25">
      <c r="A581" t="s">
        <v>342</v>
      </c>
      <c r="B581">
        <f>INDEX(Proj[],MATCH(Std[[#This Row],[Player]],Proj[Player],0),2)</f>
        <v>30</v>
      </c>
      <c r="C581" t="s">
        <v>3</v>
      </c>
      <c r="D581" s="75"/>
      <c r="E581" s="56"/>
      <c r="F581" t="s">
        <v>154</v>
      </c>
      <c r="G581" s="12">
        <f>(INDEX(Proj[],MATCH(Std[[#This Row],[Player]],Proj[Player],0),14)-G$764)/G$765</f>
        <v>-0.7681191251392494</v>
      </c>
      <c r="H581" s="12">
        <f>(INDEX(Proj[],MATCH(Std[[#This Row],[Player]],Proj[Player],0),15)-H$764)/H$765</f>
        <v>-0.73719810048790013</v>
      </c>
      <c r="I581" s="12">
        <f>(INDEX(Proj[],MATCH(Std[[#This Row],[Player]],Proj[Player],0),16)-I$764)/I$765</f>
        <v>-0.81081997222640212</v>
      </c>
      <c r="J581" s="12">
        <f>(INDEX(Proj[],MATCH(Std[[#This Row],[Player]],Proj[Player],0),17)-J$764)/J$765</f>
        <v>-0.76105581014900237</v>
      </c>
      <c r="K581" s="12">
        <f>(INDEX(Proj[],MATCH(Std[[#This Row],[Player]],Proj[Player],0),18)-K$764)/K$765</f>
        <v>-0.75859266061649311</v>
      </c>
      <c r="L581" s="12">
        <f>(INDEX(Proj[],MATCH(Std[[#This Row],[Player]],Proj[Player],0),19)-L$764)/L$765</f>
        <v>-0.81647589674950882</v>
      </c>
      <c r="M581" s="12">
        <f>(INDEX(Proj[],MATCH(Std[[#This Row],[Player]],Proj[Player],0),20)-M$764)/M$765</f>
        <v>-0.71308883245737775</v>
      </c>
      <c r="N581" s="12">
        <f>(INDEX(Proj[],MATCH(Std[[#This Row],[Player]],Proj[Player],0),21)-N$764)/N$765</f>
        <v>1.3036271755795743</v>
      </c>
      <c r="O581" s="12">
        <f>(INDEX(Proj[],MATCH(Std[[#This Row],[Player]],Proj[Player],0),22)-O$764)/O$765</f>
        <v>1.1271600243724391</v>
      </c>
      <c r="P581" s="12">
        <f>((INDEX(Proj[],MATCH(Std[[#This Row],[Player]],Proj[Player],0),23)-P$764)/P$765)*IF('League Inputs'!$C$23 = "Yes",-1, 1)</f>
        <v>1.3265376727161247</v>
      </c>
      <c r="Q581" s="12">
        <f>(INDEX(Proj[],MATCH(Std[[#This Row],[Player]],Proj[Player],0),24)-Q$764)/Q$765</f>
        <v>-0.5766103108129359</v>
      </c>
      <c r="R581" s="12">
        <f>(INDEX(Proj[],MATCH(Std[[#This Row],[Player]],Proj[Player],0),25)-R$764)/R$765</f>
        <v>-0.62531533033812681</v>
      </c>
      <c r="S581" s="12">
        <f>(INDEX(Proj[],MATCH(Std[[#This Row],[Player]],Proj[Player],0),26)-S$764)/S$765</f>
        <v>-0.61826520832267551</v>
      </c>
      <c r="T5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-57.016374107053402</v>
      </c>
      <c r="U581" s="11"/>
      <c r="W581" t="str">
        <v>Matt Dumba</v>
      </c>
      <c r="AA581" t="str">
        <v>Matt Dumba</v>
      </c>
      <c r="AB581" t="str">
        <v>Matt Dumba</v>
      </c>
    </row>
    <row r="582" spans="1:28" x14ac:dyDescent="0.25">
      <c r="A582" t="s">
        <v>495</v>
      </c>
      <c r="B582">
        <f>INDEX(Proj[],MATCH(Std[[#This Row],[Player]],Proj[Player],0),2)</f>
        <v>35</v>
      </c>
      <c r="C582" t="s">
        <v>3</v>
      </c>
      <c r="D582" s="75"/>
      <c r="E582" s="57"/>
      <c r="F582" t="s">
        <v>23</v>
      </c>
      <c r="G582" s="12">
        <f>(INDEX(Proj[],MATCH(Std[[#This Row],[Player]],Proj[Player],0),14)-G$764)/G$765</f>
        <v>-0.9793868626547807</v>
      </c>
      <c r="H582" s="12">
        <f>(INDEX(Proj[],MATCH(Std[[#This Row],[Player]],Proj[Player],0),15)-H$764)/H$765</f>
        <v>-0.58813956651136978</v>
      </c>
      <c r="I582" s="12">
        <f>(INDEX(Proj[],MATCH(Std[[#This Row],[Player]],Proj[Player],0),16)-I$764)/I$765</f>
        <v>-0.81081997222640212</v>
      </c>
      <c r="J582" s="12">
        <f>(INDEX(Proj[],MATCH(Std[[#This Row],[Player]],Proj[Player],0),17)-J$764)/J$765</f>
        <v>-0.76105581014900237</v>
      </c>
      <c r="K582" s="12">
        <f>(INDEX(Proj[],MATCH(Std[[#This Row],[Player]],Proj[Player],0),18)-K$764)/K$765</f>
        <v>-0.75859266061649311</v>
      </c>
      <c r="L582" s="12">
        <f>(INDEX(Proj[],MATCH(Std[[#This Row],[Player]],Proj[Player],0),19)-L$764)/L$765</f>
        <v>-0.81647589674950882</v>
      </c>
      <c r="M582" s="12">
        <f>(INDEX(Proj[],MATCH(Std[[#This Row],[Player]],Proj[Player],0),20)-M$764)/M$765</f>
        <v>-0.71308883245737775</v>
      </c>
      <c r="N582" s="12">
        <f>(INDEX(Proj[],MATCH(Std[[#This Row],[Player]],Proj[Player],0),21)-N$764)/N$765</f>
        <v>2.4564774588568886E-2</v>
      </c>
      <c r="O582" s="12">
        <f>(INDEX(Proj[],MATCH(Std[[#This Row],[Player]],Proj[Player],0),22)-O$764)/O$765</f>
        <v>2.1022321646182389</v>
      </c>
      <c r="P582" s="12">
        <f>((INDEX(Proj[],MATCH(Std[[#This Row],[Player]],Proj[Player],0),23)-P$764)/P$765)*IF('League Inputs'!$C$23 = "Yes",-1, 1)</f>
        <v>1.6988558671029923</v>
      </c>
      <c r="Q582" s="12">
        <f>(INDEX(Proj[],MATCH(Std[[#This Row],[Player]],Proj[Player],0),24)-Q$764)/Q$765</f>
        <v>-0.5766103108129359</v>
      </c>
      <c r="R582" s="12">
        <f>(INDEX(Proj[],MATCH(Std[[#This Row],[Player]],Proj[Player],0),25)-R$764)/R$765</f>
        <v>-0.62531533033812681</v>
      </c>
      <c r="S582" s="12">
        <f>(INDEX(Proj[],MATCH(Std[[#This Row],[Player]],Proj[Player],0),26)-S$764)/S$765</f>
        <v>-0.69935867836951537</v>
      </c>
      <c r="T5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-64.513848101471254</v>
      </c>
      <c r="U582" s="11"/>
      <c r="W582" t="str">
        <v>Ian Cole</v>
      </c>
      <c r="AA582" t="str">
        <v>Ian Cole</v>
      </c>
      <c r="AB582" t="str">
        <v>Ian Cole</v>
      </c>
    </row>
    <row r="583" spans="1:28" x14ac:dyDescent="0.25">
      <c r="A583" t="s">
        <v>555</v>
      </c>
      <c r="B583">
        <f>INDEX(Proj[],MATCH(Std[[#This Row],[Player]],Proj[Player],0),2)</f>
        <v>27</v>
      </c>
      <c r="C583" t="s">
        <v>74</v>
      </c>
      <c r="D583" s="75"/>
      <c r="E583" s="57"/>
      <c r="F583" t="s">
        <v>6</v>
      </c>
      <c r="G583" s="12">
        <f>(INDEX(Proj[],MATCH(Std[[#This Row],[Player]],Proj[Player],0),14)-G$764)/G$765</f>
        <v>-0.45121751886595246</v>
      </c>
      <c r="H583" s="12">
        <f>(INDEX(Proj[],MATCH(Std[[#This Row],[Player]],Proj[Player],0),15)-H$764)/H$765</f>
        <v>-0.96078590145269582</v>
      </c>
      <c r="I583" s="12">
        <f>(INDEX(Proj[],MATCH(Std[[#This Row],[Player]],Proj[Player],0),16)-I$764)/I$765</f>
        <v>-0.81081997222640212</v>
      </c>
      <c r="J583" s="12">
        <f>(INDEX(Proj[],MATCH(Std[[#This Row],[Player]],Proj[Player],0),17)-J$764)/J$765</f>
        <v>-0.76105581014900237</v>
      </c>
      <c r="K583" s="12">
        <f>(INDEX(Proj[],MATCH(Std[[#This Row],[Player]],Proj[Player],0),18)-K$764)/K$765</f>
        <v>-0.75859266061649311</v>
      </c>
      <c r="L583" s="12">
        <f>(INDEX(Proj[],MATCH(Std[[#This Row],[Player]],Proj[Player],0),19)-L$764)/L$765</f>
        <v>-0.81647589674950882</v>
      </c>
      <c r="M583" s="12">
        <f>(INDEX(Proj[],MATCH(Std[[#This Row],[Player]],Proj[Player],0),20)-M$764)/M$765</f>
        <v>1.3378904761343182</v>
      </c>
      <c r="N583" s="12">
        <f>(INDEX(Proj[],MATCH(Std[[#This Row],[Player]],Proj[Player],0),21)-N$764)/N$765</f>
        <v>2.0594367761651684</v>
      </c>
      <c r="O583" s="12">
        <f>(INDEX(Proj[],MATCH(Std[[#This Row],[Player]],Proj[Player],0),22)-O$764)/O$765</f>
        <v>-0.68368823608404627</v>
      </c>
      <c r="P583" s="12">
        <f>((INDEX(Proj[],MATCH(Std[[#This Row],[Player]],Proj[Player],0),23)-P$764)/P$765)*IF('League Inputs'!$C$23 = "Yes",-1, 1)</f>
        <v>2.0711740614898599</v>
      </c>
      <c r="Q583" s="12">
        <f>(INDEX(Proj[],MATCH(Std[[#This Row],[Player]],Proj[Player],0),24)-Q$764)/Q$765</f>
        <v>-0.52863652498964608</v>
      </c>
      <c r="R583" s="12">
        <f>(INDEX(Proj[],MATCH(Std[[#This Row],[Player]],Proj[Player],0),25)-R$764)/R$765</f>
        <v>-0.54586367699428739</v>
      </c>
      <c r="S583" s="12">
        <f>(INDEX(Proj[],MATCH(Std[[#This Row],[Player]],Proj[Player],0),26)-S$764)/S$765</f>
        <v>-0.40742218620089166</v>
      </c>
      <c r="T5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-52.84353989141146</v>
      </c>
      <c r="U583" s="11"/>
      <c r="W583" t="str">
        <v>Brandon Duhaime</v>
      </c>
      <c r="AA583" t="str">
        <v>Brandon Duhaime</v>
      </c>
      <c r="AB583" t="str">
        <v>Brandon Duhaime</v>
      </c>
    </row>
    <row r="584" spans="1:28" x14ac:dyDescent="0.25">
      <c r="A584" t="s">
        <v>618</v>
      </c>
      <c r="B584">
        <f>INDEX(Proj[],MATCH(Std[[#This Row],[Player]],Proj[Player],0),2)</f>
        <v>34</v>
      </c>
      <c r="C584" t="s">
        <v>3</v>
      </c>
      <c r="D584" s="75"/>
      <c r="E584" s="56"/>
      <c r="F584" t="s">
        <v>6</v>
      </c>
      <c r="G584" s="12">
        <f>(INDEX(Proj[],MATCH(Std[[#This Row],[Player]],Proj[Player],0),14)-G$764)/G$765</f>
        <v>-0.873752993897015</v>
      </c>
      <c r="H584" s="12">
        <f>(INDEX(Proj[],MATCH(Std[[#This Row],[Player]],Proj[Player],0),15)-H$764)/H$765</f>
        <v>-0.6626688334996349</v>
      </c>
      <c r="I584" s="12">
        <f>(INDEX(Proj[],MATCH(Std[[#This Row],[Player]],Proj[Player],0),16)-I$764)/I$765</f>
        <v>-0.81081997222640212</v>
      </c>
      <c r="J584" s="12">
        <f>(INDEX(Proj[],MATCH(Std[[#This Row],[Player]],Proj[Player],0),17)-J$764)/J$765</f>
        <v>-0.76105581014900237</v>
      </c>
      <c r="K584" s="12">
        <f>(INDEX(Proj[],MATCH(Std[[#This Row],[Player]],Proj[Player],0),18)-K$764)/K$765</f>
        <v>-0.75859266061649311</v>
      </c>
      <c r="L584" s="12">
        <f>(INDEX(Proj[],MATCH(Std[[#This Row],[Player]],Proj[Player],0),19)-L$764)/L$765</f>
        <v>-0.81647589674950882</v>
      </c>
      <c r="M584" s="12">
        <f>(INDEX(Proj[],MATCH(Std[[#This Row],[Player]],Proj[Player],0),20)-M$764)/M$765</f>
        <v>0.31240082183847029</v>
      </c>
      <c r="N584" s="12">
        <f>(INDEX(Proj[],MATCH(Std[[#This Row],[Player]],Proj[Player],0),21)-N$764)/N$765</f>
        <v>-0.32427042568170528</v>
      </c>
      <c r="O584" s="12">
        <f>(INDEX(Proj[],MATCH(Std[[#This Row],[Player]],Proj[Player],0),22)-O$764)/O$765</f>
        <v>1.0807280176940677</v>
      </c>
      <c r="P584" s="12">
        <f>((INDEX(Proj[],MATCH(Std[[#This Row],[Player]],Proj[Player],0),23)-P$764)/P$765)*IF('League Inputs'!$C$23 = "Yes",-1, 1)</f>
        <v>0.30266263815223848</v>
      </c>
      <c r="Q584" s="12">
        <f>(INDEX(Proj[],MATCH(Std[[#This Row],[Player]],Proj[Player],0),24)-Q$764)/Q$765</f>
        <v>-0.5766103108129359</v>
      </c>
      <c r="R584" s="12">
        <f>(INDEX(Proj[],MATCH(Std[[#This Row],[Player]],Proj[Player],0),25)-R$764)/R$765</f>
        <v>-0.62531533033812681</v>
      </c>
      <c r="S584" s="12">
        <f>(INDEX(Proj[],MATCH(Std[[#This Row],[Player]],Proj[Player],0),26)-S$764)/S$765</f>
        <v>-0.73179606638825134</v>
      </c>
      <c r="T5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-341.30038434091477</v>
      </c>
      <c r="U584" s="11"/>
      <c r="W584" t="str">
        <v>Jan Rutta</v>
      </c>
      <c r="AA584" t="str">
        <v>Jan Rutta</v>
      </c>
      <c r="AB584" t="str">
        <v>Jan Rutta</v>
      </c>
    </row>
    <row r="585" spans="1:28" x14ac:dyDescent="0.25">
      <c r="A585" t="s">
        <v>1031</v>
      </c>
      <c r="B585">
        <f>INDEX(Proj[],MATCH(Std[[#This Row],[Player]],Proj[Player],0),2)</f>
        <v>28</v>
      </c>
      <c r="C585" t="s">
        <v>102</v>
      </c>
      <c r="D585" s="75"/>
      <c r="E585" s="56"/>
      <c r="F585" t="s">
        <v>31</v>
      </c>
      <c r="G585" s="12">
        <f>(INDEX(Proj[],MATCH(Std[[#This Row],[Player]],Proj[Player],0),14)-G$764)/G$765</f>
        <v>-0.55685138762371811</v>
      </c>
      <c r="H585" s="12">
        <f>(INDEX(Proj[],MATCH(Std[[#This Row],[Player]],Proj[Player],0),15)-H$764)/H$765</f>
        <v>-0.88625663446443059</v>
      </c>
      <c r="I585" s="12">
        <f>(INDEX(Proj[],MATCH(Std[[#This Row],[Player]],Proj[Player],0),16)-I$764)/I$765</f>
        <v>-0.81081997222640212</v>
      </c>
      <c r="J585" s="12">
        <f>(INDEX(Proj[],MATCH(Std[[#This Row],[Player]],Proj[Player],0),17)-J$764)/J$765</f>
        <v>-0.76105581014900237</v>
      </c>
      <c r="K585" s="12">
        <f>(INDEX(Proj[],MATCH(Std[[#This Row],[Player]],Proj[Player],0),18)-K$764)/K$765</f>
        <v>-0.75859266061649311</v>
      </c>
      <c r="L585" s="12">
        <f>(INDEX(Proj[],MATCH(Std[[#This Row],[Player]],Proj[Player],0),19)-L$764)/L$765</f>
        <v>-0.81647589674950882</v>
      </c>
      <c r="M585" s="12">
        <f>(INDEX(Proj[],MATCH(Std[[#This Row],[Player]],Proj[Player],0),20)-M$764)/M$765</f>
        <v>-0.71308883245737775</v>
      </c>
      <c r="N585" s="12">
        <f>(INDEX(Proj[],MATCH(Std[[#This Row],[Player]],Proj[Player],0),21)-N$764)/N$765</f>
        <v>0.64471624173572295</v>
      </c>
      <c r="O585" s="12">
        <f>(INDEX(Proj[],MATCH(Std[[#This Row],[Player]],Proj[Player],0),22)-O$764)/O$765</f>
        <v>-0.70690423942323199</v>
      </c>
      <c r="P585" s="12">
        <f>((INDEX(Proj[],MATCH(Std[[#This Row],[Player]],Proj[Player],0),23)-P$764)/P$765)*IF('League Inputs'!$C$23 = "Yes",-1, 1)</f>
        <v>2.8158104502635957</v>
      </c>
      <c r="Q585" s="12">
        <f>(INDEX(Proj[],MATCH(Std[[#This Row],[Player]],Proj[Player],0),24)-Q$764)/Q$765</f>
        <v>-0.49132358046042074</v>
      </c>
      <c r="R585" s="12">
        <f>(INDEX(Proj[],MATCH(Std[[#This Row],[Player]],Proj[Player],0),25)-R$764)/R$765</f>
        <v>-0.54018855889829887</v>
      </c>
      <c r="S585" s="12">
        <f>(INDEX(Proj[],MATCH(Std[[#This Row],[Player]],Proj[Player],0),26)-S$764)/S$765</f>
        <v>-0.7155773723788833</v>
      </c>
      <c r="T5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-152.36823913272767</v>
      </c>
      <c r="U585" s="11"/>
      <c r="W585" t="str">
        <v>AJ Greer</v>
      </c>
      <c r="AA585" t="str">
        <v>AJ Greer</v>
      </c>
      <c r="AB585" t="str">
        <v>AJ Greer</v>
      </c>
    </row>
    <row r="586" spans="1:28" x14ac:dyDescent="0.25">
      <c r="A586" t="s">
        <v>534</v>
      </c>
      <c r="B586">
        <f>INDEX(Proj[],MATCH(Std[[#This Row],[Player]],Proj[Player],0),2)</f>
        <v>26</v>
      </c>
      <c r="C586" t="s">
        <v>3</v>
      </c>
      <c r="D586" s="75"/>
      <c r="E586" s="57"/>
      <c r="F586" t="s">
        <v>22</v>
      </c>
      <c r="G586" s="12">
        <f>(INDEX(Proj[],MATCH(Std[[#This Row],[Player]],Proj[Player],0),14)-G$764)/G$765</f>
        <v>-0.9793868626547807</v>
      </c>
      <c r="H586" s="12">
        <f>(INDEX(Proj[],MATCH(Std[[#This Row],[Player]],Proj[Player],0),15)-H$764)/H$765</f>
        <v>-0.58813956651136978</v>
      </c>
      <c r="I586" s="12">
        <f>(INDEX(Proj[],MATCH(Std[[#This Row],[Player]],Proj[Player],0),16)-I$764)/I$765</f>
        <v>-0.81081997222640212</v>
      </c>
      <c r="J586" s="12">
        <f>(INDEX(Proj[],MATCH(Std[[#This Row],[Player]],Proj[Player],0),17)-J$764)/J$765</f>
        <v>-0.76105581014900237</v>
      </c>
      <c r="K586" s="12">
        <f>(INDEX(Proj[],MATCH(Std[[#This Row],[Player]],Proj[Player],0),18)-K$764)/K$765</f>
        <v>-0.75859266061649311</v>
      </c>
      <c r="L586" s="12">
        <f>(INDEX(Proj[],MATCH(Std[[#This Row],[Player]],Proj[Player],0),19)-L$764)/L$765</f>
        <v>-0.81647589674950882</v>
      </c>
      <c r="M586" s="12">
        <f>(INDEX(Proj[],MATCH(Std[[#This Row],[Player]],Proj[Player],0),20)-M$764)/M$765</f>
        <v>-0.71308883245737775</v>
      </c>
      <c r="N586" s="12">
        <f>(INDEX(Proj[],MATCH(Std[[#This Row],[Player]],Proj[Player],0),21)-N$764)/N$765</f>
        <v>-0.55682722586188804</v>
      </c>
      <c r="O586" s="12">
        <f>(INDEX(Proj[],MATCH(Std[[#This Row],[Player]],Proj[Player],0),22)-O$764)/O$765</f>
        <v>1.1039440210332534</v>
      </c>
      <c r="P586" s="12">
        <f>((INDEX(Proj[],MATCH(Std[[#This Row],[Player]],Proj[Player],0),23)-P$764)/P$765)*IF('League Inputs'!$C$23 = "Yes",-1, 1)</f>
        <v>-0.20927487912970463</v>
      </c>
      <c r="Q586" s="12">
        <f>(INDEX(Proj[],MATCH(Std[[#This Row],[Player]],Proj[Player],0),24)-Q$764)/Q$765</f>
        <v>-0.5766103108129359</v>
      </c>
      <c r="R586" s="12">
        <f>(INDEX(Proj[],MATCH(Std[[#This Row],[Player]],Proj[Player],0),25)-R$764)/R$765</f>
        <v>-0.62531533033812681</v>
      </c>
      <c r="S586" s="12">
        <f>(INDEX(Proj[],MATCH(Std[[#This Row],[Player]],Proj[Player],0),26)-S$764)/S$765</f>
        <v>-0.7155773723788833</v>
      </c>
      <c r="T5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-414.91680652922201</v>
      </c>
      <c r="U586" s="11"/>
      <c r="W586" t="str">
        <v>Dante Fabbro</v>
      </c>
      <c r="AA586" t="str">
        <v>Dante Fabbro</v>
      </c>
      <c r="AB586" t="str">
        <v>Dante Fabbro</v>
      </c>
    </row>
    <row r="587" spans="1:28" x14ac:dyDescent="0.25">
      <c r="A587" t="s">
        <v>1024</v>
      </c>
      <c r="B587">
        <f>INDEX(Proj[],MATCH(Std[[#This Row],[Player]],Proj[Player],0),2)</f>
        <v>23</v>
      </c>
      <c r="C587" t="s">
        <v>3</v>
      </c>
      <c r="D587" s="75"/>
      <c r="E587" s="57"/>
      <c r="F587" t="s">
        <v>9</v>
      </c>
      <c r="G587" s="12">
        <f>(INDEX(Proj[],MATCH(Std[[#This Row],[Player]],Proj[Player],0),14)-G$764)/G$765</f>
        <v>-1.0850207314125464</v>
      </c>
      <c r="H587" s="12">
        <f>(INDEX(Proj[],MATCH(Std[[#This Row],[Player]],Proj[Player],0),15)-H$764)/H$765</f>
        <v>-0.51361029952310455</v>
      </c>
      <c r="I587" s="12">
        <f>(INDEX(Proj[],MATCH(Std[[#This Row],[Player]],Proj[Player],0),16)-I$764)/I$765</f>
        <v>-0.81081997222640212</v>
      </c>
      <c r="J587" s="12">
        <f>(INDEX(Proj[],MATCH(Std[[#This Row],[Player]],Proj[Player],0),17)-J$764)/J$765</f>
        <v>-0.46669252292436259</v>
      </c>
      <c r="K587" s="12">
        <f>(INDEX(Proj[],MATCH(Std[[#This Row],[Player]],Proj[Player],0),18)-K$764)/K$765</f>
        <v>1.1837065998320361E-2</v>
      </c>
      <c r="L587" s="12">
        <f>(INDEX(Proj[],MATCH(Std[[#This Row],[Player]],Proj[Player],0),19)-L$764)/L$765</f>
        <v>-0.16404410767290362</v>
      </c>
      <c r="M587" s="12">
        <f>(INDEX(Proj[],MATCH(Std[[#This Row],[Player]],Proj[Player],0),20)-M$764)/M$765</f>
        <v>-0.71308883245737775</v>
      </c>
      <c r="N587" s="12">
        <f>(INDEX(Proj[],MATCH(Std[[#This Row],[Player]],Proj[Player],0),21)-N$764)/N$765</f>
        <v>-0.82814349273876797</v>
      </c>
      <c r="O587" s="12">
        <f>(INDEX(Proj[],MATCH(Std[[#This Row],[Player]],Proj[Player],0),22)-O$764)/O$765</f>
        <v>0.54675994089279634</v>
      </c>
      <c r="P587" s="12">
        <f>((INDEX(Proj[],MATCH(Std[[#This Row],[Player]],Proj[Player],0),23)-P$764)/P$765)*IF('League Inputs'!$C$23 = "Yes",-1, 1)</f>
        <v>-2.3115781936270764E-2</v>
      </c>
      <c r="Q587" s="12">
        <f>(INDEX(Proj[],MATCH(Std[[#This Row],[Player]],Proj[Player],0),24)-Q$764)/Q$765</f>
        <v>-0.5766103108129359</v>
      </c>
      <c r="R587" s="12">
        <f>(INDEX(Proj[],MATCH(Std[[#This Row],[Player]],Proj[Player],0),25)-R$764)/R$765</f>
        <v>-0.62531533033812681</v>
      </c>
      <c r="S587" s="12">
        <f>(INDEX(Proj[],MATCH(Std[[#This Row],[Player]],Proj[Player],0),26)-S$764)/S$765</f>
        <v>-0.84532692445382718</v>
      </c>
      <c r="T5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-429.99316798839624</v>
      </c>
      <c r="U587" s="11"/>
      <c r="W587" t="str">
        <v>Victor Soderstrom</v>
      </c>
      <c r="AA587" t="str">
        <v>Victor Soderstrom</v>
      </c>
      <c r="AB587" t="str">
        <v>Victor Soderstrom</v>
      </c>
    </row>
    <row r="588" spans="1:28" x14ac:dyDescent="0.25">
      <c r="A588" t="s">
        <v>627</v>
      </c>
      <c r="B588">
        <f>INDEX(Proj[],MATCH(Std[[#This Row],[Player]],Proj[Player],0),2)</f>
        <v>28</v>
      </c>
      <c r="C588" t="s">
        <v>74</v>
      </c>
      <c r="D588" s="75" t="s">
        <v>103</v>
      </c>
      <c r="E588" s="57"/>
      <c r="F588" t="s">
        <v>13</v>
      </c>
      <c r="G588" s="12">
        <f>(INDEX(Proj[],MATCH(Std[[#This Row],[Player]],Proj[Player],0),14)-G$764)/G$765</f>
        <v>-0.873752993897015</v>
      </c>
      <c r="H588" s="12">
        <f>(INDEX(Proj[],MATCH(Std[[#This Row],[Player]],Proj[Player],0),15)-H$764)/H$765</f>
        <v>-0.6626688334996349</v>
      </c>
      <c r="I588" s="12">
        <f>(INDEX(Proj[],MATCH(Std[[#This Row],[Player]],Proj[Player],0),16)-I$764)/I$765</f>
        <v>-0.81081997222640212</v>
      </c>
      <c r="J588" s="12">
        <f>(INDEX(Proj[],MATCH(Std[[#This Row],[Player]],Proj[Player],0),17)-J$764)/J$765</f>
        <v>-0.46669252292436259</v>
      </c>
      <c r="K588" s="12">
        <f>(INDEX(Proj[],MATCH(Std[[#This Row],[Player]],Proj[Player],0),18)-K$764)/K$765</f>
        <v>-0.29633482464760502</v>
      </c>
      <c r="L588" s="12">
        <f>(INDEX(Proj[],MATCH(Std[[#This Row],[Player]],Proj[Player],0),19)-L$764)/L$765</f>
        <v>-0.38152137069843867</v>
      </c>
      <c r="M588" s="12">
        <f>(INDEX(Proj[],MATCH(Std[[#This Row],[Player]],Proj[Player],0),20)-M$764)/M$765</f>
        <v>-0.71308883245737775</v>
      </c>
      <c r="N588" s="12">
        <f>(INDEX(Proj[],MATCH(Std[[#This Row],[Player]],Proj[Player],0),21)-N$764)/N$765</f>
        <v>2.3695125097387453</v>
      </c>
      <c r="O588" s="12">
        <f>(INDEX(Proj[],MATCH(Std[[#This Row],[Player]],Proj[Player],0),22)-O$764)/O$765</f>
        <v>-0.86941626279753204</v>
      </c>
      <c r="P588" s="12">
        <f>((INDEX(Proj[],MATCH(Std[[#This Row],[Player]],Proj[Player],0),23)-P$764)/P$765)*IF('League Inputs'!$C$23 = "Yes",-1, 1)</f>
        <v>0.16304331525716309</v>
      </c>
      <c r="Q588" s="12">
        <f>(INDEX(Proj[],MATCH(Std[[#This Row],[Player]],Proj[Player],0),24)-Q$764)/Q$765</f>
        <v>-0.5019844217544851</v>
      </c>
      <c r="R588" s="12">
        <f>(INDEX(Proj[],MATCH(Std[[#This Row],[Player]],Proj[Player],0),25)-R$764)/R$765</f>
        <v>-0.52316320461033328</v>
      </c>
      <c r="S588" s="12">
        <f>(INDEX(Proj[],MATCH(Std[[#This Row],[Player]],Proj[Player],0),26)-S$764)/S$765</f>
        <v>-1.088607334594347</v>
      </c>
      <c r="T5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-265.62153644719467</v>
      </c>
      <c r="U588" s="11"/>
      <c r="W588" t="str">
        <v>Sammy Blais</v>
      </c>
      <c r="AA588" t="str">
        <v>Sammy Blais</v>
      </c>
      <c r="AB588" t="str">
        <v>Sammy Blais</v>
      </c>
    </row>
    <row r="589" spans="1:28" x14ac:dyDescent="0.25">
      <c r="A589" t="s">
        <v>692</v>
      </c>
      <c r="B589">
        <f>INDEX(Proj[],MATCH(Std[[#This Row],[Player]],Proj[Player],0),2)</f>
        <v>30</v>
      </c>
      <c r="C589" t="s">
        <v>102</v>
      </c>
      <c r="D589" s="75" t="s">
        <v>103</v>
      </c>
      <c r="E589" s="57"/>
      <c r="F589" t="s">
        <v>9</v>
      </c>
      <c r="G589" s="12">
        <f>(INDEX(Proj[],MATCH(Std[[#This Row],[Player]],Proj[Player],0),14)-G$764)/G$765</f>
        <v>-0.9793868626547807</v>
      </c>
      <c r="H589" s="12">
        <f>(INDEX(Proj[],MATCH(Std[[#This Row],[Player]],Proj[Player],0),15)-H$764)/H$765</f>
        <v>-0.58813956651136978</v>
      </c>
      <c r="I589" s="12">
        <f>(INDEX(Proj[],MATCH(Std[[#This Row],[Player]],Proj[Player],0),16)-I$764)/I$765</f>
        <v>-0.81081997222640212</v>
      </c>
      <c r="J589" s="12">
        <f>(INDEX(Proj[],MATCH(Std[[#This Row],[Player]],Proj[Player],0),17)-J$764)/J$765</f>
        <v>-0.76105581014900237</v>
      </c>
      <c r="K589" s="12">
        <f>(INDEX(Proj[],MATCH(Std[[#This Row],[Player]],Proj[Player],0),18)-K$764)/K$765</f>
        <v>-0.75859266061649311</v>
      </c>
      <c r="L589" s="12">
        <f>(INDEX(Proj[],MATCH(Std[[#This Row],[Player]],Proj[Player],0),19)-L$764)/L$765</f>
        <v>-0.81647589674950882</v>
      </c>
      <c r="M589" s="12">
        <f>(INDEX(Proj[],MATCH(Std[[#This Row],[Player]],Proj[Player],0),20)-M$764)/M$765</f>
        <v>-0.71308883245737775</v>
      </c>
      <c r="N589" s="12">
        <f>(INDEX(Proj[],MATCH(Std[[#This Row],[Player]],Proj[Player],0),21)-N$764)/N$765</f>
        <v>-0.49868802581684241</v>
      </c>
      <c r="O589" s="12">
        <f>(INDEX(Proj[],MATCH(Std[[#This Row],[Player]],Proj[Player],0),22)-O$764)/O$765</f>
        <v>1.0342960110156962</v>
      </c>
      <c r="P589" s="12">
        <f>((INDEX(Proj[],MATCH(Std[[#This Row],[Player]],Proj[Player],0),23)-P$764)/P$765)*IF('League Inputs'!$C$23 = "Yes",-1, 1)</f>
        <v>-1.0004510422017985</v>
      </c>
      <c r="Q589" s="12">
        <f>(INDEX(Proj[],MATCH(Std[[#This Row],[Player]],Proj[Player],0),24)-Q$764)/Q$765</f>
        <v>-0.5766103108129359</v>
      </c>
      <c r="R589" s="12">
        <f>(INDEX(Proj[],MATCH(Std[[#This Row],[Player]],Proj[Player],0),25)-R$764)/R$765</f>
        <v>-0.62531533033812681</v>
      </c>
      <c r="S589" s="12">
        <f>(INDEX(Proj[],MATCH(Std[[#This Row],[Player]],Proj[Player],0),26)-S$764)/S$765</f>
        <v>-1.088607334594347</v>
      </c>
      <c r="T5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-532.48830005522893</v>
      </c>
      <c r="U589" s="11"/>
      <c r="W589" t="str">
        <v>Olli Maatta</v>
      </c>
      <c r="AA589" t="str">
        <v>Olli Maatta</v>
      </c>
      <c r="AB589" t="str">
        <v>Olli Maatta</v>
      </c>
    </row>
    <row r="590" spans="1:28" x14ac:dyDescent="0.25">
      <c r="A590" t="s">
        <v>556</v>
      </c>
      <c r="B590">
        <f>INDEX(Proj[],MATCH(Std[[#This Row],[Player]],Proj[Player],0),2)</f>
        <v>29</v>
      </c>
      <c r="C590" t="s">
        <v>102</v>
      </c>
      <c r="D590" s="75" t="s">
        <v>103</v>
      </c>
      <c r="E590" s="56"/>
      <c r="F590" t="s">
        <v>21</v>
      </c>
      <c r="G590" s="12">
        <f>(INDEX(Proj[],MATCH(Std[[#This Row],[Player]],Proj[Player],0),14)-G$764)/G$765</f>
        <v>-0.45121751886595246</v>
      </c>
      <c r="H590" s="12">
        <f>(INDEX(Proj[],MATCH(Std[[#This Row],[Player]],Proj[Player],0),15)-H$764)/H$765</f>
        <v>-0.96078590145269582</v>
      </c>
      <c r="I590" s="12">
        <f>(INDEX(Proj[],MATCH(Std[[#This Row],[Player]],Proj[Player],0),16)-I$764)/I$765</f>
        <v>-0.81081997222640212</v>
      </c>
      <c r="J590" s="12">
        <f>(INDEX(Proj[],MATCH(Std[[#This Row],[Player]],Proj[Player],0),17)-J$764)/J$765</f>
        <v>-0.76105581014900237</v>
      </c>
      <c r="K590" s="12">
        <f>(INDEX(Proj[],MATCH(Std[[#This Row],[Player]],Proj[Player],0),18)-K$764)/K$765</f>
        <v>-0.75859266061649311</v>
      </c>
      <c r="L590" s="12">
        <f>(INDEX(Proj[],MATCH(Std[[#This Row],[Player]],Proj[Player],0),19)-L$764)/L$765</f>
        <v>-0.81647589674950882</v>
      </c>
      <c r="M590" s="12">
        <f>(INDEX(Proj[],MATCH(Std[[#This Row],[Player]],Proj[Player],0),20)-M$764)/M$765</f>
        <v>1.3378904761343182</v>
      </c>
      <c r="N590" s="12">
        <f>(INDEX(Proj[],MATCH(Std[[#This Row],[Player]],Proj[Player],0),21)-N$764)/N$765</f>
        <v>0.41215944155554018</v>
      </c>
      <c r="O590" s="12">
        <f>(INDEX(Proj[],MATCH(Std[[#This Row],[Player]],Proj[Player],0),22)-O$764)/O$765</f>
        <v>-0.12650415594358927</v>
      </c>
      <c r="P590" s="12">
        <f>((INDEX(Proj[],MATCH(Std[[#This Row],[Player]],Proj[Player],0),23)-P$764)/P$765)*IF('League Inputs'!$C$23 = "Yes",-1, 1)</f>
        <v>-0.72121239641164769</v>
      </c>
      <c r="Q590" s="12">
        <f>(INDEX(Proj[],MATCH(Std[[#This Row],[Player]],Proj[Player],0),24)-Q$764)/Q$765</f>
        <v>-0.19282002422661768</v>
      </c>
      <c r="R590" s="12">
        <f>(INDEX(Proj[],MATCH(Std[[#This Row],[Player]],Proj[Player],0),25)-R$764)/R$765</f>
        <v>-0.1996814731389871</v>
      </c>
      <c r="S590" s="12">
        <f>(INDEX(Proj[],MATCH(Std[[#This Row],[Player]],Proj[Player],0),26)-S$764)/S$765</f>
        <v>-0.32632871615405179</v>
      </c>
      <c r="T5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-399.40051404749255</v>
      </c>
      <c r="U590" s="11"/>
      <c r="W590" t="str">
        <v>Tyler Motte</v>
      </c>
      <c r="AA590" t="str">
        <v>Tyler Motte</v>
      </c>
      <c r="AB590" t="str">
        <v>Tyler Motte</v>
      </c>
    </row>
    <row r="591" spans="1:28" x14ac:dyDescent="0.25">
      <c r="A591" t="s">
        <v>483</v>
      </c>
      <c r="B591">
        <f>INDEX(Proj[],MATCH(Std[[#This Row],[Player]],Proj[Player],0),2)</f>
        <v>24</v>
      </c>
      <c r="C591" t="s">
        <v>3</v>
      </c>
      <c r="D591" s="75"/>
      <c r="E591" s="57"/>
      <c r="F591" t="s">
        <v>14</v>
      </c>
      <c r="G591" s="12">
        <f>(INDEX(Proj[],MATCH(Std[[#This Row],[Player]],Proj[Player],0),14)-G$764)/G$765</f>
        <v>-0.55685138762371811</v>
      </c>
      <c r="H591" s="12">
        <f>(INDEX(Proj[],MATCH(Std[[#This Row],[Player]],Proj[Player],0),15)-H$764)/H$765</f>
        <v>-0.88625663446443059</v>
      </c>
      <c r="I591" s="12">
        <f>(INDEX(Proj[],MATCH(Std[[#This Row],[Player]],Proj[Player],0),16)-I$764)/I$765</f>
        <v>-0.81081997222640212</v>
      </c>
      <c r="J591" s="12">
        <f>(INDEX(Proj[],MATCH(Std[[#This Row],[Player]],Proj[Player],0),17)-J$764)/J$765</f>
        <v>-0.17232923569972286</v>
      </c>
      <c r="K591" s="12">
        <f>(INDEX(Proj[],MATCH(Std[[#This Row],[Player]],Proj[Player],0),18)-K$764)/K$765</f>
        <v>-0.45042076997056774</v>
      </c>
      <c r="L591" s="12">
        <f>(INDEX(Proj[],MATCH(Std[[#This Row],[Player]],Proj[Player],0),19)-L$764)/L$765</f>
        <v>-0.38152137069843867</v>
      </c>
      <c r="M591" s="12">
        <f>(INDEX(Proj[],MATCH(Std[[#This Row],[Player]],Proj[Player],0),20)-M$764)/M$765</f>
        <v>-0.71308883245737775</v>
      </c>
      <c r="N591" s="12">
        <f>(INDEX(Proj[],MATCH(Std[[#This Row],[Player]],Proj[Player],0),21)-N$764)/N$765</f>
        <v>-0.59558669255858521</v>
      </c>
      <c r="O591" s="12">
        <f>(INDEX(Proj[],MATCH(Std[[#This Row],[Player]],Proj[Player],0),22)-O$764)/O$765</f>
        <v>-0.86941626279753204</v>
      </c>
      <c r="P591" s="12">
        <f>((INDEX(Proj[],MATCH(Std[[#This Row],[Player]],Proj[Player],0),23)-P$764)/P$765)*IF('League Inputs'!$C$23 = "Yes",-1, 1)</f>
        <v>-0.1161953305329877</v>
      </c>
      <c r="Q591" s="12">
        <f>(INDEX(Proj[],MATCH(Std[[#This Row],[Player]],Proj[Player],0),24)-Q$764)/Q$765</f>
        <v>-0.50731484240151736</v>
      </c>
      <c r="R591" s="12">
        <f>(INDEX(Proj[],MATCH(Std[[#This Row],[Player]],Proj[Player],0),25)-R$764)/R$765</f>
        <v>-0.53451344080231034</v>
      </c>
      <c r="S591" s="12">
        <f>(INDEX(Proj[],MATCH(Std[[#This Row],[Player]],Proj[Player],0),26)-S$764)/S$765</f>
        <v>-0.60204651431330747</v>
      </c>
      <c r="T5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-532.60090076169206</v>
      </c>
      <c r="U591" s="11"/>
      <c r="W591" t="str">
        <v>Oliver Wahlstrom</v>
      </c>
      <c r="AA591" t="str">
        <v>Oliver Wahlstrom</v>
      </c>
      <c r="AB591" t="str">
        <v>Oliver Wahlstrom</v>
      </c>
    </row>
    <row r="592" spans="1:28" x14ac:dyDescent="0.25">
      <c r="A592" t="s">
        <v>1093</v>
      </c>
      <c r="B592">
        <f>INDEX(Proj[],MATCH(Std[[#This Row],[Player]],Proj[Player],0),2)</f>
        <v>26</v>
      </c>
      <c r="C592" t="s">
        <v>103</v>
      </c>
      <c r="D592" s="75"/>
      <c r="E592" s="57"/>
      <c r="F592" t="s">
        <v>23</v>
      </c>
      <c r="G592" s="12">
        <f>(INDEX(Proj[],MATCH(Std[[#This Row],[Player]],Proj[Player],0),14)-G$764)/G$765</f>
        <v>-0.7681191251392494</v>
      </c>
      <c r="H592" s="12">
        <f>(INDEX(Proj[],MATCH(Std[[#This Row],[Player]],Proj[Player],0),15)-H$764)/H$765</f>
        <v>-0.73719810048790013</v>
      </c>
      <c r="I592" s="12">
        <f>(INDEX(Proj[],MATCH(Std[[#This Row],[Player]],Proj[Player],0),16)-I$764)/I$765</f>
        <v>-0.81081997222640212</v>
      </c>
      <c r="J592" s="12">
        <f>(INDEX(Proj[],MATCH(Std[[#This Row],[Player]],Proj[Player],0),17)-J$764)/J$765</f>
        <v>-0.46669252292436259</v>
      </c>
      <c r="K592" s="12">
        <f>(INDEX(Proj[],MATCH(Std[[#This Row],[Player]],Proj[Player],0),18)-K$764)/K$765</f>
        <v>-0.29633482464760502</v>
      </c>
      <c r="L592" s="12">
        <f>(INDEX(Proj[],MATCH(Std[[#This Row],[Player]],Proj[Player],0),19)-L$764)/L$765</f>
        <v>-0.38152137069843867</v>
      </c>
      <c r="M592" s="12">
        <f>(INDEX(Proj[],MATCH(Std[[#This Row],[Player]],Proj[Player],0),20)-M$764)/M$765</f>
        <v>-0.71308883245737775</v>
      </c>
      <c r="N592" s="12">
        <f>(INDEX(Proj[],MATCH(Std[[#This Row],[Player]],Proj[Player],0),21)-N$764)/N$765</f>
        <v>-1.2544976264024363</v>
      </c>
      <c r="O592" s="12">
        <f>(INDEX(Proj[],MATCH(Std[[#This Row],[Player]],Proj[Player],0),22)-O$764)/O$765</f>
        <v>-0.98549627949346053</v>
      </c>
      <c r="P592" s="12">
        <f>((INDEX(Proj[],MATCH(Std[[#This Row],[Player]],Proj[Player],0),23)-P$764)/P$765)*IF('League Inputs'!$C$23 = "Yes",-1, 1)</f>
        <v>-1.3262294622903077</v>
      </c>
      <c r="Q592" s="12">
        <f>(INDEX(Proj[],MATCH(Std[[#This Row],[Player]],Proj[Player],0),24)-Q$764)/Q$765</f>
        <v>-0.41136727075493779</v>
      </c>
      <c r="R592" s="12">
        <f>(INDEX(Proj[],MATCH(Std[[#This Row],[Player]],Proj[Player],0),25)-R$764)/R$765</f>
        <v>-0.44938666936248239</v>
      </c>
      <c r="S592" s="12">
        <f>(INDEX(Proj[],MATCH(Std[[#This Row],[Player]],Proj[Player],0),26)-S$764)/S$765</f>
        <v>-1.2670129686973948</v>
      </c>
      <c r="T5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-794.22621761905282</v>
      </c>
      <c r="U592" s="11"/>
      <c r="W592" t="str">
        <v>Matthew Phillips</v>
      </c>
      <c r="AA592" t="str">
        <v>Matthew Phillips</v>
      </c>
      <c r="AB592" t="str">
        <v>Matthew Phillips</v>
      </c>
    </row>
    <row r="593" spans="1:28" x14ac:dyDescent="0.25">
      <c r="A593" t="s">
        <v>622</v>
      </c>
      <c r="B593">
        <f>INDEX(Proj[],MATCH(Std[[#This Row],[Player]],Proj[Player],0),2)</f>
        <v>29</v>
      </c>
      <c r="C593" t="s">
        <v>74</v>
      </c>
      <c r="D593" s="75" t="s">
        <v>102</v>
      </c>
      <c r="E593" s="57"/>
      <c r="F593" t="s">
        <v>4</v>
      </c>
      <c r="G593" s="12">
        <f>(INDEX(Proj[],MATCH(Std[[#This Row],[Player]],Proj[Player],0),14)-G$764)/G$765</f>
        <v>-0.66248525638148381</v>
      </c>
      <c r="H593" s="12">
        <f>(INDEX(Proj[],MATCH(Std[[#This Row],[Player]],Proj[Player],0),15)-H$764)/H$765</f>
        <v>-0.81172736747616536</v>
      </c>
      <c r="I593" s="12">
        <f>(INDEX(Proj[],MATCH(Std[[#This Row],[Player]],Proj[Player],0),16)-I$764)/I$765</f>
        <v>-0.81081997222640212</v>
      </c>
      <c r="J593" s="12">
        <f>(INDEX(Proj[],MATCH(Std[[#This Row],[Player]],Proj[Player],0),17)-J$764)/J$765</f>
        <v>-0.46669252292436259</v>
      </c>
      <c r="K593" s="12">
        <f>(INDEX(Proj[],MATCH(Std[[#This Row],[Player]],Proj[Player],0),18)-K$764)/K$765</f>
        <v>-0.45042076997056774</v>
      </c>
      <c r="L593" s="12">
        <f>(INDEX(Proj[],MATCH(Std[[#This Row],[Player]],Proj[Player],0),19)-L$764)/L$765</f>
        <v>-0.49026000221120619</v>
      </c>
      <c r="M593" s="12">
        <f>(INDEX(Proj[],MATCH(Std[[#This Row],[Player]],Proj[Player],0),20)-M$764)/M$765</f>
        <v>-0.71308883245737775</v>
      </c>
      <c r="N593" s="12">
        <f>(INDEX(Proj[],MATCH(Std[[#This Row],[Player]],Proj[Player],0),21)-N$764)/N$765</f>
        <v>-0.40178935907509955</v>
      </c>
      <c r="O593" s="12">
        <f>(INDEX(Proj[],MATCH(Std[[#This Row],[Player]],Proj[Player],0),22)-O$764)/O$765</f>
        <v>-0.96228027615427481</v>
      </c>
      <c r="P593" s="12">
        <f>((INDEX(Proj[],MATCH(Std[[#This Row],[Player]],Proj[Player],0),23)-P$764)/P$765)*IF('League Inputs'!$C$23 = "Yes",-1, 1)</f>
        <v>-0.76775217071000623</v>
      </c>
      <c r="Q593" s="12">
        <f>(INDEX(Proj[],MATCH(Std[[#This Row],[Player]],Proj[Player],0),24)-Q$764)/Q$765</f>
        <v>-0.51797568369558167</v>
      </c>
      <c r="R593" s="12">
        <f>(INDEX(Proj[],MATCH(Std[[#This Row],[Player]],Proj[Player],0),25)-R$764)/R$765</f>
        <v>-0.52316320461033328</v>
      </c>
      <c r="S593" s="12">
        <f>(INDEX(Proj[],MATCH(Std[[#This Row],[Player]],Proj[Player],0),26)-S$764)/S$765</f>
        <v>-0.68313998436014733</v>
      </c>
      <c r="T5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-610.82300722903665</v>
      </c>
      <c r="U593" s="11"/>
      <c r="W593" t="str">
        <v>Kevin Labanc</v>
      </c>
      <c r="AA593" t="str">
        <v>Kevin Labanc</v>
      </c>
      <c r="AB593" t="str">
        <v>Kevin Labanc</v>
      </c>
    </row>
    <row r="594" spans="1:28" x14ac:dyDescent="0.25">
      <c r="A594" t="s">
        <v>1032</v>
      </c>
      <c r="B594">
        <f>INDEX(Proj[],MATCH(Std[[#This Row],[Player]],Proj[Player],0),2)</f>
        <v>25</v>
      </c>
      <c r="C594" t="s">
        <v>102</v>
      </c>
      <c r="D594" s="75"/>
      <c r="E594" s="56"/>
      <c r="F594" t="s">
        <v>32</v>
      </c>
      <c r="G594" s="12">
        <f>(INDEX(Proj[],MATCH(Std[[#This Row],[Player]],Proj[Player],0),14)-G$764)/G$765</f>
        <v>-0.45121751886595246</v>
      </c>
      <c r="H594" s="12">
        <f>(INDEX(Proj[],MATCH(Std[[#This Row],[Player]],Proj[Player],0),15)-H$764)/H$765</f>
        <v>-0.96078590145269582</v>
      </c>
      <c r="I594" s="12">
        <f>(INDEX(Proj[],MATCH(Std[[#This Row],[Player]],Proj[Player],0),16)-I$764)/I$765</f>
        <v>-0.81081997222640212</v>
      </c>
      <c r="J594" s="12">
        <f>(INDEX(Proj[],MATCH(Std[[#This Row],[Player]],Proj[Player],0),17)-J$764)/J$765</f>
        <v>-0.17232923569972286</v>
      </c>
      <c r="K594" s="12">
        <f>(INDEX(Proj[],MATCH(Std[[#This Row],[Player]],Proj[Player],0),18)-K$764)/K$765</f>
        <v>-0.45042076997056774</v>
      </c>
      <c r="L594" s="12">
        <f>(INDEX(Proj[],MATCH(Std[[#This Row],[Player]],Proj[Player],0),19)-L$764)/L$765</f>
        <v>-0.38152137069843867</v>
      </c>
      <c r="M594" s="12">
        <f>(INDEX(Proj[],MATCH(Std[[#This Row],[Player]],Proj[Player],0),20)-M$764)/M$765</f>
        <v>-0.71308883245737775</v>
      </c>
      <c r="N594" s="12">
        <f>(INDEX(Proj[],MATCH(Std[[#This Row],[Player]],Proj[Player],0),21)-N$764)/N$765</f>
        <v>-1.2157381597057393</v>
      </c>
      <c r="O594" s="12">
        <f>(INDEX(Proj[],MATCH(Std[[#This Row],[Player]],Proj[Player],0),22)-O$764)/O$765</f>
        <v>-1.0087122828326462</v>
      </c>
      <c r="P594" s="12">
        <f>((INDEX(Proj[],MATCH(Std[[#This Row],[Player]],Proj[Player],0),23)-P$764)/P$765)*IF('League Inputs'!$C$23 = "Yes",-1, 1)</f>
        <v>-1.1866101393952324</v>
      </c>
      <c r="Q594" s="12">
        <f>(INDEX(Proj[],MATCH(Std[[#This Row],[Player]],Proj[Player],0),24)-Q$764)/Q$765</f>
        <v>7.3701008124992168E-2</v>
      </c>
      <c r="R594" s="12">
        <f>(INDEX(Proj[],MATCH(Std[[#This Row],[Player]],Proj[Player],0),25)-R$764)/R$765</f>
        <v>2.1648132604565547E-2</v>
      </c>
      <c r="S594" s="12">
        <f>(INDEX(Proj[],MATCH(Std[[#This Row],[Player]],Proj[Player],0),26)-S$764)/S$765</f>
        <v>-0.69935867836951537</v>
      </c>
      <c r="T5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-664.10630154216301</v>
      </c>
      <c r="U594" s="11"/>
      <c r="W594" t="str">
        <v>Cole Guttman</v>
      </c>
      <c r="AA594" t="str">
        <v>Cole Guttman</v>
      </c>
      <c r="AB594" t="str">
        <v>Cole Guttman</v>
      </c>
    </row>
    <row r="595" spans="1:28" x14ac:dyDescent="0.25">
      <c r="A595" t="s">
        <v>674</v>
      </c>
      <c r="B595">
        <f>INDEX(Proj[],MATCH(Std[[#This Row],[Player]],Proj[Player],0),2)</f>
        <v>27</v>
      </c>
      <c r="C595" t="s">
        <v>74</v>
      </c>
      <c r="D595" s="75" t="s">
        <v>103</v>
      </c>
      <c r="E595" s="56"/>
      <c r="F595" t="s">
        <v>7</v>
      </c>
      <c r="G595" s="12">
        <f>(INDEX(Proj[],MATCH(Std[[#This Row],[Player]],Proj[Player],0),14)-G$764)/G$765</f>
        <v>-0.55685138762371811</v>
      </c>
      <c r="H595" s="12">
        <f>(INDEX(Proj[],MATCH(Std[[#This Row],[Player]],Proj[Player],0),15)-H$764)/H$765</f>
        <v>-0.88625663446443059</v>
      </c>
      <c r="I595" s="12">
        <f>(INDEX(Proj[],MATCH(Std[[#This Row],[Player]],Proj[Player],0),16)-I$764)/I$765</f>
        <v>-0.81081997222640212</v>
      </c>
      <c r="J595" s="12">
        <f>(INDEX(Proj[],MATCH(Std[[#This Row],[Player]],Proj[Player],0),17)-J$764)/J$765</f>
        <v>-0.76105581014900237</v>
      </c>
      <c r="K595" s="12">
        <f>(INDEX(Proj[],MATCH(Std[[#This Row],[Player]],Proj[Player],0),18)-K$764)/K$765</f>
        <v>-0.75859266061649311</v>
      </c>
      <c r="L595" s="12">
        <f>(INDEX(Proj[],MATCH(Std[[#This Row],[Player]],Proj[Player],0),19)-L$764)/L$765</f>
        <v>-0.81647589674950882</v>
      </c>
      <c r="M595" s="12">
        <f>(INDEX(Proj[],MATCH(Std[[#This Row],[Player]],Proj[Player],0),20)-M$764)/M$765</f>
        <v>-0.71308883245737775</v>
      </c>
      <c r="N595" s="12">
        <f>(INDEX(Proj[],MATCH(Std[[#This Row],[Player]],Proj[Player],0),21)-N$764)/N$765</f>
        <v>-0.71186509264867659</v>
      </c>
      <c r="O595" s="12">
        <f>(INDEX(Proj[],MATCH(Std[[#This Row],[Player]],Proj[Player],0),22)-O$764)/O$765</f>
        <v>-1.0087122828326462</v>
      </c>
      <c r="P595" s="12">
        <f>((INDEX(Proj[],MATCH(Std[[#This Row],[Player]],Proj[Player],0),23)-P$764)/P$765)*IF('League Inputs'!$C$23 = "Yes",-1, 1)</f>
        <v>-0.86083171930672309</v>
      </c>
      <c r="Q595" s="12">
        <f>(INDEX(Proj[],MATCH(Std[[#This Row],[Player]],Proj[Player],0),24)-Q$764)/Q$765</f>
        <v>-0.52863652498964608</v>
      </c>
      <c r="R595" s="12">
        <f>(INDEX(Proj[],MATCH(Std[[#This Row],[Player]],Proj[Player],0),25)-R$764)/R$765</f>
        <v>-0.57423926747423004</v>
      </c>
      <c r="S595" s="12">
        <f>(INDEX(Proj[],MATCH(Std[[#This Row],[Player]],Proj[Player],0),26)-S$764)/S$765</f>
        <v>-0.97507647652877105</v>
      </c>
      <c r="T5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-715.55259873705222</v>
      </c>
      <c r="U595" s="11"/>
      <c r="W595" t="str">
        <v>Alex Barre-Boulet</v>
      </c>
      <c r="AA595" t="str">
        <v>Alex Barre-Boulet</v>
      </c>
      <c r="AB595" t="str">
        <v>Alex Barre-Boulet</v>
      </c>
    </row>
    <row r="596" spans="1:28" x14ac:dyDescent="0.25">
      <c r="A596" t="s">
        <v>915</v>
      </c>
      <c r="B596">
        <f>INDEX(Proj[],MATCH(Std[[#This Row],[Player]],Proj[Player],0),2)</f>
        <v>31</v>
      </c>
      <c r="C596" t="s">
        <v>74</v>
      </c>
      <c r="D596" s="75"/>
      <c r="E596" s="56"/>
      <c r="F596" t="s">
        <v>23</v>
      </c>
      <c r="G596" s="12">
        <f>(INDEX(Proj[],MATCH(Std[[#This Row],[Player]],Proj[Player],0),14)-G$764)/G$765</f>
        <v>-0.9793868626547807</v>
      </c>
      <c r="H596" s="12">
        <f>(INDEX(Proj[],MATCH(Std[[#This Row],[Player]],Proj[Player],0),15)-H$764)/H$765</f>
        <v>-0.6626688334996349</v>
      </c>
      <c r="I596" s="12">
        <f>(INDEX(Proj[],MATCH(Std[[#This Row],[Player]],Proj[Player],0),16)-I$764)/I$765</f>
        <v>-0.8580625311885054</v>
      </c>
      <c r="J596" s="12">
        <f>(INDEX(Proj[],MATCH(Std[[#This Row],[Player]],Proj[Player],0),17)-J$764)/J$765</f>
        <v>-0.76105581014900237</v>
      </c>
      <c r="K596" s="12">
        <f>(INDEX(Proj[],MATCH(Std[[#This Row],[Player]],Proj[Player],0),18)-K$764)/K$765</f>
        <v>-0.75859266061649311</v>
      </c>
      <c r="L596" s="12">
        <f>(INDEX(Proj[],MATCH(Std[[#This Row],[Player]],Proj[Player],0),19)-L$764)/L$765</f>
        <v>-0.81647589674950882</v>
      </c>
      <c r="M596" s="12">
        <f>(INDEX(Proj[],MATCH(Std[[#This Row],[Player]],Proj[Player],0),20)-M$764)/M$765</f>
        <v>2.3633801304301665</v>
      </c>
      <c r="N596" s="12">
        <f>(INDEX(Proj[],MATCH(Std[[#This Row],[Player]],Proj[Player],0),21)-N$764)/N$765</f>
        <v>0.95479197530930005</v>
      </c>
      <c r="O596" s="12">
        <f>(INDEX(Proj[],MATCH(Std[[#This Row],[Player]],Proj[Player],0),22)-O$764)/O$765</f>
        <v>3.216600324899153</v>
      </c>
      <c r="P596" s="12">
        <f>((INDEX(Proj[],MATCH(Std[[#This Row],[Player]],Proj[Player],0),23)-P$764)/P$765)*IF('League Inputs'!$C$23 = "Yes",-1, 1)</f>
        <v>1.4196172213128415</v>
      </c>
      <c r="Q596" s="12">
        <f>(INDEX(Proj[],MATCH(Std[[#This Row],[Player]],Proj[Player],0),24)-Q$764)/Q$765</f>
        <v>-0.5766103108129359</v>
      </c>
      <c r="R596" s="12">
        <f>(INDEX(Proj[],MATCH(Std[[#This Row],[Player]],Proj[Player],0),25)-R$764)/R$765</f>
        <v>-0.62531533033812681</v>
      </c>
      <c r="S596" s="12">
        <f>(INDEX(Proj[],MATCH(Std[[#This Row],[Player]],Proj[Player],0),26)-S$764)/S$765</f>
        <v>-0.39120349219152373</v>
      </c>
      <c r="T5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130.66015944244049</v>
      </c>
      <c r="U596" s="11"/>
      <c r="W596" t="str">
        <v>Nick Seeler</v>
      </c>
      <c r="AA596" t="str">
        <v>Nick Seeler</v>
      </c>
      <c r="AB596" t="str">
        <v>Nick Seeler</v>
      </c>
    </row>
    <row r="597" spans="1:28" x14ac:dyDescent="0.25">
      <c r="A597" t="s">
        <v>925</v>
      </c>
      <c r="B597">
        <f>INDEX(Proj[],MATCH(Std[[#This Row],[Player]],Proj[Player],0),2)</f>
        <v>24</v>
      </c>
      <c r="C597" t="s">
        <v>102</v>
      </c>
      <c r="D597" s="75"/>
      <c r="E597" s="57"/>
      <c r="F597" t="s">
        <v>30</v>
      </c>
      <c r="G597" s="12">
        <f>(INDEX(Proj[],MATCH(Std[[#This Row],[Player]],Proj[Player],0),14)-G$764)/G$765</f>
        <v>-0.873752993897015</v>
      </c>
      <c r="H597" s="12">
        <f>(INDEX(Proj[],MATCH(Std[[#This Row],[Player]],Proj[Player],0),15)-H$764)/H$765</f>
        <v>-0.73719810048790013</v>
      </c>
      <c r="I597" s="12">
        <f>(INDEX(Proj[],MATCH(Std[[#This Row],[Player]],Proj[Player],0),16)-I$764)/I$765</f>
        <v>-0.8580625311885054</v>
      </c>
      <c r="J597" s="12">
        <f>(INDEX(Proj[],MATCH(Std[[#This Row],[Player]],Proj[Player],0),17)-J$764)/J$765</f>
        <v>-0.76105581014900237</v>
      </c>
      <c r="K597" s="12">
        <f>(INDEX(Proj[],MATCH(Std[[#This Row],[Player]],Proj[Player],0),18)-K$764)/K$765</f>
        <v>-0.75859266061649311</v>
      </c>
      <c r="L597" s="12">
        <f>(INDEX(Proj[],MATCH(Std[[#This Row],[Player]],Proj[Player],0),19)-L$764)/L$765</f>
        <v>-0.81647589674950882</v>
      </c>
      <c r="M597" s="12">
        <f>(INDEX(Proj[],MATCH(Std[[#This Row],[Player]],Proj[Player],0),20)-M$764)/M$765</f>
        <v>-0.71308883245737775</v>
      </c>
      <c r="N597" s="12">
        <f>(INDEX(Proj[],MATCH(Std[[#This Row],[Player]],Proj[Player],0),21)-N$764)/N$765</f>
        <v>1.6524623758498485</v>
      </c>
      <c r="O597" s="12">
        <f>(INDEX(Proj[],MATCH(Std[[#This Row],[Player]],Proj[Player],0),22)-O$764)/O$765</f>
        <v>0.24495189748338211</v>
      </c>
      <c r="P597" s="12">
        <f>((INDEX(Proj[],MATCH(Std[[#This Row],[Player]],Proj[Player],0),23)-P$764)/P$765)*IF('League Inputs'!$C$23 = "Yes",-1, 1)</f>
        <v>2.9554297731586709</v>
      </c>
      <c r="Q597" s="12">
        <f>(INDEX(Proj[],MATCH(Std[[#This Row],[Player]],Proj[Player],0),24)-Q$764)/Q$765</f>
        <v>-0.5766103108129359</v>
      </c>
      <c r="R597" s="12">
        <f>(INDEX(Proj[],MATCH(Std[[#This Row],[Player]],Proj[Player],0),25)-R$764)/R$765</f>
        <v>-0.62531533033812681</v>
      </c>
      <c r="S597" s="12">
        <f>(INDEX(Proj[],MATCH(Std[[#This Row],[Player]],Proj[Player],0),26)-S$764)/S$765</f>
        <v>-0.63448390233204344</v>
      </c>
      <c r="T5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35.62603110239926</v>
      </c>
      <c r="U597" s="11"/>
      <c r="W597" t="str">
        <v>Arber Xhekaj</v>
      </c>
      <c r="AA597" t="str">
        <v>Arber Xhekaj</v>
      </c>
      <c r="AB597" t="str">
        <v>Arber Xhekaj</v>
      </c>
    </row>
    <row r="598" spans="1:28" x14ac:dyDescent="0.25">
      <c r="A598" t="s">
        <v>588</v>
      </c>
      <c r="B598">
        <f>INDEX(Proj[],MATCH(Std[[#This Row],[Player]],Proj[Player],0),2)</f>
        <v>28</v>
      </c>
      <c r="C598" t="s">
        <v>74</v>
      </c>
      <c r="D598" s="75" t="s">
        <v>102</v>
      </c>
      <c r="E598" s="57"/>
      <c r="F598" t="s">
        <v>18</v>
      </c>
      <c r="G598" s="12">
        <f>(INDEX(Proj[],MATCH(Std[[#This Row],[Player]],Proj[Player],0),14)-G$764)/G$765</f>
        <v>-0.9793868626547807</v>
      </c>
      <c r="H598" s="12">
        <f>(INDEX(Proj[],MATCH(Std[[#This Row],[Player]],Proj[Player],0),15)-H$764)/H$765</f>
        <v>-0.6626688334996349</v>
      </c>
      <c r="I598" s="12">
        <f>(INDEX(Proj[],MATCH(Std[[#This Row],[Player]],Proj[Player],0),16)-I$764)/I$765</f>
        <v>-0.8580625311885054</v>
      </c>
      <c r="J598" s="12">
        <f>(INDEX(Proj[],MATCH(Std[[#This Row],[Player]],Proj[Player],0),17)-J$764)/J$765</f>
        <v>-0.76105581014900237</v>
      </c>
      <c r="K598" s="12">
        <f>(INDEX(Proj[],MATCH(Std[[#This Row],[Player]],Proj[Player],0),18)-K$764)/K$765</f>
        <v>-0.75859266061649311</v>
      </c>
      <c r="L598" s="12">
        <f>(INDEX(Proj[],MATCH(Std[[#This Row],[Player]],Proj[Player],0),19)-L$764)/L$765</f>
        <v>-0.81647589674950882</v>
      </c>
      <c r="M598" s="12">
        <f>(INDEX(Proj[],MATCH(Std[[#This Row],[Player]],Proj[Player],0),20)-M$764)/M$765</f>
        <v>0.31240082183847029</v>
      </c>
      <c r="N598" s="12">
        <f>(INDEX(Proj[],MATCH(Std[[#This Row],[Player]],Proj[Player],0),21)-N$764)/N$765</f>
        <v>1.5749434424564541</v>
      </c>
      <c r="O598" s="12">
        <f>(INDEX(Proj[],MATCH(Std[[#This Row],[Player]],Proj[Player],0),22)-O$764)/O$765</f>
        <v>1.5914800911561533</v>
      </c>
      <c r="P598" s="12">
        <f>((INDEX(Proj[],MATCH(Std[[#This Row],[Player]],Proj[Player],0),23)-P$764)/P$765)*IF('League Inputs'!$C$23 = "Yes",-1, 1)</f>
        <v>1.5126967699095586</v>
      </c>
      <c r="Q598" s="12">
        <f>(INDEX(Proj[],MATCH(Std[[#This Row],[Player]],Proj[Player],0),24)-Q$764)/Q$765</f>
        <v>-0.5766103108129359</v>
      </c>
      <c r="R598" s="12">
        <f>(INDEX(Proj[],MATCH(Std[[#This Row],[Player]],Proj[Player],0),25)-R$764)/R$765</f>
        <v>-0.62531533033812681</v>
      </c>
      <c r="S598" s="12">
        <f>(INDEX(Proj[],MATCH(Std[[#This Row],[Player]],Proj[Player],0),26)-S$764)/S$765</f>
        <v>-0.60204651431330747</v>
      </c>
      <c r="T5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18.38693543034924</v>
      </c>
      <c r="U598" s="11"/>
      <c r="W598" t="str">
        <v>Niko Mikkola</v>
      </c>
      <c r="AA598" t="str">
        <v>Niko Mikkola</v>
      </c>
      <c r="AB598" t="str">
        <v>Niko Mikkola</v>
      </c>
    </row>
    <row r="599" spans="1:28" x14ac:dyDescent="0.25">
      <c r="A599" t="s">
        <v>498</v>
      </c>
      <c r="B599">
        <f>INDEX(Proj[],MATCH(Std[[#This Row],[Player]],Proj[Player],0),2)</f>
        <v>24</v>
      </c>
      <c r="C599" t="s">
        <v>3</v>
      </c>
      <c r="D599" s="75"/>
      <c r="E599" s="56"/>
      <c r="F599" t="s">
        <v>15</v>
      </c>
      <c r="G599" s="12">
        <f>(INDEX(Proj[],MATCH(Std[[#This Row],[Player]],Proj[Player],0),14)-G$764)/G$765</f>
        <v>-1.0850207314125464</v>
      </c>
      <c r="H599" s="12">
        <f>(INDEX(Proj[],MATCH(Std[[#This Row],[Player]],Proj[Player],0),15)-H$764)/H$765</f>
        <v>-0.58813956651136978</v>
      </c>
      <c r="I599" s="12">
        <f>(INDEX(Proj[],MATCH(Std[[#This Row],[Player]],Proj[Player],0),16)-I$764)/I$765</f>
        <v>-0.8580625311885054</v>
      </c>
      <c r="J599" s="12">
        <f>(INDEX(Proj[],MATCH(Std[[#This Row],[Player]],Proj[Player],0),17)-J$764)/J$765</f>
        <v>-0.76105581014900237</v>
      </c>
      <c r="K599" s="12">
        <f>(INDEX(Proj[],MATCH(Std[[#This Row],[Player]],Proj[Player],0),18)-K$764)/K$765</f>
        <v>-0.75859266061649311</v>
      </c>
      <c r="L599" s="12">
        <f>(INDEX(Proj[],MATCH(Std[[#This Row],[Player]],Proj[Player],0),19)-L$764)/L$765</f>
        <v>-0.81647589674950882</v>
      </c>
      <c r="M599" s="12">
        <f>(INDEX(Proj[],MATCH(Std[[#This Row],[Player]],Proj[Player],0),20)-M$764)/M$765</f>
        <v>0.31240082183847029</v>
      </c>
      <c r="N599" s="12">
        <f>(INDEX(Proj[],MATCH(Std[[#This Row],[Player]],Proj[Player],0),21)-N$764)/N$765</f>
        <v>1.1873487754894829</v>
      </c>
      <c r="O599" s="12">
        <f>(INDEX(Proj[],MATCH(Std[[#This Row],[Player]],Proj[Player],0),22)-O$764)/O$765</f>
        <v>1.7539921145304533</v>
      </c>
      <c r="P599" s="12">
        <f>((INDEX(Proj[],MATCH(Std[[#This Row],[Player]],Proj[Player],0),23)-P$764)/P$765)*IF('League Inputs'!$C$23 = "Yes",-1, 1)</f>
        <v>-2.3115781936270764E-2</v>
      </c>
      <c r="Q599" s="12">
        <f>(INDEX(Proj[],MATCH(Std[[#This Row],[Player]],Proj[Player],0),24)-Q$764)/Q$765</f>
        <v>-0.5766103108129359</v>
      </c>
      <c r="R599" s="12">
        <f>(INDEX(Proj[],MATCH(Std[[#This Row],[Player]],Proj[Player],0),25)-R$764)/R$765</f>
        <v>-0.62531533033812681</v>
      </c>
      <c r="S599" s="12">
        <f>(INDEX(Proj[],MATCH(Std[[#This Row],[Player]],Proj[Player],0),26)-S$764)/S$765</f>
        <v>-0.63448390233204344</v>
      </c>
      <c r="T5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-164.05678309232445</v>
      </c>
      <c r="U599" s="11"/>
      <c r="W599" t="str">
        <v>Mattias Samuelsson</v>
      </c>
      <c r="AA599" t="str">
        <v>Mattias Samuelsson</v>
      </c>
      <c r="AB599" t="str">
        <v>Mattias Samuelsson</v>
      </c>
    </row>
    <row r="600" spans="1:28" x14ac:dyDescent="0.25">
      <c r="A600" t="s">
        <v>541</v>
      </c>
      <c r="B600">
        <f>INDEX(Proj[],MATCH(Std[[#This Row],[Player]],Proj[Player],0),2)</f>
        <v>28</v>
      </c>
      <c r="C600" t="s">
        <v>74</v>
      </c>
      <c r="D600" s="75" t="s">
        <v>103</v>
      </c>
      <c r="E600" s="57"/>
      <c r="F600" t="s">
        <v>31</v>
      </c>
      <c r="G600" s="12">
        <f>(INDEX(Proj[],MATCH(Std[[#This Row],[Player]],Proj[Player],0),14)-G$764)/G$765</f>
        <v>-0.873752993897015</v>
      </c>
      <c r="H600" s="12">
        <f>(INDEX(Proj[],MATCH(Std[[#This Row],[Player]],Proj[Player],0),15)-H$764)/H$765</f>
        <v>-0.73719810048790013</v>
      </c>
      <c r="I600" s="12">
        <f>(INDEX(Proj[],MATCH(Std[[#This Row],[Player]],Proj[Player],0),16)-I$764)/I$765</f>
        <v>-0.8580625311885054</v>
      </c>
      <c r="J600" s="12">
        <f>(INDEX(Proj[],MATCH(Std[[#This Row],[Player]],Proj[Player],0),17)-J$764)/J$765</f>
        <v>-0.76105581014900237</v>
      </c>
      <c r="K600" s="12">
        <f>(INDEX(Proj[],MATCH(Std[[#This Row],[Player]],Proj[Player],0),18)-K$764)/K$765</f>
        <v>-0.75859266061649311</v>
      </c>
      <c r="L600" s="12">
        <f>(INDEX(Proj[],MATCH(Std[[#This Row],[Player]],Proj[Player],0),19)-L$764)/L$765</f>
        <v>-0.81647589674950882</v>
      </c>
      <c r="M600" s="12">
        <f>(INDEX(Proj[],MATCH(Std[[#This Row],[Player]],Proj[Player],0),20)-M$764)/M$765</f>
        <v>0.31240082183847029</v>
      </c>
      <c r="N600" s="12">
        <f>(INDEX(Proj[],MATCH(Std[[#This Row],[Player]],Proj[Player],0),21)-N$764)/N$765</f>
        <v>0.74161490847746581</v>
      </c>
      <c r="O600" s="12">
        <f>(INDEX(Proj[],MATCH(Std[[#This Row],[Player]],Proj[Player],0),22)-O$764)/O$765</f>
        <v>1.6379120978345247</v>
      </c>
      <c r="P600" s="12">
        <f>((INDEX(Proj[],MATCH(Std[[#This Row],[Player]],Proj[Player],0),23)-P$764)/P$765)*IF('League Inputs'!$C$23 = "Yes",-1, 1)</f>
        <v>6.9963766660446167E-2</v>
      </c>
      <c r="Q600" s="12">
        <f>(INDEX(Proj[],MATCH(Std[[#This Row],[Player]],Proj[Player],0),24)-Q$764)/Q$765</f>
        <v>-0.5766103108129359</v>
      </c>
      <c r="R600" s="12">
        <f>(INDEX(Proj[],MATCH(Std[[#This Row],[Player]],Proj[Player],0),25)-R$764)/R$765</f>
        <v>-0.62531533033812681</v>
      </c>
      <c r="S600" s="12">
        <f>(INDEX(Proj[],MATCH(Std[[#This Row],[Player]],Proj[Player],0),26)-S$764)/S$765</f>
        <v>-0.5209530442664676</v>
      </c>
      <c r="T6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-193.35621044298966</v>
      </c>
      <c r="U600" s="11"/>
      <c r="W600" t="str">
        <v>Brandon Carlo</v>
      </c>
      <c r="AA600" t="str">
        <v>Brandon Carlo</v>
      </c>
      <c r="AB600" t="str">
        <v>Brandon Carlo</v>
      </c>
    </row>
    <row r="601" spans="1:28" x14ac:dyDescent="0.25">
      <c r="A601" t="s">
        <v>462</v>
      </c>
      <c r="B601">
        <f>INDEX(Proj[],MATCH(Std[[#This Row],[Player]],Proj[Player],0),2)</f>
        <v>27</v>
      </c>
      <c r="C601" t="s">
        <v>102</v>
      </c>
      <c r="D601" s="75"/>
      <c r="E601" s="57"/>
      <c r="F601" t="s">
        <v>14</v>
      </c>
      <c r="G601" s="12">
        <f>(INDEX(Proj[],MATCH(Std[[#This Row],[Player]],Proj[Player],0),14)-G$764)/G$765</f>
        <v>-1.0850207314125464</v>
      </c>
      <c r="H601" s="12">
        <f>(INDEX(Proj[],MATCH(Std[[#This Row],[Player]],Proj[Player],0),15)-H$764)/H$765</f>
        <v>-0.58813956651136978</v>
      </c>
      <c r="I601" s="12">
        <f>(INDEX(Proj[],MATCH(Std[[#This Row],[Player]],Proj[Player],0),16)-I$764)/I$765</f>
        <v>-0.8580625311885054</v>
      </c>
      <c r="J601" s="12">
        <f>(INDEX(Proj[],MATCH(Std[[#This Row],[Player]],Proj[Player],0),17)-J$764)/J$765</f>
        <v>-0.76105581014900237</v>
      </c>
      <c r="K601" s="12">
        <f>(INDEX(Proj[],MATCH(Std[[#This Row],[Player]],Proj[Player],0),18)-K$764)/K$765</f>
        <v>-0.75859266061649311</v>
      </c>
      <c r="L601" s="12">
        <f>(INDEX(Proj[],MATCH(Std[[#This Row],[Player]],Proj[Player],0),19)-L$764)/L$765</f>
        <v>-0.81647589674950882</v>
      </c>
      <c r="M601" s="12">
        <f>(INDEX(Proj[],MATCH(Std[[#This Row],[Player]],Proj[Player],0),20)-M$764)/M$765</f>
        <v>-0.71308883245737775</v>
      </c>
      <c r="N601" s="12">
        <f>(INDEX(Proj[],MATCH(Std[[#This Row],[Player]],Proj[Player],0),21)-N$764)/N$765</f>
        <v>0.2958810414654488</v>
      </c>
      <c r="O601" s="12">
        <f>(INDEX(Proj[],MATCH(Std[[#This Row],[Player]],Proj[Player],0),22)-O$764)/O$765</f>
        <v>1.7539921145304533</v>
      </c>
      <c r="P601" s="12">
        <f>((INDEX(Proj[],MATCH(Std[[#This Row],[Player]],Proj[Player],0),23)-P$764)/P$765)*IF('League Inputs'!$C$23 = "Yes",-1, 1)</f>
        <v>0.11650354095880462</v>
      </c>
      <c r="Q601" s="12">
        <f>(INDEX(Proj[],MATCH(Std[[#This Row],[Player]],Proj[Player],0),24)-Q$764)/Q$765</f>
        <v>-0.5766103108129359</v>
      </c>
      <c r="R601" s="12">
        <f>(INDEX(Proj[],MATCH(Std[[#This Row],[Player]],Proj[Player],0),25)-R$764)/R$765</f>
        <v>-0.62531533033812681</v>
      </c>
      <c r="S601" s="12">
        <f>(INDEX(Proj[],MATCH(Std[[#This Row],[Player]],Proj[Player],0),26)-S$764)/S$765</f>
        <v>-0.58582782030393954</v>
      </c>
      <c r="T6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-234.3760160024099</v>
      </c>
      <c r="U601" s="11"/>
      <c r="W601" t="str">
        <v>Jonas Siegenthaler</v>
      </c>
      <c r="AA601" t="str">
        <v>Jonas Siegenthaler</v>
      </c>
      <c r="AB601" t="str">
        <v>Jonas Siegenthaler</v>
      </c>
    </row>
    <row r="602" spans="1:28" x14ac:dyDescent="0.25">
      <c r="A602" t="s">
        <v>569</v>
      </c>
      <c r="B602">
        <f>INDEX(Proj[],MATCH(Std[[#This Row],[Player]],Proj[Player],0),2)</f>
        <v>27</v>
      </c>
      <c r="C602" t="s">
        <v>74</v>
      </c>
      <c r="D602" s="75" t="s">
        <v>102</v>
      </c>
      <c r="E602" s="57"/>
      <c r="F602" t="s">
        <v>29</v>
      </c>
      <c r="G602" s="12">
        <f>(INDEX(Proj[],MATCH(Std[[#This Row],[Player]],Proj[Player],0),14)-G$764)/G$765</f>
        <v>-0.66248525638148381</v>
      </c>
      <c r="H602" s="12">
        <f>(INDEX(Proj[],MATCH(Std[[#This Row],[Player]],Proj[Player],0),15)-H$764)/H$765</f>
        <v>-0.88625663446443059</v>
      </c>
      <c r="I602" s="12">
        <f>(INDEX(Proj[],MATCH(Std[[#This Row],[Player]],Proj[Player],0),16)-I$764)/I$765</f>
        <v>-0.8580625311885054</v>
      </c>
      <c r="J602" s="12">
        <f>(INDEX(Proj[],MATCH(Std[[#This Row],[Player]],Proj[Player],0),17)-J$764)/J$765</f>
        <v>-0.76105581014900237</v>
      </c>
      <c r="K602" s="12">
        <f>(INDEX(Proj[],MATCH(Std[[#This Row],[Player]],Proj[Player],0),18)-K$764)/K$765</f>
        <v>-0.75859266061649311</v>
      </c>
      <c r="L602" s="12">
        <f>(INDEX(Proj[],MATCH(Std[[#This Row],[Player]],Proj[Player],0),19)-L$764)/L$765</f>
        <v>-0.81647589674950882</v>
      </c>
      <c r="M602" s="12">
        <f>(INDEX(Proj[],MATCH(Std[[#This Row],[Player]],Proj[Player],0),20)-M$764)/M$765</f>
        <v>-0.71308883245737775</v>
      </c>
      <c r="N602" s="12">
        <f>(INDEX(Proj[],MATCH(Std[[#This Row],[Player]],Proj[Player],0),21)-N$764)/N$765</f>
        <v>1.671842109198197</v>
      </c>
      <c r="O602" s="12">
        <f>(INDEX(Proj[],MATCH(Std[[#This Row],[Player]],Proj[Player],0),22)-O$764)/O$765</f>
        <v>-0.42831219935300352</v>
      </c>
      <c r="P602" s="12">
        <f>((INDEX(Proj[],MATCH(Std[[#This Row],[Player]],Proj[Player],0),23)-P$764)/P$765)*IF('League Inputs'!$C$23 = "Yes",-1, 1)</f>
        <v>1.8384751899980678</v>
      </c>
      <c r="Q602" s="12">
        <f>(INDEX(Proj[],MATCH(Std[[#This Row],[Player]],Proj[Player],0),24)-Q$764)/Q$765</f>
        <v>-0.51264526304854952</v>
      </c>
      <c r="R602" s="12">
        <f>(INDEX(Proj[],MATCH(Std[[#This Row],[Player]],Proj[Player],0),25)-R$764)/R$765</f>
        <v>-0.50613785032236769</v>
      </c>
      <c r="S602" s="12">
        <f>(INDEX(Proj[],MATCH(Std[[#This Row],[Player]],Proj[Player],0),26)-S$764)/S$765</f>
        <v>-0.91020170049129911</v>
      </c>
      <c r="T6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-156.41221824805166</v>
      </c>
      <c r="U602" s="11"/>
      <c r="W602" t="str">
        <v>Mathieu Olivier</v>
      </c>
      <c r="AA602" t="str">
        <v>Mathieu Olivier</v>
      </c>
      <c r="AB602" t="str">
        <v>Mathieu Olivier</v>
      </c>
    </row>
    <row r="603" spans="1:28" x14ac:dyDescent="0.25">
      <c r="A603" t="s">
        <v>944</v>
      </c>
      <c r="B603">
        <f>INDEX(Proj[],MATCH(Std[[#This Row],[Player]],Proj[Player],0),2)</f>
        <v>24</v>
      </c>
      <c r="C603" t="s">
        <v>103</v>
      </c>
      <c r="D603" s="75"/>
      <c r="E603" s="57"/>
      <c r="F603" t="s">
        <v>14</v>
      </c>
      <c r="G603" s="12">
        <f>(INDEX(Proj[],MATCH(Std[[#This Row],[Player]],Proj[Player],0),14)-G$764)/G$765</f>
        <v>-0.873752993897015</v>
      </c>
      <c r="H603" s="12">
        <f>(INDEX(Proj[],MATCH(Std[[#This Row],[Player]],Proj[Player],0),15)-H$764)/H$765</f>
        <v>-0.73719810048790013</v>
      </c>
      <c r="I603" s="12">
        <f>(INDEX(Proj[],MATCH(Std[[#This Row],[Player]],Proj[Player],0),16)-I$764)/I$765</f>
        <v>-0.8580625311885054</v>
      </c>
      <c r="J603" s="12">
        <f>(INDEX(Proj[],MATCH(Std[[#This Row],[Player]],Proj[Player],0),17)-J$764)/J$765</f>
        <v>-0.76105581014900237</v>
      </c>
      <c r="K603" s="12">
        <f>(INDEX(Proj[],MATCH(Std[[#This Row],[Player]],Proj[Player],0),18)-K$764)/K$765</f>
        <v>-0.75859266061649311</v>
      </c>
      <c r="L603" s="12">
        <f>(INDEX(Proj[],MATCH(Std[[#This Row],[Player]],Proj[Player],0),19)-L$764)/L$765</f>
        <v>-0.81647589674950882</v>
      </c>
      <c r="M603" s="12">
        <f>(INDEX(Proj[],MATCH(Std[[#This Row],[Player]],Proj[Player],0),20)-M$764)/M$765</f>
        <v>-0.71308883245737775</v>
      </c>
      <c r="N603" s="12">
        <f>(INDEX(Proj[],MATCH(Std[[#This Row],[Player]],Proj[Player],0),21)-N$764)/N$765</f>
        <v>-0.80876375939041945</v>
      </c>
      <c r="O603" s="12">
        <f>(INDEX(Proj[],MATCH(Std[[#This Row],[Player]],Proj[Player],0),22)-O$764)/O$765</f>
        <v>1.1039440210332534</v>
      </c>
      <c r="P603" s="12">
        <f>((INDEX(Proj[],MATCH(Std[[#This Row],[Player]],Proj[Player],0),23)-P$764)/P$765)*IF('League Inputs'!$C$23 = "Yes",-1, 1)</f>
        <v>-6.9655556234629226E-2</v>
      </c>
      <c r="Q603" s="12">
        <f>(INDEX(Proj[],MATCH(Std[[#This Row],[Player]],Proj[Player],0),24)-Q$764)/Q$765</f>
        <v>-0.5766103108129359</v>
      </c>
      <c r="R603" s="12">
        <f>(INDEX(Proj[],MATCH(Std[[#This Row],[Player]],Proj[Player],0),25)-R$764)/R$765</f>
        <v>-0.62531533033812681</v>
      </c>
      <c r="S603" s="12">
        <f>(INDEX(Proj[],MATCH(Std[[#This Row],[Player]],Proj[Player],0),26)-S$764)/S$765</f>
        <v>-0.94263908851003508</v>
      </c>
      <c r="T6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-457.92142162376945</v>
      </c>
      <c r="U603" s="11"/>
      <c r="W603" t="str">
        <v>Jordan Harris</v>
      </c>
      <c r="AA603" t="str">
        <v>Jordan Harris</v>
      </c>
      <c r="AB603" t="str">
        <v>Jordan Harris</v>
      </c>
    </row>
    <row r="604" spans="1:28" x14ac:dyDescent="0.25">
      <c r="A604" t="s">
        <v>1223</v>
      </c>
      <c r="B604">
        <f>INDEX(Proj[],MATCH(Std[[#This Row],[Player]],Proj[Player],0),2)</f>
        <v>24</v>
      </c>
      <c r="C604" t="s">
        <v>102</v>
      </c>
      <c r="D604" s="75" t="s">
        <v>103</v>
      </c>
      <c r="E604" s="57"/>
      <c r="F604" t="s">
        <v>9</v>
      </c>
      <c r="G604" s="12">
        <f>(INDEX(Proj[],MATCH(Std[[#This Row],[Player]],Proj[Player],0),14)-G$764)/G$765</f>
        <v>-0.9793868626547807</v>
      </c>
      <c r="H604" s="12">
        <f>(INDEX(Proj[],MATCH(Std[[#This Row],[Player]],Proj[Player],0),15)-H$764)/H$765</f>
        <v>-0.6626688334996349</v>
      </c>
      <c r="I604" s="12">
        <f>(INDEX(Proj[],MATCH(Std[[#This Row],[Player]],Proj[Player],0),16)-I$764)/I$765</f>
        <v>-0.8580625311885054</v>
      </c>
      <c r="J604" s="12">
        <f>(INDEX(Proj[],MATCH(Std[[#This Row],[Player]],Proj[Player],0),17)-J$764)/J$765</f>
        <v>-0.76105581014900237</v>
      </c>
      <c r="K604" s="12">
        <f>(INDEX(Proj[],MATCH(Std[[#This Row],[Player]],Proj[Player],0),18)-K$764)/K$765</f>
        <v>-0.75859266061649311</v>
      </c>
      <c r="L604" s="12">
        <f>(INDEX(Proj[],MATCH(Std[[#This Row],[Player]],Proj[Player],0),19)-L$764)/L$765</f>
        <v>-0.81647589674950882</v>
      </c>
      <c r="M604" s="12">
        <f>(INDEX(Proj[],MATCH(Std[[#This Row],[Player]],Proj[Player],0),20)-M$764)/M$765</f>
        <v>-0.71308883245737775</v>
      </c>
      <c r="N604" s="12">
        <f>(INDEX(Proj[],MATCH(Std[[#This Row],[Player]],Proj[Player],0),21)-N$764)/N$765</f>
        <v>-0.20799202559161389</v>
      </c>
      <c r="O604" s="12">
        <f>(INDEX(Proj[],MATCH(Std[[#This Row],[Player]],Proj[Player],0),22)-O$764)/O$765</f>
        <v>0.40746392085768207</v>
      </c>
      <c r="P604" s="12">
        <f>((INDEX(Proj[],MATCH(Std[[#This Row],[Player]],Proj[Player],0),23)-P$764)/P$765)*IF('League Inputs'!$C$23 = "Yes",-1, 1)</f>
        <v>-0.16273510483134615</v>
      </c>
      <c r="Q604" s="12">
        <f>(INDEX(Proj[],MATCH(Std[[#This Row],[Player]],Proj[Player],0),24)-Q$764)/Q$765</f>
        <v>-0.5766103108129359</v>
      </c>
      <c r="R604" s="12">
        <f>(INDEX(Proj[],MATCH(Std[[#This Row],[Player]],Proj[Player],0),25)-R$764)/R$765</f>
        <v>-0.62531533033812681</v>
      </c>
      <c r="S604" s="12">
        <f>(INDEX(Proj[],MATCH(Std[[#This Row],[Player]],Proj[Player],0),26)-S$764)/S$765</f>
        <v>-0.82910823044445925</v>
      </c>
      <c r="T6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-468.55758749151022</v>
      </c>
      <c r="U604" s="11"/>
      <c r="W604" t="str">
        <v>Albert Johansson</v>
      </c>
      <c r="AA604" t="str">
        <v>Albert Johansson</v>
      </c>
      <c r="AB604" t="str">
        <v>Albert Johansson</v>
      </c>
    </row>
    <row r="605" spans="1:28" x14ac:dyDescent="0.25">
      <c r="A605" t="s">
        <v>766</v>
      </c>
      <c r="B605">
        <f>INDEX(Proj[],MATCH(Std[[#This Row],[Player]],Proj[Player],0),2)</f>
        <v>32</v>
      </c>
      <c r="C605" t="s">
        <v>3</v>
      </c>
      <c r="D605" s="75"/>
      <c r="E605" s="56"/>
      <c r="F605" t="s">
        <v>4</v>
      </c>
      <c r="G605" s="12">
        <f>(INDEX(Proj[],MATCH(Std[[#This Row],[Player]],Proj[Player],0),14)-G$764)/G$765</f>
        <v>-0.7681191251392494</v>
      </c>
      <c r="H605" s="12">
        <f>(INDEX(Proj[],MATCH(Std[[#This Row],[Player]],Proj[Player],0),15)-H$764)/H$765</f>
        <v>-0.81172736747616536</v>
      </c>
      <c r="I605" s="12">
        <f>(INDEX(Proj[],MATCH(Std[[#This Row],[Player]],Proj[Player],0),16)-I$764)/I$765</f>
        <v>-0.8580625311885054</v>
      </c>
      <c r="J605" s="12">
        <f>(INDEX(Proj[],MATCH(Std[[#This Row],[Player]],Proj[Player],0),17)-J$764)/J$765</f>
        <v>-0.76105581014900237</v>
      </c>
      <c r="K605" s="12">
        <f>(INDEX(Proj[],MATCH(Std[[#This Row],[Player]],Proj[Player],0),18)-K$764)/K$765</f>
        <v>-0.75859266061649311</v>
      </c>
      <c r="L605" s="12">
        <f>(INDEX(Proj[],MATCH(Std[[#This Row],[Player]],Proj[Player],0),19)-L$764)/L$765</f>
        <v>-0.81647589674950882</v>
      </c>
      <c r="M605" s="12">
        <f>(INDEX(Proj[],MATCH(Std[[#This Row],[Player]],Proj[Player],0),20)-M$764)/M$765</f>
        <v>0.31240082183847029</v>
      </c>
      <c r="N605" s="12">
        <f>(INDEX(Proj[],MATCH(Std[[#This Row],[Player]],Proj[Player],0),21)-N$764)/N$765</f>
        <v>-0.30489069233335675</v>
      </c>
      <c r="O605" s="12">
        <f>(INDEX(Proj[],MATCH(Std[[#This Row],[Player]],Proj[Player],0),22)-O$764)/O$765</f>
        <v>-0.59082422272730351</v>
      </c>
      <c r="P605" s="12">
        <f>((INDEX(Proj[],MATCH(Std[[#This Row],[Player]],Proj[Player],0),23)-P$764)/P$765)*IF('League Inputs'!$C$23 = "Yes",-1, 1)</f>
        <v>-0.1161953305329877</v>
      </c>
      <c r="Q605" s="12">
        <f>(INDEX(Proj[],MATCH(Std[[#This Row],[Player]],Proj[Player],0),24)-Q$764)/Q$765</f>
        <v>0.86260326388575748</v>
      </c>
      <c r="R605" s="12">
        <f>(INDEX(Proj[],MATCH(Std[[#This Row],[Player]],Proj[Player],0),25)-R$764)/R$765</f>
        <v>0.71401254031516614</v>
      </c>
      <c r="S605" s="12">
        <f>(INDEX(Proj[],MATCH(Std[[#This Row],[Player]],Proj[Player],0),26)-S$764)/S$765</f>
        <v>-0.78045214841635524</v>
      </c>
      <c r="T6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-418.41440506776746</v>
      </c>
      <c r="U605" s="11"/>
      <c r="W605" t="str">
        <v>Tomas Nosek</v>
      </c>
      <c r="AA605" t="str">
        <v>Tomas Nosek</v>
      </c>
      <c r="AB605" t="str">
        <v>Tomas Nosek</v>
      </c>
    </row>
    <row r="606" spans="1:28" x14ac:dyDescent="0.25">
      <c r="A606" t="s">
        <v>825</v>
      </c>
      <c r="B606">
        <f>INDEX(Proj[],MATCH(Std[[#This Row],[Player]],Proj[Player],0),2)</f>
        <v>30</v>
      </c>
      <c r="C606" t="s">
        <v>103</v>
      </c>
      <c r="D606" s="75"/>
      <c r="E606" s="57"/>
      <c r="F606" t="s">
        <v>2</v>
      </c>
      <c r="G606" s="12">
        <f>(INDEX(Proj[],MATCH(Std[[#This Row],[Player]],Proj[Player],0),14)-G$764)/G$765</f>
        <v>-0.55685138762371811</v>
      </c>
      <c r="H606" s="12">
        <f>(INDEX(Proj[],MATCH(Std[[#This Row],[Player]],Proj[Player],0),15)-H$764)/H$765</f>
        <v>-0.96078590145269582</v>
      </c>
      <c r="I606" s="12">
        <f>(INDEX(Proj[],MATCH(Std[[#This Row],[Player]],Proj[Player],0),16)-I$764)/I$765</f>
        <v>-0.8580625311885054</v>
      </c>
      <c r="J606" s="12">
        <f>(INDEX(Proj[],MATCH(Std[[#This Row],[Player]],Proj[Player],0),17)-J$764)/J$765</f>
        <v>-0.76105581014900237</v>
      </c>
      <c r="K606" s="12">
        <f>(INDEX(Proj[],MATCH(Std[[#This Row],[Player]],Proj[Player],0),18)-K$764)/K$765</f>
        <v>-0.75859266061649311</v>
      </c>
      <c r="L606" s="12">
        <f>(INDEX(Proj[],MATCH(Std[[#This Row],[Player]],Proj[Player],0),19)-L$764)/L$765</f>
        <v>-0.81647589674950882</v>
      </c>
      <c r="M606" s="12">
        <f>(INDEX(Proj[],MATCH(Std[[#This Row],[Player]],Proj[Player],0),20)-M$764)/M$765</f>
        <v>-0.71308883245737775</v>
      </c>
      <c r="N606" s="12">
        <f>(INDEX(Proj[],MATCH(Std[[#This Row],[Player]],Proj[Player],0),21)-N$764)/N$765</f>
        <v>0.54781757499398021</v>
      </c>
      <c r="O606" s="12">
        <f>(INDEX(Proj[],MATCH(Std[[#This Row],[Player]],Proj[Player],0),22)-O$764)/O$765</f>
        <v>-0.52117621270974634</v>
      </c>
      <c r="P606" s="12">
        <f>((INDEX(Proj[],MATCH(Std[[#This Row],[Player]],Proj[Player],0),23)-P$764)/P$765)*IF('League Inputs'!$C$23 = "Yes",-1, 1)</f>
        <v>-0.72121239641164769</v>
      </c>
      <c r="Q606" s="12">
        <f>(INDEX(Proj[],MATCH(Std[[#This Row],[Player]],Proj[Player],0),24)-Q$764)/Q$765</f>
        <v>-0.37938474687274459</v>
      </c>
      <c r="R606" s="12">
        <f>(INDEX(Proj[],MATCH(Std[[#This Row],[Player]],Proj[Player],0),25)-R$764)/R$765</f>
        <v>-0.41533596078655122</v>
      </c>
      <c r="S606" s="12">
        <f>(INDEX(Proj[],MATCH(Std[[#This Row],[Player]],Proj[Player],0),26)-S$764)/S$765</f>
        <v>-1.072388640584979</v>
      </c>
      <c r="T6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-533.85201385995663</v>
      </c>
      <c r="U606" s="11"/>
      <c r="W606" t="str">
        <v>Nathan Walker</v>
      </c>
      <c r="AA606" t="str">
        <v>Nathan Walker</v>
      </c>
      <c r="AB606" t="str">
        <v>Nathan Walker</v>
      </c>
    </row>
    <row r="607" spans="1:28" x14ac:dyDescent="0.25">
      <c r="A607" t="s">
        <v>872</v>
      </c>
      <c r="B607">
        <f>INDEX(Proj[],MATCH(Std[[#This Row],[Player]],Proj[Player],0),2)</f>
        <v>30</v>
      </c>
      <c r="C607" t="s">
        <v>3</v>
      </c>
      <c r="D607" s="75"/>
      <c r="E607" s="57"/>
      <c r="F607" t="s">
        <v>7</v>
      </c>
      <c r="G607" s="12">
        <f>(INDEX(Proj[],MATCH(Std[[#This Row],[Player]],Proj[Player],0),14)-G$764)/G$765</f>
        <v>-0.55685138762371811</v>
      </c>
      <c r="H607" s="12">
        <f>(INDEX(Proj[],MATCH(Std[[#This Row],[Player]],Proj[Player],0),15)-H$764)/H$765</f>
        <v>-0.96078590145269582</v>
      </c>
      <c r="I607" s="12">
        <f>(INDEX(Proj[],MATCH(Std[[#This Row],[Player]],Proj[Player],0),16)-I$764)/I$765</f>
        <v>-0.8580625311885054</v>
      </c>
      <c r="J607" s="12">
        <f>(INDEX(Proj[],MATCH(Std[[#This Row],[Player]],Proj[Player],0),17)-J$764)/J$765</f>
        <v>-0.76105581014900237</v>
      </c>
      <c r="K607" s="12">
        <f>(INDEX(Proj[],MATCH(Std[[#This Row],[Player]],Proj[Player],0),18)-K$764)/K$765</f>
        <v>-0.75859266061649311</v>
      </c>
      <c r="L607" s="12">
        <f>(INDEX(Proj[],MATCH(Std[[#This Row],[Player]],Proj[Player],0),19)-L$764)/L$765</f>
        <v>-0.81647589674950882</v>
      </c>
      <c r="M607" s="12">
        <f>(INDEX(Proj[],MATCH(Std[[#This Row],[Player]],Proj[Player],0),20)-M$764)/M$765</f>
        <v>0.31240082183847029</v>
      </c>
      <c r="N607" s="12">
        <f>(INDEX(Proj[],MATCH(Std[[#This Row],[Player]],Proj[Player],0),21)-N$764)/N$765</f>
        <v>2.4564774588568886E-2</v>
      </c>
      <c r="O607" s="12">
        <f>(INDEX(Proj[],MATCH(Std[[#This Row],[Player]],Proj[Player],0),22)-O$764)/O$765</f>
        <v>-0.59082422272730351</v>
      </c>
      <c r="P607" s="12">
        <f>((INDEX(Proj[],MATCH(Std[[#This Row],[Player]],Proj[Player],0),23)-P$764)/P$765)*IF('League Inputs'!$C$23 = "Yes",-1, 1)</f>
        <v>-0.95391126790344005</v>
      </c>
      <c r="Q607" s="12">
        <f>(INDEX(Proj[],MATCH(Std[[#This Row],[Player]],Proj[Player],0),24)-Q$764)/Q$765</f>
        <v>-0.48066273916635632</v>
      </c>
      <c r="R607" s="12">
        <f>(INDEX(Proj[],MATCH(Std[[#This Row],[Player]],Proj[Player],0),25)-R$764)/R$765</f>
        <v>-0.48343737793841357</v>
      </c>
      <c r="S607" s="12">
        <f>(INDEX(Proj[],MATCH(Std[[#This Row],[Player]],Proj[Player],0),26)-S$764)/S$765</f>
        <v>-0.73179606638825134</v>
      </c>
      <c r="T6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-592.48052386112101</v>
      </c>
      <c r="U607" s="11"/>
      <c r="W607" t="str">
        <v>Brock McGinn</v>
      </c>
      <c r="AA607" t="str">
        <v>Brock McGinn</v>
      </c>
      <c r="AB607" t="str">
        <v>Brock McGinn</v>
      </c>
    </row>
    <row r="608" spans="1:28" x14ac:dyDescent="0.25">
      <c r="A608" t="s">
        <v>1038</v>
      </c>
      <c r="B608">
        <f>INDEX(Proj[],MATCH(Std[[#This Row],[Player]],Proj[Player],0),2)</f>
        <v>29</v>
      </c>
      <c r="C608" t="s">
        <v>3</v>
      </c>
      <c r="D608" s="75"/>
      <c r="E608" s="57"/>
      <c r="F608" t="s">
        <v>16</v>
      </c>
      <c r="G608" s="12">
        <f>(INDEX(Proj[],MATCH(Std[[#This Row],[Player]],Proj[Player],0),14)-G$764)/G$765</f>
        <v>-0.66248525638148381</v>
      </c>
      <c r="H608" s="12">
        <f>(INDEX(Proj[],MATCH(Std[[#This Row],[Player]],Proj[Player],0),15)-H$764)/H$765</f>
        <v>-0.88625663446443059</v>
      </c>
      <c r="I608" s="12">
        <f>(INDEX(Proj[],MATCH(Std[[#This Row],[Player]],Proj[Player],0),16)-I$764)/I$765</f>
        <v>-0.8580625311885054</v>
      </c>
      <c r="J608" s="12">
        <f>(INDEX(Proj[],MATCH(Std[[#This Row],[Player]],Proj[Player],0),17)-J$764)/J$765</f>
        <v>-0.76105581014900237</v>
      </c>
      <c r="K608" s="12">
        <f>(INDEX(Proj[],MATCH(Std[[#This Row],[Player]],Proj[Player],0),18)-K$764)/K$765</f>
        <v>-0.75859266061649311</v>
      </c>
      <c r="L608" s="12">
        <f>(INDEX(Proj[],MATCH(Std[[#This Row],[Player]],Proj[Player],0),19)-L$764)/L$765</f>
        <v>-0.81647589674950882</v>
      </c>
      <c r="M608" s="12">
        <f>(INDEX(Proj[],MATCH(Std[[#This Row],[Player]],Proj[Player],0),20)-M$764)/M$765</f>
        <v>-0.71308883245737775</v>
      </c>
      <c r="N608" s="12">
        <f>(INDEX(Proj[],MATCH(Std[[#This Row],[Player]],Proj[Player],0),21)-N$764)/N$765</f>
        <v>-0.98318135952555652</v>
      </c>
      <c r="O608" s="12">
        <f>(INDEX(Proj[],MATCH(Std[[#This Row],[Player]],Proj[Player],0),22)-O$764)/O$765</f>
        <v>-0.8229842561191606</v>
      </c>
      <c r="P608" s="12">
        <f>((INDEX(Proj[],MATCH(Std[[#This Row],[Player]],Proj[Player],0),23)-P$764)/P$765)*IF('League Inputs'!$C$23 = "Yes",-1, 1)</f>
        <v>-1.2796896879919493</v>
      </c>
      <c r="Q608" s="12">
        <f>(INDEX(Proj[],MATCH(Std[[#This Row],[Player]],Proj[Player],0),24)-Q$764)/Q$765</f>
        <v>-0.53396694563667835</v>
      </c>
      <c r="R608" s="12">
        <f>(INDEX(Proj[],MATCH(Std[[#This Row],[Player]],Proj[Player],0),25)-R$764)/R$765</f>
        <v>-0.56856414937824151</v>
      </c>
      <c r="S608" s="12">
        <f>(INDEX(Proj[],MATCH(Std[[#This Row],[Player]],Proj[Player],0),26)-S$764)/S$765</f>
        <v>-1.169700804641187</v>
      </c>
      <c r="T6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-801.2803372698462</v>
      </c>
      <c r="U608" s="11"/>
      <c r="W608" t="str">
        <v>Hudson Fasching</v>
      </c>
      <c r="AA608" t="str">
        <v>Hudson Fasching</v>
      </c>
      <c r="AB608" t="str">
        <v>Hudson Fasching</v>
      </c>
    </row>
    <row r="609" spans="1:28" x14ac:dyDescent="0.25">
      <c r="A609" t="s">
        <v>673</v>
      </c>
      <c r="B609">
        <f>INDEX(Proj[],MATCH(Std[[#This Row],[Player]],Proj[Player],0),2)</f>
        <v>24</v>
      </c>
      <c r="C609" t="s">
        <v>102</v>
      </c>
      <c r="D609" s="75" t="s">
        <v>103</v>
      </c>
      <c r="E609" s="56"/>
      <c r="F609" t="s">
        <v>2</v>
      </c>
      <c r="G609" s="12">
        <f>(INDEX(Proj[],MATCH(Std[[#This Row],[Player]],Proj[Player],0),14)-G$764)/G$765</f>
        <v>-0.66248525638148381</v>
      </c>
      <c r="H609" s="12">
        <f>(INDEX(Proj[],MATCH(Std[[#This Row],[Player]],Proj[Player],0),15)-H$764)/H$765</f>
        <v>-0.88625663446443059</v>
      </c>
      <c r="I609" s="12">
        <f>(INDEX(Proj[],MATCH(Std[[#This Row],[Player]],Proj[Player],0),16)-I$764)/I$765</f>
        <v>-0.8580625311885054</v>
      </c>
      <c r="J609" s="12">
        <f>(INDEX(Proj[],MATCH(Std[[#This Row],[Player]],Proj[Player],0),17)-J$764)/J$765</f>
        <v>-0.76105581014900237</v>
      </c>
      <c r="K609" s="12">
        <f>(INDEX(Proj[],MATCH(Std[[#This Row],[Player]],Proj[Player],0),18)-K$764)/K$765</f>
        <v>-0.75859266061649311</v>
      </c>
      <c r="L609" s="12">
        <f>(INDEX(Proj[],MATCH(Std[[#This Row],[Player]],Proj[Player],0),19)-L$764)/L$765</f>
        <v>-0.81647589674950882</v>
      </c>
      <c r="M609" s="12">
        <f>(INDEX(Proj[],MATCH(Std[[#This Row],[Player]],Proj[Player],0),20)-M$764)/M$765</f>
        <v>0.31240082183847029</v>
      </c>
      <c r="N609" s="12">
        <f>(INDEX(Proj[],MATCH(Std[[#This Row],[Player]],Proj[Player],0),21)-N$764)/N$765</f>
        <v>-5.2954158804825381E-2</v>
      </c>
      <c r="O609" s="12">
        <f>(INDEX(Proj[],MATCH(Std[[#This Row],[Player]],Proj[Player],0),22)-O$764)/O$765</f>
        <v>-0.86941626279753204</v>
      </c>
      <c r="P609" s="12">
        <f>((INDEX(Proj[],MATCH(Std[[#This Row],[Player]],Proj[Player],0),23)-P$764)/P$765)*IF('League Inputs'!$C$23 = "Yes",-1, 1)</f>
        <v>-0.16273510483134615</v>
      </c>
      <c r="Q609" s="12">
        <f>(INDEX(Proj[],MATCH(Std[[#This Row],[Player]],Proj[Player],0),24)-Q$764)/Q$765</f>
        <v>2.57272223017024E-2</v>
      </c>
      <c r="R609" s="12">
        <f>(INDEX(Proj[],MATCH(Std[[#This Row],[Player]],Proj[Player],0),25)-R$764)/R$765</f>
        <v>0.23730262025212967</v>
      </c>
      <c r="S609" s="12">
        <f>(INDEX(Proj[],MATCH(Std[[#This Row],[Player]],Proj[Player],0),26)-S$764)/S$765</f>
        <v>-0.82910823044445925</v>
      </c>
      <c r="T6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-511.17668533603887</v>
      </c>
      <c r="U609" s="11"/>
      <c r="W609" t="str">
        <v>Ty Dellandrea</v>
      </c>
      <c r="AA609" t="str">
        <v>Ty Dellandrea</v>
      </c>
      <c r="AB609" t="str">
        <v>Ty Dellandrea</v>
      </c>
    </row>
    <row r="610" spans="1:28" x14ac:dyDescent="0.25">
      <c r="A610" t="s">
        <v>338</v>
      </c>
      <c r="B610">
        <f>INDEX(Proj[],MATCH(Std[[#This Row],[Player]],Proj[Player],0),2)</f>
        <v>31</v>
      </c>
      <c r="C610" t="s">
        <v>102</v>
      </c>
      <c r="D610" s="75" t="s">
        <v>103</v>
      </c>
      <c r="E610" s="56"/>
      <c r="F610" t="s">
        <v>153</v>
      </c>
      <c r="G610" s="12">
        <f>(INDEX(Proj[],MATCH(Std[[#This Row],[Player]],Proj[Player],0),14)-G$764)/G$765</f>
        <v>-0.873752993897015</v>
      </c>
      <c r="H610" s="12">
        <f>(INDEX(Proj[],MATCH(Std[[#This Row],[Player]],Proj[Player],0),15)-H$764)/H$765</f>
        <v>-0.81172736747616536</v>
      </c>
      <c r="I610" s="12">
        <f>(INDEX(Proj[],MATCH(Std[[#This Row],[Player]],Proj[Player],0),16)-I$764)/I$765</f>
        <v>-0.90530509015060856</v>
      </c>
      <c r="J610" s="12">
        <f>(INDEX(Proj[],MATCH(Std[[#This Row],[Player]],Proj[Player],0),17)-J$764)/J$765</f>
        <v>-0.76105581014900237</v>
      </c>
      <c r="K610" s="12">
        <f>(INDEX(Proj[],MATCH(Std[[#This Row],[Player]],Proj[Player],0),18)-K$764)/K$765</f>
        <v>-0.75859266061649311</v>
      </c>
      <c r="L610" s="12">
        <f>(INDEX(Proj[],MATCH(Std[[#This Row],[Player]],Proj[Player],0),19)-L$764)/L$765</f>
        <v>-0.81647589674950882</v>
      </c>
      <c r="M610" s="12">
        <f>(INDEX(Proj[],MATCH(Std[[#This Row],[Player]],Proj[Player],0),20)-M$764)/M$765</f>
        <v>0.31240082183847029</v>
      </c>
      <c r="N610" s="12">
        <f>(INDEX(Proj[],MATCH(Std[[#This Row],[Player]],Proj[Player],0),21)-N$764)/N$765</f>
        <v>1.6137029091531512</v>
      </c>
      <c r="O610" s="12">
        <f>(INDEX(Proj[],MATCH(Std[[#This Row],[Player]],Proj[Player],0),22)-O$764)/O$765</f>
        <v>2.891576278150553</v>
      </c>
      <c r="P610" s="12">
        <f>((INDEX(Proj[],MATCH(Std[[#This Row],[Player]],Proj[Player],0),23)-P$764)/P$765)*IF('League Inputs'!$C$23 = "Yes",-1, 1)</f>
        <v>1.2799978984177662</v>
      </c>
      <c r="Q610" s="12">
        <f>(INDEX(Proj[],MATCH(Std[[#This Row],[Player]],Proj[Player],0),24)-Q$764)/Q$765</f>
        <v>-0.5766103108129359</v>
      </c>
      <c r="R610" s="12">
        <f>(INDEX(Proj[],MATCH(Std[[#This Row],[Player]],Proj[Player],0),25)-R$764)/R$765</f>
        <v>-0.62531533033812681</v>
      </c>
      <c r="S610" s="12">
        <f>(INDEX(Proj[],MATCH(Std[[#This Row],[Player]],Proj[Player],0),26)-S$764)/S$765</f>
        <v>-0.5696091262945715</v>
      </c>
      <c r="T6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123.17963003406651</v>
      </c>
      <c r="U610" s="11"/>
      <c r="W610" t="str">
        <v>Connor Murphy</v>
      </c>
      <c r="AA610" t="str">
        <v>Connor Murphy</v>
      </c>
      <c r="AB610" t="str">
        <v>Connor Murphy</v>
      </c>
    </row>
    <row r="611" spans="1:28" x14ac:dyDescent="0.25">
      <c r="A611" t="s">
        <v>357</v>
      </c>
      <c r="B611">
        <f>INDEX(Proj[],MATCH(Std[[#This Row],[Player]],Proj[Player],0),2)</f>
        <v>35</v>
      </c>
      <c r="C611" t="s">
        <v>102</v>
      </c>
      <c r="D611" s="75" t="s">
        <v>103</v>
      </c>
      <c r="E611" s="56"/>
      <c r="F611" t="s">
        <v>14</v>
      </c>
      <c r="G611" s="12">
        <f>(INDEX(Proj[],MATCH(Std[[#This Row],[Player]],Proj[Player],0),14)-G$764)/G$765</f>
        <v>-0.9793868626547807</v>
      </c>
      <c r="H611" s="12">
        <f>(INDEX(Proj[],MATCH(Std[[#This Row],[Player]],Proj[Player],0),15)-H$764)/H$765</f>
        <v>-0.73719810048790013</v>
      </c>
      <c r="I611" s="12">
        <f>(INDEX(Proj[],MATCH(Std[[#This Row],[Player]],Proj[Player],0),16)-I$764)/I$765</f>
        <v>-0.90530509015060856</v>
      </c>
      <c r="J611" s="12">
        <f>(INDEX(Proj[],MATCH(Std[[#This Row],[Player]],Proj[Player],0),17)-J$764)/J$765</f>
        <v>-0.76105581014900237</v>
      </c>
      <c r="K611" s="12">
        <f>(INDEX(Proj[],MATCH(Std[[#This Row],[Player]],Proj[Player],0),18)-K$764)/K$765</f>
        <v>-0.75859266061649311</v>
      </c>
      <c r="L611" s="12">
        <f>(INDEX(Proj[],MATCH(Std[[#This Row],[Player]],Proj[Player],0),19)-L$764)/L$765</f>
        <v>-0.81647589674950882</v>
      </c>
      <c r="M611" s="12">
        <f>(INDEX(Proj[],MATCH(Std[[#This Row],[Player]],Proj[Player],0),20)-M$764)/M$765</f>
        <v>0.31240082183847029</v>
      </c>
      <c r="N611" s="12">
        <f>(INDEX(Proj[],MATCH(Std[[#This Row],[Player]],Proj[Player],0),21)-N$764)/N$765</f>
        <v>2.7183477100090192</v>
      </c>
      <c r="O611" s="12">
        <f>(INDEX(Proj[],MATCH(Std[[#This Row],[Player]],Proj[Player],0),22)-O$764)/O$765</f>
        <v>0.68605596092791066</v>
      </c>
      <c r="P611" s="12">
        <f>((INDEX(Proj[],MATCH(Std[[#This Row],[Player]],Proj[Player],0),23)-P$764)/P$765)*IF('League Inputs'!$C$23 = "Yes",-1, 1)</f>
        <v>0.95421947832925702</v>
      </c>
      <c r="Q611" s="12">
        <f>(INDEX(Proj[],MATCH(Std[[#This Row],[Player]],Proj[Player],0),24)-Q$764)/Q$765</f>
        <v>-0.5766103108129359</v>
      </c>
      <c r="R611" s="12">
        <f>(INDEX(Proj[],MATCH(Std[[#This Row],[Player]],Proj[Player],0),25)-R$764)/R$765</f>
        <v>-0.62531533033812681</v>
      </c>
      <c r="S611" s="12">
        <f>(INDEX(Proj[],MATCH(Std[[#This Row],[Player]],Proj[Player],0),26)-S$764)/S$765</f>
        <v>-0.65070259634141148</v>
      </c>
      <c r="T6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-30.705570793095905</v>
      </c>
      <c r="U611" s="11"/>
      <c r="W611" t="str">
        <v>Luke Schenn</v>
      </c>
      <c r="AA611" t="str">
        <v>Luke Schenn</v>
      </c>
      <c r="AB611" t="str">
        <v>Luke Schenn</v>
      </c>
    </row>
    <row r="612" spans="1:28" x14ac:dyDescent="0.25">
      <c r="A612" t="s">
        <v>468</v>
      </c>
      <c r="B612">
        <f>INDEX(Proj[],MATCH(Std[[#This Row],[Player]],Proj[Player],0),2)</f>
        <v>32</v>
      </c>
      <c r="C612" t="s">
        <v>3</v>
      </c>
      <c r="D612" s="75"/>
      <c r="E612" s="56"/>
      <c r="F612" t="s">
        <v>12</v>
      </c>
      <c r="G612" s="12">
        <f>(INDEX(Proj[],MATCH(Std[[#This Row],[Player]],Proj[Player],0),14)-G$764)/G$765</f>
        <v>-0.873752993897015</v>
      </c>
      <c r="H612" s="12">
        <f>(INDEX(Proj[],MATCH(Std[[#This Row],[Player]],Proj[Player],0),15)-H$764)/H$765</f>
        <v>-0.81172736747616536</v>
      </c>
      <c r="I612" s="12">
        <f>(INDEX(Proj[],MATCH(Std[[#This Row],[Player]],Proj[Player],0),16)-I$764)/I$765</f>
        <v>-0.90530509015060856</v>
      </c>
      <c r="J612" s="12">
        <f>(INDEX(Proj[],MATCH(Std[[#This Row],[Player]],Proj[Player],0),17)-J$764)/J$765</f>
        <v>-0.76105581014900237</v>
      </c>
      <c r="K612" s="12">
        <f>(INDEX(Proj[],MATCH(Std[[#This Row],[Player]],Proj[Player],0),18)-K$764)/K$765</f>
        <v>-0.75859266061649311</v>
      </c>
      <c r="L612" s="12">
        <f>(INDEX(Proj[],MATCH(Std[[#This Row],[Player]],Proj[Player],0),19)-L$764)/L$765</f>
        <v>-0.81647589674950882</v>
      </c>
      <c r="M612" s="12">
        <f>(INDEX(Proj[],MATCH(Std[[#This Row],[Player]],Proj[Player],0),20)-M$764)/M$765</f>
        <v>0.31240082183847029</v>
      </c>
      <c r="N612" s="12">
        <f>(INDEX(Proj[],MATCH(Std[[#This Row],[Player]],Proj[Player],0),21)-N$764)/N$765</f>
        <v>2.4470314431321394</v>
      </c>
      <c r="O612" s="12">
        <f>(INDEX(Proj[],MATCH(Std[[#This Row],[Player]],Proj[Player],0),22)-O$764)/O$765</f>
        <v>1.2896720477467392</v>
      </c>
      <c r="P612" s="12">
        <f>((INDEX(Proj[],MATCH(Std[[#This Row],[Player]],Proj[Player],0),23)-P$764)/P$765)*IF('League Inputs'!$C$23 = "Yes",-1, 1)</f>
        <v>0.6284410582407477</v>
      </c>
      <c r="Q612" s="12">
        <f>(INDEX(Proj[],MATCH(Std[[#This Row],[Player]],Proj[Player],0),24)-Q$764)/Q$765</f>
        <v>-0.5766103108129359</v>
      </c>
      <c r="R612" s="12">
        <f>(INDEX(Proj[],MATCH(Std[[#This Row],[Player]],Proj[Player],0),25)-R$764)/R$765</f>
        <v>-0.62531533033812681</v>
      </c>
      <c r="S612" s="12">
        <f>(INDEX(Proj[],MATCH(Std[[#This Row],[Player]],Proj[Player],0),26)-S$764)/S$765</f>
        <v>-0.81288953643509121</v>
      </c>
      <c r="T6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-43.161664640169803</v>
      </c>
      <c r="U612" s="11"/>
      <c r="W612" t="str">
        <v>Jani Hakanpaa</v>
      </c>
      <c r="AA612" t="str">
        <v>Jani Hakanpaa</v>
      </c>
      <c r="AB612" t="str">
        <v>Jani Hakanpaa</v>
      </c>
    </row>
    <row r="613" spans="1:28" x14ac:dyDescent="0.25">
      <c r="A613" t="s">
        <v>966</v>
      </c>
      <c r="B613">
        <f>INDEX(Proj[],MATCH(Std[[#This Row],[Player]],Proj[Player],0),2)</f>
        <v>28</v>
      </c>
      <c r="C613" t="s">
        <v>3</v>
      </c>
      <c r="D613" s="75"/>
      <c r="E613" s="57"/>
      <c r="F613" t="s">
        <v>14</v>
      </c>
      <c r="G613" s="12">
        <f>(INDEX(Proj[],MATCH(Std[[#This Row],[Player]],Proj[Player],0),14)-G$764)/G$765</f>
        <v>-1.190654600170312</v>
      </c>
      <c r="H613" s="12">
        <f>(INDEX(Proj[],MATCH(Std[[#This Row],[Player]],Proj[Player],0),15)-H$764)/H$765</f>
        <v>-0.58813956651136978</v>
      </c>
      <c r="I613" s="12">
        <f>(INDEX(Proj[],MATCH(Std[[#This Row],[Player]],Proj[Player],0),16)-I$764)/I$765</f>
        <v>-0.90530509015060856</v>
      </c>
      <c r="J613" s="12">
        <f>(INDEX(Proj[],MATCH(Std[[#This Row],[Player]],Proj[Player],0),17)-J$764)/J$765</f>
        <v>-0.76105581014900237</v>
      </c>
      <c r="K613" s="12">
        <f>(INDEX(Proj[],MATCH(Std[[#This Row],[Player]],Proj[Player],0),18)-K$764)/K$765</f>
        <v>-0.75859266061649311</v>
      </c>
      <c r="L613" s="12">
        <f>(INDEX(Proj[],MATCH(Std[[#This Row],[Player]],Proj[Player],0),19)-L$764)/L$765</f>
        <v>-0.81647589674950882</v>
      </c>
      <c r="M613" s="12">
        <f>(INDEX(Proj[],MATCH(Std[[#This Row],[Player]],Proj[Player],0),20)-M$764)/M$765</f>
        <v>0.31240082183847029</v>
      </c>
      <c r="N613" s="12">
        <f>(INDEX(Proj[],MATCH(Std[[#This Row],[Player]],Proj[Player],0),21)-N$764)/N$765</f>
        <v>0.66409597508407159</v>
      </c>
      <c r="O613" s="12">
        <f>(INDEX(Proj[],MATCH(Std[[#This Row],[Player]],Proj[Player],0),22)-O$764)/O$765</f>
        <v>1.3593200577642963</v>
      </c>
      <c r="P613" s="12">
        <f>((INDEX(Proj[],MATCH(Std[[#This Row],[Player]],Proj[Player],0),23)-P$764)/P$765)*IF('League Inputs'!$C$23 = "Yes",-1, 1)</f>
        <v>1.0938388012243323</v>
      </c>
      <c r="Q613" s="12">
        <f>(INDEX(Proj[],MATCH(Std[[#This Row],[Player]],Proj[Player],0),24)-Q$764)/Q$765</f>
        <v>-0.5766103108129359</v>
      </c>
      <c r="R613" s="12">
        <f>(INDEX(Proj[],MATCH(Std[[#This Row],[Player]],Proj[Player],0),25)-R$764)/R$765</f>
        <v>-0.62531533033812681</v>
      </c>
      <c r="S613" s="12">
        <f>(INDEX(Proj[],MATCH(Std[[#This Row],[Player]],Proj[Player],0),26)-S$764)/S$765</f>
        <v>-1.2021381926599228</v>
      </c>
      <c r="T6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-216.20688229819586</v>
      </c>
      <c r="U613" s="11"/>
      <c r="W613" t="str">
        <v>Vincent Desharnais</v>
      </c>
      <c r="AA613" t="str">
        <v>Vincent Desharnais</v>
      </c>
      <c r="AB613" t="str">
        <v>Vincent Desharnais</v>
      </c>
    </row>
    <row r="614" spans="1:28" x14ac:dyDescent="0.25">
      <c r="A614" t="s">
        <v>469</v>
      </c>
      <c r="B614">
        <f>INDEX(Proj[],MATCH(Std[[#This Row],[Player]],Proj[Player],0),2)</f>
        <v>30</v>
      </c>
      <c r="C614" t="s">
        <v>3</v>
      </c>
      <c r="D614" s="75"/>
      <c r="E614" s="56"/>
      <c r="F614" t="s">
        <v>28</v>
      </c>
      <c r="G614" s="12">
        <f>(INDEX(Proj[],MATCH(Std[[#This Row],[Player]],Proj[Player],0),14)-G$764)/G$765</f>
        <v>-0.873752993897015</v>
      </c>
      <c r="H614" s="12">
        <f>(INDEX(Proj[],MATCH(Std[[#This Row],[Player]],Proj[Player],0),15)-H$764)/H$765</f>
        <v>-0.81172736747616536</v>
      </c>
      <c r="I614" s="12">
        <f>(INDEX(Proj[],MATCH(Std[[#This Row],[Player]],Proj[Player],0),16)-I$764)/I$765</f>
        <v>-0.90530509015060856</v>
      </c>
      <c r="J614" s="12">
        <f>(INDEX(Proj[],MATCH(Std[[#This Row],[Player]],Proj[Player],0),17)-J$764)/J$765</f>
        <v>-0.76105581014900237</v>
      </c>
      <c r="K614" s="12">
        <f>(INDEX(Proj[],MATCH(Std[[#This Row],[Player]],Proj[Player],0),18)-K$764)/K$765</f>
        <v>-0.75859266061649311</v>
      </c>
      <c r="L614" s="12">
        <f>(INDEX(Proj[],MATCH(Std[[#This Row],[Player]],Proj[Player],0),19)-L$764)/L$765</f>
        <v>-0.81647589674950882</v>
      </c>
      <c r="M614" s="12">
        <f>(INDEX(Proj[],MATCH(Std[[#This Row],[Player]],Proj[Player],0),20)-M$764)/M$765</f>
        <v>0.31240082183847029</v>
      </c>
      <c r="N614" s="12">
        <f>(INDEX(Proj[],MATCH(Std[[#This Row],[Player]],Proj[Player],0),21)-N$764)/N$765</f>
        <v>0.70285544178076864</v>
      </c>
      <c r="O614" s="12">
        <f>(INDEX(Proj[],MATCH(Std[[#This Row],[Player]],Proj[Player],0),22)-O$764)/O$765</f>
        <v>1.1968080343899963</v>
      </c>
      <c r="P614" s="12">
        <f>((INDEX(Proj[],MATCH(Std[[#This Row],[Player]],Proj[Player],0),23)-P$764)/P$765)*IF('League Inputs'!$C$23 = "Yes",-1, 1)</f>
        <v>0.58190128394238927</v>
      </c>
      <c r="Q614" s="12">
        <f>(INDEX(Proj[],MATCH(Std[[#This Row],[Player]],Proj[Player],0),24)-Q$764)/Q$765</f>
        <v>-0.5766103108129359</v>
      </c>
      <c r="R614" s="12">
        <f>(INDEX(Proj[],MATCH(Std[[#This Row],[Player]],Proj[Player],0),25)-R$764)/R$765</f>
        <v>-0.62531533033812681</v>
      </c>
      <c r="S614" s="12">
        <f>(INDEX(Proj[],MATCH(Std[[#This Row],[Player]],Proj[Player],0),26)-S$764)/S$765</f>
        <v>-0.82910823044445925</v>
      </c>
      <c r="T6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-233.14151294175383</v>
      </c>
      <c r="U614" s="11"/>
      <c r="W614" t="str">
        <v>Carson Soucy</v>
      </c>
      <c r="AA614" t="str">
        <v>Carson Soucy</v>
      </c>
      <c r="AB614" t="str">
        <v>Carson Soucy</v>
      </c>
    </row>
    <row r="615" spans="1:28" x14ac:dyDescent="0.25">
      <c r="A615" t="s">
        <v>932</v>
      </c>
      <c r="B615">
        <f>INDEX(Proj[],MATCH(Std[[#This Row],[Player]],Proj[Player],0),2)</f>
        <v>28</v>
      </c>
      <c r="C615" t="s">
        <v>3</v>
      </c>
      <c r="D615" s="75"/>
      <c r="E615" s="57"/>
      <c r="F615" t="s">
        <v>8</v>
      </c>
      <c r="G615" s="12">
        <f>(INDEX(Proj[],MATCH(Std[[#This Row],[Player]],Proj[Player],0),14)-G$764)/G$765</f>
        <v>-0.873752993897015</v>
      </c>
      <c r="H615" s="12">
        <f>(INDEX(Proj[],MATCH(Std[[#This Row],[Player]],Proj[Player],0),15)-H$764)/H$765</f>
        <v>-0.81172736747616536</v>
      </c>
      <c r="I615" s="12">
        <f>(INDEX(Proj[],MATCH(Std[[#This Row],[Player]],Proj[Player],0),16)-I$764)/I$765</f>
        <v>-0.90530509015060856</v>
      </c>
      <c r="J615" s="12">
        <f>(INDEX(Proj[],MATCH(Std[[#This Row],[Player]],Proj[Player],0),17)-J$764)/J$765</f>
        <v>-0.76105581014900237</v>
      </c>
      <c r="K615" s="12">
        <f>(INDEX(Proj[],MATCH(Std[[#This Row],[Player]],Proj[Player],0),18)-K$764)/K$765</f>
        <v>-0.75859266061649311</v>
      </c>
      <c r="L615" s="12">
        <f>(INDEX(Proj[],MATCH(Std[[#This Row],[Player]],Proj[Player],0),19)-L$764)/L$765</f>
        <v>-0.81647589674950882</v>
      </c>
      <c r="M615" s="12">
        <f>(INDEX(Proj[],MATCH(Std[[#This Row],[Player]],Proj[Player],0),20)-M$764)/M$765</f>
        <v>0.31240082183847029</v>
      </c>
      <c r="N615" s="12">
        <f>(INDEX(Proj[],MATCH(Std[[#This Row],[Player]],Proj[Player],0),21)-N$764)/N$765</f>
        <v>0.41215944155554018</v>
      </c>
      <c r="O615" s="12">
        <f>(INDEX(Proj[],MATCH(Std[[#This Row],[Player]],Proj[Player],0),22)-O$764)/O$765</f>
        <v>0.1985198908050107</v>
      </c>
      <c r="P615" s="12">
        <f>((INDEX(Proj[],MATCH(Std[[#This Row],[Player]],Proj[Player],0),23)-P$764)/P$765)*IF('League Inputs'!$C$23 = "Yes",-1, 1)</f>
        <v>1.2799978984177662</v>
      </c>
      <c r="Q615" s="12">
        <f>(INDEX(Proj[],MATCH(Std[[#This Row],[Player]],Proj[Player],0),24)-Q$764)/Q$765</f>
        <v>-0.5766103108129359</v>
      </c>
      <c r="R615" s="12">
        <f>(INDEX(Proj[],MATCH(Std[[#This Row],[Player]],Proj[Player],0),25)-R$764)/R$765</f>
        <v>-0.62531533033812681</v>
      </c>
      <c r="S615" s="12">
        <f>(INDEX(Proj[],MATCH(Std[[#This Row],[Player]],Proj[Player],0),26)-S$764)/S$765</f>
        <v>-0.95885778251940312</v>
      </c>
      <c r="T6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-305.20522108273201</v>
      </c>
      <c r="U615" s="11"/>
      <c r="W615" t="str">
        <v>Connor Mackey</v>
      </c>
      <c r="AA615" t="str">
        <v>Connor Mackey</v>
      </c>
      <c r="AB615" t="str">
        <v>Connor Mackey</v>
      </c>
    </row>
    <row r="616" spans="1:28" x14ac:dyDescent="0.25">
      <c r="A616" t="s">
        <v>493</v>
      </c>
      <c r="B616">
        <f>INDEX(Proj[],MATCH(Std[[#This Row],[Player]],Proj[Player],0),2)</f>
        <v>30</v>
      </c>
      <c r="C616" t="s">
        <v>103</v>
      </c>
      <c r="D616" s="75"/>
      <c r="E616" s="57"/>
      <c r="F616" t="s">
        <v>18</v>
      </c>
      <c r="G616" s="12">
        <f>(INDEX(Proj[],MATCH(Std[[#This Row],[Player]],Proj[Player],0),14)-G$764)/G$765</f>
        <v>-0.45121751886595246</v>
      </c>
      <c r="H616" s="12">
        <f>(INDEX(Proj[],MATCH(Std[[#This Row],[Player]],Proj[Player],0),15)-H$764)/H$765</f>
        <v>-1.1098444354292263</v>
      </c>
      <c r="I616" s="12">
        <f>(INDEX(Proj[],MATCH(Std[[#This Row],[Player]],Proj[Player],0),16)-I$764)/I$765</f>
        <v>-0.90530509015060856</v>
      </c>
      <c r="J616" s="12">
        <f>(INDEX(Proj[],MATCH(Std[[#This Row],[Player]],Proj[Player],0),17)-J$764)/J$765</f>
        <v>-0.76105581014900237</v>
      </c>
      <c r="K616" s="12">
        <f>(INDEX(Proj[],MATCH(Std[[#This Row],[Player]],Proj[Player],0),18)-K$764)/K$765</f>
        <v>-0.75859266061649311</v>
      </c>
      <c r="L616" s="12">
        <f>(INDEX(Proj[],MATCH(Std[[#This Row],[Player]],Proj[Player],0),19)-L$764)/L$765</f>
        <v>-0.81647589674950882</v>
      </c>
      <c r="M616" s="12">
        <f>(INDEX(Proj[],MATCH(Std[[#This Row],[Player]],Proj[Player],0),20)-M$764)/M$765</f>
        <v>-0.71308883245737775</v>
      </c>
      <c r="N616" s="12">
        <f>(INDEX(Proj[],MATCH(Std[[#This Row],[Player]],Proj[Player],0),21)-N$764)/N$765</f>
        <v>1.4199055756696657</v>
      </c>
      <c r="O616" s="12">
        <f>(INDEX(Proj[],MATCH(Std[[#This Row],[Player]],Proj[Player],0),22)-O$764)/O$765</f>
        <v>-0.98549627949346053</v>
      </c>
      <c r="P616" s="12">
        <f>((INDEX(Proj[],MATCH(Std[[#This Row],[Player]],Proj[Player],0),23)-P$764)/P$765)*IF('League Inputs'!$C$23 = "Yes",-1, 1)</f>
        <v>2.3504127072800109</v>
      </c>
      <c r="Q616" s="12">
        <f>(INDEX(Proj[],MATCH(Std[[#This Row],[Player]],Proj[Player],0),24)-Q$764)/Q$765</f>
        <v>-0.52330610434261393</v>
      </c>
      <c r="R616" s="12">
        <f>(INDEX(Proj[],MATCH(Std[[#This Row],[Player]],Proj[Player],0),25)-R$764)/R$765</f>
        <v>-0.53451344080231034</v>
      </c>
      <c r="S616" s="12">
        <f>(INDEX(Proj[],MATCH(Std[[#This Row],[Player]],Proj[Player],0),26)-S$764)/S$765</f>
        <v>-0.53717173827583553</v>
      </c>
      <c r="T6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-155.84987803575294</v>
      </c>
      <c r="U616" s="11"/>
      <c r="W616" t="str">
        <v>Ryan Lomberg</v>
      </c>
      <c r="AA616" t="str">
        <v>Ryan Lomberg</v>
      </c>
      <c r="AB616" t="str">
        <v>Ryan Lomberg</v>
      </c>
    </row>
    <row r="617" spans="1:28" x14ac:dyDescent="0.25">
      <c r="A617" t="s">
        <v>943</v>
      </c>
      <c r="B617">
        <f>INDEX(Proj[],MATCH(Std[[#This Row],[Player]],Proj[Player],0),2)</f>
        <v>27</v>
      </c>
      <c r="C617" t="s">
        <v>3</v>
      </c>
      <c r="D617" s="75"/>
      <c r="E617" s="57"/>
      <c r="F617" t="s">
        <v>30</v>
      </c>
      <c r="G617" s="12">
        <f>(INDEX(Proj[],MATCH(Std[[#This Row],[Player]],Proj[Player],0),14)-G$764)/G$765</f>
        <v>-0.7681191251392494</v>
      </c>
      <c r="H617" s="12">
        <f>(INDEX(Proj[],MATCH(Std[[#This Row],[Player]],Proj[Player],0),15)-H$764)/H$765</f>
        <v>-0.88625663446443059</v>
      </c>
      <c r="I617" s="12">
        <f>(INDEX(Proj[],MATCH(Std[[#This Row],[Player]],Proj[Player],0),16)-I$764)/I$765</f>
        <v>-0.90530509015060856</v>
      </c>
      <c r="J617" s="12">
        <f>(INDEX(Proj[],MATCH(Std[[#This Row],[Player]],Proj[Player],0),17)-J$764)/J$765</f>
        <v>-0.76105581014900237</v>
      </c>
      <c r="K617" s="12">
        <f>(INDEX(Proj[],MATCH(Std[[#This Row],[Player]],Proj[Player],0),18)-K$764)/K$765</f>
        <v>-0.75859266061649311</v>
      </c>
      <c r="L617" s="12">
        <f>(INDEX(Proj[],MATCH(Std[[#This Row],[Player]],Proj[Player],0),19)-L$764)/L$765</f>
        <v>-0.81647589674950882</v>
      </c>
      <c r="M617" s="12">
        <f>(INDEX(Proj[],MATCH(Std[[#This Row],[Player]],Proj[Player],0),20)-M$764)/M$765</f>
        <v>-0.71308883245737775</v>
      </c>
      <c r="N617" s="12">
        <f>(INDEX(Proj[],MATCH(Std[[#This Row],[Player]],Proj[Player],0),21)-N$764)/N$765</f>
        <v>-0.1498528255465682</v>
      </c>
      <c r="O617" s="12">
        <f>(INDEX(Proj[],MATCH(Std[[#This Row],[Player]],Proj[Player],0),22)-O$764)/O$765</f>
        <v>0.66283995758872494</v>
      </c>
      <c r="P617" s="12">
        <f>((INDEX(Proj[],MATCH(Std[[#This Row],[Player]],Proj[Player],0),23)-P$764)/P$765)*IF('League Inputs'!$C$23 = "Yes",-1, 1)</f>
        <v>0.25612286385388</v>
      </c>
      <c r="Q617" s="12">
        <f>(INDEX(Proj[],MATCH(Std[[#This Row],[Player]],Proj[Player],0),24)-Q$764)/Q$765</f>
        <v>-0.5766103108129359</v>
      </c>
      <c r="R617" s="12">
        <f>(INDEX(Proj[],MATCH(Std[[#This Row],[Player]],Proj[Player],0),25)-R$764)/R$765</f>
        <v>-0.62531533033812681</v>
      </c>
      <c r="S617" s="12">
        <f>(INDEX(Proj[],MATCH(Std[[#This Row],[Player]],Proj[Player],0),26)-S$764)/S$765</f>
        <v>-0.94263908851003508</v>
      </c>
      <c r="T6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-412.62961499307312</v>
      </c>
      <c r="U617" s="11"/>
      <c r="W617" t="str">
        <v>Johnathan Kovacevic</v>
      </c>
      <c r="AA617" t="str">
        <v>Johnathan Kovacevic</v>
      </c>
      <c r="AB617" t="str">
        <v>Johnathan Kovacevic</v>
      </c>
    </row>
    <row r="618" spans="1:28" x14ac:dyDescent="0.25">
      <c r="A618" t="s">
        <v>573</v>
      </c>
      <c r="B618">
        <f>INDEX(Proj[],MATCH(Std[[#This Row],[Player]],Proj[Player],0),2)</f>
        <v>32</v>
      </c>
      <c r="C618" t="s">
        <v>74</v>
      </c>
      <c r="D618" s="75" t="s">
        <v>102</v>
      </c>
      <c r="E618" s="56" t="s">
        <v>103</v>
      </c>
      <c r="F618" t="s">
        <v>154</v>
      </c>
      <c r="G618" s="12">
        <f>(INDEX(Proj[],MATCH(Std[[#This Row],[Player]],Proj[Player],0),14)-G$764)/G$765</f>
        <v>-0.873752993897015</v>
      </c>
      <c r="H618" s="12">
        <f>(INDEX(Proj[],MATCH(Std[[#This Row],[Player]],Proj[Player],0),15)-H$764)/H$765</f>
        <v>-0.81172736747616536</v>
      </c>
      <c r="I618" s="12">
        <f>(INDEX(Proj[],MATCH(Std[[#This Row],[Player]],Proj[Player],0),16)-I$764)/I$765</f>
        <v>-0.90530509015060856</v>
      </c>
      <c r="J618" s="12">
        <f>(INDEX(Proj[],MATCH(Std[[#This Row],[Player]],Proj[Player],0),17)-J$764)/J$765</f>
        <v>-0.76105581014900237</v>
      </c>
      <c r="K618" s="12">
        <f>(INDEX(Proj[],MATCH(Std[[#This Row],[Player]],Proj[Player],0),18)-K$764)/K$765</f>
        <v>-0.75859266061649311</v>
      </c>
      <c r="L618" s="12">
        <f>(INDEX(Proj[],MATCH(Std[[#This Row],[Player]],Proj[Player],0),19)-L$764)/L$765</f>
        <v>-0.81647589674950882</v>
      </c>
      <c r="M618" s="12">
        <f>(INDEX(Proj[],MATCH(Std[[#This Row],[Player]],Proj[Player],0),20)-M$764)/M$765</f>
        <v>-0.71308883245737775</v>
      </c>
      <c r="N618" s="12">
        <f>(INDEX(Proj[],MATCH(Std[[#This Row],[Player]],Proj[Player],0),21)-N$764)/N$765</f>
        <v>0.35402024151049449</v>
      </c>
      <c r="O618" s="12">
        <f>(INDEX(Proj[],MATCH(Std[[#This Row],[Player]],Proj[Player],0),22)-O$764)/O$765</f>
        <v>-5.6856145926032123E-2</v>
      </c>
      <c r="P618" s="12">
        <f>((INDEX(Proj[],MATCH(Std[[#This Row],[Player]],Proj[Player],0),23)-P$764)/P$765)*IF('League Inputs'!$C$23 = "Yes",-1, 1)</f>
        <v>-0.20927487912970463</v>
      </c>
      <c r="Q618" s="12">
        <f>(INDEX(Proj[],MATCH(Std[[#This Row],[Player]],Proj[Player],0),24)-Q$764)/Q$765</f>
        <v>-0.5766103108129359</v>
      </c>
      <c r="R618" s="12">
        <f>(INDEX(Proj[],MATCH(Std[[#This Row],[Player]],Proj[Player],0),25)-R$764)/R$765</f>
        <v>-0.62531533033812681</v>
      </c>
      <c r="S618" s="12">
        <f>(INDEX(Proj[],MATCH(Std[[#This Row],[Player]],Proj[Player],0),26)-S$764)/S$765</f>
        <v>-0.65070259634141148</v>
      </c>
      <c r="T6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-454.6685038972887</v>
      </c>
      <c r="U618" s="11"/>
      <c r="W618" t="str">
        <v>Colin Miller</v>
      </c>
      <c r="AA618" t="str">
        <v>Colin Miller</v>
      </c>
      <c r="AB618" t="str">
        <v>Colin Miller</v>
      </c>
    </row>
    <row r="619" spans="1:28" x14ac:dyDescent="0.25">
      <c r="A619" t="s">
        <v>623</v>
      </c>
      <c r="B619">
        <f>INDEX(Proj[],MATCH(Std[[#This Row],[Player]],Proj[Player],0),2)</f>
        <v>23</v>
      </c>
      <c r="C619" t="s">
        <v>102</v>
      </c>
      <c r="D619" s="75"/>
      <c r="E619" s="57"/>
      <c r="F619" t="s">
        <v>13</v>
      </c>
      <c r="G619" s="12">
        <f>(INDEX(Proj[],MATCH(Std[[#This Row],[Player]],Proj[Player],0),14)-G$764)/G$765</f>
        <v>-0.7681191251392494</v>
      </c>
      <c r="H619" s="12">
        <f>(INDEX(Proj[],MATCH(Std[[#This Row],[Player]],Proj[Player],0),15)-H$764)/H$765</f>
        <v>-0.88625663446443059</v>
      </c>
      <c r="I619" s="12">
        <f>(INDEX(Proj[],MATCH(Std[[#This Row],[Player]],Proj[Player],0),16)-I$764)/I$765</f>
        <v>-0.90530509015060856</v>
      </c>
      <c r="J619" s="12">
        <f>(INDEX(Proj[],MATCH(Std[[#This Row],[Player]],Proj[Player],0),17)-J$764)/J$765</f>
        <v>-0.76105581014900237</v>
      </c>
      <c r="K619" s="12">
        <f>(INDEX(Proj[],MATCH(Std[[#This Row],[Player]],Proj[Player],0),18)-K$764)/K$765</f>
        <v>-0.75859266061649311</v>
      </c>
      <c r="L619" s="12">
        <f>(INDEX(Proj[],MATCH(Std[[#This Row],[Player]],Proj[Player],0),19)-L$764)/L$765</f>
        <v>-0.81647589674950882</v>
      </c>
      <c r="M619" s="12">
        <f>(INDEX(Proj[],MATCH(Std[[#This Row],[Player]],Proj[Player],0),20)-M$764)/M$765</f>
        <v>-0.71308883245737775</v>
      </c>
      <c r="N619" s="12">
        <f>(INDEX(Proj[],MATCH(Std[[#This Row],[Player]],Proj[Player],0),21)-N$764)/N$765</f>
        <v>2.5826895765705791</v>
      </c>
      <c r="O619" s="12">
        <f>(INDEX(Proj[],MATCH(Std[[#This Row],[Player]],Proj[Player],0),22)-O$764)/O$765</f>
        <v>-0.98549627949346053</v>
      </c>
      <c r="P619" s="12">
        <f>((INDEX(Proj[],MATCH(Std[[#This Row],[Player]],Proj[Player],0),23)-P$764)/P$765)*IF('League Inputs'!$C$23 = "Yes",-1, 1)</f>
        <v>-0.53505329921821387</v>
      </c>
      <c r="Q619" s="12">
        <f>(INDEX(Proj[],MATCH(Std[[#This Row],[Player]],Proj[Player],0),24)-Q$764)/Q$765</f>
        <v>-0.52330610434261393</v>
      </c>
      <c r="R619" s="12">
        <f>(INDEX(Proj[],MATCH(Std[[#This Row],[Player]],Proj[Player],0),25)-R$764)/R$765</f>
        <v>-0.50046273222637916</v>
      </c>
      <c r="S619" s="12">
        <f>(INDEX(Proj[],MATCH(Std[[#This Row],[Player]],Proj[Player],0),26)-S$764)/S$765</f>
        <v>-0.7155773723788833</v>
      </c>
      <c r="T6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-355.29002253663896</v>
      </c>
      <c r="U619" s="11"/>
      <c r="W619" t="str">
        <v>Vasily Podkolzin</v>
      </c>
      <c r="AA619" t="str">
        <v>Vasily Podkolzin</v>
      </c>
      <c r="AB619" t="str">
        <v>Vasily Podkolzin</v>
      </c>
    </row>
    <row r="620" spans="1:28" x14ac:dyDescent="0.25">
      <c r="A620" t="s">
        <v>1022</v>
      </c>
      <c r="B620">
        <f>INDEX(Proj[],MATCH(Std[[#This Row],[Player]],Proj[Player],0),2)</f>
        <v>31</v>
      </c>
      <c r="C620" t="s">
        <v>3</v>
      </c>
      <c r="D620" s="75"/>
      <c r="E620" s="57"/>
      <c r="F620" t="s">
        <v>17</v>
      </c>
      <c r="G620" s="12">
        <f>(INDEX(Proj[],MATCH(Std[[#This Row],[Player]],Proj[Player],0),14)-G$764)/G$765</f>
        <v>-0.66248525638148381</v>
      </c>
      <c r="H620" s="12">
        <f>(INDEX(Proj[],MATCH(Std[[#This Row],[Player]],Proj[Player],0),15)-H$764)/H$765</f>
        <v>-0.96078590145269582</v>
      </c>
      <c r="I620" s="12">
        <f>(INDEX(Proj[],MATCH(Std[[#This Row],[Player]],Proj[Player],0),16)-I$764)/I$765</f>
        <v>-0.90530509015060856</v>
      </c>
      <c r="J620" s="12">
        <f>(INDEX(Proj[],MATCH(Std[[#This Row],[Player]],Proj[Player],0),17)-J$764)/J$765</f>
        <v>-0.46669252292436259</v>
      </c>
      <c r="K620" s="12">
        <f>(INDEX(Proj[],MATCH(Std[[#This Row],[Player]],Proj[Player],0),18)-K$764)/K$765</f>
        <v>-0.14224887932464234</v>
      </c>
      <c r="L620" s="12">
        <f>(INDEX(Proj[],MATCH(Std[[#This Row],[Player]],Proj[Player],0),19)-L$764)/L$765</f>
        <v>-0.27278273918567114</v>
      </c>
      <c r="M620" s="12">
        <f>(INDEX(Proj[],MATCH(Std[[#This Row],[Player]],Proj[Player],0),20)-M$764)/M$765</f>
        <v>-0.71308883245737775</v>
      </c>
      <c r="N620" s="12">
        <f>(INDEX(Proj[],MATCH(Std[[#This Row],[Player]],Proj[Player],0),21)-N$764)/N$765</f>
        <v>-0.42116909242344813</v>
      </c>
      <c r="O620" s="12">
        <f>(INDEX(Proj[],MATCH(Std[[#This Row],[Player]],Proj[Player],0),22)-O$764)/O$765</f>
        <v>-0.42831219935300352</v>
      </c>
      <c r="P620" s="12">
        <f>((INDEX(Proj[],MATCH(Std[[#This Row],[Player]],Proj[Player],0),23)-P$764)/P$765)*IF('League Inputs'!$C$23 = "Yes",-1, 1)</f>
        <v>-0.20927487912970463</v>
      </c>
      <c r="Q620" s="12">
        <f>(INDEX(Proj[],MATCH(Std[[#This Row],[Player]],Proj[Player],0),24)-Q$764)/Q$765</f>
        <v>-0.5766103108129359</v>
      </c>
      <c r="R620" s="12">
        <f>(INDEX(Proj[],MATCH(Std[[#This Row],[Player]],Proj[Player],0),25)-R$764)/R$765</f>
        <v>-0.62531533033812681</v>
      </c>
      <c r="S620" s="12">
        <f>(INDEX(Proj[],MATCH(Std[[#This Row],[Player]],Proj[Player],0),26)-S$764)/S$765</f>
        <v>-0.60204651431330747</v>
      </c>
      <c r="T6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-503.87719832028591</v>
      </c>
      <c r="U620" s="11"/>
      <c r="W620" t="str">
        <v>Jacob MacDonald</v>
      </c>
      <c r="AA620" t="str">
        <v>Jacob MacDonald</v>
      </c>
      <c r="AB620" t="str">
        <v>Jacob MacDonald</v>
      </c>
    </row>
    <row r="621" spans="1:28" x14ac:dyDescent="0.25">
      <c r="A621" t="s">
        <v>956</v>
      </c>
      <c r="B621">
        <f>INDEX(Proj[],MATCH(Std[[#This Row],[Player]],Proj[Player],0),2)</f>
        <v>26</v>
      </c>
      <c r="C621" t="s">
        <v>3</v>
      </c>
      <c r="D621" s="75"/>
      <c r="E621" s="57"/>
      <c r="F621" t="s">
        <v>8</v>
      </c>
      <c r="G621" s="12">
        <f>(INDEX(Proj[],MATCH(Std[[#This Row],[Player]],Proj[Player],0),14)-G$764)/G$765</f>
        <v>-0.873752993897015</v>
      </c>
      <c r="H621" s="12">
        <f>(INDEX(Proj[],MATCH(Std[[#This Row],[Player]],Proj[Player],0),15)-H$764)/H$765</f>
        <v>-0.81172736747616536</v>
      </c>
      <c r="I621" s="12">
        <f>(INDEX(Proj[],MATCH(Std[[#This Row],[Player]],Proj[Player],0),16)-I$764)/I$765</f>
        <v>-0.90530509015060856</v>
      </c>
      <c r="J621" s="12">
        <f>(INDEX(Proj[],MATCH(Std[[#This Row],[Player]],Proj[Player],0),17)-J$764)/J$765</f>
        <v>-0.46669252292436259</v>
      </c>
      <c r="K621" s="12">
        <f>(INDEX(Proj[],MATCH(Std[[#This Row],[Player]],Proj[Player],0),18)-K$764)/K$765</f>
        <v>-0.14224887932464234</v>
      </c>
      <c r="L621" s="12">
        <f>(INDEX(Proj[],MATCH(Std[[#This Row],[Player]],Proj[Player],0),19)-L$764)/L$765</f>
        <v>-0.27278273918567114</v>
      </c>
      <c r="M621" s="12">
        <f>(INDEX(Proj[],MATCH(Std[[#This Row],[Player]],Proj[Player],0),20)-M$764)/M$765</f>
        <v>-0.71308883245737775</v>
      </c>
      <c r="N621" s="12">
        <f>(INDEX(Proj[],MATCH(Std[[#This Row],[Player]],Proj[Player],0),21)-N$764)/N$765</f>
        <v>-0.11109335884987108</v>
      </c>
      <c r="O621" s="12">
        <f>(INDEX(Proj[],MATCH(Std[[#This Row],[Player]],Proj[Player],0),22)-O$764)/O$765</f>
        <v>3.6007867430710716E-2</v>
      </c>
      <c r="P621" s="12">
        <f>((INDEX(Proj[],MATCH(Std[[#This Row],[Player]],Proj[Player],0),23)-P$764)/P$765)*IF('League Inputs'!$C$23 = "Yes",-1, 1)</f>
        <v>-0.90737149360508162</v>
      </c>
      <c r="Q621" s="12">
        <f>(INDEX(Proj[],MATCH(Std[[#This Row],[Player]],Proj[Player],0),24)-Q$764)/Q$765</f>
        <v>-0.5766103108129359</v>
      </c>
      <c r="R621" s="12">
        <f>(INDEX(Proj[],MATCH(Std[[#This Row],[Player]],Proj[Player],0),25)-R$764)/R$765</f>
        <v>-0.62531533033812681</v>
      </c>
      <c r="S621" s="12">
        <f>(INDEX(Proj[],MATCH(Std[[#This Row],[Player]],Proj[Player],0),26)-S$764)/S$765</f>
        <v>-1.088607334594347</v>
      </c>
      <c r="T6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-551.12428211409849</v>
      </c>
      <c r="U621" s="11"/>
      <c r="W621" t="str">
        <v>Nick Blankenburg</v>
      </c>
      <c r="AA621" t="str">
        <v>Nick Blankenburg</v>
      </c>
      <c r="AB621" t="str">
        <v>Nick Blankenburg</v>
      </c>
    </row>
    <row r="622" spans="1:28" x14ac:dyDescent="0.25">
      <c r="A622" t="s">
        <v>621</v>
      </c>
      <c r="B622">
        <f>INDEX(Proj[],MATCH(Std[[#This Row],[Player]],Proj[Player],0),2)</f>
        <v>36</v>
      </c>
      <c r="C622" t="s">
        <v>3</v>
      </c>
      <c r="D622" s="75"/>
      <c r="E622" s="57"/>
      <c r="F622" t="s">
        <v>31</v>
      </c>
      <c r="G622" s="12">
        <f>(INDEX(Proj[],MATCH(Std[[#This Row],[Player]],Proj[Player],0),14)-G$764)/G$765</f>
        <v>-0.66248525638148381</v>
      </c>
      <c r="H622" s="12">
        <f>(INDEX(Proj[],MATCH(Std[[#This Row],[Player]],Proj[Player],0),15)-H$764)/H$765</f>
        <v>-0.96078590145269582</v>
      </c>
      <c r="I622" s="12">
        <f>(INDEX(Proj[],MATCH(Std[[#This Row],[Player]],Proj[Player],0),16)-I$764)/I$765</f>
        <v>-0.90530509015060856</v>
      </c>
      <c r="J622" s="12">
        <f>(INDEX(Proj[],MATCH(Std[[#This Row],[Player]],Proj[Player],0),17)-J$764)/J$765</f>
        <v>-0.46669252292436259</v>
      </c>
      <c r="K622" s="12">
        <f>(INDEX(Proj[],MATCH(Std[[#This Row],[Player]],Proj[Player],0),18)-K$764)/K$765</f>
        <v>-0.45042076997056774</v>
      </c>
      <c r="L622" s="12">
        <f>(INDEX(Proj[],MATCH(Std[[#This Row],[Player]],Proj[Player],0),19)-L$764)/L$765</f>
        <v>-0.49026000221120619</v>
      </c>
      <c r="M622" s="12">
        <f>(INDEX(Proj[],MATCH(Std[[#This Row],[Player]],Proj[Player],0),20)-M$764)/M$765</f>
        <v>-0.71308883245737775</v>
      </c>
      <c r="N622" s="12">
        <f>(INDEX(Proj[],MATCH(Std[[#This Row],[Player]],Proj[Player],0),21)-N$764)/N$765</f>
        <v>-1.3707760264925277</v>
      </c>
      <c r="O622" s="12">
        <f>(INDEX(Proj[],MATCH(Std[[#This Row],[Player]],Proj[Player],0),22)-O$764)/O$765</f>
        <v>0.52354393755361062</v>
      </c>
      <c r="P622" s="12">
        <f>((INDEX(Proj[],MATCH(Std[[#This Row],[Player]],Proj[Player],0),23)-P$764)/P$765)*IF('League Inputs'!$C$23 = "Yes",-1, 1)</f>
        <v>-0.86083171930672309</v>
      </c>
      <c r="Q622" s="12">
        <f>(INDEX(Proj[],MATCH(Std[[#This Row],[Player]],Proj[Player],0),24)-Q$764)/Q$765</f>
        <v>0.89458578776795061</v>
      </c>
      <c r="R622" s="12">
        <f>(INDEX(Proj[],MATCH(Std[[#This Row],[Player]],Proj[Player],0),25)-R$764)/R$765</f>
        <v>0.91264167367476468</v>
      </c>
      <c r="S622" s="12">
        <f>(INDEX(Proj[],MATCH(Std[[#This Row],[Player]],Proj[Player],0),26)-S$764)/S$765</f>
        <v>-0.92642039450066715</v>
      </c>
      <c r="T6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-475.87346651743508</v>
      </c>
      <c r="U622" s="11"/>
      <c r="W622" t="str">
        <v>Nick Bonino</v>
      </c>
      <c r="AA622" t="str">
        <v>Nick Bonino</v>
      </c>
      <c r="AB622" t="str">
        <v>Nick Bonino</v>
      </c>
    </row>
    <row r="623" spans="1:28" x14ac:dyDescent="0.25">
      <c r="A623" t="s">
        <v>1037</v>
      </c>
      <c r="B623">
        <f>INDEX(Proj[],MATCH(Std[[#This Row],[Player]],Proj[Player],0),2)</f>
        <v>24</v>
      </c>
      <c r="C623" t="s">
        <v>74</v>
      </c>
      <c r="D623" s="75" t="s">
        <v>103</v>
      </c>
      <c r="E623" s="57"/>
      <c r="F623" t="s">
        <v>8</v>
      </c>
      <c r="G623" s="12">
        <f>(INDEX(Proj[],MATCH(Std[[#This Row],[Player]],Proj[Player],0),14)-G$764)/G$765</f>
        <v>-0.7681191251392494</v>
      </c>
      <c r="H623" s="12">
        <f>(INDEX(Proj[],MATCH(Std[[#This Row],[Player]],Proj[Player],0),15)-H$764)/H$765</f>
        <v>-0.88625663446443059</v>
      </c>
      <c r="I623" s="12">
        <f>(INDEX(Proj[],MATCH(Std[[#This Row],[Player]],Proj[Player],0),16)-I$764)/I$765</f>
        <v>-0.90530509015060856</v>
      </c>
      <c r="J623" s="12">
        <f>(INDEX(Proj[],MATCH(Std[[#This Row],[Player]],Proj[Player],0),17)-J$764)/J$765</f>
        <v>-0.76105581014900237</v>
      </c>
      <c r="K623" s="12">
        <f>(INDEX(Proj[],MATCH(Std[[#This Row],[Player]],Proj[Player],0),18)-K$764)/K$765</f>
        <v>-0.75859266061649311</v>
      </c>
      <c r="L623" s="12">
        <f>(INDEX(Proj[],MATCH(Std[[#This Row],[Player]],Proj[Player],0),19)-L$764)/L$765</f>
        <v>-0.81647589674950882</v>
      </c>
      <c r="M623" s="12">
        <f>(INDEX(Proj[],MATCH(Std[[#This Row],[Player]],Proj[Player],0),20)-M$764)/M$765</f>
        <v>-0.71308883245737775</v>
      </c>
      <c r="N623" s="12">
        <f>(INDEX(Proj[],MATCH(Std[[#This Row],[Player]],Proj[Player],0),21)-N$764)/N$765</f>
        <v>-0.40178935907509955</v>
      </c>
      <c r="O623" s="12">
        <f>(INDEX(Proj[],MATCH(Std[[#This Row],[Player]],Proj[Player],0),22)-O$764)/O$765</f>
        <v>-0.91584826947590336</v>
      </c>
      <c r="P623" s="12">
        <f>((INDEX(Proj[],MATCH(Std[[#This Row],[Player]],Proj[Player],0),23)-P$764)/P$765)*IF('League Inputs'!$C$23 = "Yes",-1, 1)</f>
        <v>-0.81429194500836466</v>
      </c>
      <c r="Q623" s="12">
        <f>(INDEX(Proj[],MATCH(Std[[#This Row],[Player]],Proj[Player],0),24)-Q$764)/Q$765</f>
        <v>-0.37938474687274459</v>
      </c>
      <c r="R623" s="12">
        <f>(INDEX(Proj[],MATCH(Std[[#This Row],[Player]],Proj[Player],0),25)-R$764)/R$765</f>
        <v>-0.41533596078655122</v>
      </c>
      <c r="S623" s="12">
        <f>(INDEX(Proj[],MATCH(Std[[#This Row],[Player]],Proj[Player],0),26)-S$764)/S$765</f>
        <v>-1.0399512525662431</v>
      </c>
      <c r="T6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-692.74223195021523</v>
      </c>
      <c r="U623" s="11"/>
      <c r="W623" t="str">
        <v>Grigori Denisenko</v>
      </c>
      <c r="AA623" t="str">
        <v>Grigori Denisenko</v>
      </c>
      <c r="AB623" t="str">
        <v>Grigori Denisenko</v>
      </c>
    </row>
    <row r="624" spans="1:28" x14ac:dyDescent="0.25">
      <c r="A624" t="s">
        <v>1039</v>
      </c>
      <c r="B624">
        <f>INDEX(Proj[],MATCH(Std[[#This Row],[Player]],Proj[Player],0),2)</f>
        <v>24</v>
      </c>
      <c r="C624" t="s">
        <v>102</v>
      </c>
      <c r="D624" s="75" t="s">
        <v>103</v>
      </c>
      <c r="E624" s="56"/>
      <c r="F624" t="s">
        <v>15</v>
      </c>
      <c r="G624" s="12">
        <f>(INDEX(Proj[],MATCH(Std[[#This Row],[Player]],Proj[Player],0),14)-G$764)/G$765</f>
        <v>-0.66248525638148381</v>
      </c>
      <c r="H624" s="12">
        <f>(INDEX(Proj[],MATCH(Std[[#This Row],[Player]],Proj[Player],0),15)-H$764)/H$765</f>
        <v>-0.96078590145269582</v>
      </c>
      <c r="I624" s="12">
        <f>(INDEX(Proj[],MATCH(Std[[#This Row],[Player]],Proj[Player],0),16)-I$764)/I$765</f>
        <v>-0.90530509015060856</v>
      </c>
      <c r="J624" s="12">
        <f>(INDEX(Proj[],MATCH(Std[[#This Row],[Player]],Proj[Player],0),17)-J$764)/J$765</f>
        <v>-0.76105581014900237</v>
      </c>
      <c r="K624" s="12">
        <f>(INDEX(Proj[],MATCH(Std[[#This Row],[Player]],Proj[Player],0),18)-K$764)/K$765</f>
        <v>-0.75859266061649311</v>
      </c>
      <c r="L624" s="12">
        <f>(INDEX(Proj[],MATCH(Std[[#This Row],[Player]],Proj[Player],0),19)-L$764)/L$765</f>
        <v>-0.81647589674950882</v>
      </c>
      <c r="M624" s="12">
        <f>(INDEX(Proj[],MATCH(Std[[#This Row],[Player]],Proj[Player],0),20)-M$764)/M$765</f>
        <v>-0.71308883245737775</v>
      </c>
      <c r="N624" s="12">
        <f>(INDEX(Proj[],MATCH(Std[[#This Row],[Player]],Proj[Player],0),21)-N$764)/N$765</f>
        <v>1.22610824218618</v>
      </c>
      <c r="O624" s="12">
        <f>(INDEX(Proj[],MATCH(Std[[#This Row],[Player]],Proj[Player],0),22)-O$764)/O$765</f>
        <v>-0.93906427281508909</v>
      </c>
      <c r="P624" s="12">
        <f>((INDEX(Proj[],MATCH(Std[[#This Row],[Player]],Proj[Player],0),23)-P$764)/P$765)*IF('League Inputs'!$C$23 = "Yes",-1, 1)</f>
        <v>-0.16273510483134615</v>
      </c>
      <c r="Q624" s="12">
        <f>(INDEX(Proj[],MATCH(Std[[#This Row],[Player]],Proj[Player],0),24)-Q$764)/Q$765</f>
        <v>-0.49132358046042074</v>
      </c>
      <c r="R624" s="12">
        <f>(INDEX(Proj[],MATCH(Std[[#This Row],[Player]],Proj[Player],0),25)-R$764)/R$765</f>
        <v>-0.51748808651434475</v>
      </c>
      <c r="S624" s="12">
        <f>(INDEX(Proj[],MATCH(Std[[#This Row],[Player]],Proj[Player],0),26)-S$764)/S$765</f>
        <v>-1.2021381926599228</v>
      </c>
      <c r="T6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-491.42050533148955</v>
      </c>
      <c r="U624" s="11"/>
      <c r="W624" t="str">
        <v>Jakub Lauko</v>
      </c>
      <c r="AA624" t="str">
        <v>Jakub Lauko</v>
      </c>
      <c r="AB624" t="str">
        <v>Jakub Lauko</v>
      </c>
    </row>
    <row r="625" spans="1:28" x14ac:dyDescent="0.25">
      <c r="A625" t="s">
        <v>795</v>
      </c>
      <c r="B625">
        <f>INDEX(Proj[],MATCH(Std[[#This Row],[Player]],Proj[Player],0),2)</f>
        <v>29</v>
      </c>
      <c r="C625" t="s">
        <v>3</v>
      </c>
      <c r="D625" s="75"/>
      <c r="E625" s="56"/>
      <c r="F625" t="s">
        <v>29</v>
      </c>
      <c r="G625" s="12">
        <f>(INDEX(Proj[],MATCH(Std[[#This Row],[Player]],Proj[Player],0),14)-G$764)/G$765</f>
        <v>-0.55685138762371811</v>
      </c>
      <c r="H625" s="12">
        <f>(INDEX(Proj[],MATCH(Std[[#This Row],[Player]],Proj[Player],0),15)-H$764)/H$765</f>
        <v>-1.0353151684409609</v>
      </c>
      <c r="I625" s="12">
        <f>(INDEX(Proj[],MATCH(Std[[#This Row],[Player]],Proj[Player],0),16)-I$764)/I$765</f>
        <v>-0.90530509015060856</v>
      </c>
      <c r="J625" s="12">
        <f>(INDEX(Proj[],MATCH(Std[[#This Row],[Player]],Proj[Player],0),17)-J$764)/J$765</f>
        <v>-0.76105581014900237</v>
      </c>
      <c r="K625" s="12">
        <f>(INDEX(Proj[],MATCH(Std[[#This Row],[Player]],Proj[Player],0),18)-K$764)/K$765</f>
        <v>-0.75859266061649311</v>
      </c>
      <c r="L625" s="12">
        <f>(INDEX(Proj[],MATCH(Std[[#This Row],[Player]],Proj[Player],0),19)-L$764)/L$765</f>
        <v>-0.81647589674950882</v>
      </c>
      <c r="M625" s="12">
        <f>(INDEX(Proj[],MATCH(Std[[#This Row],[Player]],Proj[Player],0),20)-M$764)/M$765</f>
        <v>-0.71308883245737775</v>
      </c>
      <c r="N625" s="12">
        <f>(INDEX(Proj[],MATCH(Std[[#This Row],[Player]],Proj[Player],0),21)-N$764)/N$765</f>
        <v>-0.20799202559161389</v>
      </c>
      <c r="O625" s="12">
        <f>(INDEX(Proj[],MATCH(Std[[#This Row],[Player]],Proj[Player],0),22)-O$764)/O$765</f>
        <v>-0.59082422272730351</v>
      </c>
      <c r="P625" s="12">
        <f>((INDEX(Proj[],MATCH(Std[[#This Row],[Player]],Proj[Player],0),23)-P$764)/P$765)*IF('League Inputs'!$C$23 = "Yes",-1, 1)</f>
        <v>-0.53505329921821387</v>
      </c>
      <c r="Q625" s="12">
        <f>(INDEX(Proj[],MATCH(Std[[#This Row],[Player]],Proj[Player],0),24)-Q$764)/Q$765</f>
        <v>-0.24612423069693964</v>
      </c>
      <c r="R625" s="12">
        <f>(INDEX(Proj[],MATCH(Std[[#This Row],[Player]],Proj[Player],0),25)-R$764)/R$765</f>
        <v>-0.25643265409887239</v>
      </c>
      <c r="S625" s="12">
        <f>(INDEX(Proj[],MATCH(Std[[#This Row],[Player]],Proj[Player],0),26)-S$764)/S$765</f>
        <v>-0.82910823044445925</v>
      </c>
      <c r="T6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-572.30495516433268</v>
      </c>
      <c r="U625" s="11"/>
      <c r="W625" t="str">
        <v>Vinni Lettieri</v>
      </c>
      <c r="AA625" t="str">
        <v>Vinni Lettieri</v>
      </c>
      <c r="AB625" t="str">
        <v>Vinni Lettieri</v>
      </c>
    </row>
    <row r="626" spans="1:28" x14ac:dyDescent="0.25">
      <c r="A626" t="s">
        <v>1145</v>
      </c>
      <c r="B626">
        <f>INDEX(Proj[],MATCH(Std[[#This Row],[Player]],Proj[Player],0),2)</f>
        <v>25</v>
      </c>
      <c r="C626" t="s">
        <v>74</v>
      </c>
      <c r="D626" s="75" t="s">
        <v>103</v>
      </c>
      <c r="E626" s="56"/>
      <c r="F626" t="s">
        <v>10</v>
      </c>
      <c r="G626" s="12">
        <f>(INDEX(Proj[],MATCH(Std[[#This Row],[Player]],Proj[Player],0),14)-G$764)/G$765</f>
        <v>-0.66248525638148381</v>
      </c>
      <c r="H626" s="12">
        <f>(INDEX(Proj[],MATCH(Std[[#This Row],[Player]],Proj[Player],0),15)-H$764)/H$765</f>
        <v>-0.96078590145269582</v>
      </c>
      <c r="I626" s="12">
        <f>(INDEX(Proj[],MATCH(Std[[#This Row],[Player]],Proj[Player],0),16)-I$764)/I$765</f>
        <v>-0.90530509015060856</v>
      </c>
      <c r="J626" s="12">
        <f>(INDEX(Proj[],MATCH(Std[[#This Row],[Player]],Proj[Player],0),17)-J$764)/J$765</f>
        <v>-0.76105581014900237</v>
      </c>
      <c r="K626" s="12">
        <f>(INDEX(Proj[],MATCH(Std[[#This Row],[Player]],Proj[Player],0),18)-K$764)/K$765</f>
        <v>-0.75859266061649311</v>
      </c>
      <c r="L626" s="12">
        <f>(INDEX(Proj[],MATCH(Std[[#This Row],[Player]],Proj[Player],0),19)-L$764)/L$765</f>
        <v>-0.81647589674950882</v>
      </c>
      <c r="M626" s="12">
        <f>(INDEX(Proj[],MATCH(Std[[#This Row],[Player]],Proj[Player],0),20)-M$764)/M$765</f>
        <v>-0.71308883245737775</v>
      </c>
      <c r="N626" s="12">
        <f>(INDEX(Proj[],MATCH(Std[[#This Row],[Player]],Proj[Player],0),21)-N$764)/N$765</f>
        <v>8.2703974633614577E-2</v>
      </c>
      <c r="O626" s="12">
        <f>(INDEX(Proj[],MATCH(Std[[#This Row],[Player]],Proj[Player],0),22)-O$764)/O$765</f>
        <v>-1.1480083028677606</v>
      </c>
      <c r="P626" s="12">
        <f>((INDEX(Proj[],MATCH(Std[[#This Row],[Player]],Proj[Player],0),23)-P$764)/P$765)*IF('League Inputs'!$C$23 = "Yes",-1, 1)</f>
        <v>-0.81429194500836466</v>
      </c>
      <c r="Q626" s="12">
        <f>(INDEX(Proj[],MATCH(Std[[#This Row],[Player]],Proj[Player],0),24)-Q$764)/Q$765</f>
        <v>0.19097026235970052</v>
      </c>
      <c r="R626" s="12">
        <f>(INDEX(Proj[],MATCH(Std[[#This Row],[Player]],Proj[Player],0),25)-R$764)/R$765</f>
        <v>0.44728198980370526</v>
      </c>
      <c r="S626" s="12">
        <f>(INDEX(Proj[],MATCH(Std[[#This Row],[Player]],Proj[Player],0),26)-S$764)/S$765</f>
        <v>-1.2345755806786587</v>
      </c>
      <c r="T6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-626.82537362957669</v>
      </c>
      <c r="U626" s="11"/>
      <c r="W626" t="str">
        <v>Kyle MacLean</v>
      </c>
      <c r="AA626" t="str">
        <v>Kyle MacLean</v>
      </c>
      <c r="AB626" t="str">
        <v>Kyle MacLean</v>
      </c>
    </row>
    <row r="627" spans="1:28" x14ac:dyDescent="0.25">
      <c r="A627" t="s">
        <v>379</v>
      </c>
      <c r="B627">
        <f>INDEX(Proj[],MATCH(Std[[#This Row],[Player]],Proj[Player],0),2)</f>
        <v>27</v>
      </c>
      <c r="C627" t="s">
        <v>3</v>
      </c>
      <c r="D627" s="75"/>
      <c r="E627" s="56"/>
      <c r="F627" t="s">
        <v>28</v>
      </c>
      <c r="G627" s="12">
        <f>(INDEX(Proj[],MATCH(Std[[#This Row],[Player]],Proj[Player],0),14)-G$764)/G$765</f>
        <v>-0.873752993897015</v>
      </c>
      <c r="H627" s="12">
        <f>(INDEX(Proj[],MATCH(Std[[#This Row],[Player]],Proj[Player],0),15)-H$764)/H$765</f>
        <v>-0.88625663446443059</v>
      </c>
      <c r="I627" s="12">
        <f>(INDEX(Proj[],MATCH(Std[[#This Row],[Player]],Proj[Player],0),16)-I$764)/I$765</f>
        <v>-0.95254764911271184</v>
      </c>
      <c r="J627" s="12">
        <f>(INDEX(Proj[],MATCH(Std[[#This Row],[Player]],Proj[Player],0),17)-J$764)/J$765</f>
        <v>-0.76105581014900237</v>
      </c>
      <c r="K627" s="12">
        <f>(INDEX(Proj[],MATCH(Std[[#This Row],[Player]],Proj[Player],0),18)-K$764)/K$765</f>
        <v>-0.75859266061649311</v>
      </c>
      <c r="L627" s="12">
        <f>(INDEX(Proj[],MATCH(Std[[#This Row],[Player]],Proj[Player],0),19)-L$764)/L$765</f>
        <v>-0.81647589674950882</v>
      </c>
      <c r="M627" s="12">
        <f>(INDEX(Proj[],MATCH(Std[[#This Row],[Player]],Proj[Player],0),20)-M$764)/M$765</f>
        <v>0.31240082183847029</v>
      </c>
      <c r="N627" s="12">
        <f>(INDEX(Proj[],MATCH(Std[[#This Row],[Player]],Proj[Player],0),21)-N$764)/N$765</f>
        <v>4.5788021114504813</v>
      </c>
      <c r="O627" s="12">
        <f>(INDEX(Proj[],MATCH(Std[[#This Row],[Player]],Proj[Player],0),22)-O$764)/O$765</f>
        <v>0.9878640043373248</v>
      </c>
      <c r="P627" s="12">
        <f>((INDEX(Proj[],MATCH(Std[[#This Row],[Player]],Proj[Player],0),23)-P$764)/P$765)*IF('League Inputs'!$C$23 = "Yes",-1, 1)</f>
        <v>2.2107933843849357</v>
      </c>
      <c r="Q627" s="12">
        <f>(INDEX(Proj[],MATCH(Std[[#This Row],[Player]],Proj[Player],0),24)-Q$764)/Q$765</f>
        <v>-0.5766103108129359</v>
      </c>
      <c r="R627" s="12">
        <f>(INDEX(Proj[],MATCH(Std[[#This Row],[Player]],Proj[Player],0),25)-R$764)/R$765</f>
        <v>-0.62531533033812681</v>
      </c>
      <c r="S627" s="12">
        <f>(INDEX(Proj[],MATCH(Std[[#This Row],[Player]],Proj[Player],0),26)-S$764)/S$765</f>
        <v>-0.45607826822899561</v>
      </c>
      <c r="T6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321.57377469071434</v>
      </c>
      <c r="U627" s="11"/>
      <c r="W627" t="str">
        <v>Jeremy Lauzon</v>
      </c>
      <c r="AA627" t="str">
        <v>Jeremy Lauzon</v>
      </c>
      <c r="AB627" t="str">
        <v>Jeremy Lauzon</v>
      </c>
    </row>
    <row r="628" spans="1:28" x14ac:dyDescent="0.25">
      <c r="A628" t="s">
        <v>582</v>
      </c>
      <c r="B628">
        <f>INDEX(Proj[],MATCH(Std[[#This Row],[Player]],Proj[Player],0),2)</f>
        <v>29</v>
      </c>
      <c r="C628" t="s">
        <v>3</v>
      </c>
      <c r="D628" s="75"/>
      <c r="E628" s="57"/>
      <c r="F628" t="s">
        <v>16</v>
      </c>
      <c r="G628" s="12">
        <f>(INDEX(Proj[],MATCH(Std[[#This Row],[Player]],Proj[Player],0),14)-G$764)/G$765</f>
        <v>-0.9793868626547807</v>
      </c>
      <c r="H628" s="12">
        <f>(INDEX(Proj[],MATCH(Std[[#This Row],[Player]],Proj[Player],0),15)-H$764)/H$765</f>
        <v>-0.81172736747616536</v>
      </c>
      <c r="I628" s="12">
        <f>(INDEX(Proj[],MATCH(Std[[#This Row],[Player]],Proj[Player],0),16)-I$764)/I$765</f>
        <v>-0.95254764911271184</v>
      </c>
      <c r="J628" s="12">
        <f>(INDEX(Proj[],MATCH(Std[[#This Row],[Player]],Proj[Player],0),17)-J$764)/J$765</f>
        <v>-0.76105581014900237</v>
      </c>
      <c r="K628" s="12">
        <f>(INDEX(Proj[],MATCH(Std[[#This Row],[Player]],Proj[Player],0),18)-K$764)/K$765</f>
        <v>-0.75859266061649311</v>
      </c>
      <c r="L628" s="12">
        <f>(INDEX(Proj[],MATCH(Std[[#This Row],[Player]],Proj[Player],0),19)-L$764)/L$765</f>
        <v>-0.81647589674950882</v>
      </c>
      <c r="M628" s="12">
        <f>(INDEX(Proj[],MATCH(Std[[#This Row],[Player]],Proj[Player],0),20)-M$764)/M$765</f>
        <v>-0.71308883245737775</v>
      </c>
      <c r="N628" s="12">
        <f>(INDEX(Proj[],MATCH(Std[[#This Row],[Player]],Proj[Player],0),21)-N$764)/N$765</f>
        <v>1.5555637091081056</v>
      </c>
      <c r="O628" s="12">
        <f>(INDEX(Proj[],MATCH(Std[[#This Row],[Player]],Proj[Player],0),22)-O$764)/O$765</f>
        <v>1.0342960110156962</v>
      </c>
      <c r="P628" s="12">
        <f>((INDEX(Proj[],MATCH(Std[[#This Row],[Player]],Proj[Player],0),23)-P$764)/P$765)*IF('League Inputs'!$C$23 = "Yes",-1, 1)</f>
        <v>0.39574218674895539</v>
      </c>
      <c r="Q628" s="12">
        <f>(INDEX(Proj[],MATCH(Std[[#This Row],[Player]],Proj[Player],0),24)-Q$764)/Q$765</f>
        <v>-0.5766103108129359</v>
      </c>
      <c r="R628" s="12">
        <f>(INDEX(Proj[],MATCH(Std[[#This Row],[Player]],Proj[Player],0),25)-R$764)/R$765</f>
        <v>-0.62531533033812681</v>
      </c>
      <c r="S628" s="12">
        <f>(INDEX(Proj[],MATCH(Std[[#This Row],[Player]],Proj[Player],0),26)-S$764)/S$765</f>
        <v>-0.82910823044445925</v>
      </c>
      <c r="T6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-198.02544103778038</v>
      </c>
      <c r="U628" s="11"/>
      <c r="W628" t="str">
        <v>Robert Hagg</v>
      </c>
      <c r="AA628" t="str">
        <v>Robert Hagg</v>
      </c>
      <c r="AB628" t="str">
        <v>Robert Hagg</v>
      </c>
    </row>
    <row r="629" spans="1:28" x14ac:dyDescent="0.25">
      <c r="A629" t="s">
        <v>583</v>
      </c>
      <c r="B629">
        <f>INDEX(Proj[],MATCH(Std[[#This Row],[Player]],Proj[Player],0),2)</f>
        <v>35</v>
      </c>
      <c r="C629" t="s">
        <v>3</v>
      </c>
      <c r="D629" s="75"/>
      <c r="E629" s="57"/>
      <c r="F629" t="s">
        <v>30</v>
      </c>
      <c r="G629" s="12">
        <f>(INDEX(Proj[],MATCH(Std[[#This Row],[Player]],Proj[Player],0),14)-G$764)/G$765</f>
        <v>-0.873752993897015</v>
      </c>
      <c r="H629" s="12">
        <f>(INDEX(Proj[],MATCH(Std[[#This Row],[Player]],Proj[Player],0),15)-H$764)/H$765</f>
        <v>-0.88625663446443059</v>
      </c>
      <c r="I629" s="12">
        <f>(INDEX(Proj[],MATCH(Std[[#This Row],[Player]],Proj[Player],0),16)-I$764)/I$765</f>
        <v>-0.95254764911271184</v>
      </c>
      <c r="J629" s="12">
        <f>(INDEX(Proj[],MATCH(Std[[#This Row],[Player]],Proj[Player],0),17)-J$764)/J$765</f>
        <v>-0.76105581014900237</v>
      </c>
      <c r="K629" s="12">
        <f>(INDEX(Proj[],MATCH(Std[[#This Row],[Player]],Proj[Player],0),18)-K$764)/K$765</f>
        <v>-0.75859266061649311</v>
      </c>
      <c r="L629" s="12">
        <f>(INDEX(Proj[],MATCH(Std[[#This Row],[Player]],Proj[Player],0),19)-L$764)/L$765</f>
        <v>-0.81647589674950882</v>
      </c>
      <c r="M629" s="12">
        <f>(INDEX(Proj[],MATCH(Std[[#This Row],[Player]],Proj[Player],0),20)-M$764)/M$765</f>
        <v>0.31240082183847029</v>
      </c>
      <c r="N629" s="12">
        <f>(INDEX(Proj[],MATCH(Std[[#This Row],[Player]],Proj[Player],0),21)-N$764)/N$765</f>
        <v>0.47029864160058588</v>
      </c>
      <c r="O629" s="12">
        <f>(INDEX(Proj[],MATCH(Std[[#This Row],[Player]],Proj[Player],0),22)-O$764)/O$765</f>
        <v>0.96464800099813919</v>
      </c>
      <c r="P629" s="12">
        <f>((INDEX(Proj[],MATCH(Std[[#This Row],[Player]],Proj[Player],0),23)-P$764)/P$765)*IF('League Inputs'!$C$23 = "Yes",-1, 1)</f>
        <v>1.1869183498210494</v>
      </c>
      <c r="Q629" s="12">
        <f>(INDEX(Proj[],MATCH(Std[[#This Row],[Player]],Proj[Player],0),24)-Q$764)/Q$765</f>
        <v>-0.5766103108129359</v>
      </c>
      <c r="R629" s="12">
        <f>(INDEX(Proj[],MATCH(Std[[#This Row],[Player]],Proj[Player],0),25)-R$764)/R$765</f>
        <v>-0.62531533033812681</v>
      </c>
      <c r="S629" s="12">
        <f>(INDEX(Proj[],MATCH(Std[[#This Row],[Player]],Proj[Player],0),26)-S$764)/S$765</f>
        <v>-0.82910823044445925</v>
      </c>
      <c r="T6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-231.28867230612875</v>
      </c>
      <c r="U629" s="11"/>
      <c r="W629" t="str">
        <v>Brendan Smith</v>
      </c>
      <c r="AA629" t="str">
        <v>Brendan Smith</v>
      </c>
      <c r="AB629" t="str">
        <v>Brendan Smith</v>
      </c>
    </row>
    <row r="630" spans="1:28" x14ac:dyDescent="0.25">
      <c r="A630" t="s">
        <v>816</v>
      </c>
      <c r="B630">
        <f>INDEX(Proj[],MATCH(Std[[#This Row],[Player]],Proj[Player],0),2)</f>
        <v>26</v>
      </c>
      <c r="C630" t="s">
        <v>3</v>
      </c>
      <c r="D630" s="75"/>
      <c r="E630" s="57"/>
      <c r="F630" t="s">
        <v>4</v>
      </c>
      <c r="G630" s="12">
        <f>(INDEX(Proj[],MATCH(Std[[#This Row],[Player]],Proj[Player],0),14)-G$764)/G$765</f>
        <v>-0.7681191251392494</v>
      </c>
      <c r="H630" s="12">
        <f>(INDEX(Proj[],MATCH(Std[[#This Row],[Player]],Proj[Player],0),15)-H$764)/H$765</f>
        <v>-0.96078590145269582</v>
      </c>
      <c r="I630" s="12">
        <f>(INDEX(Proj[],MATCH(Std[[#This Row],[Player]],Proj[Player],0),16)-I$764)/I$765</f>
        <v>-0.95254764911271184</v>
      </c>
      <c r="J630" s="12">
        <f>(INDEX(Proj[],MATCH(Std[[#This Row],[Player]],Proj[Player],0),17)-J$764)/J$765</f>
        <v>-0.76105581014900237</v>
      </c>
      <c r="K630" s="12">
        <f>(INDEX(Proj[],MATCH(Std[[#This Row],[Player]],Proj[Player],0),18)-K$764)/K$765</f>
        <v>-0.75859266061649311</v>
      </c>
      <c r="L630" s="12">
        <f>(INDEX(Proj[],MATCH(Std[[#This Row],[Player]],Proj[Player],0),19)-L$764)/L$765</f>
        <v>-0.81647589674950882</v>
      </c>
      <c r="M630" s="12">
        <f>(INDEX(Proj[],MATCH(Std[[#This Row],[Player]],Proj[Player],0),20)-M$764)/M$765</f>
        <v>-0.71308883245737775</v>
      </c>
      <c r="N630" s="12">
        <f>(INDEX(Proj[],MATCH(Std[[#This Row],[Player]],Proj[Player],0),21)-N$764)/N$765</f>
        <v>3.0284234435825961</v>
      </c>
      <c r="O630" s="12">
        <f>(INDEX(Proj[],MATCH(Std[[#This Row],[Player]],Proj[Player],0),22)-O$764)/O$765</f>
        <v>-0.77655224944078916</v>
      </c>
      <c r="P630" s="12">
        <f>((INDEX(Proj[],MATCH(Std[[#This Row],[Player]],Proj[Player],0),23)-P$764)/P$765)*IF('League Inputs'!$C$23 = "Yes",-1, 1)</f>
        <v>2.2573331586832941</v>
      </c>
      <c r="Q630" s="12">
        <f>(INDEX(Proj[],MATCH(Std[[#This Row],[Player]],Proj[Player],0),24)-Q$764)/Q$765</f>
        <v>-0.5019844217544851</v>
      </c>
      <c r="R630" s="12">
        <f>(INDEX(Proj[],MATCH(Std[[#This Row],[Player]],Proj[Player],0),25)-R$764)/R$765</f>
        <v>-0.52883832270632181</v>
      </c>
      <c r="S630" s="12">
        <f>(INDEX(Proj[],MATCH(Std[[#This Row],[Player]],Proj[Player],0),26)-S$764)/S$765</f>
        <v>-1.007513864547507</v>
      </c>
      <c r="T6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-49.822250593105721</v>
      </c>
      <c r="U630" s="11"/>
      <c r="W630" t="str">
        <v>Michael Pezzetta</v>
      </c>
      <c r="AA630" t="str">
        <v>Michael Pezzetta</v>
      </c>
      <c r="AB630" t="str">
        <v>Michael Pezzetta</v>
      </c>
    </row>
    <row r="631" spans="1:28" x14ac:dyDescent="0.25">
      <c r="A631" t="s">
        <v>1184</v>
      </c>
      <c r="B631">
        <f>INDEX(Proj[],MATCH(Std[[#This Row],[Player]],Proj[Player],0),2)</f>
        <v>23</v>
      </c>
      <c r="C631" t="s">
        <v>3</v>
      </c>
      <c r="D631" s="75"/>
      <c r="E631" s="56"/>
      <c r="F631" t="s">
        <v>87</v>
      </c>
      <c r="G631" s="12">
        <f>(INDEX(Proj[],MATCH(Std[[#This Row],[Player]],Proj[Player],0),14)-G$764)/G$765</f>
        <v>-0.9793868626547807</v>
      </c>
      <c r="H631" s="12">
        <f>(INDEX(Proj[],MATCH(Std[[#This Row],[Player]],Proj[Player],0),15)-H$764)/H$765</f>
        <v>-0.81172736747616536</v>
      </c>
      <c r="I631" s="12">
        <f>(INDEX(Proj[],MATCH(Std[[#This Row],[Player]],Proj[Player],0),16)-I$764)/I$765</f>
        <v>-0.95254764911271184</v>
      </c>
      <c r="J631" s="12">
        <f>(INDEX(Proj[],MATCH(Std[[#This Row],[Player]],Proj[Player],0),17)-J$764)/J$765</f>
        <v>-0.76105581014900237</v>
      </c>
      <c r="K631" s="12">
        <f>(INDEX(Proj[],MATCH(Std[[#This Row],[Player]],Proj[Player],0),18)-K$764)/K$765</f>
        <v>-0.75859266061649311</v>
      </c>
      <c r="L631" s="12">
        <f>(INDEX(Proj[],MATCH(Std[[#This Row],[Player]],Proj[Player],0),19)-L$764)/L$765</f>
        <v>-0.81647589674950882</v>
      </c>
      <c r="M631" s="12">
        <f>(INDEX(Proj[],MATCH(Std[[#This Row],[Player]],Proj[Player],0),20)-M$764)/M$765</f>
        <v>-0.71308883245737775</v>
      </c>
      <c r="N631" s="12">
        <f>(INDEX(Proj[],MATCH(Std[[#This Row],[Player]],Proj[Player],0),21)-N$764)/N$765</f>
        <v>0.93541224196095141</v>
      </c>
      <c r="O631" s="12">
        <f>(INDEX(Proj[],MATCH(Std[[#This Row],[Player]],Proj[Player],0),22)-O$764)/O$765</f>
        <v>0.15208788412663926</v>
      </c>
      <c r="P631" s="12">
        <f>((INDEX(Proj[],MATCH(Std[[#This Row],[Player]],Proj[Player],0),23)-P$764)/P$765)*IF('League Inputs'!$C$23 = "Yes",-1, 1)</f>
        <v>0.44228196104731388</v>
      </c>
      <c r="Q631" s="12">
        <f>(INDEX(Proj[],MATCH(Std[[#This Row],[Player]],Proj[Player],0),24)-Q$764)/Q$765</f>
        <v>-0.5766103108129359</v>
      </c>
      <c r="R631" s="12">
        <f>(INDEX(Proj[],MATCH(Std[[#This Row],[Player]],Proj[Player],0),25)-R$764)/R$765</f>
        <v>-0.62531533033812681</v>
      </c>
      <c r="S631" s="12">
        <f>(INDEX(Proj[],MATCH(Std[[#This Row],[Player]],Proj[Player],0),26)-S$764)/S$765</f>
        <v>-0.95885778251940312</v>
      </c>
      <c r="T6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-356.5823782190601</v>
      </c>
      <c r="U631" s="11"/>
      <c r="W631" t="str">
        <v>Jayden Struble</v>
      </c>
      <c r="AA631" t="str">
        <v>Jayden Struble</v>
      </c>
      <c r="AB631" t="str">
        <v>Jayden Struble</v>
      </c>
    </row>
    <row r="632" spans="1:28" x14ac:dyDescent="0.25">
      <c r="A632" t="s">
        <v>951</v>
      </c>
      <c r="B632">
        <f>INDEX(Proj[],MATCH(Std[[#This Row],[Player]],Proj[Player],0),2)</f>
        <v>25</v>
      </c>
      <c r="C632" t="s">
        <v>3</v>
      </c>
      <c r="D632" s="75"/>
      <c r="E632" s="57"/>
      <c r="F632" t="s">
        <v>18</v>
      </c>
      <c r="G632" s="12">
        <f>(INDEX(Proj[],MATCH(Std[[#This Row],[Player]],Proj[Player],0),14)-G$764)/G$765</f>
        <v>-0.55685138762371811</v>
      </c>
      <c r="H632" s="12">
        <f>(INDEX(Proj[],MATCH(Std[[#This Row],[Player]],Proj[Player],0),15)-H$764)/H$765</f>
        <v>-1.1098444354292263</v>
      </c>
      <c r="I632" s="12">
        <f>(INDEX(Proj[],MATCH(Std[[#This Row],[Player]],Proj[Player],0),16)-I$764)/I$765</f>
        <v>-0.95254764911271184</v>
      </c>
      <c r="J632" s="12">
        <f>(INDEX(Proj[],MATCH(Std[[#This Row],[Player]],Proj[Player],0),17)-J$764)/J$765</f>
        <v>-0.76105581014900237</v>
      </c>
      <c r="K632" s="12">
        <f>(INDEX(Proj[],MATCH(Std[[#This Row],[Player]],Proj[Player],0),18)-K$764)/K$765</f>
        <v>-0.75859266061649311</v>
      </c>
      <c r="L632" s="12">
        <f>(INDEX(Proj[],MATCH(Std[[#This Row],[Player]],Proj[Player],0),19)-L$764)/L$765</f>
        <v>-0.81647589674950882</v>
      </c>
      <c r="M632" s="12">
        <f>(INDEX(Proj[],MATCH(Std[[#This Row],[Player]],Proj[Player],0),20)-M$764)/M$765</f>
        <v>-0.71308883245737775</v>
      </c>
      <c r="N632" s="12">
        <f>(INDEX(Proj[],MATCH(Std[[#This Row],[Player]],Proj[Player],0),21)-N$764)/N$765</f>
        <v>1.1098298420960886</v>
      </c>
      <c r="O632" s="12">
        <f>(INDEX(Proj[],MATCH(Std[[#This Row],[Player]],Proj[Player],0),22)-O$764)/O$765</f>
        <v>-0.56760821938811779</v>
      </c>
      <c r="P632" s="12">
        <f>((INDEX(Proj[],MATCH(Std[[#This Row],[Player]],Proj[Player],0),23)-P$764)/P$765)*IF('League Inputs'!$C$23 = "Yes",-1, 1)</f>
        <v>2.7692706759652372</v>
      </c>
      <c r="Q632" s="12">
        <f>(INDEX(Proj[],MATCH(Std[[#This Row],[Player]],Proj[Player],0),24)-Q$764)/Q$765</f>
        <v>0.94255957359124043</v>
      </c>
      <c r="R632" s="12">
        <f>(INDEX(Proj[],MATCH(Std[[#This Row],[Player]],Proj[Player],0),25)-R$764)/R$765</f>
        <v>0.77076372127505144</v>
      </c>
      <c r="S632" s="12">
        <f>(INDEX(Proj[],MATCH(Std[[#This Row],[Player]],Proj[Player],0),26)-S$764)/S$765</f>
        <v>-0.73179606638825134</v>
      </c>
      <c r="T6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8.6536436961031526</v>
      </c>
      <c r="U632" s="11"/>
      <c r="W632" t="str">
        <v>Mark Kastelic</v>
      </c>
      <c r="AA632" t="str">
        <v>Mark Kastelic</v>
      </c>
      <c r="AB632" t="str">
        <v>Mark Kastelic</v>
      </c>
    </row>
    <row r="633" spans="1:28" x14ac:dyDescent="0.25">
      <c r="A633" t="s">
        <v>642</v>
      </c>
      <c r="B633">
        <f>INDEX(Proj[],MATCH(Std[[#This Row],[Player]],Proj[Player],0),2)</f>
        <v>26</v>
      </c>
      <c r="C633" t="s">
        <v>3</v>
      </c>
      <c r="D633" s="75"/>
      <c r="E633" s="57"/>
      <c r="F633" t="s">
        <v>7</v>
      </c>
      <c r="G633" s="12">
        <f>(INDEX(Proj[],MATCH(Std[[#This Row],[Player]],Proj[Player],0),14)-G$764)/G$765</f>
        <v>-1.0850207314125464</v>
      </c>
      <c r="H633" s="12">
        <f>(INDEX(Proj[],MATCH(Std[[#This Row],[Player]],Proj[Player],0),15)-H$764)/H$765</f>
        <v>-0.73719810048790013</v>
      </c>
      <c r="I633" s="12">
        <f>(INDEX(Proj[],MATCH(Std[[#This Row],[Player]],Proj[Player],0),16)-I$764)/I$765</f>
        <v>-0.95254764911271184</v>
      </c>
      <c r="J633" s="12">
        <f>(INDEX(Proj[],MATCH(Std[[#This Row],[Player]],Proj[Player],0),17)-J$764)/J$765</f>
        <v>-0.76105581014900237</v>
      </c>
      <c r="K633" s="12">
        <f>(INDEX(Proj[],MATCH(Std[[#This Row],[Player]],Proj[Player],0),18)-K$764)/K$765</f>
        <v>-0.75859266061649311</v>
      </c>
      <c r="L633" s="12">
        <f>(INDEX(Proj[],MATCH(Std[[#This Row],[Player]],Proj[Player],0),19)-L$764)/L$765</f>
        <v>-0.81647589674950882</v>
      </c>
      <c r="M633" s="12">
        <f>(INDEX(Proj[],MATCH(Std[[#This Row],[Player]],Proj[Player],0),20)-M$764)/M$765</f>
        <v>0.31240082183847029</v>
      </c>
      <c r="N633" s="12">
        <f>(INDEX(Proj[],MATCH(Std[[#This Row],[Player]],Proj[Player],0),21)-N$764)/N$765</f>
        <v>-0.42116909242344813</v>
      </c>
      <c r="O633" s="12">
        <f>(INDEX(Proj[],MATCH(Std[[#This Row],[Player]],Proj[Player],0),22)-O$764)/O$765</f>
        <v>0.75570397094546771</v>
      </c>
      <c r="P633" s="12">
        <f>((INDEX(Proj[],MATCH(Std[[#This Row],[Player]],Proj[Player],0),23)-P$764)/P$765)*IF('League Inputs'!$C$23 = "Yes",-1, 1)</f>
        <v>-0.72121239641164769</v>
      </c>
      <c r="Q633" s="12">
        <f>(INDEX(Proj[],MATCH(Std[[#This Row],[Player]],Proj[Player],0),24)-Q$764)/Q$765</f>
        <v>-0.5766103108129359</v>
      </c>
      <c r="R633" s="12">
        <f>(INDEX(Proj[],MATCH(Std[[#This Row],[Player]],Proj[Player],0),25)-R$764)/R$765</f>
        <v>-0.62531533033812681</v>
      </c>
      <c r="S633" s="12">
        <f>(INDEX(Proj[],MATCH(Std[[#This Row],[Player]],Proj[Player],0),26)-S$764)/S$765</f>
        <v>-0.76423345440698731</v>
      </c>
      <c r="T6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-531.87636608722198</v>
      </c>
      <c r="U633" s="11"/>
      <c r="W633" t="str">
        <v>Urho Vaakanainen</v>
      </c>
      <c r="AA633" t="str">
        <v>Urho Vaakanainen</v>
      </c>
      <c r="AB633" t="str">
        <v>Urho Vaakanainen</v>
      </c>
    </row>
    <row r="634" spans="1:28" x14ac:dyDescent="0.25">
      <c r="A634" t="s">
        <v>721</v>
      </c>
      <c r="B634">
        <f>INDEX(Proj[],MATCH(Std[[#This Row],[Player]],Proj[Player],0),2)</f>
        <v>37</v>
      </c>
      <c r="C634" t="s">
        <v>3</v>
      </c>
      <c r="D634" s="75"/>
      <c r="E634" s="56"/>
      <c r="F634" t="s">
        <v>13</v>
      </c>
      <c r="G634" s="12">
        <f>(INDEX(Proj[],MATCH(Std[[#This Row],[Player]],Proj[Player],0),14)-G$764)/G$765</f>
        <v>-0.873752993897015</v>
      </c>
      <c r="H634" s="12">
        <f>(INDEX(Proj[],MATCH(Std[[#This Row],[Player]],Proj[Player],0),15)-H$764)/H$765</f>
        <v>-0.88625663446443059</v>
      </c>
      <c r="I634" s="12">
        <f>(INDEX(Proj[],MATCH(Std[[#This Row],[Player]],Proj[Player],0),16)-I$764)/I$765</f>
        <v>-0.95254764911271184</v>
      </c>
      <c r="J634" s="12">
        <f>(INDEX(Proj[],MATCH(Std[[#This Row],[Player]],Proj[Player],0),17)-J$764)/J$765</f>
        <v>-0.76105581014900237</v>
      </c>
      <c r="K634" s="12">
        <f>(INDEX(Proj[],MATCH(Std[[#This Row],[Player]],Proj[Player],0),18)-K$764)/K$765</f>
        <v>-0.75859266061649311</v>
      </c>
      <c r="L634" s="12">
        <f>(INDEX(Proj[],MATCH(Std[[#This Row],[Player]],Proj[Player],0),19)-L$764)/L$765</f>
        <v>-0.81647589674950882</v>
      </c>
      <c r="M634" s="12">
        <f>(INDEX(Proj[],MATCH(Std[[#This Row],[Player]],Proj[Player],0),20)-M$764)/M$765</f>
        <v>-0.71308883245737775</v>
      </c>
      <c r="N634" s="12">
        <f>(INDEX(Proj[],MATCH(Std[[#This Row],[Player]],Proj[Player],0),21)-N$764)/N$765</f>
        <v>-0.92504215948051083</v>
      </c>
      <c r="O634" s="12">
        <f>(INDEX(Proj[],MATCH(Std[[#This Row],[Player]],Proj[Player],0),22)-O$764)/O$765</f>
        <v>1.0342960110156962</v>
      </c>
      <c r="P634" s="12">
        <f>((INDEX(Proj[],MATCH(Std[[#This Row],[Player]],Proj[Player],0),23)-P$764)/P$765)*IF('League Inputs'!$C$23 = "Yes",-1, 1)</f>
        <v>-0.67467262211328927</v>
      </c>
      <c r="Q634" s="12">
        <f>(INDEX(Proj[],MATCH(Std[[#This Row],[Player]],Proj[Player],0),24)-Q$764)/Q$765</f>
        <v>-0.5766103108129359</v>
      </c>
      <c r="R634" s="12">
        <f>(INDEX(Proj[],MATCH(Std[[#This Row],[Player]],Proj[Player],0),25)-R$764)/R$765</f>
        <v>-0.62531533033812681</v>
      </c>
      <c r="S634" s="12">
        <f>(INDEX(Proj[],MATCH(Std[[#This Row],[Player]],Proj[Player],0),26)-S$764)/S$765</f>
        <v>-0.89398300648193119</v>
      </c>
      <c r="T6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-556.50452620966371</v>
      </c>
      <c r="U634" s="11"/>
      <c r="W634" t="str">
        <v>Marc-Edouard Vlasic</v>
      </c>
      <c r="AA634" t="str">
        <v>Marc-Edouard Vlasic</v>
      </c>
      <c r="AB634" t="str">
        <v>Marc-Edouard Vlasic</v>
      </c>
    </row>
    <row r="635" spans="1:28" x14ac:dyDescent="0.25">
      <c r="A635" t="s">
        <v>981</v>
      </c>
      <c r="B635">
        <f>INDEX(Proj[],MATCH(Std[[#This Row],[Player]],Proj[Player],0),2)</f>
        <v>26</v>
      </c>
      <c r="C635" t="s">
        <v>3</v>
      </c>
      <c r="D635" s="75"/>
      <c r="E635" s="57"/>
      <c r="F635" t="s">
        <v>9</v>
      </c>
      <c r="G635" s="12">
        <f>(INDEX(Proj[],MATCH(Std[[#This Row],[Player]],Proj[Player],0),14)-G$764)/G$765</f>
        <v>-1.0850207314125464</v>
      </c>
      <c r="H635" s="12">
        <f>(INDEX(Proj[],MATCH(Std[[#This Row],[Player]],Proj[Player],0),15)-H$764)/H$765</f>
        <v>-0.73719810048790013</v>
      </c>
      <c r="I635" s="12">
        <f>(INDEX(Proj[],MATCH(Std[[#This Row],[Player]],Proj[Player],0),16)-I$764)/I$765</f>
        <v>-0.95254764911271184</v>
      </c>
      <c r="J635" s="12">
        <f>(INDEX(Proj[],MATCH(Std[[#This Row],[Player]],Proj[Player],0),17)-J$764)/J$765</f>
        <v>-0.76105581014900237</v>
      </c>
      <c r="K635" s="12">
        <f>(INDEX(Proj[],MATCH(Std[[#This Row],[Player]],Proj[Player],0),18)-K$764)/K$765</f>
        <v>-0.75859266061649311</v>
      </c>
      <c r="L635" s="12">
        <f>(INDEX(Proj[],MATCH(Std[[#This Row],[Player]],Proj[Player],0),19)-L$764)/L$765</f>
        <v>-0.81647589674950882</v>
      </c>
      <c r="M635" s="12">
        <f>(INDEX(Proj[],MATCH(Std[[#This Row],[Player]],Proj[Player],0),20)-M$764)/M$765</f>
        <v>-0.71308883245737775</v>
      </c>
      <c r="N635" s="12">
        <f>(INDEX(Proj[],MATCH(Std[[#This Row],[Player]],Proj[Player],0),21)-N$764)/N$765</f>
        <v>-0.86690295943546514</v>
      </c>
      <c r="O635" s="12">
        <f>(INDEX(Proj[],MATCH(Std[[#This Row],[Player]],Proj[Player],0),22)-O$764)/O$765</f>
        <v>-0.14972015928277496</v>
      </c>
      <c r="P635" s="12">
        <f>((INDEX(Proj[],MATCH(Std[[#This Row],[Player]],Proj[Player],0),23)-P$764)/P$765)*IF('League Inputs'!$C$23 = "Yes",-1, 1)</f>
        <v>0.30266263815223848</v>
      </c>
      <c r="Q635" s="12">
        <f>(INDEX(Proj[],MATCH(Std[[#This Row],[Player]],Proj[Player],0),24)-Q$764)/Q$765</f>
        <v>-0.5766103108129359</v>
      </c>
      <c r="R635" s="12">
        <f>(INDEX(Proj[],MATCH(Std[[#This Row],[Player]],Proj[Player],0),25)-R$764)/R$765</f>
        <v>-0.62531533033812681</v>
      </c>
      <c r="S635" s="12">
        <f>(INDEX(Proj[],MATCH(Std[[#This Row],[Player]],Proj[Player],0),26)-S$764)/S$765</f>
        <v>-1.169700804641187</v>
      </c>
      <c r="T6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-605.15139737827917</v>
      </c>
      <c r="U635" s="11"/>
      <c r="W635" t="str">
        <v>Kale Clague</v>
      </c>
      <c r="AA635" t="str">
        <v>Kale Clague</v>
      </c>
      <c r="AB635" t="str">
        <v>Kale Clague</v>
      </c>
    </row>
    <row r="636" spans="1:28" x14ac:dyDescent="0.25">
      <c r="A636" t="s">
        <v>1155</v>
      </c>
      <c r="B636">
        <f>INDEX(Proj[],MATCH(Std[[#This Row],[Player]],Proj[Player],0),2)</f>
        <v>27</v>
      </c>
      <c r="C636" t="s">
        <v>102</v>
      </c>
      <c r="D636" s="75"/>
      <c r="E636" s="57"/>
      <c r="F636" t="s">
        <v>17</v>
      </c>
      <c r="G636" s="12">
        <f>(INDEX(Proj[],MATCH(Std[[#This Row],[Player]],Proj[Player],0),14)-G$764)/G$765</f>
        <v>-0.66248525638148381</v>
      </c>
      <c r="H636" s="12">
        <f>(INDEX(Proj[],MATCH(Std[[#This Row],[Player]],Proj[Player],0),15)-H$764)/H$765</f>
        <v>-1.0353151684409609</v>
      </c>
      <c r="I636" s="12">
        <f>(INDEX(Proj[],MATCH(Std[[#This Row],[Player]],Proj[Player],0),16)-I$764)/I$765</f>
        <v>-0.95254764911271184</v>
      </c>
      <c r="J636" s="12">
        <f>(INDEX(Proj[],MATCH(Std[[#This Row],[Player]],Proj[Player],0),17)-J$764)/J$765</f>
        <v>-0.76105581014900237</v>
      </c>
      <c r="K636" s="12">
        <f>(INDEX(Proj[],MATCH(Std[[#This Row],[Player]],Proj[Player],0),18)-K$764)/K$765</f>
        <v>-0.75859266061649311</v>
      </c>
      <c r="L636" s="12">
        <f>(INDEX(Proj[],MATCH(Std[[#This Row],[Player]],Proj[Player],0),19)-L$764)/L$765</f>
        <v>-0.81647589674950882</v>
      </c>
      <c r="M636" s="12">
        <f>(INDEX(Proj[],MATCH(Std[[#This Row],[Player]],Proj[Player],0),20)-M$764)/M$765</f>
        <v>-0.71308883245737775</v>
      </c>
      <c r="N636" s="12">
        <f>(INDEX(Proj[],MATCH(Std[[#This Row],[Player]],Proj[Player],0),21)-N$764)/N$765</f>
        <v>0.83851357521920866</v>
      </c>
      <c r="O636" s="12">
        <f>(INDEX(Proj[],MATCH(Std[[#This Row],[Player]],Proj[Player],0),22)-O$764)/O$765</f>
        <v>-0.84620025945834632</v>
      </c>
      <c r="P636" s="12">
        <f>((INDEX(Proj[],MATCH(Std[[#This Row],[Player]],Proj[Player],0),23)-P$764)/P$765)*IF('League Inputs'!$C$23 = "Yes",-1, 1)</f>
        <v>-1.140070365096874</v>
      </c>
      <c r="Q636" s="12">
        <f>(INDEX(Proj[],MATCH(Std[[#This Row],[Player]],Proj[Player],0),24)-Q$764)/Q$765</f>
        <v>-0.45934105657822755</v>
      </c>
      <c r="R636" s="12">
        <f>(INDEX(Proj[],MATCH(Std[[#This Row],[Player]],Proj[Player],0),25)-R$764)/R$765</f>
        <v>-0.47208714174643651</v>
      </c>
      <c r="S636" s="12">
        <f>(INDEX(Proj[],MATCH(Std[[#This Row],[Player]],Proj[Player],0),26)-S$764)/S$765</f>
        <v>-1.2021381926599228</v>
      </c>
      <c r="T6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-627.6060269258827</v>
      </c>
      <c r="U636" s="11"/>
      <c r="W636" t="str">
        <v>Mitchell Chaffee</v>
      </c>
      <c r="AA636" t="str">
        <v>Mitchell Chaffee</v>
      </c>
      <c r="AB636" t="str">
        <v>Mitchell Chaffee</v>
      </c>
    </row>
    <row r="637" spans="1:28" x14ac:dyDescent="0.25">
      <c r="A637" t="s">
        <v>788</v>
      </c>
      <c r="B637">
        <f>INDEX(Proj[],MATCH(Std[[#This Row],[Player]],Proj[Player],0),2)</f>
        <v>39</v>
      </c>
      <c r="C637" t="s">
        <v>3</v>
      </c>
      <c r="D637" s="75"/>
      <c r="E637" s="57"/>
      <c r="F637" t="s">
        <v>28</v>
      </c>
      <c r="G637" s="12">
        <f>(INDEX(Proj[],MATCH(Std[[#This Row],[Player]],Proj[Player],0),14)-G$764)/G$765</f>
        <v>-0.7681191251392494</v>
      </c>
      <c r="H637" s="12">
        <f>(INDEX(Proj[],MATCH(Std[[#This Row],[Player]],Proj[Player],0),15)-H$764)/H$765</f>
        <v>-0.96078590145269582</v>
      </c>
      <c r="I637" s="12">
        <f>(INDEX(Proj[],MATCH(Std[[#This Row],[Player]],Proj[Player],0),16)-I$764)/I$765</f>
        <v>-0.95254764911271184</v>
      </c>
      <c r="J637" s="12">
        <f>(INDEX(Proj[],MATCH(Std[[#This Row],[Player]],Proj[Player],0),17)-J$764)/J$765</f>
        <v>-0.76105581014900237</v>
      </c>
      <c r="K637" s="12">
        <f>(INDEX(Proj[],MATCH(Std[[#This Row],[Player]],Proj[Player],0),18)-K$764)/K$765</f>
        <v>-0.75859266061649311</v>
      </c>
      <c r="L637" s="12">
        <f>(INDEX(Proj[],MATCH(Std[[#This Row],[Player]],Proj[Player],0),19)-L$764)/L$765</f>
        <v>-0.81647589674950882</v>
      </c>
      <c r="M637" s="12">
        <f>(INDEX(Proj[],MATCH(Std[[#This Row],[Player]],Proj[Player],0),20)-M$764)/M$765</f>
        <v>1.3378904761343182</v>
      </c>
      <c r="N637" s="12">
        <f>(INDEX(Proj[],MATCH(Std[[#This Row],[Player]],Proj[Player],0),21)-N$764)/N$765</f>
        <v>-0.82814349273876797</v>
      </c>
      <c r="O637" s="12">
        <f>(INDEX(Proj[],MATCH(Std[[#This Row],[Player]],Proj[Player],0),22)-O$764)/O$765</f>
        <v>-0.61404022606648923</v>
      </c>
      <c r="P637" s="12">
        <f>((INDEX(Proj[],MATCH(Std[[#This Row],[Player]],Proj[Player],0),23)-P$764)/P$765)*IF('League Inputs'!$C$23 = "Yes",-1, 1)</f>
        <v>-0.81429194500836466</v>
      </c>
      <c r="Q637" s="12">
        <f>(INDEX(Proj[],MATCH(Std[[#This Row],[Player]],Proj[Player],0),24)-Q$764)/Q$765</f>
        <v>0.93722915294420817</v>
      </c>
      <c r="R637" s="12">
        <f>(INDEX(Proj[],MATCH(Std[[#This Row],[Player]],Proj[Player],0),25)-R$764)/R$765</f>
        <v>0.82751490223493673</v>
      </c>
      <c r="S637" s="12">
        <f>(INDEX(Proj[],MATCH(Std[[#This Row],[Player]],Proj[Player],0),26)-S$764)/S$765</f>
        <v>-1.104826028603715</v>
      </c>
      <c r="T6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-592.20011119272954</v>
      </c>
      <c r="U637" s="11"/>
      <c r="W637" t="str">
        <v>Pierre-Edouard Bellemare</v>
      </c>
      <c r="AA637" t="str">
        <v>Pierre-Edouard Bellemare</v>
      </c>
      <c r="AB637" t="str">
        <v>Pierre-Edouard Bellemare</v>
      </c>
    </row>
    <row r="638" spans="1:28" x14ac:dyDescent="0.25">
      <c r="A638" t="s">
        <v>1046</v>
      </c>
      <c r="B638">
        <f>INDEX(Proj[],MATCH(Std[[#This Row],[Player]],Proj[Player],0),2)</f>
        <v>27</v>
      </c>
      <c r="C638" t="s">
        <v>74</v>
      </c>
      <c r="D638" s="75"/>
      <c r="E638" s="57"/>
      <c r="F638" t="s">
        <v>5</v>
      </c>
      <c r="G638" s="12">
        <f>(INDEX(Proj[],MATCH(Std[[#This Row],[Player]],Proj[Player],0),14)-G$764)/G$765</f>
        <v>-0.66248525638148381</v>
      </c>
      <c r="H638" s="12">
        <f>(INDEX(Proj[],MATCH(Std[[#This Row],[Player]],Proj[Player],0),15)-H$764)/H$765</f>
        <v>-1.0353151684409609</v>
      </c>
      <c r="I638" s="12">
        <f>(INDEX(Proj[],MATCH(Std[[#This Row],[Player]],Proj[Player],0),16)-I$764)/I$765</f>
        <v>-0.95254764911271184</v>
      </c>
      <c r="J638" s="12">
        <f>(INDEX(Proj[],MATCH(Std[[#This Row],[Player]],Proj[Player],0),17)-J$764)/J$765</f>
        <v>-0.76105581014900237</v>
      </c>
      <c r="K638" s="12">
        <f>(INDEX(Proj[],MATCH(Std[[#This Row],[Player]],Proj[Player],0),18)-K$764)/K$765</f>
        <v>-0.75859266061649311</v>
      </c>
      <c r="L638" s="12">
        <f>(INDEX(Proj[],MATCH(Std[[#This Row],[Player]],Proj[Player],0),19)-L$764)/L$765</f>
        <v>-0.81647589674950882</v>
      </c>
      <c r="M638" s="12">
        <f>(INDEX(Proj[],MATCH(Std[[#This Row],[Player]],Proj[Player],0),20)-M$764)/M$765</f>
        <v>-0.71308883245737775</v>
      </c>
      <c r="N638" s="12">
        <f>(INDEX(Proj[],MATCH(Std[[#This Row],[Player]],Proj[Player],0),21)-N$764)/N$765</f>
        <v>-9.1713625501522511E-2</v>
      </c>
      <c r="O638" s="12">
        <f>(INDEX(Proj[],MATCH(Std[[#This Row],[Player]],Proj[Player],0),22)-O$764)/O$765</f>
        <v>-1.1480083028677606</v>
      </c>
      <c r="P638" s="12">
        <f>((INDEX(Proj[],MATCH(Std[[#This Row],[Player]],Proj[Player],0),23)-P$764)/P$765)*IF('League Inputs'!$C$23 = "Yes",-1, 1)</f>
        <v>-1.2331499136935908</v>
      </c>
      <c r="Q638" s="12">
        <f>(INDEX(Proj[],MATCH(Std[[#This Row],[Player]],Proj[Player],0),24)-Q$764)/Q$765</f>
        <v>-0.52330610434261393</v>
      </c>
      <c r="R638" s="12">
        <f>(INDEX(Proj[],MATCH(Std[[#This Row],[Player]],Proj[Player],0),25)-R$764)/R$765</f>
        <v>-0.54586367699428739</v>
      </c>
      <c r="S638" s="12">
        <f>(INDEX(Proj[],MATCH(Std[[#This Row],[Player]],Proj[Player],0),26)-S$764)/S$765</f>
        <v>-1.104826028603715</v>
      </c>
      <c r="T6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-756.78279456938697</v>
      </c>
      <c r="U638" s="11"/>
      <c r="W638" t="str">
        <v>Walker Duehr</v>
      </c>
      <c r="AA638" t="str">
        <v>Walker Duehr</v>
      </c>
      <c r="AB638" t="str">
        <v>Walker Duehr</v>
      </c>
    </row>
    <row r="639" spans="1:28" x14ac:dyDescent="0.25">
      <c r="A639" t="s">
        <v>1130</v>
      </c>
      <c r="B639">
        <f>INDEX(Proj[],MATCH(Std[[#This Row],[Player]],Proj[Player],0),2)</f>
        <v>20</v>
      </c>
      <c r="C639" t="s">
        <v>3</v>
      </c>
      <c r="D639" s="75"/>
      <c r="E639" s="57"/>
      <c r="F639" t="s">
        <v>34</v>
      </c>
      <c r="G639" s="12">
        <f>(INDEX(Proj[],MATCH(Std[[#This Row],[Player]],Proj[Player],0),14)-G$764)/G$765</f>
        <v>-0.66248525638148381</v>
      </c>
      <c r="H639" s="12">
        <f>(INDEX(Proj[],MATCH(Std[[#This Row],[Player]],Proj[Player],0),15)-H$764)/H$765</f>
        <v>-1.0353151684409609</v>
      </c>
      <c r="I639" s="12">
        <f>(INDEX(Proj[],MATCH(Std[[#This Row],[Player]],Proj[Player],0),16)-I$764)/I$765</f>
        <v>-0.95254764911271184</v>
      </c>
      <c r="J639" s="12">
        <f>(INDEX(Proj[],MATCH(Std[[#This Row],[Player]],Proj[Player],0),17)-J$764)/J$765</f>
        <v>-0.76105581014900237</v>
      </c>
      <c r="K639" s="12">
        <f>(INDEX(Proj[],MATCH(Std[[#This Row],[Player]],Proj[Player],0),18)-K$764)/K$765</f>
        <v>-0.75859266061649311</v>
      </c>
      <c r="L639" s="12">
        <f>(INDEX(Proj[],MATCH(Std[[#This Row],[Player]],Proj[Player],0),19)-L$764)/L$765</f>
        <v>-0.81647589674950882</v>
      </c>
      <c r="M639" s="12">
        <f>(INDEX(Proj[],MATCH(Std[[#This Row],[Player]],Proj[Player],0),20)-M$764)/M$765</f>
        <v>-0.71308883245737775</v>
      </c>
      <c r="N639" s="12">
        <f>(INDEX(Proj[],MATCH(Std[[#This Row],[Player]],Proj[Player],0),21)-N$764)/N$765</f>
        <v>6.3324241285266009E-2</v>
      </c>
      <c r="O639" s="12">
        <f>(INDEX(Proj[],MATCH(Std[[#This Row],[Player]],Proj[Player],0),22)-O$764)/O$765</f>
        <v>-1.1480083028677606</v>
      </c>
      <c r="P639" s="12">
        <f>((INDEX(Proj[],MATCH(Std[[#This Row],[Player]],Proj[Player],0),23)-P$764)/P$765)*IF('League Inputs'!$C$23 = "Yes",-1, 1)</f>
        <v>-1.0935305907985153</v>
      </c>
      <c r="Q639" s="12">
        <f>(INDEX(Proj[],MATCH(Std[[#This Row],[Player]],Proj[Player],0),24)-Q$764)/Q$765</f>
        <v>-0.44334979463713092</v>
      </c>
      <c r="R639" s="12">
        <f>(INDEX(Proj[],MATCH(Std[[#This Row],[Player]],Proj[Player],0),25)-R$764)/R$765</f>
        <v>-0.46641202365044798</v>
      </c>
      <c r="S639" s="12">
        <f>(INDEX(Proj[],MATCH(Std[[#This Row],[Player]],Proj[Player],0),26)-S$764)/S$765</f>
        <v>-0.97507647652877105</v>
      </c>
      <c r="T6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-706.34648942315766</v>
      </c>
      <c r="U639" s="11"/>
      <c r="W639" t="str">
        <v>Ivan Miroshnichenko</v>
      </c>
      <c r="AA639" t="str">
        <v>Ivan Miroshnichenko</v>
      </c>
      <c r="AB639" t="str">
        <v>Ivan Miroshnichenko</v>
      </c>
    </row>
    <row r="640" spans="1:28" x14ac:dyDescent="0.25">
      <c r="A640" t="s">
        <v>803</v>
      </c>
      <c r="B640">
        <f>INDEX(Proj[],MATCH(Std[[#This Row],[Player]],Proj[Player],0),2)</f>
        <v>28</v>
      </c>
      <c r="C640" t="s">
        <v>74</v>
      </c>
      <c r="D640" s="75"/>
      <c r="E640" s="57"/>
      <c r="F640" t="s">
        <v>13</v>
      </c>
      <c r="G640" s="12">
        <f>(INDEX(Proj[],MATCH(Std[[#This Row],[Player]],Proj[Player],0),14)-G$764)/G$765</f>
        <v>-0.66248525638148381</v>
      </c>
      <c r="H640" s="12">
        <f>(INDEX(Proj[],MATCH(Std[[#This Row],[Player]],Proj[Player],0),15)-H$764)/H$765</f>
        <v>-1.0353151684409609</v>
      </c>
      <c r="I640" s="12">
        <f>(INDEX(Proj[],MATCH(Std[[#This Row],[Player]],Proj[Player],0),16)-I$764)/I$765</f>
        <v>-0.95254764911271184</v>
      </c>
      <c r="J640" s="12">
        <f>(INDEX(Proj[],MATCH(Std[[#This Row],[Player]],Proj[Player],0),17)-J$764)/J$765</f>
        <v>-0.17232923569972286</v>
      </c>
      <c r="K640" s="12">
        <f>(INDEX(Proj[],MATCH(Std[[#This Row],[Player]],Proj[Player],0),18)-K$764)/K$765</f>
        <v>-0.29633482464760502</v>
      </c>
      <c r="L640" s="12">
        <f>(INDEX(Proj[],MATCH(Std[[#This Row],[Player]],Proj[Player],0),19)-L$764)/L$765</f>
        <v>-0.27278273918567114</v>
      </c>
      <c r="M640" s="12">
        <f>(INDEX(Proj[],MATCH(Std[[#This Row],[Player]],Proj[Player],0),20)-M$764)/M$765</f>
        <v>-0.71308883245737775</v>
      </c>
      <c r="N640" s="12">
        <f>(INDEX(Proj[],MATCH(Std[[#This Row],[Player]],Proj[Player],0),21)-N$764)/N$765</f>
        <v>4.3944507936917447E-2</v>
      </c>
      <c r="O640" s="12">
        <f>(INDEX(Proj[],MATCH(Std[[#This Row],[Player]],Proj[Player],0),22)-O$764)/O$765</f>
        <v>-0.98549627949346053</v>
      </c>
      <c r="P640" s="12">
        <f>((INDEX(Proj[],MATCH(Std[[#This Row],[Player]],Proj[Player],0),23)-P$764)/P$765)*IF('League Inputs'!$C$23 = "Yes",-1, 1)</f>
        <v>-1.140070365096874</v>
      </c>
      <c r="Q640" s="12">
        <f>(INDEX(Proj[],MATCH(Std[[#This Row],[Player]],Proj[Player],0),24)-Q$764)/Q$765</f>
        <v>2.57272223017024E-2</v>
      </c>
      <c r="R640" s="12">
        <f>(INDEX(Proj[],MATCH(Std[[#This Row],[Player]],Proj[Player],0),25)-R$764)/R$765</f>
        <v>2.7323250700554077E-2</v>
      </c>
      <c r="S640" s="12">
        <f>(INDEX(Proj[],MATCH(Std[[#This Row],[Player]],Proj[Player],0),26)-S$764)/S$765</f>
        <v>-0.95885778251940312</v>
      </c>
      <c r="T6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-593.78835099919468</v>
      </c>
      <c r="U640" s="11"/>
      <c r="W640" t="str">
        <v>Steven Lorentz</v>
      </c>
      <c r="AA640" t="str">
        <v>Steven Lorentz</v>
      </c>
      <c r="AB640" t="str">
        <v>Steven Lorentz</v>
      </c>
    </row>
    <row r="641" spans="1:28" x14ac:dyDescent="0.25">
      <c r="A641" t="s">
        <v>570</v>
      </c>
      <c r="B641">
        <f>INDEX(Proj[],MATCH(Std[[#This Row],[Player]],Proj[Player],0),2)</f>
        <v>30</v>
      </c>
      <c r="C641" t="s">
        <v>3</v>
      </c>
      <c r="D641" s="75"/>
      <c r="E641" s="57"/>
      <c r="F641" t="s">
        <v>153</v>
      </c>
      <c r="G641" s="12">
        <f>(INDEX(Proj[],MATCH(Std[[#This Row],[Player]],Proj[Player],0),14)-G$764)/G$765</f>
        <v>-1.190654600170312</v>
      </c>
      <c r="H641" s="12">
        <f>(INDEX(Proj[],MATCH(Std[[#This Row],[Player]],Proj[Player],0),15)-H$764)/H$765</f>
        <v>-0.73719810048790013</v>
      </c>
      <c r="I641" s="12">
        <f>(INDEX(Proj[],MATCH(Std[[#This Row],[Player]],Proj[Player],0),16)-I$764)/I$765</f>
        <v>-0.99979020807481511</v>
      </c>
      <c r="J641" s="12">
        <f>(INDEX(Proj[],MATCH(Std[[#This Row],[Player]],Proj[Player],0),17)-J$764)/J$765</f>
        <v>-0.76105581014900237</v>
      </c>
      <c r="K641" s="12">
        <f>(INDEX(Proj[],MATCH(Std[[#This Row],[Player]],Proj[Player],0),18)-K$764)/K$765</f>
        <v>-0.75859266061649311</v>
      </c>
      <c r="L641" s="12">
        <f>(INDEX(Proj[],MATCH(Std[[#This Row],[Player]],Proj[Player],0),19)-L$764)/L$765</f>
        <v>-0.81647589674950882</v>
      </c>
      <c r="M641" s="12">
        <f>(INDEX(Proj[],MATCH(Std[[#This Row],[Player]],Proj[Player],0),20)-M$764)/M$765</f>
        <v>0.31240082183847029</v>
      </c>
      <c r="N641" s="12">
        <f>(INDEX(Proj[],MATCH(Std[[#This Row],[Player]],Proj[Player],0),21)-N$764)/N$765</f>
        <v>1.22610824218618</v>
      </c>
      <c r="O641" s="12">
        <f>(INDEX(Proj[],MATCH(Std[[#This Row],[Player]],Proj[Player],0),22)-O$764)/O$765</f>
        <v>1.7307761111912676</v>
      </c>
      <c r="P641" s="12">
        <f>((INDEX(Proj[],MATCH(Std[[#This Row],[Player]],Proj[Player],0),23)-P$764)/P$765)*IF('League Inputs'!$C$23 = "Yes",-1, 1)</f>
        <v>0.58190128394238927</v>
      </c>
      <c r="Q641" s="12">
        <f>(INDEX(Proj[],MATCH(Std[[#This Row],[Player]],Proj[Player],0),24)-Q$764)/Q$765</f>
        <v>-0.5766103108129359</v>
      </c>
      <c r="R641" s="12">
        <f>(INDEX(Proj[],MATCH(Std[[#This Row],[Player]],Proj[Player],0),25)-R$764)/R$765</f>
        <v>-0.62531533033812681</v>
      </c>
      <c r="S641" s="12">
        <f>(INDEX(Proj[],MATCH(Std[[#This Row],[Player]],Proj[Player],0),26)-S$764)/S$765</f>
        <v>-1.2021381926599228</v>
      </c>
      <c r="T6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-198.40816716355585</v>
      </c>
      <c r="U641" s="11"/>
      <c r="W641" t="str">
        <v>Ilya Lyubushkin</v>
      </c>
      <c r="AA641" t="str">
        <v>Ilya Lyubushkin</v>
      </c>
      <c r="AB641" t="str">
        <v>Ilya Lyubushkin</v>
      </c>
    </row>
    <row r="642" spans="1:28" x14ac:dyDescent="0.25">
      <c r="A642" t="s">
        <v>617</v>
      </c>
      <c r="B642">
        <f>INDEX(Proj[],MATCH(Std[[#This Row],[Player]],Proj[Player],0),2)</f>
        <v>30</v>
      </c>
      <c r="C642" t="s">
        <v>102</v>
      </c>
      <c r="D642" s="75" t="s">
        <v>103</v>
      </c>
      <c r="E642" s="56"/>
      <c r="F642" t="s">
        <v>30</v>
      </c>
      <c r="G642" s="12">
        <f>(INDEX(Proj[],MATCH(Std[[#This Row],[Player]],Proj[Player],0),14)-G$764)/G$765</f>
        <v>-0.7681191251392494</v>
      </c>
      <c r="H642" s="12">
        <f>(INDEX(Proj[],MATCH(Std[[#This Row],[Player]],Proj[Player],0),15)-H$764)/H$765</f>
        <v>-1.0353151684409609</v>
      </c>
      <c r="I642" s="12">
        <f>(INDEX(Proj[],MATCH(Std[[#This Row],[Player]],Proj[Player],0),16)-I$764)/I$765</f>
        <v>-0.99979020807481511</v>
      </c>
      <c r="J642" s="12">
        <f>(INDEX(Proj[],MATCH(Std[[#This Row],[Player]],Proj[Player],0),17)-J$764)/J$765</f>
        <v>-0.76105581014900237</v>
      </c>
      <c r="K642" s="12">
        <f>(INDEX(Proj[],MATCH(Std[[#This Row],[Player]],Proj[Player],0),18)-K$764)/K$765</f>
        <v>-0.75859266061649311</v>
      </c>
      <c r="L642" s="12">
        <f>(INDEX(Proj[],MATCH(Std[[#This Row],[Player]],Proj[Player],0),19)-L$764)/L$765</f>
        <v>-0.81647589674950882</v>
      </c>
      <c r="M642" s="12">
        <f>(INDEX(Proj[],MATCH(Std[[#This Row],[Player]],Proj[Player],0),20)-M$764)/M$765</f>
        <v>-0.71308883245737775</v>
      </c>
      <c r="N642" s="12">
        <f>(INDEX(Proj[],MATCH(Std[[#This Row],[Player]],Proj[Player],0),21)-N$764)/N$765</f>
        <v>2.6214490432672766</v>
      </c>
      <c r="O642" s="12">
        <f>(INDEX(Proj[],MATCH(Std[[#This Row],[Player]],Proj[Player],0),22)-O$764)/O$765</f>
        <v>-0.75333624610160344</v>
      </c>
      <c r="P642" s="12">
        <f>((INDEX(Proj[],MATCH(Std[[#This Row],[Player]],Proj[Player],0),23)-P$764)/P$765)*IF('League Inputs'!$C$23 = "Yes",-1, 1)</f>
        <v>5.5616571338667447</v>
      </c>
      <c r="Q642" s="12">
        <f>(INDEX(Proj[],MATCH(Std[[#This Row],[Player]],Proj[Player],0),24)-Q$764)/Q$765</f>
        <v>-0.51797568369558167</v>
      </c>
      <c r="R642" s="12">
        <f>(INDEX(Proj[],MATCH(Std[[#This Row],[Player]],Proj[Player],0),25)-R$764)/R$765</f>
        <v>-0.4891124960344021</v>
      </c>
      <c r="S642" s="12">
        <f>(INDEX(Proj[],MATCH(Std[[#This Row],[Player]],Proj[Player],0),26)-S$764)/S$765</f>
        <v>-0.95885778251940312</v>
      </c>
      <c r="T6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233.3236066412899</v>
      </c>
      <c r="U642" s="11"/>
      <c r="W642" t="str">
        <v>Liam O'Brien</v>
      </c>
      <c r="AA642" t="str">
        <v>Liam O'Brien</v>
      </c>
      <c r="AB642" t="str">
        <v>Liam O'Brien</v>
      </c>
    </row>
    <row r="643" spans="1:28" x14ac:dyDescent="0.25">
      <c r="A643" t="s">
        <v>537</v>
      </c>
      <c r="B643">
        <f>INDEX(Proj[],MATCH(Std[[#This Row],[Player]],Proj[Player],0),2)</f>
        <v>34</v>
      </c>
      <c r="C643" t="s">
        <v>3</v>
      </c>
      <c r="D643" s="75"/>
      <c r="E643" s="57"/>
      <c r="F643" t="s">
        <v>4</v>
      </c>
      <c r="G643" s="12">
        <f>(INDEX(Proj[],MATCH(Std[[#This Row],[Player]],Proj[Player],0),14)-G$764)/G$765</f>
        <v>-0.9793868626547807</v>
      </c>
      <c r="H643" s="12">
        <f>(INDEX(Proj[],MATCH(Std[[#This Row],[Player]],Proj[Player],0),15)-H$764)/H$765</f>
        <v>-0.88625663446443059</v>
      </c>
      <c r="I643" s="12">
        <f>(INDEX(Proj[],MATCH(Std[[#This Row],[Player]],Proj[Player],0),16)-I$764)/I$765</f>
        <v>-0.99979020807481511</v>
      </c>
      <c r="J643" s="12">
        <f>(INDEX(Proj[],MATCH(Std[[#This Row],[Player]],Proj[Player],0),17)-J$764)/J$765</f>
        <v>-0.76105581014900237</v>
      </c>
      <c r="K643" s="12">
        <f>(INDEX(Proj[],MATCH(Std[[#This Row],[Player]],Proj[Player],0),18)-K$764)/K$765</f>
        <v>-0.75859266061649311</v>
      </c>
      <c r="L643" s="12">
        <f>(INDEX(Proj[],MATCH(Std[[#This Row],[Player]],Proj[Player],0),19)-L$764)/L$765</f>
        <v>-0.81647589674950882</v>
      </c>
      <c r="M643" s="12">
        <f>(INDEX(Proj[],MATCH(Std[[#This Row],[Player]],Proj[Player],0),20)-M$764)/M$765</f>
        <v>0.31240082183847029</v>
      </c>
      <c r="N643" s="12">
        <f>(INDEX(Proj[],MATCH(Std[[#This Row],[Player]],Proj[Player],0),21)-N$764)/N$765</f>
        <v>0.66409597508407159</v>
      </c>
      <c r="O643" s="12">
        <f>(INDEX(Proj[],MATCH(Std[[#This Row],[Player]],Proj[Player],0),22)-O$764)/O$765</f>
        <v>0.56997594423198206</v>
      </c>
      <c r="P643" s="12">
        <f>((INDEX(Proj[],MATCH(Std[[#This Row],[Player]],Proj[Player],0),23)-P$764)/P$765)*IF('League Inputs'!$C$23 = "Yes",-1, 1)</f>
        <v>1.4661569956112002</v>
      </c>
      <c r="Q643" s="12">
        <f>(INDEX(Proj[],MATCH(Std[[#This Row],[Player]],Proj[Player],0),24)-Q$764)/Q$765</f>
        <v>-0.5766103108129359</v>
      </c>
      <c r="R643" s="12">
        <f>(INDEX(Proj[],MATCH(Std[[#This Row],[Player]],Proj[Player],0),25)-R$764)/R$765</f>
        <v>-0.62531533033812681</v>
      </c>
      <c r="S643" s="12">
        <f>(INDEX(Proj[],MATCH(Std[[#This Row],[Player]],Proj[Player],0),26)-S$764)/S$765</f>
        <v>-0.5696091262945715</v>
      </c>
      <c r="T6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-212.7900124123789</v>
      </c>
      <c r="U643" s="11"/>
      <c r="W643" t="str">
        <v>Zach Bogosian</v>
      </c>
      <c r="AA643" t="str">
        <v>Zach Bogosian</v>
      </c>
      <c r="AB643" t="str">
        <v>Zach Bogosian</v>
      </c>
    </row>
    <row r="644" spans="1:28" x14ac:dyDescent="0.25">
      <c r="A644" t="s">
        <v>360</v>
      </c>
      <c r="B644">
        <f>INDEX(Proj[],MATCH(Std[[#This Row],[Player]],Proj[Player],0),2)</f>
        <v>31</v>
      </c>
      <c r="C644" t="s">
        <v>3</v>
      </c>
      <c r="D644" s="75"/>
      <c r="E644" s="57"/>
      <c r="F644" t="s">
        <v>154</v>
      </c>
      <c r="G644" s="12">
        <f>(INDEX(Proj[],MATCH(Std[[#This Row],[Player]],Proj[Player],0),14)-G$764)/G$765</f>
        <v>-0.9793868626547807</v>
      </c>
      <c r="H644" s="12">
        <f>(INDEX(Proj[],MATCH(Std[[#This Row],[Player]],Proj[Player],0),15)-H$764)/H$765</f>
        <v>-0.88625663446443059</v>
      </c>
      <c r="I644" s="12">
        <f>(INDEX(Proj[],MATCH(Std[[#This Row],[Player]],Proj[Player],0),16)-I$764)/I$765</f>
        <v>-0.99979020807481511</v>
      </c>
      <c r="J644" s="12">
        <f>(INDEX(Proj[],MATCH(Std[[#This Row],[Player]],Proj[Player],0),17)-J$764)/J$765</f>
        <v>-0.76105581014900237</v>
      </c>
      <c r="K644" s="12">
        <f>(INDEX(Proj[],MATCH(Std[[#This Row],[Player]],Proj[Player],0),18)-K$764)/K$765</f>
        <v>-0.75859266061649311</v>
      </c>
      <c r="L644" s="12">
        <f>(INDEX(Proj[],MATCH(Std[[#This Row],[Player]],Proj[Player],0),19)-L$764)/L$765</f>
        <v>-0.81647589674950882</v>
      </c>
      <c r="M644" s="12">
        <f>(INDEX(Proj[],MATCH(Std[[#This Row],[Player]],Proj[Player],0),20)-M$764)/M$765</f>
        <v>0.31240082183847029</v>
      </c>
      <c r="N644" s="12">
        <f>(INDEX(Proj[],MATCH(Std[[#This Row],[Player]],Proj[Player],0),21)-N$764)/N$765</f>
        <v>0.41215944155554018</v>
      </c>
      <c r="O644" s="12">
        <f>(INDEX(Proj[],MATCH(Std[[#This Row],[Player]],Proj[Player],0),22)-O$764)/O$765</f>
        <v>1.3128880510859249</v>
      </c>
      <c r="P644" s="12">
        <f>((INDEX(Proj[],MATCH(Std[[#This Row],[Player]],Proj[Player],0),23)-P$764)/P$765)*IF('League Inputs'!$C$23 = "Yes",-1, 1)</f>
        <v>1.0007592526276154</v>
      </c>
      <c r="Q644" s="12">
        <f>(INDEX(Proj[],MATCH(Std[[#This Row],[Player]],Proj[Player],0),24)-Q$764)/Q$765</f>
        <v>-0.5766103108129359</v>
      </c>
      <c r="R644" s="12">
        <f>(INDEX(Proj[],MATCH(Std[[#This Row],[Player]],Proj[Player],0),25)-R$764)/R$765</f>
        <v>-0.62531533033812681</v>
      </c>
      <c r="S644" s="12">
        <f>(INDEX(Proj[],MATCH(Std[[#This Row],[Player]],Proj[Player],0),26)-S$764)/S$765</f>
        <v>-0.84532692445382718</v>
      </c>
      <c r="T6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-237.80400919412176</v>
      </c>
      <c r="U644" s="11"/>
      <c r="W644" t="str">
        <v>Joel Edmundson</v>
      </c>
      <c r="AA644" t="str">
        <v>Joel Edmundson</v>
      </c>
      <c r="AB644" t="str">
        <v>Joel Edmundson</v>
      </c>
    </row>
    <row r="645" spans="1:28" x14ac:dyDescent="0.25">
      <c r="A645" t="s">
        <v>1185</v>
      </c>
      <c r="B645">
        <f>INDEX(Proj[],MATCH(Std[[#This Row],[Player]],Proj[Player],0),2)</f>
        <v>24</v>
      </c>
      <c r="C645" t="s">
        <v>74</v>
      </c>
      <c r="D645" s="75" t="s">
        <v>103</v>
      </c>
      <c r="E645" s="56"/>
      <c r="F645" t="s">
        <v>156</v>
      </c>
      <c r="G645" s="12">
        <f>(INDEX(Proj[],MATCH(Std[[#This Row],[Player]],Proj[Player],0),14)-G$764)/G$765</f>
        <v>-0.873752993897015</v>
      </c>
      <c r="H645" s="12">
        <f>(INDEX(Proj[],MATCH(Std[[#This Row],[Player]],Proj[Player],0),15)-H$764)/H$765</f>
        <v>-0.96078590145269582</v>
      </c>
      <c r="I645" s="12">
        <f>(INDEX(Proj[],MATCH(Std[[#This Row],[Player]],Proj[Player],0),16)-I$764)/I$765</f>
        <v>-0.99979020807481511</v>
      </c>
      <c r="J645" s="12">
        <f>(INDEX(Proj[],MATCH(Std[[#This Row],[Player]],Proj[Player],0),17)-J$764)/J$765</f>
        <v>-0.76105581014900237</v>
      </c>
      <c r="K645" s="12">
        <f>(INDEX(Proj[],MATCH(Std[[#This Row],[Player]],Proj[Player],0),18)-K$764)/K$765</f>
        <v>-0.75859266061649311</v>
      </c>
      <c r="L645" s="12">
        <f>(INDEX(Proj[],MATCH(Std[[#This Row],[Player]],Proj[Player],0),19)-L$764)/L$765</f>
        <v>-0.81647589674950882</v>
      </c>
      <c r="M645" s="12">
        <f>(INDEX(Proj[],MATCH(Std[[#This Row],[Player]],Proj[Player],0),20)-M$764)/M$765</f>
        <v>-0.71308883245737775</v>
      </c>
      <c r="N645" s="12">
        <f>(INDEX(Proj[],MATCH(Std[[#This Row],[Player]],Proj[Player],0),21)-N$764)/N$765</f>
        <v>0.70285544178076864</v>
      </c>
      <c r="O645" s="12">
        <f>(INDEX(Proj[],MATCH(Std[[#This Row],[Player]],Proj[Player],0),22)-O$764)/O$765</f>
        <v>0.17530388746582498</v>
      </c>
      <c r="P645" s="12">
        <f>((INDEX(Proj[],MATCH(Std[[#This Row],[Player]],Proj[Player],0),23)-P$764)/P$765)*IF('League Inputs'!$C$23 = "Yes",-1, 1)</f>
        <v>1.1403785755226907</v>
      </c>
      <c r="Q645" s="12">
        <f>(INDEX(Proj[],MATCH(Std[[#This Row],[Player]],Proj[Player],0),24)-Q$764)/Q$765</f>
        <v>-0.5766103108129359</v>
      </c>
      <c r="R645" s="12">
        <f>(INDEX(Proj[],MATCH(Std[[#This Row],[Player]],Proj[Player],0),25)-R$764)/R$765</f>
        <v>-0.62531533033812681</v>
      </c>
      <c r="S645" s="12">
        <f>(INDEX(Proj[],MATCH(Std[[#This Row],[Player]],Proj[Player],0),26)-S$764)/S$765</f>
        <v>-1.0561699465756109</v>
      </c>
      <c r="T6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-326.50473527932979</v>
      </c>
      <c r="U645" s="11"/>
      <c r="W645" t="str">
        <v>John Ludvig</v>
      </c>
      <c r="AA645" t="str">
        <v>John Ludvig</v>
      </c>
      <c r="AB645" t="str">
        <v>John Ludvig</v>
      </c>
    </row>
    <row r="646" spans="1:28" x14ac:dyDescent="0.25">
      <c r="A646" t="s">
        <v>405</v>
      </c>
      <c r="B646">
        <f>INDEX(Proj[],MATCH(Std[[#This Row],[Player]],Proj[Player],0),2)</f>
        <v>34</v>
      </c>
      <c r="C646" t="s">
        <v>74</v>
      </c>
      <c r="D646" s="75"/>
      <c r="E646" s="57"/>
      <c r="F646" t="s">
        <v>8</v>
      </c>
      <c r="G646" s="12">
        <f>(INDEX(Proj[],MATCH(Std[[#This Row],[Player]],Proj[Player],0),14)-G$764)/G$765</f>
        <v>-0.9793868626547807</v>
      </c>
      <c r="H646" s="12">
        <f>(INDEX(Proj[],MATCH(Std[[#This Row],[Player]],Proj[Player],0),15)-H$764)/H$765</f>
        <v>-0.88625663446443059</v>
      </c>
      <c r="I646" s="12">
        <f>(INDEX(Proj[],MATCH(Std[[#This Row],[Player]],Proj[Player],0),16)-I$764)/I$765</f>
        <v>-0.99979020807481511</v>
      </c>
      <c r="J646" s="12">
        <f>(INDEX(Proj[],MATCH(Std[[#This Row],[Player]],Proj[Player],0),17)-J$764)/J$765</f>
        <v>-0.76105581014900237</v>
      </c>
      <c r="K646" s="12">
        <f>(INDEX(Proj[],MATCH(Std[[#This Row],[Player]],Proj[Player],0),18)-K$764)/K$765</f>
        <v>-0.75859266061649311</v>
      </c>
      <c r="L646" s="12">
        <f>(INDEX(Proj[],MATCH(Std[[#This Row],[Player]],Proj[Player],0),19)-L$764)/L$765</f>
        <v>-0.81647589674950882</v>
      </c>
      <c r="M646" s="12">
        <f>(INDEX(Proj[],MATCH(Std[[#This Row],[Player]],Proj[Player],0),20)-M$764)/M$765</f>
        <v>0.31240082183847029</v>
      </c>
      <c r="N646" s="12">
        <f>(INDEX(Proj[],MATCH(Std[[#This Row],[Player]],Proj[Player],0),21)-N$764)/N$765</f>
        <v>-0.20799202559161389</v>
      </c>
      <c r="O646" s="12">
        <f>(INDEX(Proj[],MATCH(Std[[#This Row],[Player]],Proj[Player],0),22)-O$764)/O$765</f>
        <v>1.220024037729182</v>
      </c>
      <c r="P646" s="12">
        <f>((INDEX(Proj[],MATCH(Std[[#This Row],[Player]],Proj[Player],0),23)-P$764)/P$765)*IF('League Inputs'!$C$23 = "Yes",-1, 1)</f>
        <v>0.39574218674895539</v>
      </c>
      <c r="Q646" s="12">
        <f>(INDEX(Proj[],MATCH(Std[[#This Row],[Player]],Proj[Player],0),24)-Q$764)/Q$765</f>
        <v>-0.5766103108129359</v>
      </c>
      <c r="R646" s="12">
        <f>(INDEX(Proj[],MATCH(Std[[#This Row],[Player]],Proj[Player],0),25)-R$764)/R$765</f>
        <v>-0.62531533033812681</v>
      </c>
      <c r="S646" s="12">
        <f>(INDEX(Proj[],MATCH(Std[[#This Row],[Player]],Proj[Player],0),26)-S$764)/S$765</f>
        <v>-0.60204651431330747</v>
      </c>
      <c r="T6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-345.27922281832548</v>
      </c>
      <c r="U646" s="11"/>
      <c r="W646" t="str">
        <v>Travis Hamonic</v>
      </c>
      <c r="AA646" t="str">
        <v>Travis Hamonic</v>
      </c>
      <c r="AB646" t="str">
        <v>Travis Hamonic</v>
      </c>
    </row>
    <row r="647" spans="1:28" x14ac:dyDescent="0.25">
      <c r="A647" t="s">
        <v>553</v>
      </c>
      <c r="B647">
        <f>INDEX(Proj[],MATCH(Std[[#This Row],[Player]],Proj[Player],0),2)</f>
        <v>32</v>
      </c>
      <c r="C647" t="s">
        <v>103</v>
      </c>
      <c r="D647" s="75"/>
      <c r="E647" s="56"/>
      <c r="F647" t="s">
        <v>15</v>
      </c>
      <c r="G647" s="12">
        <f>(INDEX(Proj[],MATCH(Std[[#This Row],[Player]],Proj[Player],0),14)-G$764)/G$765</f>
        <v>-1.0850207314125464</v>
      </c>
      <c r="H647" s="12">
        <f>(INDEX(Proj[],MATCH(Std[[#This Row],[Player]],Proj[Player],0),15)-H$764)/H$765</f>
        <v>-0.81172736747616536</v>
      </c>
      <c r="I647" s="12">
        <f>(INDEX(Proj[],MATCH(Std[[#This Row],[Player]],Proj[Player],0),16)-I$764)/I$765</f>
        <v>-0.99979020807481511</v>
      </c>
      <c r="J647" s="12">
        <f>(INDEX(Proj[],MATCH(Std[[#This Row],[Player]],Proj[Player],0),17)-J$764)/J$765</f>
        <v>-0.76105581014900237</v>
      </c>
      <c r="K647" s="12">
        <f>(INDEX(Proj[],MATCH(Std[[#This Row],[Player]],Proj[Player],0),18)-K$764)/K$765</f>
        <v>-0.75859266061649311</v>
      </c>
      <c r="L647" s="12">
        <f>(INDEX(Proj[],MATCH(Std[[#This Row],[Player]],Proj[Player],0),19)-L$764)/L$765</f>
        <v>-0.81647589674950882</v>
      </c>
      <c r="M647" s="12">
        <f>(INDEX(Proj[],MATCH(Std[[#This Row],[Player]],Proj[Player],0),20)-M$764)/M$765</f>
        <v>0.31240082183847029</v>
      </c>
      <c r="N647" s="12">
        <f>(INDEX(Proj[],MATCH(Std[[#This Row],[Player]],Proj[Player],0),21)-N$764)/N$765</f>
        <v>0.58657704169067726</v>
      </c>
      <c r="O647" s="12">
        <f>(INDEX(Proj[],MATCH(Std[[#This Row],[Player]],Proj[Player],0),22)-O$764)/O$765</f>
        <v>1.3593200577642963</v>
      </c>
      <c r="P647" s="12">
        <f>((INDEX(Proj[],MATCH(Std[[#This Row],[Player]],Proj[Player],0),23)-P$764)/P$765)*IF('League Inputs'!$C$23 = "Yes",-1, 1)</f>
        <v>2.3423992362087698E-2</v>
      </c>
      <c r="Q647" s="12">
        <f>(INDEX(Proj[],MATCH(Std[[#This Row],[Player]],Proj[Player],0),24)-Q$764)/Q$765</f>
        <v>-0.5766103108129359</v>
      </c>
      <c r="R647" s="12">
        <f>(INDEX(Proj[],MATCH(Std[[#This Row],[Player]],Proj[Player],0),25)-R$764)/R$765</f>
        <v>-0.62531533033812681</v>
      </c>
      <c r="S647" s="12">
        <f>(INDEX(Proj[],MATCH(Std[[#This Row],[Player]],Proj[Player],0),26)-S$764)/S$765</f>
        <v>-1.1859194986505548</v>
      </c>
      <c r="T6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-350.62229213594651</v>
      </c>
      <c r="U647" s="11"/>
      <c r="W647" t="str">
        <v>Derek Forbort</v>
      </c>
      <c r="AA647" t="str">
        <v>Derek Forbort</v>
      </c>
      <c r="AB647" t="str">
        <v>Derek Forbort</v>
      </c>
    </row>
    <row r="648" spans="1:28" x14ac:dyDescent="0.25">
      <c r="A648" t="s">
        <v>661</v>
      </c>
      <c r="B648">
        <f>INDEX(Proj[],MATCH(Std[[#This Row],[Player]],Proj[Player],0),2)</f>
        <v>30</v>
      </c>
      <c r="C648" t="s">
        <v>3</v>
      </c>
      <c r="D648" s="75"/>
      <c r="E648" s="57"/>
      <c r="F648" t="s">
        <v>16</v>
      </c>
      <c r="G648" s="12">
        <f>(INDEX(Proj[],MATCH(Std[[#This Row],[Player]],Proj[Player],0),14)-G$764)/G$765</f>
        <v>-0.9793868626547807</v>
      </c>
      <c r="H648" s="12">
        <f>(INDEX(Proj[],MATCH(Std[[#This Row],[Player]],Proj[Player],0),15)-H$764)/H$765</f>
        <v>-0.88625663446443059</v>
      </c>
      <c r="I648" s="12">
        <f>(INDEX(Proj[],MATCH(Std[[#This Row],[Player]],Proj[Player],0),16)-I$764)/I$765</f>
        <v>-0.99979020807481511</v>
      </c>
      <c r="J648" s="12">
        <f>(INDEX(Proj[],MATCH(Std[[#This Row],[Player]],Proj[Player],0),17)-J$764)/J$765</f>
        <v>-0.76105581014900237</v>
      </c>
      <c r="K648" s="12">
        <f>(INDEX(Proj[],MATCH(Std[[#This Row],[Player]],Proj[Player],0),18)-K$764)/K$765</f>
        <v>-0.75859266061649311</v>
      </c>
      <c r="L648" s="12">
        <f>(INDEX(Proj[],MATCH(Std[[#This Row],[Player]],Proj[Player],0),19)-L$764)/L$765</f>
        <v>-0.81647589674950882</v>
      </c>
      <c r="M648" s="12">
        <f>(INDEX(Proj[],MATCH(Std[[#This Row],[Player]],Proj[Player],0),20)-M$764)/M$765</f>
        <v>-0.71308883245737775</v>
      </c>
      <c r="N648" s="12">
        <f>(INDEX(Proj[],MATCH(Std[[#This Row],[Player]],Proj[Player],0),21)-N$764)/N$765</f>
        <v>-9.1713625501522511E-2</v>
      </c>
      <c r="O648" s="12">
        <f>(INDEX(Proj[],MATCH(Std[[#This Row],[Player]],Proj[Player],0),22)-O$764)/O$765</f>
        <v>0.96464800099813919</v>
      </c>
      <c r="P648" s="12">
        <f>((INDEX(Proj[],MATCH(Std[[#This Row],[Player]],Proj[Player],0),23)-P$764)/P$765)*IF('League Inputs'!$C$23 = "Yes",-1, 1)</f>
        <v>0.11650354095880462</v>
      </c>
      <c r="Q648" s="12">
        <f>(INDEX(Proj[],MATCH(Std[[#This Row],[Player]],Proj[Player],0),24)-Q$764)/Q$765</f>
        <v>-0.5766103108129359</v>
      </c>
      <c r="R648" s="12">
        <f>(INDEX(Proj[],MATCH(Std[[#This Row],[Player]],Proj[Player],0),25)-R$764)/R$765</f>
        <v>-0.62531533033812681</v>
      </c>
      <c r="S648" s="12">
        <f>(INDEX(Proj[],MATCH(Std[[#This Row],[Player]],Proj[Player],0),26)-S$764)/S$765</f>
        <v>-0.7155773723788833</v>
      </c>
      <c r="T6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-398.46593686799326</v>
      </c>
      <c r="U648" s="11"/>
      <c r="W648" t="str">
        <v>Troy Stecher</v>
      </c>
      <c r="AA648" t="str">
        <v>Troy Stecher</v>
      </c>
      <c r="AB648" t="str">
        <v>Troy Stecher</v>
      </c>
    </row>
    <row r="649" spans="1:28" x14ac:dyDescent="0.25">
      <c r="A649" t="s">
        <v>1060</v>
      </c>
      <c r="B649">
        <f>INDEX(Proj[],MATCH(Std[[#This Row],[Player]],Proj[Player],0),2)</f>
        <v>24</v>
      </c>
      <c r="C649" t="s">
        <v>3</v>
      </c>
      <c r="D649" s="75"/>
      <c r="E649" s="57"/>
      <c r="F649" t="s">
        <v>20</v>
      </c>
      <c r="G649" s="12">
        <f>(INDEX(Proj[],MATCH(Std[[#This Row],[Player]],Proj[Player],0),14)-G$764)/G$765</f>
        <v>-0.9793868626547807</v>
      </c>
      <c r="H649" s="12">
        <f>(INDEX(Proj[],MATCH(Std[[#This Row],[Player]],Proj[Player],0),15)-H$764)/H$765</f>
        <v>-0.88625663446443059</v>
      </c>
      <c r="I649" s="12">
        <f>(INDEX(Proj[],MATCH(Std[[#This Row],[Player]],Proj[Player],0),16)-I$764)/I$765</f>
        <v>-0.99979020807481511</v>
      </c>
      <c r="J649" s="12">
        <f>(INDEX(Proj[],MATCH(Std[[#This Row],[Player]],Proj[Player],0),17)-J$764)/J$765</f>
        <v>-0.76105581014900237</v>
      </c>
      <c r="K649" s="12">
        <f>(INDEX(Proj[],MATCH(Std[[#This Row],[Player]],Proj[Player],0),18)-K$764)/K$765</f>
        <v>-0.75859266061649311</v>
      </c>
      <c r="L649" s="12">
        <f>(INDEX(Proj[],MATCH(Std[[#This Row],[Player]],Proj[Player],0),19)-L$764)/L$765</f>
        <v>-0.81647589674950882</v>
      </c>
      <c r="M649" s="12">
        <f>(INDEX(Proj[],MATCH(Std[[#This Row],[Player]],Proj[Player],0),20)-M$764)/M$765</f>
        <v>0.31240082183847029</v>
      </c>
      <c r="N649" s="12">
        <f>(INDEX(Proj[],MATCH(Std[[#This Row],[Player]],Proj[Player],0),21)-N$764)/N$765</f>
        <v>-0.38240962572675097</v>
      </c>
      <c r="O649" s="12">
        <f>(INDEX(Proj[],MATCH(Std[[#This Row],[Player]],Proj[Player],0),22)-O$764)/O$765</f>
        <v>1.614696094495339</v>
      </c>
      <c r="P649" s="12">
        <f>((INDEX(Proj[],MATCH(Std[[#This Row],[Player]],Proj[Player],0),23)-P$764)/P$765)*IF('League Inputs'!$C$23 = "Yes",-1, 1)</f>
        <v>-0.20927487912970463</v>
      </c>
      <c r="Q649" s="12">
        <f>(INDEX(Proj[],MATCH(Std[[#This Row],[Player]],Proj[Player],0),24)-Q$764)/Q$765</f>
        <v>-0.5766103108129359</v>
      </c>
      <c r="R649" s="12">
        <f>(INDEX(Proj[],MATCH(Std[[#This Row],[Player]],Proj[Player],0),25)-R$764)/R$765</f>
        <v>-0.62531533033812681</v>
      </c>
      <c r="S649" s="12">
        <f>(INDEX(Proj[],MATCH(Std[[#This Row],[Player]],Proj[Player],0),26)-S$764)/S$765</f>
        <v>-0.94263908851003508</v>
      </c>
      <c r="T6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-417.81474116276229</v>
      </c>
      <c r="U649" s="11"/>
      <c r="W649" t="str">
        <v>Jacob Bernard-Docker</v>
      </c>
      <c r="AA649" t="str">
        <v>Jacob Bernard-Docker</v>
      </c>
      <c r="AB649" t="str">
        <v>Jacob Bernard-Docker</v>
      </c>
    </row>
    <row r="650" spans="1:28" x14ac:dyDescent="0.25">
      <c r="A650" t="s">
        <v>874</v>
      </c>
      <c r="B650">
        <f>INDEX(Proj[],MATCH(Std[[#This Row],[Player]],Proj[Player],0),2)</f>
        <v>33</v>
      </c>
      <c r="C650" t="s">
        <v>3</v>
      </c>
      <c r="D650" s="75"/>
      <c r="E650" s="57"/>
      <c r="F650" t="s">
        <v>15</v>
      </c>
      <c r="G650" s="12">
        <f>(INDEX(Proj[],MATCH(Std[[#This Row],[Player]],Proj[Player],0),14)-G$764)/G$765</f>
        <v>-0.9793868626547807</v>
      </c>
      <c r="H650" s="12">
        <f>(INDEX(Proj[],MATCH(Std[[#This Row],[Player]],Proj[Player],0),15)-H$764)/H$765</f>
        <v>-0.88625663446443059</v>
      </c>
      <c r="I650" s="12">
        <f>(INDEX(Proj[],MATCH(Std[[#This Row],[Player]],Proj[Player],0),16)-I$764)/I$765</f>
        <v>-0.99979020807481511</v>
      </c>
      <c r="J650" s="12">
        <f>(INDEX(Proj[],MATCH(Std[[#This Row],[Player]],Proj[Player],0),17)-J$764)/J$765</f>
        <v>-0.76105581014900237</v>
      </c>
      <c r="K650" s="12">
        <f>(INDEX(Proj[],MATCH(Std[[#This Row],[Player]],Proj[Player],0),18)-K$764)/K$765</f>
        <v>-0.75859266061649311</v>
      </c>
      <c r="L650" s="12">
        <f>(INDEX(Proj[],MATCH(Std[[#This Row],[Player]],Proj[Player],0),19)-L$764)/L$765</f>
        <v>-0.81647589674950882</v>
      </c>
      <c r="M650" s="12">
        <f>(INDEX(Proj[],MATCH(Std[[#This Row],[Player]],Proj[Player],0),20)-M$764)/M$765</f>
        <v>-0.71308883245737775</v>
      </c>
      <c r="N650" s="12">
        <f>(INDEX(Proj[],MATCH(Std[[#This Row],[Player]],Proj[Player],0),21)-N$764)/N$765</f>
        <v>0.31526077481379738</v>
      </c>
      <c r="O650" s="12">
        <f>(INDEX(Proj[],MATCH(Std[[#This Row],[Player]],Proj[Player],0),22)-O$764)/O$765</f>
        <v>0.73248796760628199</v>
      </c>
      <c r="P650" s="12">
        <f>((INDEX(Proj[],MATCH(Std[[#This Row],[Player]],Proj[Player],0),23)-P$764)/P$765)*IF('League Inputs'!$C$23 = "Yes",-1, 1)</f>
        <v>-0.44197375062149696</v>
      </c>
      <c r="Q650" s="12">
        <f>(INDEX(Proj[],MATCH(Std[[#This Row],[Player]],Proj[Player],0),24)-Q$764)/Q$765</f>
        <v>-0.5766103108129359</v>
      </c>
      <c r="R650" s="12">
        <f>(INDEX(Proj[],MATCH(Std[[#This Row],[Player]],Proj[Player],0),25)-R$764)/R$765</f>
        <v>-0.62531533033812681</v>
      </c>
      <c r="S650" s="12">
        <f>(INDEX(Proj[],MATCH(Std[[#This Row],[Player]],Proj[Player],0),26)-S$764)/S$765</f>
        <v>-0.89398300648193119</v>
      </c>
      <c r="T6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-454.67279274398197</v>
      </c>
      <c r="U650" s="11"/>
      <c r="W650" t="str">
        <v>Calvin de Haan</v>
      </c>
      <c r="AA650" t="str">
        <v>Calvin de Haan</v>
      </c>
      <c r="AB650" t="str">
        <v>Calvin de Haan</v>
      </c>
    </row>
    <row r="651" spans="1:28" x14ac:dyDescent="0.25">
      <c r="A651" t="s">
        <v>659</v>
      </c>
      <c r="B651">
        <f>INDEX(Proj[],MATCH(Std[[#This Row],[Player]],Proj[Player],0),2)</f>
        <v>32</v>
      </c>
      <c r="C651" t="s">
        <v>3</v>
      </c>
      <c r="D651" s="75"/>
      <c r="E651" s="57"/>
      <c r="F651" t="s">
        <v>87</v>
      </c>
      <c r="G651" s="12">
        <f>(INDEX(Proj[],MATCH(Std[[#This Row],[Player]],Proj[Player],0),14)-G$764)/G$765</f>
        <v>-0.9793868626547807</v>
      </c>
      <c r="H651" s="12">
        <f>(INDEX(Proj[],MATCH(Std[[#This Row],[Player]],Proj[Player],0),15)-H$764)/H$765</f>
        <v>-0.88625663446443059</v>
      </c>
      <c r="I651" s="12">
        <f>(INDEX(Proj[],MATCH(Std[[#This Row],[Player]],Proj[Player],0),16)-I$764)/I$765</f>
        <v>-0.99979020807481511</v>
      </c>
      <c r="J651" s="12">
        <f>(INDEX(Proj[],MATCH(Std[[#This Row],[Player]],Proj[Player],0),17)-J$764)/J$765</f>
        <v>-0.76105581014900237</v>
      </c>
      <c r="K651" s="12">
        <f>(INDEX(Proj[],MATCH(Std[[#This Row],[Player]],Proj[Player],0),18)-K$764)/K$765</f>
        <v>-0.75859266061649311</v>
      </c>
      <c r="L651" s="12">
        <f>(INDEX(Proj[],MATCH(Std[[#This Row],[Player]],Proj[Player],0),19)-L$764)/L$765</f>
        <v>-0.81647589674950882</v>
      </c>
      <c r="M651" s="12">
        <f>(INDEX(Proj[],MATCH(Std[[#This Row],[Player]],Proj[Player],0),20)-M$764)/M$765</f>
        <v>-0.71308883245737775</v>
      </c>
      <c r="N651" s="12">
        <f>(INDEX(Proj[],MATCH(Std[[#This Row],[Player]],Proj[Player],0),21)-N$764)/N$765</f>
        <v>-0.80876375939041945</v>
      </c>
      <c r="O651" s="12">
        <f>(INDEX(Proj[],MATCH(Std[[#This Row],[Player]],Proj[Player],0),22)-O$764)/O$765</f>
        <v>0.33781591084012497</v>
      </c>
      <c r="P651" s="12">
        <f>((INDEX(Proj[],MATCH(Std[[#This Row],[Player]],Proj[Player],0),23)-P$764)/P$765)*IF('League Inputs'!$C$23 = "Yes",-1, 1)</f>
        <v>-0.30235442772642157</v>
      </c>
      <c r="Q651" s="12">
        <f>(INDEX(Proj[],MATCH(Std[[#This Row],[Player]],Proj[Player],0),24)-Q$764)/Q$765</f>
        <v>-0.5766103108129359</v>
      </c>
      <c r="R651" s="12">
        <f>(INDEX(Proj[],MATCH(Std[[#This Row],[Player]],Proj[Player],0),25)-R$764)/R$765</f>
        <v>-0.62531533033812681</v>
      </c>
      <c r="S651" s="12">
        <f>(INDEX(Proj[],MATCH(Std[[#This Row],[Player]],Proj[Player],0),26)-S$764)/S$765</f>
        <v>-1.2345755806786587</v>
      </c>
      <c r="T6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-626.63977697118457</v>
      </c>
      <c r="U651" s="11"/>
      <c r="W651" t="str">
        <v>Jon Merrill</v>
      </c>
      <c r="AA651" t="str">
        <v>Jon Merrill</v>
      </c>
      <c r="AB651" t="str">
        <v>Jon Merrill</v>
      </c>
    </row>
    <row r="652" spans="1:28" x14ac:dyDescent="0.25">
      <c r="A652" t="s">
        <v>1059</v>
      </c>
      <c r="B652">
        <f>INDEX(Proj[],MATCH(Std[[#This Row],[Player]],Proj[Player],0),2)</f>
        <v>26</v>
      </c>
      <c r="C652" t="s">
        <v>3</v>
      </c>
      <c r="D652" s="75"/>
      <c r="E652" s="57"/>
      <c r="F652" t="s">
        <v>30</v>
      </c>
      <c r="G652" s="12">
        <f>(INDEX(Proj[],MATCH(Std[[#This Row],[Player]],Proj[Player],0),14)-G$764)/G$765</f>
        <v>-0.9793868626547807</v>
      </c>
      <c r="H652" s="12">
        <f>(INDEX(Proj[],MATCH(Std[[#This Row],[Player]],Proj[Player],0),15)-H$764)/H$765</f>
        <v>-0.88625663446443059</v>
      </c>
      <c r="I652" s="12">
        <f>(INDEX(Proj[],MATCH(Std[[#This Row],[Player]],Proj[Player],0),16)-I$764)/I$765</f>
        <v>-0.99979020807481511</v>
      </c>
      <c r="J652" s="12">
        <f>(INDEX(Proj[],MATCH(Std[[#This Row],[Player]],Proj[Player],0),17)-J$764)/J$765</f>
        <v>-0.76105581014900237</v>
      </c>
      <c r="K652" s="12">
        <f>(INDEX(Proj[],MATCH(Std[[#This Row],[Player]],Proj[Player],0),18)-K$764)/K$765</f>
        <v>-0.75859266061649311</v>
      </c>
      <c r="L652" s="12">
        <f>(INDEX(Proj[],MATCH(Std[[#This Row],[Player]],Proj[Player],0),19)-L$764)/L$765</f>
        <v>-0.81647589674950882</v>
      </c>
      <c r="M652" s="12">
        <f>(INDEX(Proj[],MATCH(Std[[#This Row],[Player]],Proj[Player],0),20)-M$764)/M$765</f>
        <v>-0.71308883245737775</v>
      </c>
      <c r="N652" s="12">
        <f>(INDEX(Proj[],MATCH(Std[[#This Row],[Player]],Proj[Player],0),21)-N$764)/N$765</f>
        <v>-0.71186509264867659</v>
      </c>
      <c r="O652" s="12">
        <f>(INDEX(Proj[],MATCH(Std[[#This Row],[Player]],Proj[Player],0),22)-O$764)/O$765</f>
        <v>0.12887188078745357</v>
      </c>
      <c r="P652" s="12">
        <f>((INDEX(Proj[],MATCH(Std[[#This Row],[Player]],Proj[Player],0),23)-P$764)/P$765)*IF('League Inputs'!$C$23 = "Yes",-1, 1)</f>
        <v>-0.62813284781493084</v>
      </c>
      <c r="Q652" s="12">
        <f>(INDEX(Proj[],MATCH(Std[[#This Row],[Player]],Proj[Player],0),24)-Q$764)/Q$765</f>
        <v>-0.5766103108129359</v>
      </c>
      <c r="R652" s="12">
        <f>(INDEX(Proj[],MATCH(Std[[#This Row],[Player]],Proj[Player],0),25)-R$764)/R$765</f>
        <v>-0.62531533033812681</v>
      </c>
      <c r="S652" s="12">
        <f>(INDEX(Proj[],MATCH(Std[[#This Row],[Player]],Proj[Player],0),26)-S$764)/S$765</f>
        <v>-1.0237325585568751</v>
      </c>
      <c r="T6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-649.33785309895006</v>
      </c>
      <c r="U652" s="11"/>
      <c r="W652" t="str">
        <v>Filip Roos</v>
      </c>
      <c r="AA652" t="str">
        <v>Filip Roos</v>
      </c>
      <c r="AB652" t="str">
        <v>Filip Roos</v>
      </c>
    </row>
    <row r="653" spans="1:28" x14ac:dyDescent="0.25">
      <c r="A653" t="s">
        <v>706</v>
      </c>
      <c r="B653">
        <f>INDEX(Proj[],MATCH(Std[[#This Row],[Player]],Proj[Player],0),2)</f>
        <v>27</v>
      </c>
      <c r="C653" t="s">
        <v>3</v>
      </c>
      <c r="D653" s="75"/>
      <c r="E653" s="57"/>
      <c r="F653" t="s">
        <v>29</v>
      </c>
      <c r="G653" s="12">
        <f>(INDEX(Proj[],MATCH(Std[[#This Row],[Player]],Proj[Player],0),14)-G$764)/G$765</f>
        <v>-1.0850207314125464</v>
      </c>
      <c r="H653" s="12">
        <f>(INDEX(Proj[],MATCH(Std[[#This Row],[Player]],Proj[Player],0),15)-H$764)/H$765</f>
        <v>-0.81172736747616536</v>
      </c>
      <c r="I653" s="12">
        <f>(INDEX(Proj[],MATCH(Std[[#This Row],[Player]],Proj[Player],0),16)-I$764)/I$765</f>
        <v>-0.99979020807481511</v>
      </c>
      <c r="J653" s="12">
        <f>(INDEX(Proj[],MATCH(Std[[#This Row],[Player]],Proj[Player],0),17)-J$764)/J$765</f>
        <v>-0.46669252292436259</v>
      </c>
      <c r="K653" s="12">
        <f>(INDEX(Proj[],MATCH(Std[[#This Row],[Player]],Proj[Player],0),18)-K$764)/K$765</f>
        <v>-0.29633482464760502</v>
      </c>
      <c r="L653" s="12">
        <f>(INDEX(Proj[],MATCH(Std[[#This Row],[Player]],Proj[Player],0),19)-L$764)/L$765</f>
        <v>-0.38152137069843867</v>
      </c>
      <c r="M653" s="12">
        <f>(INDEX(Proj[],MATCH(Std[[#This Row],[Player]],Proj[Player],0),20)-M$764)/M$765</f>
        <v>-0.71308883245737775</v>
      </c>
      <c r="N653" s="12">
        <f>(INDEX(Proj[],MATCH(Std[[#This Row],[Player]],Proj[Player],0),21)-N$764)/N$765</f>
        <v>-0.51806775916519099</v>
      </c>
      <c r="O653" s="12">
        <f>(INDEX(Proj[],MATCH(Std[[#This Row],[Player]],Proj[Player],0),22)-O$764)/O$765</f>
        <v>-0.1961521659611464</v>
      </c>
      <c r="P653" s="12">
        <f>((INDEX(Proj[],MATCH(Std[[#This Row],[Player]],Proj[Player],0),23)-P$764)/P$765)*IF('League Inputs'!$C$23 = "Yes",-1, 1)</f>
        <v>-0.86083171930672309</v>
      </c>
      <c r="Q653" s="12">
        <f>(INDEX(Proj[],MATCH(Std[[#This Row],[Player]],Proj[Player],0),24)-Q$764)/Q$765</f>
        <v>-0.5766103108129359</v>
      </c>
      <c r="R653" s="12">
        <f>(INDEX(Proj[],MATCH(Std[[#This Row],[Player]],Proj[Player],0),25)-R$764)/R$765</f>
        <v>-0.62531533033812681</v>
      </c>
      <c r="S653" s="12">
        <f>(INDEX(Proj[],MATCH(Std[[#This Row],[Player]],Proj[Player],0),26)-S$764)/S$765</f>
        <v>-1.2345755806786587</v>
      </c>
      <c r="T6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-666.42972135866216</v>
      </c>
      <c r="U653" s="11"/>
      <c r="W653" t="str">
        <v>Caleb Jones</v>
      </c>
      <c r="AA653" t="str">
        <v>Caleb Jones</v>
      </c>
      <c r="AB653" t="str">
        <v>Caleb Jones</v>
      </c>
    </row>
    <row r="654" spans="1:28" x14ac:dyDescent="0.25">
      <c r="A654" t="s">
        <v>690</v>
      </c>
      <c r="B654">
        <f>INDEX(Proj[],MATCH(Std[[#This Row],[Player]],Proj[Player],0),2)</f>
        <v>26</v>
      </c>
      <c r="C654" t="s">
        <v>3</v>
      </c>
      <c r="D654" s="75"/>
      <c r="E654" s="57"/>
      <c r="F654" t="s">
        <v>6</v>
      </c>
      <c r="G654" s="12">
        <f>(INDEX(Proj[],MATCH(Std[[#This Row],[Player]],Proj[Player],0),14)-G$764)/G$765</f>
        <v>-1.0850207314125464</v>
      </c>
      <c r="H654" s="12">
        <f>(INDEX(Proj[],MATCH(Std[[#This Row],[Player]],Proj[Player],0),15)-H$764)/H$765</f>
        <v>-0.81172736747616536</v>
      </c>
      <c r="I654" s="12">
        <f>(INDEX(Proj[],MATCH(Std[[#This Row],[Player]],Proj[Player],0),16)-I$764)/I$765</f>
        <v>-0.99979020807481511</v>
      </c>
      <c r="J654" s="12">
        <f>(INDEX(Proj[],MATCH(Std[[#This Row],[Player]],Proj[Player],0),17)-J$764)/J$765</f>
        <v>-0.76105581014900237</v>
      </c>
      <c r="K654" s="12">
        <f>(INDEX(Proj[],MATCH(Std[[#This Row],[Player]],Proj[Player],0),18)-K$764)/K$765</f>
        <v>-0.75859266061649311</v>
      </c>
      <c r="L654" s="12">
        <f>(INDEX(Proj[],MATCH(Std[[#This Row],[Player]],Proj[Player],0),19)-L$764)/L$765</f>
        <v>-0.81647589674950882</v>
      </c>
      <c r="M654" s="12">
        <f>(INDEX(Proj[],MATCH(Std[[#This Row],[Player]],Proj[Player],0),20)-M$764)/M$765</f>
        <v>-0.71308883245737775</v>
      </c>
      <c r="N654" s="12">
        <f>(INDEX(Proj[],MATCH(Std[[#This Row],[Player]],Proj[Player],0),21)-N$764)/N$765</f>
        <v>-0.61496642590693373</v>
      </c>
      <c r="O654" s="12">
        <f>(INDEX(Proj[],MATCH(Std[[#This Row],[Player]],Proj[Player],0),22)-O$764)/O$765</f>
        <v>1.2791864091525006E-2</v>
      </c>
      <c r="P654" s="12">
        <f>((INDEX(Proj[],MATCH(Std[[#This Row],[Player]],Proj[Player],0),23)-P$764)/P$765)*IF('League Inputs'!$C$23 = "Yes",-1, 1)</f>
        <v>-0.44197375062149696</v>
      </c>
      <c r="Q654" s="12">
        <f>(INDEX(Proj[],MATCH(Std[[#This Row],[Player]],Proj[Player],0),24)-Q$764)/Q$765</f>
        <v>-0.5766103108129359</v>
      </c>
      <c r="R654" s="12">
        <f>(INDEX(Proj[],MATCH(Std[[#This Row],[Player]],Proj[Player],0),25)-R$764)/R$765</f>
        <v>-0.62531533033812681</v>
      </c>
      <c r="S654" s="12">
        <f>(INDEX(Proj[],MATCH(Std[[#This Row],[Player]],Proj[Player],0),26)-S$764)/S$765</f>
        <v>-1.4129812147817067</v>
      </c>
      <c r="T6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-674.67540417445844</v>
      </c>
      <c r="U654" s="11"/>
      <c r="W654" t="str">
        <v>Gustav Lindstrom</v>
      </c>
      <c r="AA654" t="str">
        <v>Gustav Lindstrom</v>
      </c>
      <c r="AB654" t="str">
        <v>Gustav Lindstrom</v>
      </c>
    </row>
    <row r="655" spans="1:28" x14ac:dyDescent="0.25">
      <c r="A655" t="s">
        <v>1062</v>
      </c>
      <c r="B655">
        <f>INDEX(Proj[],MATCH(Std[[#This Row],[Player]],Proj[Player],0),2)</f>
        <v>24</v>
      </c>
      <c r="C655" t="s">
        <v>74</v>
      </c>
      <c r="D655" s="75" t="s">
        <v>102</v>
      </c>
      <c r="E655" s="57" t="s">
        <v>103</v>
      </c>
      <c r="F655" t="s">
        <v>21</v>
      </c>
      <c r="G655" s="12">
        <f>(INDEX(Proj[],MATCH(Std[[#This Row],[Player]],Proj[Player],0),14)-G$764)/G$765</f>
        <v>-1.0850207314125464</v>
      </c>
      <c r="H655" s="12">
        <f>(INDEX(Proj[],MATCH(Std[[#This Row],[Player]],Proj[Player],0),15)-H$764)/H$765</f>
        <v>-0.81172736747616536</v>
      </c>
      <c r="I655" s="12">
        <f>(INDEX(Proj[],MATCH(Std[[#This Row],[Player]],Proj[Player],0),16)-I$764)/I$765</f>
        <v>-0.99979020807481511</v>
      </c>
      <c r="J655" s="12">
        <f>(INDEX(Proj[],MATCH(Std[[#This Row],[Player]],Proj[Player],0),17)-J$764)/J$765</f>
        <v>-0.76105581014900237</v>
      </c>
      <c r="K655" s="12">
        <f>(INDEX(Proj[],MATCH(Std[[#This Row],[Player]],Proj[Player],0),18)-K$764)/K$765</f>
        <v>-0.75859266061649311</v>
      </c>
      <c r="L655" s="12">
        <f>(INDEX(Proj[],MATCH(Std[[#This Row],[Player]],Proj[Player],0),19)-L$764)/L$765</f>
        <v>-0.81647589674950882</v>
      </c>
      <c r="M655" s="12">
        <f>(INDEX(Proj[],MATCH(Std[[#This Row],[Player]],Proj[Player],0),20)-M$764)/M$765</f>
        <v>-0.71308883245737775</v>
      </c>
      <c r="N655" s="12">
        <f>(INDEX(Proj[],MATCH(Std[[#This Row],[Player]],Proj[Player],0),21)-N$764)/N$765</f>
        <v>-0.20799202559161389</v>
      </c>
      <c r="O655" s="12">
        <f>(INDEX(Proj[],MATCH(Std[[#This Row],[Player]],Proj[Player],0),22)-O$764)/O$765</f>
        <v>-0.24258417263951781</v>
      </c>
      <c r="P655" s="12">
        <f>((INDEX(Proj[],MATCH(Std[[#This Row],[Player]],Proj[Player],0),23)-P$764)/P$765)*IF('League Inputs'!$C$23 = "Yes",-1, 1)</f>
        <v>-1.0469908165001569</v>
      </c>
      <c r="Q655" s="12">
        <f>(INDEX(Proj[],MATCH(Std[[#This Row],[Player]],Proj[Player],0),24)-Q$764)/Q$765</f>
        <v>-0.5766103108129359</v>
      </c>
      <c r="R655" s="12">
        <f>(INDEX(Proj[],MATCH(Std[[#This Row],[Player]],Proj[Player],0),25)-R$764)/R$765</f>
        <v>-0.62531533033812681</v>
      </c>
      <c r="S655" s="12">
        <f>(INDEX(Proj[],MATCH(Std[[#This Row],[Player]],Proj[Player],0),26)-S$764)/S$765</f>
        <v>-1.0237325585568751</v>
      </c>
      <c r="T6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-681.09240878141361</v>
      </c>
      <c r="U655" s="11"/>
      <c r="W655" t="str">
        <v>Kaedan Korczak</v>
      </c>
      <c r="AA655" t="str">
        <v>Kaedan Korczak</v>
      </c>
      <c r="AB655" t="str">
        <v>Kaedan Korczak</v>
      </c>
    </row>
    <row r="656" spans="1:28" x14ac:dyDescent="0.25">
      <c r="A656" t="s">
        <v>968</v>
      </c>
      <c r="B656">
        <f>INDEX(Proj[],MATCH(Std[[#This Row],[Player]],Proj[Player],0),2)</f>
        <v>22</v>
      </c>
      <c r="C656" t="s">
        <v>3</v>
      </c>
      <c r="D656" s="75"/>
      <c r="E656" s="57"/>
      <c r="F656" t="s">
        <v>23</v>
      </c>
      <c r="G656" s="12">
        <f>(INDEX(Proj[],MATCH(Std[[#This Row],[Player]],Proj[Player],0),14)-G$764)/G$765</f>
        <v>-1.0850207314125464</v>
      </c>
      <c r="H656" s="12">
        <f>(INDEX(Proj[],MATCH(Std[[#This Row],[Player]],Proj[Player],0),15)-H$764)/H$765</f>
        <v>-0.81172736747616536</v>
      </c>
      <c r="I656" s="12">
        <f>(INDEX(Proj[],MATCH(Std[[#This Row],[Player]],Proj[Player],0),16)-I$764)/I$765</f>
        <v>-0.99979020807481511</v>
      </c>
      <c r="J656" s="12">
        <f>(INDEX(Proj[],MATCH(Std[[#This Row],[Player]],Proj[Player],0),17)-J$764)/J$765</f>
        <v>-0.76105581014900237</v>
      </c>
      <c r="K656" s="12">
        <f>(INDEX(Proj[],MATCH(Std[[#This Row],[Player]],Proj[Player],0),18)-K$764)/K$765</f>
        <v>-0.75859266061649311</v>
      </c>
      <c r="L656" s="12">
        <f>(INDEX(Proj[],MATCH(Std[[#This Row],[Player]],Proj[Player],0),19)-L$764)/L$765</f>
        <v>-0.81647589674950882</v>
      </c>
      <c r="M656" s="12">
        <f>(INDEX(Proj[],MATCH(Std[[#This Row],[Player]],Proj[Player],0),20)-M$764)/M$765</f>
        <v>-0.71308883245737775</v>
      </c>
      <c r="N656" s="12">
        <f>(INDEX(Proj[],MATCH(Std[[#This Row],[Player]],Proj[Player],0),21)-N$764)/N$765</f>
        <v>-0.98318135952555652</v>
      </c>
      <c r="O656" s="12">
        <f>(INDEX(Proj[],MATCH(Std[[#This Row],[Player]],Proj[Player],0),22)-O$764)/O$765</f>
        <v>1.2791864091525006E-2</v>
      </c>
      <c r="P656" s="12">
        <f>((INDEX(Proj[],MATCH(Std[[#This Row],[Player]],Proj[Player],0),23)-P$764)/P$765)*IF('League Inputs'!$C$23 = "Yes",-1, 1)</f>
        <v>-0.48851352491985539</v>
      </c>
      <c r="Q656" s="12">
        <f>(INDEX(Proj[],MATCH(Std[[#This Row],[Player]],Proj[Player],0),24)-Q$764)/Q$765</f>
        <v>-0.5766103108129359</v>
      </c>
      <c r="R656" s="12">
        <f>(INDEX(Proj[],MATCH(Std[[#This Row],[Player]],Proj[Player],0),25)-R$764)/R$765</f>
        <v>-0.62531533033812681</v>
      </c>
      <c r="S656" s="12">
        <f>(INDEX(Proj[],MATCH(Std[[#This Row],[Player]],Proj[Player],0),26)-S$764)/S$765</f>
        <v>-1.2345755806786587</v>
      </c>
      <c r="T65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-698.31031155585174</v>
      </c>
      <c r="U656" s="11"/>
      <c r="W656" t="str">
        <v>Wyatt Kaiser</v>
      </c>
      <c r="AA656" t="str">
        <v>Wyatt Kaiser</v>
      </c>
      <c r="AB656" t="str">
        <v>Wyatt Kaiser</v>
      </c>
    </row>
    <row r="657" spans="1:28" x14ac:dyDescent="0.25">
      <c r="A657" t="s">
        <v>675</v>
      </c>
      <c r="B657">
        <f>INDEX(Proj[],MATCH(Std[[#This Row],[Player]],Proj[Player],0),2)</f>
        <v>26</v>
      </c>
      <c r="C657" t="s">
        <v>3</v>
      </c>
      <c r="D657" s="75"/>
      <c r="E657" s="57"/>
      <c r="F657" t="s">
        <v>34</v>
      </c>
      <c r="G657" s="12">
        <f>(INDEX(Proj[],MATCH(Std[[#This Row],[Player]],Proj[Player],0),14)-G$764)/G$765</f>
        <v>-1.0850207314125464</v>
      </c>
      <c r="H657" s="12">
        <f>(INDEX(Proj[],MATCH(Std[[#This Row],[Player]],Proj[Player],0),15)-H$764)/H$765</f>
        <v>-0.81172736747616536</v>
      </c>
      <c r="I657" s="12">
        <f>(INDEX(Proj[],MATCH(Std[[#This Row],[Player]],Proj[Player],0),16)-I$764)/I$765</f>
        <v>-0.99979020807481511</v>
      </c>
      <c r="J657" s="12">
        <f>(INDEX(Proj[],MATCH(Std[[#This Row],[Player]],Proj[Player],0),17)-J$764)/J$765</f>
        <v>-0.76105581014900237</v>
      </c>
      <c r="K657" s="12">
        <f>(INDEX(Proj[],MATCH(Std[[#This Row],[Player]],Proj[Player],0),18)-K$764)/K$765</f>
        <v>-0.75859266061649311</v>
      </c>
      <c r="L657" s="12">
        <f>(INDEX(Proj[],MATCH(Std[[#This Row],[Player]],Proj[Player],0),19)-L$764)/L$765</f>
        <v>-0.81647589674950882</v>
      </c>
      <c r="M657" s="12">
        <f>(INDEX(Proj[],MATCH(Std[[#This Row],[Player]],Proj[Player],0),20)-M$764)/M$765</f>
        <v>-0.71308883245737775</v>
      </c>
      <c r="N657" s="12">
        <f>(INDEX(Proj[],MATCH(Std[[#This Row],[Player]],Proj[Player],0),21)-N$764)/N$765</f>
        <v>-0.86690295943546514</v>
      </c>
      <c r="O657" s="12">
        <f>(INDEX(Proj[],MATCH(Std[[#This Row],[Player]],Proj[Player],0),22)-O$764)/O$765</f>
        <v>-0.35866418933544636</v>
      </c>
      <c r="P657" s="12">
        <f>((INDEX(Proj[],MATCH(Std[[#This Row],[Player]],Proj[Player],0),23)-P$764)/P$765)*IF('League Inputs'!$C$23 = "Yes",-1, 1)</f>
        <v>-1.0004510422017985</v>
      </c>
      <c r="Q657" s="12">
        <f>(INDEX(Proj[],MATCH(Std[[#This Row],[Player]],Proj[Player],0),24)-Q$764)/Q$765</f>
        <v>-0.5766103108129359</v>
      </c>
      <c r="R657" s="12">
        <f>(INDEX(Proj[],MATCH(Std[[#This Row],[Player]],Proj[Player],0),25)-R$764)/R$765</f>
        <v>-0.62531533033812681</v>
      </c>
      <c r="S657" s="12">
        <f>(INDEX(Proj[],MATCH(Std[[#This Row],[Player]],Proj[Player],0),26)-S$764)/S$765</f>
        <v>-0.81288953643509121</v>
      </c>
      <c r="T65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-732.85322419337729</v>
      </c>
      <c r="U657" s="11"/>
      <c r="W657" t="str">
        <v>Dylan Coghlan</v>
      </c>
      <c r="AA657" t="str">
        <v>Dylan Coghlan</v>
      </c>
      <c r="AB657" t="str">
        <v>Dylan Coghlan</v>
      </c>
    </row>
    <row r="658" spans="1:28" x14ac:dyDescent="0.25">
      <c r="A658" t="s">
        <v>962</v>
      </c>
      <c r="B658">
        <f>INDEX(Proj[],MATCH(Std[[#This Row],[Player]],Proj[Player],0),2)</f>
        <v>25</v>
      </c>
      <c r="C658" t="s">
        <v>3</v>
      </c>
      <c r="D658" s="75"/>
      <c r="E658" s="56"/>
      <c r="F658" t="s">
        <v>156</v>
      </c>
      <c r="G658" s="12">
        <f>(INDEX(Proj[],MATCH(Std[[#This Row],[Player]],Proj[Player],0),14)-G$764)/G$765</f>
        <v>-0.9793868626547807</v>
      </c>
      <c r="H658" s="12">
        <f>(INDEX(Proj[],MATCH(Std[[#This Row],[Player]],Proj[Player],0),15)-H$764)/H$765</f>
        <v>-0.88625663446443059</v>
      </c>
      <c r="I658" s="12">
        <f>(INDEX(Proj[],MATCH(Std[[#This Row],[Player]],Proj[Player],0),16)-I$764)/I$765</f>
        <v>-0.99979020807481511</v>
      </c>
      <c r="J658" s="12">
        <f>(INDEX(Proj[],MATCH(Std[[#This Row],[Player]],Proj[Player],0),17)-J$764)/J$765</f>
        <v>-0.76105581014900237</v>
      </c>
      <c r="K658" s="12">
        <f>(INDEX(Proj[],MATCH(Std[[#This Row],[Player]],Proj[Player],0),18)-K$764)/K$765</f>
        <v>-0.75859266061649311</v>
      </c>
      <c r="L658" s="12">
        <f>(INDEX(Proj[],MATCH(Std[[#This Row],[Player]],Proj[Player],0),19)-L$764)/L$765</f>
        <v>-0.81647589674950882</v>
      </c>
      <c r="M658" s="12">
        <f>(INDEX(Proj[],MATCH(Std[[#This Row],[Player]],Proj[Player],0),20)-M$764)/M$765</f>
        <v>0.31240082183847029</v>
      </c>
      <c r="N658" s="12">
        <f>(INDEX(Proj[],MATCH(Std[[#This Row],[Player]],Proj[Player],0),21)-N$764)/N$765</f>
        <v>-1.3126368264474821</v>
      </c>
      <c r="O658" s="12">
        <f>(INDEX(Proj[],MATCH(Std[[#This Row],[Player]],Proj[Player],0),22)-O$764)/O$765</f>
        <v>1.2791864091525006E-2</v>
      </c>
      <c r="P658" s="12">
        <f>((INDEX(Proj[],MATCH(Std[[#This Row],[Player]],Proj[Player],0),23)-P$764)/P$765)*IF('League Inputs'!$C$23 = "Yes",-1, 1)</f>
        <v>-0.95391126790344005</v>
      </c>
      <c r="Q658" s="12">
        <f>(INDEX(Proj[],MATCH(Std[[#This Row],[Player]],Proj[Player],0),24)-Q$764)/Q$765</f>
        <v>-0.5766103108129359</v>
      </c>
      <c r="R658" s="12">
        <f>(INDEX(Proj[],MATCH(Std[[#This Row],[Player]],Proj[Player],0),25)-R$764)/R$765</f>
        <v>-0.62531533033812681</v>
      </c>
      <c r="S658" s="12">
        <f>(INDEX(Proj[],MATCH(Std[[#This Row],[Player]],Proj[Player],0),26)-S$764)/S$765</f>
        <v>-1.3643251327536026</v>
      </c>
      <c r="T65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-787.66012757694705</v>
      </c>
      <c r="U658" s="11"/>
      <c r="W658" t="str">
        <v>Spencer Stastney</v>
      </c>
      <c r="AA658" t="str">
        <v>Spencer Stastney</v>
      </c>
      <c r="AB658" t="str">
        <v>Spencer Stastney</v>
      </c>
    </row>
    <row r="659" spans="1:28" x14ac:dyDescent="0.25">
      <c r="A659" t="s">
        <v>465</v>
      </c>
      <c r="B659">
        <f>INDEX(Proj[],MATCH(Std[[#This Row],[Player]],Proj[Player],0),2)</f>
        <v>26</v>
      </c>
      <c r="C659" t="s">
        <v>3</v>
      </c>
      <c r="D659" s="75"/>
      <c r="E659" s="57"/>
      <c r="F659" t="s">
        <v>34</v>
      </c>
      <c r="G659" s="12">
        <f>(INDEX(Proj[],MATCH(Std[[#This Row],[Player]],Proj[Player],0),14)-G$764)/G$765</f>
        <v>-0.55685138762371811</v>
      </c>
      <c r="H659" s="12">
        <f>(INDEX(Proj[],MATCH(Std[[#This Row],[Player]],Proj[Player],0),15)-H$764)/H$765</f>
        <v>-1.1843737024174914</v>
      </c>
      <c r="I659" s="12">
        <f>(INDEX(Proj[],MATCH(Std[[#This Row],[Player]],Proj[Player],0),16)-I$764)/I$765</f>
        <v>-0.99979020807481511</v>
      </c>
      <c r="J659" s="12">
        <f>(INDEX(Proj[],MATCH(Std[[#This Row],[Player]],Proj[Player],0),17)-J$764)/J$765</f>
        <v>-0.46669252292436259</v>
      </c>
      <c r="K659" s="12">
        <f>(INDEX(Proj[],MATCH(Std[[#This Row],[Player]],Proj[Player],0),18)-K$764)/K$765</f>
        <v>-0.60450671529353051</v>
      </c>
      <c r="L659" s="12">
        <f>(INDEX(Proj[],MATCH(Std[[#This Row],[Player]],Proj[Player],0),19)-L$764)/L$765</f>
        <v>-0.59899863372397377</v>
      </c>
      <c r="M659" s="12">
        <f>(INDEX(Proj[],MATCH(Std[[#This Row],[Player]],Proj[Player],0),20)-M$764)/M$765</f>
        <v>-0.71308883245737775</v>
      </c>
      <c r="N659" s="12">
        <f>(INDEX(Proj[],MATCH(Std[[#This Row],[Player]],Proj[Player],0),21)-N$764)/N$765</f>
        <v>-9.1713625501522511E-2</v>
      </c>
      <c r="O659" s="12">
        <f>(INDEX(Proj[],MATCH(Std[[#This Row],[Player]],Proj[Player],0),22)-O$764)/O$765</f>
        <v>-1.1712243062069463</v>
      </c>
      <c r="P659" s="12">
        <f>((INDEX(Proj[],MATCH(Std[[#This Row],[Player]],Proj[Player],0),23)-P$764)/P$765)*IF('League Inputs'!$C$23 = "Yes",-1, 1)</f>
        <v>-1.0004510422017985</v>
      </c>
      <c r="Q659" s="12">
        <f>(INDEX(Proj[],MATCH(Std[[#This Row],[Player]],Proj[Player],0),24)-Q$764)/Q$765</f>
        <v>-0.54462778693074265</v>
      </c>
      <c r="R659" s="12">
        <f>(INDEX(Proj[],MATCH(Std[[#This Row],[Player]],Proj[Player],0),25)-R$764)/R$765</f>
        <v>-0.55153879509027592</v>
      </c>
      <c r="S659" s="12">
        <f>(INDEX(Proj[],MATCH(Std[[#This Row],[Player]],Proj[Player],0),26)-S$764)/S$765</f>
        <v>-0.79667084242572328</v>
      </c>
      <c r="T65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-694.47015351067319</v>
      </c>
      <c r="U659" s="11"/>
      <c r="W659" t="str">
        <v>Jesse Puljujarvi</v>
      </c>
      <c r="AA659" t="str">
        <v>Jesse Puljujarvi</v>
      </c>
      <c r="AB659" t="str">
        <v>Jesse Puljujarvi</v>
      </c>
    </row>
    <row r="660" spans="1:28" x14ac:dyDescent="0.25">
      <c r="A660" t="s">
        <v>799</v>
      </c>
      <c r="B660">
        <f>INDEX(Proj[],MATCH(Std[[#This Row],[Player]],Proj[Player],0),2)</f>
        <v>27</v>
      </c>
      <c r="C660" t="s">
        <v>3</v>
      </c>
      <c r="D660" s="75"/>
      <c r="E660" s="56"/>
      <c r="F660" t="s">
        <v>30</v>
      </c>
      <c r="G660" s="12">
        <f>(INDEX(Proj[],MATCH(Std[[#This Row],[Player]],Proj[Player],0),14)-G$764)/G$765</f>
        <v>-0.55685138762371811</v>
      </c>
      <c r="H660" s="12">
        <f>(INDEX(Proj[],MATCH(Std[[#This Row],[Player]],Proj[Player],0),15)-H$764)/H$765</f>
        <v>-1.1843737024174914</v>
      </c>
      <c r="I660" s="12">
        <f>(INDEX(Proj[],MATCH(Std[[#This Row],[Player]],Proj[Player],0),16)-I$764)/I$765</f>
        <v>-0.99979020807481511</v>
      </c>
      <c r="J660" s="12">
        <f>(INDEX(Proj[],MATCH(Std[[#This Row],[Player]],Proj[Player],0),17)-J$764)/J$765</f>
        <v>-0.76105581014900237</v>
      </c>
      <c r="K660" s="12">
        <f>(INDEX(Proj[],MATCH(Std[[#This Row],[Player]],Proj[Player],0),18)-K$764)/K$765</f>
        <v>-0.75859266061649311</v>
      </c>
      <c r="L660" s="12">
        <f>(INDEX(Proj[],MATCH(Std[[#This Row],[Player]],Proj[Player],0),19)-L$764)/L$765</f>
        <v>-0.81647589674950882</v>
      </c>
      <c r="M660" s="12">
        <f>(INDEX(Proj[],MATCH(Std[[#This Row],[Player]],Proj[Player],0),20)-M$764)/M$765</f>
        <v>-0.71308883245737775</v>
      </c>
      <c r="N660" s="12">
        <f>(INDEX(Proj[],MATCH(Std[[#This Row],[Player]],Proj[Player],0),21)-N$764)/N$765</f>
        <v>0.19898237472370597</v>
      </c>
      <c r="O660" s="12">
        <f>(INDEX(Proj[],MATCH(Std[[#This Row],[Player]],Proj[Player],0),22)-O$764)/O$765</f>
        <v>-1.0087122828326462</v>
      </c>
      <c r="P660" s="12">
        <f>((INDEX(Proj[],MATCH(Std[[#This Row],[Player]],Proj[Player],0),23)-P$764)/P$765)*IF('League Inputs'!$C$23 = "Yes",-1, 1)</f>
        <v>-1.2796896879919493</v>
      </c>
      <c r="Q660" s="12">
        <f>(INDEX(Proj[],MATCH(Std[[#This Row],[Player]],Proj[Player],0),24)-Q$764)/Q$765</f>
        <v>-0.53396694563667835</v>
      </c>
      <c r="R660" s="12">
        <f>(INDEX(Proj[],MATCH(Std[[#This Row],[Player]],Proj[Player],0),25)-R$764)/R$765</f>
        <v>-0.56288903128225298</v>
      </c>
      <c r="S660" s="12">
        <f>(INDEX(Proj[],MATCH(Std[[#This Row],[Player]],Proj[Player],0),26)-S$764)/S$765</f>
        <v>-1.1210447226130829</v>
      </c>
      <c r="T66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-730.19224592161845</v>
      </c>
      <c r="U660" s="11"/>
      <c r="W660" t="str">
        <v>Julien Gauthier</v>
      </c>
      <c r="AA660" t="str">
        <v>Julien Gauthier</v>
      </c>
      <c r="AB660" t="str">
        <v>Julien Gauthier</v>
      </c>
    </row>
    <row r="661" spans="1:28" x14ac:dyDescent="0.25">
      <c r="A661" t="s">
        <v>1156</v>
      </c>
      <c r="B661">
        <f>INDEX(Proj[],MATCH(Std[[#This Row],[Player]],Proj[Player],0),2)</f>
        <v>25</v>
      </c>
      <c r="C661" t="s">
        <v>3</v>
      </c>
      <c r="D661" s="75"/>
      <c r="E661" s="56"/>
      <c r="F661" t="s">
        <v>25</v>
      </c>
      <c r="G661" s="12">
        <f>(INDEX(Proj[],MATCH(Std[[#This Row],[Player]],Proj[Player],0),14)-G$764)/G$765</f>
        <v>-0.7681191251392494</v>
      </c>
      <c r="H661" s="12">
        <f>(INDEX(Proj[],MATCH(Std[[#This Row],[Player]],Proj[Player],0),15)-H$764)/H$765</f>
        <v>-1.0353151684409609</v>
      </c>
      <c r="I661" s="12">
        <f>(INDEX(Proj[],MATCH(Std[[#This Row],[Player]],Proj[Player],0),16)-I$764)/I$765</f>
        <v>-0.99979020807481511</v>
      </c>
      <c r="J661" s="12">
        <f>(INDEX(Proj[],MATCH(Std[[#This Row],[Player]],Proj[Player],0),17)-J$764)/J$765</f>
        <v>-0.76105581014900237</v>
      </c>
      <c r="K661" s="12">
        <f>(INDEX(Proj[],MATCH(Std[[#This Row],[Player]],Proj[Player],0),18)-K$764)/K$765</f>
        <v>-0.75859266061649311</v>
      </c>
      <c r="L661" s="12">
        <f>(INDEX(Proj[],MATCH(Std[[#This Row],[Player]],Proj[Player],0),19)-L$764)/L$765</f>
        <v>-0.81647589674950882</v>
      </c>
      <c r="M661" s="12">
        <f>(INDEX(Proj[],MATCH(Std[[#This Row],[Player]],Proj[Player],0),20)-M$764)/M$765</f>
        <v>-0.71308883245737775</v>
      </c>
      <c r="N661" s="12">
        <f>(INDEX(Proj[],MATCH(Std[[#This Row],[Player]],Proj[Player],0),21)-N$764)/N$765</f>
        <v>-1.2351178930540878</v>
      </c>
      <c r="O661" s="12">
        <f>(INDEX(Proj[],MATCH(Std[[#This Row],[Player]],Proj[Player],0),22)-O$764)/O$765</f>
        <v>-1.1712243062069463</v>
      </c>
      <c r="P661" s="12">
        <f>((INDEX(Proj[],MATCH(Std[[#This Row],[Player]],Proj[Player],0),23)-P$764)/P$765)*IF('League Inputs'!$C$23 = "Yes",-1, 1)</f>
        <v>-0.95391126790344005</v>
      </c>
      <c r="Q661" s="12">
        <f>(INDEX(Proj[],MATCH(Std[[#This Row],[Player]],Proj[Player],0),24)-Q$764)/Q$765</f>
        <v>-0.42202811204900215</v>
      </c>
      <c r="R661" s="12">
        <f>(INDEX(Proj[],MATCH(Std[[#This Row],[Player]],Proj[Player],0),25)-R$764)/R$765</f>
        <v>-0.44938666936248239</v>
      </c>
      <c r="S661" s="12">
        <f>(INDEX(Proj[],MATCH(Std[[#This Row],[Player]],Proj[Player],0),26)-S$764)/S$765</f>
        <v>-0.91020170049129911</v>
      </c>
      <c r="T66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-831.218367810931</v>
      </c>
      <c r="U661" s="11"/>
      <c r="W661" t="str">
        <v>Olle Lycksell</v>
      </c>
      <c r="AA661" t="str">
        <v>Olle Lycksell</v>
      </c>
      <c r="AB661" t="str">
        <v>Olle Lycksell</v>
      </c>
    </row>
    <row r="662" spans="1:28" x14ac:dyDescent="0.25">
      <c r="A662" t="s">
        <v>740</v>
      </c>
      <c r="B662">
        <f>INDEX(Proj[],MATCH(Std[[#This Row],[Player]],Proj[Player],0),2)</f>
        <v>34</v>
      </c>
      <c r="C662" t="s">
        <v>3</v>
      </c>
      <c r="D662" s="75"/>
      <c r="E662" s="56"/>
      <c r="F662" t="s">
        <v>12</v>
      </c>
      <c r="G662" s="12">
        <f>(INDEX(Proj[],MATCH(Std[[#This Row],[Player]],Proj[Player],0),14)-G$764)/G$765</f>
        <v>-0.7681191251392494</v>
      </c>
      <c r="H662" s="12">
        <f>(INDEX(Proj[],MATCH(Std[[#This Row],[Player]],Proj[Player],0),15)-H$764)/H$765</f>
        <v>-1.0353151684409609</v>
      </c>
      <c r="I662" s="12">
        <f>(INDEX(Proj[],MATCH(Std[[#This Row],[Player]],Proj[Player],0),16)-I$764)/I$765</f>
        <v>-0.99979020807481511</v>
      </c>
      <c r="J662" s="12">
        <f>(INDEX(Proj[],MATCH(Std[[#This Row],[Player]],Proj[Player],0),17)-J$764)/J$765</f>
        <v>-0.76105581014900237</v>
      </c>
      <c r="K662" s="12">
        <f>(INDEX(Proj[],MATCH(Std[[#This Row],[Player]],Proj[Player],0),18)-K$764)/K$765</f>
        <v>-0.75859266061649311</v>
      </c>
      <c r="L662" s="12">
        <f>(INDEX(Proj[],MATCH(Std[[#This Row],[Player]],Proj[Player],0),19)-L$764)/L$765</f>
        <v>-0.81647589674950882</v>
      </c>
      <c r="M662" s="12">
        <f>(INDEX(Proj[],MATCH(Std[[#This Row],[Player]],Proj[Player],0),20)-M$764)/M$765</f>
        <v>-0.71308883245737775</v>
      </c>
      <c r="N662" s="12">
        <f>(INDEX(Proj[],MATCH(Std[[#This Row],[Player]],Proj[Player],0),21)-N$764)/N$765</f>
        <v>-0.22737175893996248</v>
      </c>
      <c r="O662" s="12">
        <f>(INDEX(Proj[],MATCH(Std[[#This Row],[Player]],Proj[Player],0),22)-O$764)/O$765</f>
        <v>-0.61404022606648923</v>
      </c>
      <c r="P662" s="12">
        <f>((INDEX(Proj[],MATCH(Std[[#This Row],[Player]],Proj[Player],0),23)-P$764)/P$765)*IF('League Inputs'!$C$23 = "Yes",-1, 1)</f>
        <v>-0.53505329921821387</v>
      </c>
      <c r="Q662" s="12">
        <f>(INDEX(Proj[],MATCH(Std[[#This Row],[Player]],Proj[Player],0),24)-Q$764)/Q$765</f>
        <v>0.70269064447479157</v>
      </c>
      <c r="R662" s="12">
        <f>(INDEX(Proj[],MATCH(Std[[#This Row],[Player]],Proj[Player],0),25)-R$764)/R$765</f>
        <v>0.80481442985098262</v>
      </c>
      <c r="S662" s="12">
        <f>(INDEX(Proj[],MATCH(Std[[#This Row],[Player]],Proj[Player],0),26)-S$764)/S$765</f>
        <v>-0.99129517053813909</v>
      </c>
      <c r="T66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-528.47702086925472</v>
      </c>
      <c r="U662" s="11"/>
      <c r="W662" t="str">
        <v>Ryan Carpenter</v>
      </c>
      <c r="AA662" t="str">
        <v>Ryan Carpenter</v>
      </c>
      <c r="AB662" t="str">
        <v>Ryan Carpenter</v>
      </c>
    </row>
    <row r="663" spans="1:28" x14ac:dyDescent="0.25">
      <c r="A663" t="s">
        <v>826</v>
      </c>
      <c r="B663">
        <f>INDEX(Proj[],MATCH(Std[[#This Row],[Player]],Proj[Player],0),2)</f>
        <v>30</v>
      </c>
      <c r="C663" t="s">
        <v>3</v>
      </c>
      <c r="D663" s="75"/>
      <c r="E663" s="57"/>
      <c r="F663" t="s">
        <v>16</v>
      </c>
      <c r="G663" s="12">
        <f>(INDEX(Proj[],MATCH(Std[[#This Row],[Player]],Proj[Player],0),14)-G$764)/G$765</f>
        <v>-0.66248525638148381</v>
      </c>
      <c r="H663" s="12">
        <f>(INDEX(Proj[],MATCH(Std[[#This Row],[Player]],Proj[Player],0),15)-H$764)/H$765</f>
        <v>-1.1098444354292263</v>
      </c>
      <c r="I663" s="12">
        <f>(INDEX(Proj[],MATCH(Std[[#This Row],[Player]],Proj[Player],0),16)-I$764)/I$765</f>
        <v>-0.99979020807481511</v>
      </c>
      <c r="J663" s="12">
        <f>(INDEX(Proj[],MATCH(Std[[#This Row],[Player]],Proj[Player],0),17)-J$764)/J$765</f>
        <v>-0.76105581014900237</v>
      </c>
      <c r="K663" s="12">
        <f>(INDEX(Proj[],MATCH(Std[[#This Row],[Player]],Proj[Player],0),18)-K$764)/K$765</f>
        <v>-0.75859266061649311</v>
      </c>
      <c r="L663" s="12">
        <f>(INDEX(Proj[],MATCH(Std[[#This Row],[Player]],Proj[Player],0),19)-L$764)/L$765</f>
        <v>-0.81647589674950882</v>
      </c>
      <c r="M663" s="12">
        <f>(INDEX(Proj[],MATCH(Std[[#This Row],[Player]],Proj[Player],0),20)-M$764)/M$765</f>
        <v>-0.71308883245737775</v>
      </c>
      <c r="N663" s="12">
        <f>(INDEX(Proj[],MATCH(Std[[#This Row],[Player]],Proj[Player],0),21)-N$764)/N$765</f>
        <v>-9.1713625501522511E-2</v>
      </c>
      <c r="O663" s="12">
        <f>(INDEX(Proj[],MATCH(Std[[#This Row],[Player]],Proj[Player],0),22)-O$764)/O$765</f>
        <v>-1.031928286171832</v>
      </c>
      <c r="P663" s="12">
        <f>((INDEX(Proj[],MATCH(Std[[#This Row],[Player]],Proj[Player],0),23)-P$764)/P$765)*IF('League Inputs'!$C$23 = "Yes",-1, 1)</f>
        <v>-0.81429194500836466</v>
      </c>
      <c r="Q663" s="12">
        <f>(INDEX(Proj[],MATCH(Std[[#This Row],[Player]],Proj[Player],0),24)-Q$764)/Q$765</f>
        <v>0.24960488947705467</v>
      </c>
      <c r="R663" s="12">
        <f>(INDEX(Proj[],MATCH(Std[[#This Row],[Player]],Proj[Player],0),25)-R$764)/R$765</f>
        <v>0.1465007307163132</v>
      </c>
      <c r="S663" s="12">
        <f>(INDEX(Proj[],MATCH(Std[[#This Row],[Player]],Proj[Player],0),26)-S$764)/S$765</f>
        <v>-1.0237325585568751</v>
      </c>
      <c r="T66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-630.06573223965745</v>
      </c>
      <c r="U663" s="11"/>
      <c r="W663" t="str">
        <v>Brendan Gaunce</v>
      </c>
      <c r="AA663" t="str">
        <v>Brendan Gaunce</v>
      </c>
      <c r="AB663" t="str">
        <v>Brendan Gaunce</v>
      </c>
    </row>
    <row r="664" spans="1:28" x14ac:dyDescent="0.25">
      <c r="A664" t="s">
        <v>748</v>
      </c>
      <c r="B664">
        <f>INDEX(Proj[],MATCH(Std[[#This Row],[Player]],Proj[Player],0),2)</f>
        <v>26</v>
      </c>
      <c r="C664" t="s">
        <v>3</v>
      </c>
      <c r="D664" s="75"/>
      <c r="E664" s="56"/>
      <c r="F664" t="s">
        <v>5</v>
      </c>
      <c r="G664" s="12">
        <f>(INDEX(Proj[],MATCH(Std[[#This Row],[Player]],Proj[Player],0),14)-G$764)/G$765</f>
        <v>-0.7681191251392494</v>
      </c>
      <c r="H664" s="12">
        <f>(INDEX(Proj[],MATCH(Std[[#This Row],[Player]],Proj[Player],0),15)-H$764)/H$765</f>
        <v>-1.0353151684409609</v>
      </c>
      <c r="I664" s="12">
        <f>(INDEX(Proj[],MATCH(Std[[#This Row],[Player]],Proj[Player],0),16)-I$764)/I$765</f>
        <v>-0.99979020807481511</v>
      </c>
      <c r="J664" s="12">
        <f>(INDEX(Proj[],MATCH(Std[[#This Row],[Player]],Proj[Player],0),17)-J$764)/J$765</f>
        <v>-0.76105581014900237</v>
      </c>
      <c r="K664" s="12">
        <f>(INDEX(Proj[],MATCH(Std[[#This Row],[Player]],Proj[Player],0),18)-K$764)/K$765</f>
        <v>-0.75859266061649311</v>
      </c>
      <c r="L664" s="12">
        <f>(INDEX(Proj[],MATCH(Std[[#This Row],[Player]],Proj[Player],0),19)-L$764)/L$765</f>
        <v>-0.81647589674950882</v>
      </c>
      <c r="M664" s="12">
        <f>(INDEX(Proj[],MATCH(Std[[#This Row],[Player]],Proj[Player],0),20)-M$764)/M$765</f>
        <v>-0.71308883245737775</v>
      </c>
      <c r="N664" s="12">
        <f>(INDEX(Proj[],MATCH(Std[[#This Row],[Player]],Proj[Player],0),21)-N$764)/N$765</f>
        <v>-0.63434615925528237</v>
      </c>
      <c r="O664" s="12">
        <f>(INDEX(Proj[],MATCH(Std[[#This Row],[Player]],Proj[Player],0),22)-O$764)/O$765</f>
        <v>-0.86941626279753204</v>
      </c>
      <c r="P664" s="12">
        <f>((INDEX(Proj[],MATCH(Std[[#This Row],[Player]],Proj[Player],0),23)-P$764)/P$765)*IF('League Inputs'!$C$23 = "Yes",-1, 1)</f>
        <v>-0.81429194500836466</v>
      </c>
      <c r="Q664" s="12">
        <f>(INDEX(Proj[],MATCH(Std[[#This Row],[Player]],Proj[Player],0),24)-Q$764)/Q$765</f>
        <v>4.704890488983119E-2</v>
      </c>
      <c r="R664" s="12">
        <f>(INDEX(Proj[],MATCH(Std[[#This Row],[Player]],Proj[Player],0),25)-R$764)/R$765</f>
        <v>0.29405380121201496</v>
      </c>
      <c r="S664" s="12">
        <f>(INDEX(Proj[],MATCH(Std[[#This Row],[Player]],Proj[Player],0),26)-S$764)/S$765</f>
        <v>-0.91020170049129911</v>
      </c>
      <c r="T66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-680.09075610671823</v>
      </c>
      <c r="U664" s="11"/>
      <c r="W664" t="str">
        <v>Tyson Jost</v>
      </c>
      <c r="AA664" t="str">
        <v>Tyson Jost</v>
      </c>
      <c r="AB664" t="str">
        <v>Tyson Jost</v>
      </c>
    </row>
    <row r="665" spans="1:28" x14ac:dyDescent="0.25">
      <c r="A665" t="s">
        <v>934</v>
      </c>
      <c r="B665">
        <f>INDEX(Proj[],MATCH(Std[[#This Row],[Player]],Proj[Player],0),2)</f>
        <v>24</v>
      </c>
      <c r="C665" t="s">
        <v>74</v>
      </c>
      <c r="D665" s="75" t="s">
        <v>103</v>
      </c>
      <c r="E665" s="57"/>
      <c r="F665" t="s">
        <v>153</v>
      </c>
      <c r="G665" s="12">
        <f>(INDEX(Proj[],MATCH(Std[[#This Row],[Player]],Proj[Player],0),14)-G$764)/G$765</f>
        <v>-0.873752993897015</v>
      </c>
      <c r="H665" s="12">
        <f>(INDEX(Proj[],MATCH(Std[[#This Row],[Player]],Proj[Player],0),15)-H$764)/H$765</f>
        <v>-0.96078590145269582</v>
      </c>
      <c r="I665" s="12">
        <f>(INDEX(Proj[],MATCH(Std[[#This Row],[Player]],Proj[Player],0),16)-I$764)/I$765</f>
        <v>-0.99979020807481511</v>
      </c>
      <c r="J665" s="12">
        <f>(INDEX(Proj[],MATCH(Std[[#This Row],[Player]],Proj[Player],0),17)-J$764)/J$765</f>
        <v>-0.76105581014900237</v>
      </c>
      <c r="K665" s="12">
        <f>(INDEX(Proj[],MATCH(Std[[#This Row],[Player]],Proj[Player],0),18)-K$764)/K$765</f>
        <v>-0.75859266061649311</v>
      </c>
      <c r="L665" s="12">
        <f>(INDEX(Proj[],MATCH(Std[[#This Row],[Player]],Proj[Player],0),19)-L$764)/L$765</f>
        <v>-0.81647589674950882</v>
      </c>
      <c r="M665" s="12">
        <f>(INDEX(Proj[],MATCH(Std[[#This Row],[Player]],Proj[Player],0),20)-M$764)/M$765</f>
        <v>-0.71308883245737775</v>
      </c>
      <c r="N665" s="12">
        <f>(INDEX(Proj[],MATCH(Std[[#This Row],[Player]],Proj[Player],0),21)-N$764)/N$765</f>
        <v>-0.77000429269372228</v>
      </c>
      <c r="O665" s="12">
        <f>(INDEX(Proj[],MATCH(Std[[#This Row],[Player]],Proj[Player],0),22)-O$764)/O$765</f>
        <v>-0.73012024276241771</v>
      </c>
      <c r="P665" s="12">
        <f>((INDEX(Proj[],MATCH(Std[[#This Row],[Player]],Proj[Player],0),23)-P$764)/P$765)*IF('League Inputs'!$C$23 = "Yes",-1, 1)</f>
        <v>-1.4193090108870248</v>
      </c>
      <c r="Q665" s="12">
        <f>(INDEX(Proj[],MATCH(Std[[#This Row],[Player]],Proj[Player],0),24)-Q$764)/Q$765</f>
        <v>0.29757867530034443</v>
      </c>
      <c r="R665" s="12">
        <f>(INDEX(Proj[],MATCH(Std[[#This Row],[Player]],Proj[Player],0),25)-R$764)/R$765</f>
        <v>0.19190167548422143</v>
      </c>
      <c r="S665" s="12">
        <f>(INDEX(Proj[],MATCH(Std[[#This Row],[Player]],Proj[Player],0),26)-S$764)/S$765</f>
        <v>-1.1210447226130829</v>
      </c>
      <c r="T66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-739.37045938299389</v>
      </c>
      <c r="U665" s="11"/>
      <c r="W665" t="str">
        <v>David Gustafsson</v>
      </c>
      <c r="AA665" t="str">
        <v>David Gustafsson</v>
      </c>
      <c r="AB665" t="str">
        <v>David Gustafsson</v>
      </c>
    </row>
    <row r="666" spans="1:28" x14ac:dyDescent="0.25">
      <c r="A666" t="s">
        <v>781</v>
      </c>
      <c r="B666">
        <f>INDEX(Proj[],MATCH(Std[[#This Row],[Player]],Proj[Player],0),2)</f>
        <v>30</v>
      </c>
      <c r="C666" t="s">
        <v>3</v>
      </c>
      <c r="D666" s="75"/>
      <c r="E666" s="56"/>
      <c r="F666" t="s">
        <v>18</v>
      </c>
      <c r="G666" s="12">
        <f>(INDEX(Proj[],MATCH(Std[[#This Row],[Player]],Proj[Player],0),14)-G$764)/G$765</f>
        <v>-0.873752993897015</v>
      </c>
      <c r="H666" s="12">
        <f>(INDEX(Proj[],MATCH(Std[[#This Row],[Player]],Proj[Player],0),15)-H$764)/H$765</f>
        <v>-0.96078590145269582</v>
      </c>
      <c r="I666" s="12">
        <f>(INDEX(Proj[],MATCH(Std[[#This Row],[Player]],Proj[Player],0),16)-I$764)/I$765</f>
        <v>-0.99979020807481511</v>
      </c>
      <c r="J666" s="12">
        <f>(INDEX(Proj[],MATCH(Std[[#This Row],[Player]],Proj[Player],0),17)-J$764)/J$765</f>
        <v>-0.76105581014900237</v>
      </c>
      <c r="K666" s="12">
        <f>(INDEX(Proj[],MATCH(Std[[#This Row],[Player]],Proj[Player],0),18)-K$764)/K$765</f>
        <v>-0.75859266061649311</v>
      </c>
      <c r="L666" s="12">
        <f>(INDEX(Proj[],MATCH(Std[[#This Row],[Player]],Proj[Player],0),19)-L$764)/L$765</f>
        <v>-0.81647589674950882</v>
      </c>
      <c r="M666" s="12">
        <f>(INDEX(Proj[],MATCH(Std[[#This Row],[Player]],Proj[Player],0),20)-M$764)/M$765</f>
        <v>-0.71308883245737775</v>
      </c>
      <c r="N666" s="12">
        <f>(INDEX(Proj[],MATCH(Std[[#This Row],[Player]],Proj[Player],0),21)-N$764)/N$765</f>
        <v>-1.1575989596606937</v>
      </c>
      <c r="O666" s="12">
        <f>(INDEX(Proj[],MATCH(Std[[#This Row],[Player]],Proj[Player],0),22)-O$764)/O$765</f>
        <v>-0.96228027615427481</v>
      </c>
      <c r="P666" s="12">
        <f>((INDEX(Proj[],MATCH(Std[[#This Row],[Player]],Proj[Player],0),23)-P$764)/P$765)*IF('League Inputs'!$C$23 = "Yes",-1, 1)</f>
        <v>-1.0004510422017985</v>
      </c>
      <c r="Q666" s="12">
        <f>(INDEX(Proj[],MATCH(Std[[#This Row],[Player]],Proj[Player],0),24)-Q$764)/Q$765</f>
        <v>0.17497900041860392</v>
      </c>
      <c r="R666" s="12">
        <f>(INDEX(Proj[],MATCH(Std[[#This Row],[Player]],Proj[Player],0),25)-R$764)/R$765</f>
        <v>5.5698841180496728E-2</v>
      </c>
      <c r="S666" s="12">
        <f>(INDEX(Proj[],MATCH(Std[[#This Row],[Player]],Proj[Player],0),26)-S$764)/S$765</f>
        <v>-1.4454186028004425</v>
      </c>
      <c r="T66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-804.15748805726389</v>
      </c>
      <c r="U666" s="11"/>
      <c r="W666" t="str">
        <v>Chris Tierney</v>
      </c>
      <c r="AA666" t="str">
        <v>Chris Tierney</v>
      </c>
      <c r="AB666" t="str">
        <v>Chris Tierney</v>
      </c>
    </row>
    <row r="667" spans="1:28" x14ac:dyDescent="0.25">
      <c r="A667" t="s">
        <v>1153</v>
      </c>
      <c r="B667">
        <f>INDEX(Proj[],MATCH(Std[[#This Row],[Player]],Proj[Player],0),2)</f>
        <v>32</v>
      </c>
      <c r="C667" t="s">
        <v>3</v>
      </c>
      <c r="D667" s="75"/>
      <c r="E667" s="56"/>
      <c r="F667" t="s">
        <v>16</v>
      </c>
      <c r="G667" s="12">
        <f>(INDEX(Proj[],MATCH(Std[[#This Row],[Player]],Proj[Player],0),14)-G$764)/G$765</f>
        <v>-0.66248525638148381</v>
      </c>
      <c r="H667" s="12">
        <f>(INDEX(Proj[],MATCH(Std[[#This Row],[Player]],Proj[Player],0),15)-H$764)/H$765</f>
        <v>-1.1098444354292263</v>
      </c>
      <c r="I667" s="12">
        <f>(INDEX(Proj[],MATCH(Std[[#This Row],[Player]],Proj[Player],0),16)-I$764)/I$765</f>
        <v>-0.99979020807481511</v>
      </c>
      <c r="J667" s="12">
        <f>(INDEX(Proj[],MATCH(Std[[#This Row],[Player]],Proj[Player],0),17)-J$764)/J$765</f>
        <v>-0.76105581014900237</v>
      </c>
      <c r="K667" s="12">
        <f>(INDEX(Proj[],MATCH(Std[[#This Row],[Player]],Proj[Player],0),18)-K$764)/K$765</f>
        <v>-0.75859266061649311</v>
      </c>
      <c r="L667" s="12">
        <f>(INDEX(Proj[],MATCH(Std[[#This Row],[Player]],Proj[Player],0),19)-L$764)/L$765</f>
        <v>-0.81647589674950882</v>
      </c>
      <c r="M667" s="12">
        <f>(INDEX(Proj[],MATCH(Std[[#This Row],[Player]],Proj[Player],0),20)-M$764)/M$765</f>
        <v>-0.71308883245737775</v>
      </c>
      <c r="N667" s="12">
        <f>(INDEX(Proj[],MATCH(Std[[#This Row],[Player]],Proj[Player],0),21)-N$764)/N$765</f>
        <v>-0.94442189282885936</v>
      </c>
      <c r="O667" s="12">
        <f>(INDEX(Proj[],MATCH(Std[[#This Row],[Player]],Proj[Player],0),22)-O$764)/O$765</f>
        <v>-1.194440309546132</v>
      </c>
      <c r="P667" s="12">
        <f>((INDEX(Proj[],MATCH(Std[[#This Row],[Player]],Proj[Player],0),23)-P$764)/P$765)*IF('League Inputs'!$C$23 = "Yes",-1, 1)</f>
        <v>-1.2331499136935908</v>
      </c>
      <c r="Q667" s="12">
        <f>(INDEX(Proj[],MATCH(Std[[#This Row],[Player]],Proj[Player],0),24)-Q$764)/Q$765</f>
        <v>-8.0881190638941544E-2</v>
      </c>
      <c r="R667" s="12">
        <f>(INDEX(Proj[],MATCH(Std[[#This Row],[Player]],Proj[Player],0),25)-R$764)/R$765</f>
        <v>-1.0523397793885717E-3</v>
      </c>
      <c r="S667" s="12">
        <f>(INDEX(Proj[],MATCH(Std[[#This Row],[Player]],Proj[Player],0),26)-S$764)/S$765</f>
        <v>-1.2345755806786587</v>
      </c>
      <c r="T66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-827.60646840212166</v>
      </c>
      <c r="U667" s="11"/>
      <c r="W667" t="str">
        <v>Michael Sgarbossa</v>
      </c>
      <c r="AA667" t="str">
        <v>Michael Sgarbossa</v>
      </c>
      <c r="AB667" t="str">
        <v>Michael Sgarbossa</v>
      </c>
    </row>
    <row r="668" spans="1:28" x14ac:dyDescent="0.25">
      <c r="A668" t="s">
        <v>743</v>
      </c>
      <c r="B668">
        <f>INDEX(Proj[],MATCH(Std[[#This Row],[Player]],Proj[Player],0),2)</f>
        <v>30</v>
      </c>
      <c r="C668" t="s">
        <v>3</v>
      </c>
      <c r="D668" s="75"/>
      <c r="E668" s="56"/>
      <c r="F668" t="s">
        <v>34</v>
      </c>
      <c r="G668" s="12">
        <f>(INDEX(Proj[],MATCH(Std[[#This Row],[Player]],Proj[Player],0),14)-G$764)/G$765</f>
        <v>-0.873752993897015</v>
      </c>
      <c r="H668" s="12">
        <f>(INDEX(Proj[],MATCH(Std[[#This Row],[Player]],Proj[Player],0),15)-H$764)/H$765</f>
        <v>-0.96078590145269582</v>
      </c>
      <c r="I668" s="12">
        <f>(INDEX(Proj[],MATCH(Std[[#This Row],[Player]],Proj[Player],0),16)-I$764)/I$765</f>
        <v>-0.99979020807481511</v>
      </c>
      <c r="J668" s="12">
        <f>(INDEX(Proj[],MATCH(Std[[#This Row],[Player]],Proj[Player],0),17)-J$764)/J$765</f>
        <v>-0.76105581014900237</v>
      </c>
      <c r="K668" s="12">
        <f>(INDEX(Proj[],MATCH(Std[[#This Row],[Player]],Proj[Player],0),18)-K$764)/K$765</f>
        <v>-0.75859266061649311</v>
      </c>
      <c r="L668" s="12">
        <f>(INDEX(Proj[],MATCH(Std[[#This Row],[Player]],Proj[Player],0),19)-L$764)/L$765</f>
        <v>-0.81647589674950882</v>
      </c>
      <c r="M668" s="12">
        <f>(INDEX(Proj[],MATCH(Std[[#This Row],[Player]],Proj[Player],0),20)-M$764)/M$765</f>
        <v>-0.71308883245737775</v>
      </c>
      <c r="N668" s="12">
        <f>(INDEX(Proj[],MATCH(Std[[#This Row],[Player]],Proj[Player],0),21)-N$764)/N$765</f>
        <v>-1.4870544265826193</v>
      </c>
      <c r="O668" s="12">
        <f>(INDEX(Proj[],MATCH(Std[[#This Row],[Player]],Proj[Player],0),22)-O$764)/O$765</f>
        <v>-1.2640883195636892</v>
      </c>
      <c r="P668" s="12">
        <f>((INDEX(Proj[],MATCH(Std[[#This Row],[Player]],Proj[Player],0),23)-P$764)/P$765)*IF('League Inputs'!$C$23 = "Yes",-1, 1)</f>
        <v>-1.2331499136935908</v>
      </c>
      <c r="Q668" s="12">
        <f>(INDEX(Proj[],MATCH(Std[[#This Row],[Player]],Proj[Player],0),24)-Q$764)/Q$765</f>
        <v>-0.53396694563667835</v>
      </c>
      <c r="R668" s="12">
        <f>(INDEX(Proj[],MATCH(Std[[#This Row],[Player]],Proj[Player],0),25)-R$764)/R$765</f>
        <v>-0.56856414937824151</v>
      </c>
      <c r="S668" s="12">
        <f>(INDEX(Proj[],MATCH(Std[[#This Row],[Player]],Proj[Player],0),26)-S$764)/S$765</f>
        <v>-1.2507942746880267</v>
      </c>
      <c r="T66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-941.98588803386406</v>
      </c>
      <c r="U668" s="11"/>
      <c r="W668" t="str">
        <v>Vinnie Hinostroza</v>
      </c>
      <c r="AA668" t="str">
        <v>Vinnie Hinostroza</v>
      </c>
      <c r="AB668" t="str">
        <v>Vinnie Hinostroza</v>
      </c>
    </row>
    <row r="669" spans="1:28" x14ac:dyDescent="0.25">
      <c r="A669" t="s">
        <v>971</v>
      </c>
      <c r="B669">
        <f>INDEX(Proj[],MATCH(Std[[#This Row],[Player]],Proj[Player],0),2)</f>
        <v>32</v>
      </c>
      <c r="C669" t="s">
        <v>3</v>
      </c>
      <c r="D669" s="75"/>
      <c r="E669" s="57"/>
      <c r="F669" t="s">
        <v>22</v>
      </c>
      <c r="G669" s="12">
        <f>(INDEX(Proj[],MATCH(Std[[#This Row],[Player]],Proj[Player],0),14)-G$764)/G$765</f>
        <v>-1.0850207314125464</v>
      </c>
      <c r="H669" s="12">
        <f>(INDEX(Proj[],MATCH(Std[[#This Row],[Player]],Proj[Player],0),15)-H$764)/H$765</f>
        <v>-0.88625663446443059</v>
      </c>
      <c r="I669" s="12">
        <f>(INDEX(Proj[],MATCH(Std[[#This Row],[Player]],Proj[Player],0),16)-I$764)/I$765</f>
        <v>-1.0470327670369184</v>
      </c>
      <c r="J669" s="12">
        <f>(INDEX(Proj[],MATCH(Std[[#This Row],[Player]],Proj[Player],0),17)-J$764)/J$765</f>
        <v>-0.76105581014900237</v>
      </c>
      <c r="K669" s="12">
        <f>(INDEX(Proj[],MATCH(Std[[#This Row],[Player]],Proj[Player],0),18)-K$764)/K$765</f>
        <v>-0.75859266061649311</v>
      </c>
      <c r="L669" s="12">
        <f>(INDEX(Proj[],MATCH(Std[[#This Row],[Player]],Proj[Player],0),19)-L$764)/L$765</f>
        <v>-0.81647589674950882</v>
      </c>
      <c r="M669" s="12">
        <f>(INDEX(Proj[],MATCH(Std[[#This Row],[Player]],Proj[Player],0),20)-M$764)/M$765</f>
        <v>-0.71308883245737775</v>
      </c>
      <c r="N669" s="12">
        <f>(INDEX(Proj[],MATCH(Std[[#This Row],[Player]],Proj[Player],0),21)-N$764)/N$765</f>
        <v>2.0400570428168199</v>
      </c>
      <c r="O669" s="12">
        <f>(INDEX(Proj[],MATCH(Std[[#This Row],[Player]],Proj[Player],0),22)-O$764)/O$765</f>
        <v>1.1039440210332534</v>
      </c>
      <c r="P669" s="12">
        <f>((INDEX(Proj[],MATCH(Std[[#This Row],[Player]],Proj[Player],0),23)-P$764)/P$765)*IF('League Inputs'!$C$23 = "Yes",-1, 1)</f>
        <v>0.90767970403089848</v>
      </c>
      <c r="Q669" s="12">
        <f>(INDEX(Proj[],MATCH(Std[[#This Row],[Player]],Proj[Player],0),24)-Q$764)/Q$765</f>
        <v>-0.5766103108129359</v>
      </c>
      <c r="R669" s="12">
        <f>(INDEX(Proj[],MATCH(Std[[#This Row],[Player]],Proj[Player],0),25)-R$764)/R$765</f>
        <v>-0.62531533033812681</v>
      </c>
      <c r="S669" s="12">
        <f>(INDEX(Proj[],MATCH(Std[[#This Row],[Player]],Proj[Player],0),26)-S$764)/S$765</f>
        <v>-1.2183568866692909</v>
      </c>
      <c r="T66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-157.80724592646592</v>
      </c>
      <c r="U669" s="11"/>
      <c r="W669" t="str">
        <v>Jarred Tinordi</v>
      </c>
      <c r="AA669" t="str">
        <v>Jarred Tinordi</v>
      </c>
      <c r="AB669" t="str">
        <v>Jarred Tinordi</v>
      </c>
    </row>
    <row r="670" spans="1:28" x14ac:dyDescent="0.25">
      <c r="A670" t="s">
        <v>924</v>
      </c>
      <c r="B670">
        <f>INDEX(Proj[],MATCH(Std[[#This Row],[Player]],Proj[Player],0),2)</f>
        <v>29</v>
      </c>
      <c r="C670" t="s">
        <v>3</v>
      </c>
      <c r="D670" s="75"/>
      <c r="E670" s="56"/>
      <c r="F670" t="s">
        <v>11</v>
      </c>
      <c r="G670" s="12">
        <f>(INDEX(Proj[],MATCH(Std[[#This Row],[Player]],Proj[Player],0),14)-G$764)/G$765</f>
        <v>-1.190654600170312</v>
      </c>
      <c r="H670" s="12">
        <f>(INDEX(Proj[],MATCH(Std[[#This Row],[Player]],Proj[Player],0),15)-H$764)/H$765</f>
        <v>-0.81172736747616536</v>
      </c>
      <c r="I670" s="12">
        <f>(INDEX(Proj[],MATCH(Std[[#This Row],[Player]],Proj[Player],0),16)-I$764)/I$765</f>
        <v>-1.0470327670369184</v>
      </c>
      <c r="J670" s="12">
        <f>(INDEX(Proj[],MATCH(Std[[#This Row],[Player]],Proj[Player],0),17)-J$764)/J$765</f>
        <v>-0.76105581014900237</v>
      </c>
      <c r="K670" s="12">
        <f>(INDEX(Proj[],MATCH(Std[[#This Row],[Player]],Proj[Player],0),18)-K$764)/K$765</f>
        <v>-0.75859266061649311</v>
      </c>
      <c r="L670" s="12">
        <f>(INDEX(Proj[],MATCH(Std[[#This Row],[Player]],Proj[Player],0),19)-L$764)/L$765</f>
        <v>-0.81647589674950882</v>
      </c>
      <c r="M670" s="12">
        <f>(INDEX(Proj[],MATCH(Std[[#This Row],[Player]],Proj[Player],0),20)-M$764)/M$765</f>
        <v>-0.71308883245737775</v>
      </c>
      <c r="N670" s="12">
        <f>(INDEX(Proj[],MATCH(Std[[#This Row],[Player]],Proj[Player],0),21)-N$764)/N$765</f>
        <v>1.8462597093333339</v>
      </c>
      <c r="O670" s="12">
        <f>(INDEX(Proj[],MATCH(Std[[#This Row],[Player]],Proj[Player],0),22)-O$764)/O$765</f>
        <v>0.40746392085768207</v>
      </c>
      <c r="P670" s="12">
        <f>((INDEX(Proj[],MATCH(Std[[#This Row],[Player]],Proj[Player],0),23)-P$764)/P$765)*IF('League Inputs'!$C$23 = "Yes",-1, 1)</f>
        <v>0.95421947832925702</v>
      </c>
      <c r="Q670" s="12">
        <f>(INDEX(Proj[],MATCH(Std[[#This Row],[Player]],Proj[Player],0),24)-Q$764)/Q$765</f>
        <v>-0.5766103108129359</v>
      </c>
      <c r="R670" s="12">
        <f>(INDEX(Proj[],MATCH(Std[[#This Row],[Player]],Proj[Player],0),25)-R$764)/R$765</f>
        <v>-0.62531533033812681</v>
      </c>
      <c r="S670" s="12">
        <f>(INDEX(Proj[],MATCH(Std[[#This Row],[Player]],Proj[Player],0),26)-S$764)/S$765</f>
        <v>-1.1534821106318189</v>
      </c>
      <c r="T67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-238.80399443573853</v>
      </c>
      <c r="U670" s="11"/>
      <c r="W670" t="str">
        <v>Andreas Englund</v>
      </c>
      <c r="AA670" t="str">
        <v>Andreas Englund</v>
      </c>
      <c r="AB670" t="str">
        <v>Andreas Englund</v>
      </c>
    </row>
    <row r="671" spans="1:28" x14ac:dyDescent="0.25">
      <c r="A671" t="s">
        <v>1196</v>
      </c>
      <c r="B671">
        <f>INDEX(Proj[],MATCH(Std[[#This Row],[Player]],Proj[Player],0),2)</f>
        <v>24</v>
      </c>
      <c r="C671" t="s">
        <v>3</v>
      </c>
      <c r="D671" s="75"/>
      <c r="E671" s="56"/>
      <c r="F671" t="s">
        <v>2</v>
      </c>
      <c r="G671" s="12">
        <f>(INDEX(Proj[],MATCH(Std[[#This Row],[Player]],Proj[Player],0),14)-G$764)/G$765</f>
        <v>-1.0850207314125464</v>
      </c>
      <c r="H671" s="12">
        <f>(INDEX(Proj[],MATCH(Std[[#This Row],[Player]],Proj[Player],0),15)-H$764)/H$765</f>
        <v>-0.88625663446443059</v>
      </c>
      <c r="I671" s="12">
        <f>(INDEX(Proj[],MATCH(Std[[#This Row],[Player]],Proj[Player],0),16)-I$764)/I$765</f>
        <v>-1.0470327670369184</v>
      </c>
      <c r="J671" s="12">
        <f>(INDEX(Proj[],MATCH(Std[[#This Row],[Player]],Proj[Player],0),17)-J$764)/J$765</f>
        <v>-0.76105581014900237</v>
      </c>
      <c r="K671" s="12">
        <f>(INDEX(Proj[],MATCH(Std[[#This Row],[Player]],Proj[Player],0),18)-K$764)/K$765</f>
        <v>-0.75859266061649311</v>
      </c>
      <c r="L671" s="12">
        <f>(INDEX(Proj[],MATCH(Std[[#This Row],[Player]],Proj[Player],0),19)-L$764)/L$765</f>
        <v>-0.81647589674950882</v>
      </c>
      <c r="M671" s="12">
        <f>(INDEX(Proj[],MATCH(Std[[#This Row],[Player]],Proj[Player],0),20)-M$764)/M$765</f>
        <v>-0.71308883245737775</v>
      </c>
      <c r="N671" s="12">
        <f>(INDEX(Proj[],MATCH(Std[[#This Row],[Player]],Proj[Player],0),21)-N$764)/N$765</f>
        <v>0.97417170865764857</v>
      </c>
      <c r="O671" s="12">
        <f>(INDEX(Proj[],MATCH(Std[[#This Row],[Player]],Proj[Player],0),22)-O$764)/O$765</f>
        <v>0.59319194757116778</v>
      </c>
      <c r="P671" s="12">
        <f>((INDEX(Proj[],MATCH(Std[[#This Row],[Player]],Proj[Player],0),23)-P$764)/P$765)*IF('League Inputs'!$C$23 = "Yes",-1, 1)</f>
        <v>0.53536150964403084</v>
      </c>
      <c r="Q671" s="12">
        <f>(INDEX(Proj[],MATCH(Std[[#This Row],[Player]],Proj[Player],0),24)-Q$764)/Q$765</f>
        <v>-0.5766103108129359</v>
      </c>
      <c r="R671" s="12">
        <f>(INDEX(Proj[],MATCH(Std[[#This Row],[Player]],Proj[Player],0),25)-R$764)/R$765</f>
        <v>-0.62531533033812681</v>
      </c>
      <c r="S671" s="12">
        <f>(INDEX(Proj[],MATCH(Std[[#This Row],[Player]],Proj[Player],0),26)-S$764)/S$765</f>
        <v>-0.95885778251940312</v>
      </c>
      <c r="T67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-326.75289571228967</v>
      </c>
      <c r="U671" s="11"/>
      <c r="W671" t="str">
        <v>Nikita Okhotiuk</v>
      </c>
      <c r="AA671" t="str">
        <v>Nikita Okhotiuk</v>
      </c>
      <c r="AB671" t="str">
        <v>Nikita Okhotiuk</v>
      </c>
    </row>
    <row r="672" spans="1:28" x14ac:dyDescent="0.25">
      <c r="A672" t="s">
        <v>471</v>
      </c>
      <c r="B672">
        <f>INDEX(Proj[],MATCH(Std[[#This Row],[Player]],Proj[Player],0),2)</f>
        <v>36</v>
      </c>
      <c r="C672" t="s">
        <v>3</v>
      </c>
      <c r="D672" s="75"/>
      <c r="E672" s="56"/>
      <c r="F672" t="s">
        <v>11</v>
      </c>
      <c r="G672" s="12">
        <f>(INDEX(Proj[],MATCH(Std[[#This Row],[Player]],Proj[Player],0),14)-G$764)/G$765</f>
        <v>-0.873752993897015</v>
      </c>
      <c r="H672" s="12">
        <f>(INDEX(Proj[],MATCH(Std[[#This Row],[Player]],Proj[Player],0),15)-H$764)/H$765</f>
        <v>-1.0353151684409609</v>
      </c>
      <c r="I672" s="12">
        <f>(INDEX(Proj[],MATCH(Std[[#This Row],[Player]],Proj[Player],0),16)-I$764)/I$765</f>
        <v>-1.0470327670369184</v>
      </c>
      <c r="J672" s="12">
        <f>(INDEX(Proj[],MATCH(Std[[#This Row],[Player]],Proj[Player],0),17)-J$764)/J$765</f>
        <v>-0.76105581014900237</v>
      </c>
      <c r="K672" s="12">
        <f>(INDEX(Proj[],MATCH(Std[[#This Row],[Player]],Proj[Player],0),18)-K$764)/K$765</f>
        <v>-0.75859266061649311</v>
      </c>
      <c r="L672" s="12">
        <f>(INDEX(Proj[],MATCH(Std[[#This Row],[Player]],Proj[Player],0),19)-L$764)/L$765</f>
        <v>-0.81647589674950882</v>
      </c>
      <c r="M672" s="12">
        <f>(INDEX(Proj[],MATCH(Std[[#This Row],[Player]],Proj[Player],0),20)-M$764)/M$765</f>
        <v>0.31240082183847029</v>
      </c>
      <c r="N672" s="12">
        <f>(INDEX(Proj[],MATCH(Std[[#This Row],[Player]],Proj[Player],0),21)-N$764)/N$765</f>
        <v>1.0129311753543457</v>
      </c>
      <c r="O672" s="12">
        <f>(INDEX(Proj[],MATCH(Std[[#This Row],[Player]],Proj[Player],0),22)-O$764)/O$765</f>
        <v>1.1271600243724391</v>
      </c>
      <c r="P672" s="12">
        <f>((INDEX(Proj[],MATCH(Std[[#This Row],[Player]],Proj[Player],0),23)-P$764)/P$765)*IF('League Inputs'!$C$23 = "Yes",-1, 1)</f>
        <v>-0.53505329921821387</v>
      </c>
      <c r="Q672" s="12">
        <f>(INDEX(Proj[],MATCH(Std[[#This Row],[Player]],Proj[Player],0),24)-Q$764)/Q$765</f>
        <v>-0.5766103108129359</v>
      </c>
      <c r="R672" s="12">
        <f>(INDEX(Proj[],MATCH(Std[[#This Row],[Player]],Proj[Player],0),25)-R$764)/R$765</f>
        <v>-0.62531533033812681</v>
      </c>
      <c r="S672" s="12">
        <f>(INDEX(Proj[],MATCH(Std[[#This Row],[Player]],Proj[Player],0),26)-S$764)/S$765</f>
        <v>-0.7155773723788833</v>
      </c>
      <c r="T67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-345.97266088076515</v>
      </c>
      <c r="U672" s="11"/>
      <c r="W672" t="str">
        <v>Erik Johnson</v>
      </c>
      <c r="AA672" t="str">
        <v>Erik Johnson</v>
      </c>
      <c r="AB672" t="str">
        <v>Erik Johnson</v>
      </c>
    </row>
    <row r="673" spans="1:28" x14ac:dyDescent="0.25">
      <c r="A673" t="s">
        <v>448</v>
      </c>
      <c r="B673">
        <f>INDEX(Proj[],MATCH(Std[[#This Row],[Player]],Proj[Player],0),2)</f>
        <v>26</v>
      </c>
      <c r="C673" t="s">
        <v>74</v>
      </c>
      <c r="D673" s="75" t="s">
        <v>103</v>
      </c>
      <c r="E673" s="57"/>
      <c r="F673" t="s">
        <v>21</v>
      </c>
      <c r="G673" s="12">
        <f>(INDEX(Proj[],MATCH(Std[[#This Row],[Player]],Proj[Player],0),14)-G$764)/G$765</f>
        <v>-1.0850207314125464</v>
      </c>
      <c r="H673" s="12">
        <f>(INDEX(Proj[],MATCH(Std[[#This Row],[Player]],Proj[Player],0),15)-H$764)/H$765</f>
        <v>-0.88625663446443059</v>
      </c>
      <c r="I673" s="12">
        <f>(INDEX(Proj[],MATCH(Std[[#This Row],[Player]],Proj[Player],0),16)-I$764)/I$765</f>
        <v>-1.0470327670369184</v>
      </c>
      <c r="J673" s="12">
        <f>(INDEX(Proj[],MATCH(Std[[#This Row],[Player]],Proj[Player],0),17)-J$764)/J$765</f>
        <v>-0.76105581014900237</v>
      </c>
      <c r="K673" s="12">
        <f>(INDEX(Proj[],MATCH(Std[[#This Row],[Player]],Proj[Player],0),18)-K$764)/K$765</f>
        <v>-0.75859266061649311</v>
      </c>
      <c r="L673" s="12">
        <f>(INDEX(Proj[],MATCH(Std[[#This Row],[Player]],Proj[Player],0),19)-L$764)/L$765</f>
        <v>-0.81647589674950882</v>
      </c>
      <c r="M673" s="12">
        <f>(INDEX(Proj[],MATCH(Std[[#This Row],[Player]],Proj[Player],0),20)-M$764)/M$765</f>
        <v>0.31240082183847029</v>
      </c>
      <c r="N673" s="12">
        <f>(INDEX(Proj[],MATCH(Std[[#This Row],[Player]],Proj[Player],0),21)-N$764)/N$765</f>
        <v>0.66409597508407159</v>
      </c>
      <c r="O673" s="12">
        <f>(INDEX(Proj[],MATCH(Std[[#This Row],[Player]],Proj[Player],0),22)-O$764)/O$765</f>
        <v>1.1503760277116248</v>
      </c>
      <c r="P673" s="12">
        <f>((INDEX(Proj[],MATCH(Std[[#This Row],[Player]],Proj[Player],0),23)-P$764)/P$765)*IF('League Inputs'!$C$23 = "Yes",-1, 1)</f>
        <v>-0.62813284781493084</v>
      </c>
      <c r="Q673" s="12">
        <f>(INDEX(Proj[],MATCH(Std[[#This Row],[Player]],Proj[Player],0),24)-Q$764)/Q$765</f>
        <v>-0.5766103108129359</v>
      </c>
      <c r="R673" s="12">
        <f>(INDEX(Proj[],MATCH(Std[[#This Row],[Player]],Proj[Player],0),25)-R$764)/R$765</f>
        <v>-0.62531533033812681</v>
      </c>
      <c r="S673" s="12">
        <f>(INDEX(Proj[],MATCH(Std[[#This Row],[Player]],Proj[Player],0),26)-S$764)/S$765</f>
        <v>-1.1210447226130829</v>
      </c>
      <c r="T67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-434.61019081086579</v>
      </c>
      <c r="U673" s="11"/>
      <c r="W673" t="str">
        <v>Andrew Peeke</v>
      </c>
      <c r="AA673" t="str">
        <v>Andrew Peeke</v>
      </c>
      <c r="AB673" t="str">
        <v>Andrew Peeke</v>
      </c>
    </row>
    <row r="674" spans="1:28" x14ac:dyDescent="0.25">
      <c r="A674" t="s">
        <v>713</v>
      </c>
      <c r="B674">
        <f>INDEX(Proj[],MATCH(Std[[#This Row],[Player]],Proj[Player],0),2)</f>
        <v>38</v>
      </c>
      <c r="C674" t="s">
        <v>3</v>
      </c>
      <c r="D674" s="75"/>
      <c r="E674" s="57"/>
      <c r="F674" t="s">
        <v>21</v>
      </c>
      <c r="G674" s="12">
        <f>(INDEX(Proj[],MATCH(Std[[#This Row],[Player]],Proj[Player],0),14)-G$764)/G$765</f>
        <v>-1.0850207314125464</v>
      </c>
      <c r="H674" s="12">
        <f>(INDEX(Proj[],MATCH(Std[[#This Row],[Player]],Proj[Player],0),15)-H$764)/H$765</f>
        <v>-0.88625663446443059</v>
      </c>
      <c r="I674" s="12">
        <f>(INDEX(Proj[],MATCH(Std[[#This Row],[Player]],Proj[Player],0),16)-I$764)/I$765</f>
        <v>-1.0470327670369184</v>
      </c>
      <c r="J674" s="12">
        <f>(INDEX(Proj[],MATCH(Std[[#This Row],[Player]],Proj[Player],0),17)-J$764)/J$765</f>
        <v>-0.76105581014900237</v>
      </c>
      <c r="K674" s="12">
        <f>(INDEX(Proj[],MATCH(Std[[#This Row],[Player]],Proj[Player],0),18)-K$764)/K$765</f>
        <v>-0.75859266061649311</v>
      </c>
      <c r="L674" s="12">
        <f>(INDEX(Proj[],MATCH(Std[[#This Row],[Player]],Proj[Player],0),19)-L$764)/L$765</f>
        <v>-0.81647589674950882</v>
      </c>
      <c r="M674" s="12">
        <f>(INDEX(Proj[],MATCH(Std[[#This Row],[Player]],Proj[Player],0),20)-M$764)/M$765</f>
        <v>-0.71308883245737775</v>
      </c>
      <c r="N674" s="12">
        <f>(INDEX(Proj[],MATCH(Std[[#This Row],[Player]],Proj[Player],0),21)-N$764)/N$765</f>
        <v>-0.1498528255465682</v>
      </c>
      <c r="O674" s="12">
        <f>(INDEX(Proj[],MATCH(Std[[#This Row],[Player]],Proj[Player],0),22)-O$764)/O$765</f>
        <v>0.68605596092791066</v>
      </c>
      <c r="P674" s="12">
        <f>((INDEX(Proj[],MATCH(Std[[#This Row],[Player]],Proj[Player],0),23)-P$764)/P$765)*IF('League Inputs'!$C$23 = "Yes",-1, 1)</f>
        <v>-6.9655556234629226E-2</v>
      </c>
      <c r="Q674" s="12">
        <f>(INDEX(Proj[],MATCH(Std[[#This Row],[Player]],Proj[Player],0),24)-Q$764)/Q$765</f>
        <v>-0.5766103108129359</v>
      </c>
      <c r="R674" s="12">
        <f>(INDEX(Proj[],MATCH(Std[[#This Row],[Player]],Proj[Player],0),25)-R$764)/R$765</f>
        <v>-0.62531533033812681</v>
      </c>
      <c r="S674" s="12">
        <f>(INDEX(Proj[],MATCH(Std[[#This Row],[Player]],Proj[Player],0),26)-S$764)/S$765</f>
        <v>-0.81288953643509121</v>
      </c>
      <c r="T67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-475.77382977647187</v>
      </c>
      <c r="U674" s="11"/>
      <c r="W674" t="str">
        <v>Jack Johnson</v>
      </c>
      <c r="AA674" t="str">
        <v>Jack Johnson</v>
      </c>
      <c r="AB674" t="str">
        <v>Jack Johnson</v>
      </c>
    </row>
    <row r="675" spans="1:28" x14ac:dyDescent="0.25">
      <c r="A675" t="s">
        <v>653</v>
      </c>
      <c r="B675">
        <f>INDEX(Proj[],MATCH(Std[[#This Row],[Player]],Proj[Player],0),2)</f>
        <v>38</v>
      </c>
      <c r="C675" t="s">
        <v>3</v>
      </c>
      <c r="D675" s="75"/>
      <c r="E675" s="57"/>
      <c r="F675" t="s">
        <v>34</v>
      </c>
      <c r="G675" s="12">
        <f>(INDEX(Proj[],MATCH(Std[[#This Row],[Player]],Proj[Player],0),14)-G$764)/G$765</f>
        <v>-0.7681191251392494</v>
      </c>
      <c r="H675" s="12">
        <f>(INDEX(Proj[],MATCH(Std[[#This Row],[Player]],Proj[Player],0),15)-H$764)/H$765</f>
        <v>-1.1098444354292263</v>
      </c>
      <c r="I675" s="12">
        <f>(INDEX(Proj[],MATCH(Std[[#This Row],[Player]],Proj[Player],0),16)-I$764)/I$765</f>
        <v>-1.0470327670369184</v>
      </c>
      <c r="J675" s="12">
        <f>(INDEX(Proj[],MATCH(Std[[#This Row],[Player]],Proj[Player],0),17)-J$764)/J$765</f>
        <v>-0.76105581014900237</v>
      </c>
      <c r="K675" s="12">
        <f>(INDEX(Proj[],MATCH(Std[[#This Row],[Player]],Proj[Player],0),18)-K$764)/K$765</f>
        <v>-0.75859266061649311</v>
      </c>
      <c r="L675" s="12">
        <f>(INDEX(Proj[],MATCH(Std[[#This Row],[Player]],Proj[Player],0),19)-L$764)/L$765</f>
        <v>-0.81647589674950882</v>
      </c>
      <c r="M675" s="12">
        <f>(INDEX(Proj[],MATCH(Std[[#This Row],[Player]],Proj[Player],0),20)-M$764)/M$765</f>
        <v>-0.71308883245737775</v>
      </c>
      <c r="N675" s="12">
        <f>(INDEX(Proj[],MATCH(Std[[#This Row],[Player]],Proj[Player],0),21)-N$764)/N$765</f>
        <v>2.4082719764354423</v>
      </c>
      <c r="O675" s="12">
        <f>(INDEX(Proj[],MATCH(Std[[#This Row],[Player]],Proj[Player],0),22)-O$764)/O$765</f>
        <v>-0.96228027615427481</v>
      </c>
      <c r="P675" s="12">
        <f>((INDEX(Proj[],MATCH(Std[[#This Row],[Player]],Proj[Player],0),23)-P$764)/P$765)*IF('League Inputs'!$C$23 = "Yes",-1, 1)</f>
        <v>0.6284410582407477</v>
      </c>
      <c r="Q675" s="12">
        <f>(INDEX(Proj[],MATCH(Std[[#This Row],[Player]],Proj[Player],0),24)-Q$764)/Q$765</f>
        <v>-0.54995820757777492</v>
      </c>
      <c r="R675" s="12">
        <f>(INDEX(Proj[],MATCH(Std[[#This Row],[Player]],Proj[Player],0),25)-R$764)/R$765</f>
        <v>-0.59693973985818416</v>
      </c>
      <c r="S675" s="12">
        <f>(INDEX(Proj[],MATCH(Std[[#This Row],[Player]],Proj[Player],0),26)-S$764)/S$765</f>
        <v>-1.3643251327536026</v>
      </c>
      <c r="T67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-358.13228061643645</v>
      </c>
      <c r="U675" s="11"/>
      <c r="W675" t="str">
        <v>Ryan Reaves</v>
      </c>
      <c r="AA675" t="str">
        <v>Ryan Reaves</v>
      </c>
      <c r="AB675" t="str">
        <v>Ryan Reaves</v>
      </c>
    </row>
    <row r="676" spans="1:28" x14ac:dyDescent="0.25">
      <c r="A676" t="s">
        <v>768</v>
      </c>
      <c r="B676">
        <f>INDEX(Proj[],MATCH(Std[[#This Row],[Player]],Proj[Player],0),2)</f>
        <v>35</v>
      </c>
      <c r="C676" t="s">
        <v>102</v>
      </c>
      <c r="D676" s="75" t="s">
        <v>103</v>
      </c>
      <c r="E676" s="57"/>
      <c r="F676" t="s">
        <v>13</v>
      </c>
      <c r="G676" s="12">
        <f>(INDEX(Proj[],MATCH(Std[[#This Row],[Player]],Proj[Player],0),14)-G$764)/G$765</f>
        <v>-0.7681191251392494</v>
      </c>
      <c r="H676" s="12">
        <f>(INDEX(Proj[],MATCH(Std[[#This Row],[Player]],Proj[Player],0),15)-H$764)/H$765</f>
        <v>-1.1098444354292263</v>
      </c>
      <c r="I676" s="12">
        <f>(INDEX(Proj[],MATCH(Std[[#This Row],[Player]],Proj[Player],0),16)-I$764)/I$765</f>
        <v>-1.0470327670369184</v>
      </c>
      <c r="J676" s="12">
        <f>(INDEX(Proj[],MATCH(Std[[#This Row],[Player]],Proj[Player],0),17)-J$764)/J$765</f>
        <v>-0.76105581014900237</v>
      </c>
      <c r="K676" s="12">
        <f>(INDEX(Proj[],MATCH(Std[[#This Row],[Player]],Proj[Player],0),18)-K$764)/K$765</f>
        <v>-0.75859266061649311</v>
      </c>
      <c r="L676" s="12">
        <f>(INDEX(Proj[],MATCH(Std[[#This Row],[Player]],Proj[Player],0),19)-L$764)/L$765</f>
        <v>-0.81647589674950882</v>
      </c>
      <c r="M676" s="12">
        <f>(INDEX(Proj[],MATCH(Std[[#This Row],[Player]],Proj[Player],0),20)-M$764)/M$765</f>
        <v>-0.71308883245737775</v>
      </c>
      <c r="N676" s="12">
        <f>(INDEX(Proj[],MATCH(Std[[#This Row],[Player]],Proj[Player],0),21)-N$764)/N$765</f>
        <v>1.9625381094234253</v>
      </c>
      <c r="O676" s="12">
        <f>(INDEX(Proj[],MATCH(Std[[#This Row],[Player]],Proj[Player],0),22)-O$764)/O$765</f>
        <v>-0.70690423942323199</v>
      </c>
      <c r="P676" s="12">
        <f>((INDEX(Proj[],MATCH(Std[[#This Row],[Player]],Proj[Player],0),23)-P$764)/P$765)*IF('League Inputs'!$C$23 = "Yes",-1, 1)</f>
        <v>0.95421947832925702</v>
      </c>
      <c r="Q676" s="12">
        <f>(INDEX(Proj[],MATCH(Std[[#This Row],[Player]],Proj[Player],0),24)-Q$764)/Q$765</f>
        <v>-0.51264526304854952</v>
      </c>
      <c r="R676" s="12">
        <f>(INDEX(Proj[],MATCH(Std[[#This Row],[Player]],Proj[Player],0),25)-R$764)/R$765</f>
        <v>-0.53451344080231034</v>
      </c>
      <c r="S676" s="12">
        <f>(INDEX(Proj[],MATCH(Std[[#This Row],[Player]],Proj[Player],0),26)-S$764)/S$765</f>
        <v>-1.007513864547507</v>
      </c>
      <c r="T67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-305.17780036215089</v>
      </c>
      <c r="U676" s="11"/>
      <c r="W676" t="str">
        <v>Matt Martin</v>
      </c>
      <c r="AA676" t="str">
        <v>Matt Martin</v>
      </c>
      <c r="AB676" t="str">
        <v>Matt Martin</v>
      </c>
    </row>
    <row r="677" spans="1:28" x14ac:dyDescent="0.25">
      <c r="A677" t="s">
        <v>1176</v>
      </c>
      <c r="B677">
        <f>INDEX(Proj[],MATCH(Std[[#This Row],[Player]],Proj[Player],0),2)</f>
        <v>31</v>
      </c>
      <c r="C677" t="s">
        <v>3</v>
      </c>
      <c r="D677" s="75"/>
      <c r="E677" s="56"/>
      <c r="F677" t="s">
        <v>15</v>
      </c>
      <c r="G677" s="12">
        <f>(INDEX(Proj[],MATCH(Std[[#This Row],[Player]],Proj[Player],0),14)-G$764)/G$765</f>
        <v>-0.9793868626547807</v>
      </c>
      <c r="H677" s="12">
        <f>(INDEX(Proj[],MATCH(Std[[#This Row],[Player]],Proj[Player],0),15)-H$764)/H$765</f>
        <v>-0.96078590145269582</v>
      </c>
      <c r="I677" s="12">
        <f>(INDEX(Proj[],MATCH(Std[[#This Row],[Player]],Proj[Player],0),16)-I$764)/I$765</f>
        <v>-1.0470327670369184</v>
      </c>
      <c r="J677" s="12">
        <f>(INDEX(Proj[],MATCH(Std[[#This Row],[Player]],Proj[Player],0),17)-J$764)/J$765</f>
        <v>-0.76105581014900237</v>
      </c>
      <c r="K677" s="12">
        <f>(INDEX(Proj[],MATCH(Std[[#This Row],[Player]],Proj[Player],0),18)-K$764)/K$765</f>
        <v>-0.75859266061649311</v>
      </c>
      <c r="L677" s="12">
        <f>(INDEX(Proj[],MATCH(Std[[#This Row],[Player]],Proj[Player],0),19)-L$764)/L$765</f>
        <v>-0.81647589674950882</v>
      </c>
      <c r="M677" s="12">
        <f>(INDEX(Proj[],MATCH(Std[[#This Row],[Player]],Proj[Player],0),20)-M$764)/M$765</f>
        <v>-0.71308883245737775</v>
      </c>
      <c r="N677" s="12">
        <f>(INDEX(Proj[],MATCH(Std[[#This Row],[Player]],Proj[Player],0),21)-N$764)/N$765</f>
        <v>-0.51806775916519099</v>
      </c>
      <c r="O677" s="12">
        <f>(INDEX(Proj[],MATCH(Std[[#This Row],[Player]],Proj[Player],0),22)-O$764)/O$765</f>
        <v>0.29138390416175353</v>
      </c>
      <c r="P677" s="12">
        <f>((INDEX(Proj[],MATCH(Std[[#This Row],[Player]],Proj[Player],0),23)-P$764)/P$765)*IF('League Inputs'!$C$23 = "Yes",-1, 1)</f>
        <v>6.9963766660446167E-2</v>
      </c>
      <c r="Q677" s="12">
        <f>(INDEX(Proj[],MATCH(Std[[#This Row],[Player]],Proj[Player],0),24)-Q$764)/Q$765</f>
        <v>-0.5766103108129359</v>
      </c>
      <c r="R677" s="12">
        <f>(INDEX(Proj[],MATCH(Std[[#This Row],[Player]],Proj[Player],0),25)-R$764)/R$765</f>
        <v>-0.62531533033812681</v>
      </c>
      <c r="S677" s="12">
        <f>(INDEX(Proj[],MATCH(Std[[#This Row],[Player]],Proj[Player],0),26)-S$764)/S$765</f>
        <v>-1.0237325585568751</v>
      </c>
      <c r="T67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-556.07443856067073</v>
      </c>
      <c r="U677" s="11"/>
      <c r="W677" t="str">
        <v>Dakota Mermis</v>
      </c>
      <c r="AA677" t="str">
        <v>Dakota Mermis</v>
      </c>
      <c r="AB677" t="str">
        <v>Dakota Mermis</v>
      </c>
    </row>
    <row r="678" spans="1:28" x14ac:dyDescent="0.25">
      <c r="A678" t="s">
        <v>1065</v>
      </c>
      <c r="B678">
        <f>INDEX(Proj[],MATCH(Std[[#This Row],[Player]],Proj[Player],0),2)</f>
        <v>27</v>
      </c>
      <c r="C678" t="s">
        <v>3</v>
      </c>
      <c r="D678" s="75"/>
      <c r="E678" s="57"/>
      <c r="F678" t="s">
        <v>22</v>
      </c>
      <c r="G678" s="12">
        <f>(INDEX(Proj[],MATCH(Std[[#This Row],[Player]],Proj[Player],0),14)-G$764)/G$765</f>
        <v>-1.190654600170312</v>
      </c>
      <c r="H678" s="12">
        <f>(INDEX(Proj[],MATCH(Std[[#This Row],[Player]],Proj[Player],0),15)-H$764)/H$765</f>
        <v>-0.81172736747616536</v>
      </c>
      <c r="I678" s="12">
        <f>(INDEX(Proj[],MATCH(Std[[#This Row],[Player]],Proj[Player],0),16)-I$764)/I$765</f>
        <v>-1.0470327670369184</v>
      </c>
      <c r="J678" s="12">
        <f>(INDEX(Proj[],MATCH(Std[[#This Row],[Player]],Proj[Player],0),17)-J$764)/J$765</f>
        <v>-0.76105581014900237</v>
      </c>
      <c r="K678" s="12">
        <f>(INDEX(Proj[],MATCH(Std[[#This Row],[Player]],Proj[Player],0),18)-K$764)/K$765</f>
        <v>-0.75859266061649311</v>
      </c>
      <c r="L678" s="12">
        <f>(INDEX(Proj[],MATCH(Std[[#This Row],[Player]],Proj[Player],0),19)-L$764)/L$765</f>
        <v>-0.81647589674950882</v>
      </c>
      <c r="M678" s="12">
        <f>(INDEX(Proj[],MATCH(Std[[#This Row],[Player]],Proj[Player],0),20)-M$764)/M$765</f>
        <v>0.31240082183847029</v>
      </c>
      <c r="N678" s="12">
        <f>(INDEX(Proj[],MATCH(Std[[#This Row],[Player]],Proj[Player],0),21)-N$764)/N$765</f>
        <v>-3.3574425456476813E-2</v>
      </c>
      <c r="O678" s="12">
        <f>(INDEX(Proj[],MATCH(Std[[#This Row],[Player]],Proj[Player],0),22)-O$764)/O$765</f>
        <v>0.1985198908050107</v>
      </c>
      <c r="P678" s="12">
        <f>((INDEX(Proj[],MATCH(Std[[#This Row],[Player]],Proj[Player],0),23)-P$764)/P$765)*IF('League Inputs'!$C$23 = "Yes",-1, 1)</f>
        <v>-0.48851352491985539</v>
      </c>
      <c r="Q678" s="12">
        <f>(INDEX(Proj[],MATCH(Std[[#This Row],[Player]],Proj[Player],0),24)-Q$764)/Q$765</f>
        <v>-0.5766103108129359</v>
      </c>
      <c r="R678" s="12">
        <f>(INDEX(Proj[],MATCH(Std[[#This Row],[Player]],Proj[Player],0),25)-R$764)/R$765</f>
        <v>-0.62531533033812681</v>
      </c>
      <c r="S678" s="12">
        <f>(INDEX(Proj[],MATCH(Std[[#This Row],[Player]],Proj[Player],0),26)-S$764)/S$765</f>
        <v>-1.2183568866692909</v>
      </c>
      <c r="T67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-598.4425888486453</v>
      </c>
      <c r="U678" s="11"/>
      <c r="W678" t="str">
        <v>Parker Wotherspoon</v>
      </c>
      <c r="AA678" t="str">
        <v>Parker Wotherspoon</v>
      </c>
      <c r="AB678" t="str">
        <v>Parker Wotherspoon</v>
      </c>
    </row>
    <row r="679" spans="1:28" x14ac:dyDescent="0.25">
      <c r="A679" t="s">
        <v>758</v>
      </c>
      <c r="B679">
        <f>INDEX(Proj[],MATCH(Std[[#This Row],[Player]],Proj[Player],0),2)</f>
        <v>28</v>
      </c>
      <c r="C679" t="s">
        <v>3</v>
      </c>
      <c r="D679" s="75"/>
      <c r="E679" s="57"/>
      <c r="F679" t="s">
        <v>25</v>
      </c>
      <c r="G679" s="12">
        <f>(INDEX(Proj[],MATCH(Std[[#This Row],[Player]],Proj[Player],0),14)-G$764)/G$765</f>
        <v>-0.9793868626547807</v>
      </c>
      <c r="H679" s="12">
        <f>(INDEX(Proj[],MATCH(Std[[#This Row],[Player]],Proj[Player],0),15)-H$764)/H$765</f>
        <v>-0.96078590145269582</v>
      </c>
      <c r="I679" s="12">
        <f>(INDEX(Proj[],MATCH(Std[[#This Row],[Player]],Proj[Player],0),16)-I$764)/I$765</f>
        <v>-1.0470327670369184</v>
      </c>
      <c r="J679" s="12">
        <f>(INDEX(Proj[],MATCH(Std[[#This Row],[Player]],Proj[Player],0),17)-J$764)/J$765</f>
        <v>-0.76105581014900237</v>
      </c>
      <c r="K679" s="12">
        <f>(INDEX(Proj[],MATCH(Std[[#This Row],[Player]],Proj[Player],0),18)-K$764)/K$765</f>
        <v>-0.75859266061649311</v>
      </c>
      <c r="L679" s="12">
        <f>(INDEX(Proj[],MATCH(Std[[#This Row],[Player]],Proj[Player],0),19)-L$764)/L$765</f>
        <v>-0.81647589674950882</v>
      </c>
      <c r="M679" s="12">
        <f>(INDEX(Proj[],MATCH(Std[[#This Row],[Player]],Proj[Player],0),20)-M$764)/M$765</f>
        <v>-0.71308883245737775</v>
      </c>
      <c r="N679" s="12">
        <f>(INDEX(Proj[],MATCH(Std[[#This Row],[Player]],Proj[Player],0),21)-N$764)/N$765</f>
        <v>-0.45992855912014524</v>
      </c>
      <c r="O679" s="12">
        <f>(INDEX(Proj[],MATCH(Std[[#This Row],[Player]],Proj[Player],0),22)-O$764)/O$765</f>
        <v>0.1985198908050107</v>
      </c>
      <c r="P679" s="12">
        <f>((INDEX(Proj[],MATCH(Std[[#This Row],[Player]],Proj[Player],0),23)-P$764)/P$765)*IF('League Inputs'!$C$23 = "Yes",-1, 1)</f>
        <v>-0.39543397632313848</v>
      </c>
      <c r="Q679" s="12">
        <f>(INDEX(Proj[],MATCH(Std[[#This Row],[Player]],Proj[Player],0),24)-Q$764)/Q$765</f>
        <v>-0.5766103108129359</v>
      </c>
      <c r="R679" s="12">
        <f>(INDEX(Proj[],MATCH(Std[[#This Row],[Player]],Proj[Player],0),25)-R$764)/R$765</f>
        <v>-0.62531533033812681</v>
      </c>
      <c r="S679" s="12">
        <f>(INDEX(Proj[],MATCH(Std[[#This Row],[Player]],Proj[Player],0),26)-S$764)/S$765</f>
        <v>-1.104826028603715</v>
      </c>
      <c r="T67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-614.19604119488281</v>
      </c>
      <c r="U679" s="11"/>
      <c r="W679" t="str">
        <v>Travis Dermott</v>
      </c>
      <c r="AA679" t="str">
        <v>Travis Dermott</v>
      </c>
      <c r="AB679" t="str">
        <v>Travis Dermott</v>
      </c>
    </row>
    <row r="680" spans="1:28" x14ac:dyDescent="0.25">
      <c r="A680" t="s">
        <v>667</v>
      </c>
      <c r="B680">
        <f>INDEX(Proj[],MATCH(Std[[#This Row],[Player]],Proj[Player],0),2)</f>
        <v>35</v>
      </c>
      <c r="C680" t="s">
        <v>3</v>
      </c>
      <c r="D680" s="75"/>
      <c r="E680" s="57"/>
      <c r="F680" t="s">
        <v>17</v>
      </c>
      <c r="G680" s="12">
        <f>(INDEX(Proj[],MATCH(Std[[#This Row],[Player]],Proj[Player],0),14)-G$764)/G$765</f>
        <v>-0.55685138762371811</v>
      </c>
      <c r="H680" s="12">
        <f>(INDEX(Proj[],MATCH(Std[[#This Row],[Player]],Proj[Player],0),15)-H$764)/H$765</f>
        <v>-1.2589029694057567</v>
      </c>
      <c r="I680" s="12">
        <f>(INDEX(Proj[],MATCH(Std[[#This Row],[Player]],Proj[Player],0),16)-I$764)/I$765</f>
        <v>-1.0470327670369184</v>
      </c>
      <c r="J680" s="12">
        <f>(INDEX(Proj[],MATCH(Std[[#This Row],[Player]],Proj[Player],0),17)-J$764)/J$765</f>
        <v>-0.76105581014900237</v>
      </c>
      <c r="K680" s="12">
        <f>(INDEX(Proj[],MATCH(Std[[#This Row],[Player]],Proj[Player],0),18)-K$764)/K$765</f>
        <v>-0.75859266061649311</v>
      </c>
      <c r="L680" s="12">
        <f>(INDEX(Proj[],MATCH(Std[[#This Row],[Player]],Proj[Player],0),19)-L$764)/L$765</f>
        <v>-0.81647589674950882</v>
      </c>
      <c r="M680" s="12">
        <f>(INDEX(Proj[],MATCH(Std[[#This Row],[Player]],Proj[Player],0),20)-M$764)/M$765</f>
        <v>0.31240082183847029</v>
      </c>
      <c r="N680" s="12">
        <f>(INDEX(Proj[],MATCH(Std[[#This Row],[Player]],Proj[Player],0),21)-N$764)/N$765</f>
        <v>0.70285544178076864</v>
      </c>
      <c r="O680" s="12">
        <f>(INDEX(Proj[],MATCH(Std[[#This Row],[Player]],Proj[Player],0),22)-O$764)/O$765</f>
        <v>-0.10328815260440355</v>
      </c>
      <c r="P680" s="12">
        <f>((INDEX(Proj[],MATCH(Std[[#This Row],[Player]],Proj[Player],0),23)-P$764)/P$765)*IF('League Inputs'!$C$23 = "Yes",-1, 1)</f>
        <v>0.16304331525716309</v>
      </c>
      <c r="Q680" s="12">
        <f>(INDEX(Proj[],MATCH(Std[[#This Row],[Player]],Proj[Player],0),24)-Q$764)/Q$765</f>
        <v>2.0033132823506477</v>
      </c>
      <c r="R680" s="12">
        <f>(INDEX(Proj[],MATCH(Std[[#This Row],[Player]],Proj[Player],0),25)-R$764)/R$765</f>
        <v>1.5028539556575717</v>
      </c>
      <c r="S680" s="12">
        <f>(INDEX(Proj[],MATCH(Std[[#This Row],[Player]],Proj[Player],0),26)-S$764)/S$765</f>
        <v>-0.87776431247256315</v>
      </c>
      <c r="T68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-179.110344650429</v>
      </c>
      <c r="U680" s="11"/>
      <c r="W680" t="str">
        <v>Luke Glendening</v>
      </c>
      <c r="AA680" t="str">
        <v>Luke Glendening</v>
      </c>
      <c r="AB680" t="str">
        <v>Luke Glendening</v>
      </c>
    </row>
    <row r="681" spans="1:28" x14ac:dyDescent="0.25">
      <c r="A681" t="s">
        <v>1191</v>
      </c>
      <c r="B681">
        <f>INDEX(Proj[],MATCH(Std[[#This Row],[Player]],Proj[Player],0),2)</f>
        <v>24</v>
      </c>
      <c r="C681" t="s">
        <v>3</v>
      </c>
      <c r="D681" s="75"/>
      <c r="E681" s="57"/>
      <c r="F681" t="s">
        <v>30</v>
      </c>
      <c r="G681" s="12">
        <f>(INDEX(Proj[],MATCH(Std[[#This Row],[Player]],Proj[Player],0),14)-G$764)/G$765</f>
        <v>-1.0850207314125464</v>
      </c>
      <c r="H681" s="12">
        <f>(INDEX(Proj[],MATCH(Std[[#This Row],[Player]],Proj[Player],0),15)-H$764)/H$765</f>
        <v>-0.88625663446443059</v>
      </c>
      <c r="I681" s="12">
        <f>(INDEX(Proj[],MATCH(Std[[#This Row],[Player]],Proj[Player],0),16)-I$764)/I$765</f>
        <v>-1.0470327670369184</v>
      </c>
      <c r="J681" s="12">
        <f>(INDEX(Proj[],MATCH(Std[[#This Row],[Player]],Proj[Player],0),17)-J$764)/J$765</f>
        <v>-0.76105581014900237</v>
      </c>
      <c r="K681" s="12">
        <f>(INDEX(Proj[],MATCH(Std[[#This Row],[Player]],Proj[Player],0),18)-K$764)/K$765</f>
        <v>-0.75859266061649311</v>
      </c>
      <c r="L681" s="12">
        <f>(INDEX(Proj[],MATCH(Std[[#This Row],[Player]],Proj[Player],0),19)-L$764)/L$765</f>
        <v>-0.81647589674950882</v>
      </c>
      <c r="M681" s="12">
        <f>(INDEX(Proj[],MATCH(Std[[#This Row],[Player]],Proj[Player],0),20)-M$764)/M$765</f>
        <v>-0.71308883245737775</v>
      </c>
      <c r="N681" s="12">
        <f>(INDEX(Proj[],MATCH(Std[[#This Row],[Player]],Proj[Player],0),21)-N$764)/N$765</f>
        <v>-0.51806775916519099</v>
      </c>
      <c r="O681" s="12">
        <f>(INDEX(Proj[],MATCH(Std[[#This Row],[Player]],Proj[Player],0),22)-O$764)/O$765</f>
        <v>0.52354393755361062</v>
      </c>
      <c r="P681" s="12">
        <f>((INDEX(Proj[],MATCH(Std[[#This Row],[Player]],Proj[Player],0),23)-P$764)/P$765)*IF('League Inputs'!$C$23 = "Yes",-1, 1)</f>
        <v>-0.67467262211328927</v>
      </c>
      <c r="Q681" s="12">
        <f>(INDEX(Proj[],MATCH(Std[[#This Row],[Player]],Proj[Player],0),24)-Q$764)/Q$765</f>
        <v>-0.5766103108129359</v>
      </c>
      <c r="R681" s="12">
        <f>(INDEX(Proj[],MATCH(Std[[#This Row],[Player]],Proj[Player],0),25)-R$764)/R$765</f>
        <v>-0.62531533033812681</v>
      </c>
      <c r="S681" s="12">
        <f>(INDEX(Proj[],MATCH(Std[[#This Row],[Player]],Proj[Player],0),26)-S$764)/S$765</f>
        <v>-1.169700804641187</v>
      </c>
      <c r="T68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-625.02935888423963</v>
      </c>
      <c r="U681" s="11"/>
      <c r="W681" t="str">
        <v>Matthew Kessel</v>
      </c>
      <c r="AA681" t="str">
        <v>Matthew Kessel</v>
      </c>
      <c r="AB681" t="str">
        <v>Matthew Kessel</v>
      </c>
    </row>
    <row r="682" spans="1:28" x14ac:dyDescent="0.25">
      <c r="A682" t="s">
        <v>754</v>
      </c>
      <c r="B682">
        <f>INDEX(Proj[],MATCH(Std[[#This Row],[Player]],Proj[Player],0),2)</f>
        <v>26</v>
      </c>
      <c r="C682" t="s">
        <v>3</v>
      </c>
      <c r="D682" s="75"/>
      <c r="E682" s="57"/>
      <c r="F682" t="s">
        <v>9</v>
      </c>
      <c r="G682" s="12">
        <f>(INDEX(Proj[],MATCH(Std[[#This Row],[Player]],Proj[Player],0),14)-G$764)/G$765</f>
        <v>-1.0850207314125464</v>
      </c>
      <c r="H682" s="12">
        <f>(INDEX(Proj[],MATCH(Std[[#This Row],[Player]],Proj[Player],0),15)-H$764)/H$765</f>
        <v>-0.88625663446443059</v>
      </c>
      <c r="I682" s="12">
        <f>(INDEX(Proj[],MATCH(Std[[#This Row],[Player]],Proj[Player],0),16)-I$764)/I$765</f>
        <v>-1.0470327670369184</v>
      </c>
      <c r="J682" s="12">
        <f>(INDEX(Proj[],MATCH(Std[[#This Row],[Player]],Proj[Player],0),17)-J$764)/J$765</f>
        <v>-0.76105581014900237</v>
      </c>
      <c r="K682" s="12">
        <f>(INDEX(Proj[],MATCH(Std[[#This Row],[Player]],Proj[Player],0),18)-K$764)/K$765</f>
        <v>-0.75859266061649311</v>
      </c>
      <c r="L682" s="12">
        <f>(INDEX(Proj[],MATCH(Std[[#This Row],[Player]],Proj[Player],0),19)-L$764)/L$765</f>
        <v>-0.81647589674950882</v>
      </c>
      <c r="M682" s="12">
        <f>(INDEX(Proj[],MATCH(Std[[#This Row],[Player]],Proj[Player],0),20)-M$764)/M$765</f>
        <v>-0.71308883245737775</v>
      </c>
      <c r="N682" s="12">
        <f>(INDEX(Proj[],MATCH(Std[[#This Row],[Player]],Proj[Player],0),21)-N$764)/N$765</f>
        <v>-0.36302989237840244</v>
      </c>
      <c r="O682" s="12">
        <f>(INDEX(Proj[],MATCH(Std[[#This Row],[Player]],Proj[Player],0),22)-O$764)/O$765</f>
        <v>-0.1961521659611464</v>
      </c>
      <c r="P682" s="12">
        <f>((INDEX(Proj[],MATCH(Std[[#This Row],[Player]],Proj[Player],0),23)-P$764)/P$765)*IF('League Inputs'!$C$23 = "Yes",-1, 1)</f>
        <v>-0.34889420202478</v>
      </c>
      <c r="Q682" s="12">
        <f>(INDEX(Proj[],MATCH(Std[[#This Row],[Player]],Proj[Player],0),24)-Q$764)/Q$765</f>
        <v>-0.5766103108129359</v>
      </c>
      <c r="R682" s="12">
        <f>(INDEX(Proj[],MATCH(Std[[#This Row],[Player]],Proj[Player],0),25)-R$764)/R$765</f>
        <v>-0.62531533033812681</v>
      </c>
      <c r="S682" s="12">
        <f>(INDEX(Proj[],MATCH(Std[[#This Row],[Player]],Proj[Player],0),26)-S$764)/S$765</f>
        <v>-1.2345755806786587</v>
      </c>
      <c r="T68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-655.40481815193277</v>
      </c>
      <c r="U682" s="11"/>
      <c r="W682" t="str">
        <v>Josh Mahura</v>
      </c>
      <c r="AA682" t="str">
        <v>Josh Mahura</v>
      </c>
      <c r="AB682" t="str">
        <v>Josh Mahura</v>
      </c>
    </row>
    <row r="683" spans="1:28" x14ac:dyDescent="0.25">
      <c r="A683" t="s">
        <v>941</v>
      </c>
      <c r="B683">
        <f>INDEX(Proj[],MATCH(Std[[#This Row],[Player]],Proj[Player],0),2)</f>
        <v>23</v>
      </c>
      <c r="C683" t="s">
        <v>3</v>
      </c>
      <c r="D683" s="75"/>
      <c r="E683" s="56"/>
      <c r="F683" t="s">
        <v>9</v>
      </c>
      <c r="G683" s="12">
        <f>(INDEX(Proj[],MATCH(Std[[#This Row],[Player]],Proj[Player],0),14)-G$764)/G$765</f>
        <v>-1.0850207314125464</v>
      </c>
      <c r="H683" s="12">
        <f>(INDEX(Proj[],MATCH(Std[[#This Row],[Player]],Proj[Player],0),15)-H$764)/H$765</f>
        <v>-0.88625663446443059</v>
      </c>
      <c r="I683" s="12">
        <f>(INDEX(Proj[],MATCH(Std[[#This Row],[Player]],Proj[Player],0),16)-I$764)/I$765</f>
        <v>-1.0470327670369184</v>
      </c>
      <c r="J683" s="12">
        <f>(INDEX(Proj[],MATCH(Std[[#This Row],[Player]],Proj[Player],0),17)-J$764)/J$765</f>
        <v>-0.76105581014900237</v>
      </c>
      <c r="K683" s="12">
        <f>(INDEX(Proj[],MATCH(Std[[#This Row],[Player]],Proj[Player],0),18)-K$764)/K$765</f>
        <v>-0.75859266061649311</v>
      </c>
      <c r="L683" s="12">
        <f>(INDEX(Proj[],MATCH(Std[[#This Row],[Player]],Proj[Player],0),19)-L$764)/L$765</f>
        <v>-0.81647589674950882</v>
      </c>
      <c r="M683" s="12">
        <f>(INDEX(Proj[],MATCH(Std[[#This Row],[Player]],Proj[Player],0),20)-M$764)/M$765</f>
        <v>-0.71308883245737775</v>
      </c>
      <c r="N683" s="12">
        <f>(INDEX(Proj[],MATCH(Std[[#This Row],[Player]],Proj[Player],0),21)-N$764)/N$765</f>
        <v>-0.16923255889491676</v>
      </c>
      <c r="O683" s="12">
        <f>(INDEX(Proj[],MATCH(Std[[#This Row],[Player]],Proj[Player],0),22)-O$764)/O$765</f>
        <v>-0.38188019267463208</v>
      </c>
      <c r="P683" s="12">
        <f>((INDEX(Proj[],MATCH(Std[[#This Row],[Player]],Proj[Player],0),23)-P$764)/P$765)*IF('League Inputs'!$C$23 = "Yes",-1, 1)</f>
        <v>-0.67467262211328927</v>
      </c>
      <c r="Q683" s="12">
        <f>(INDEX(Proj[],MATCH(Std[[#This Row],[Player]],Proj[Player],0),24)-Q$764)/Q$765</f>
        <v>-0.5766103108129359</v>
      </c>
      <c r="R683" s="12">
        <f>(INDEX(Proj[],MATCH(Std[[#This Row],[Player]],Proj[Player],0),25)-R$764)/R$765</f>
        <v>-0.62531533033812681</v>
      </c>
      <c r="S683" s="12">
        <f>(INDEX(Proj[],MATCH(Std[[#This Row],[Player]],Proj[Player],0),26)-S$764)/S$765</f>
        <v>-1.1859194986505548</v>
      </c>
      <c r="T68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-682.31012128097336</v>
      </c>
      <c r="U683" s="11"/>
      <c r="W683" t="str">
        <v>Isaak Phillips</v>
      </c>
      <c r="AA683" t="str">
        <v>Isaak Phillips</v>
      </c>
      <c r="AB683" t="str">
        <v>Isaak Phillips</v>
      </c>
    </row>
    <row r="684" spans="1:28" x14ac:dyDescent="0.25">
      <c r="A684" t="s">
        <v>1203</v>
      </c>
      <c r="B684">
        <f>INDEX(Proj[],MATCH(Std[[#This Row],[Player]],Proj[Player],0),2)</f>
        <v>26</v>
      </c>
      <c r="C684" t="s">
        <v>3</v>
      </c>
      <c r="D684" s="75"/>
      <c r="E684" s="57"/>
      <c r="F684" t="s">
        <v>9</v>
      </c>
      <c r="G684" s="12">
        <f>(INDEX(Proj[],MATCH(Std[[#This Row],[Player]],Proj[Player],0),14)-G$764)/G$765</f>
        <v>-0.9793868626547807</v>
      </c>
      <c r="H684" s="12">
        <f>(INDEX(Proj[],MATCH(Std[[#This Row],[Player]],Proj[Player],0),15)-H$764)/H$765</f>
        <v>-0.96078590145269582</v>
      </c>
      <c r="I684" s="12">
        <f>(INDEX(Proj[],MATCH(Std[[#This Row],[Player]],Proj[Player],0),16)-I$764)/I$765</f>
        <v>-1.0470327670369184</v>
      </c>
      <c r="J684" s="12">
        <f>(INDEX(Proj[],MATCH(Std[[#This Row],[Player]],Proj[Player],0),17)-J$764)/J$765</f>
        <v>-0.76105581014900237</v>
      </c>
      <c r="K684" s="12">
        <f>(INDEX(Proj[],MATCH(Std[[#This Row],[Player]],Proj[Player],0),18)-K$764)/K$765</f>
        <v>-0.75859266061649311</v>
      </c>
      <c r="L684" s="12">
        <f>(INDEX(Proj[],MATCH(Std[[#This Row],[Player]],Proj[Player],0),19)-L$764)/L$765</f>
        <v>-0.81647589674950882</v>
      </c>
      <c r="M684" s="12">
        <f>(INDEX(Proj[],MATCH(Std[[#This Row],[Player]],Proj[Player],0),20)-M$764)/M$765</f>
        <v>-0.71308883245737775</v>
      </c>
      <c r="N684" s="12">
        <f>(INDEX(Proj[],MATCH(Std[[#This Row],[Player]],Proj[Player],0),21)-N$764)/N$765</f>
        <v>-1.002561092873905</v>
      </c>
      <c r="O684" s="12">
        <f>(INDEX(Proj[],MATCH(Std[[#This Row],[Player]],Proj[Player],0),22)-O$764)/O$765</f>
        <v>-0.38188019267463208</v>
      </c>
      <c r="P684" s="12">
        <f>((INDEX(Proj[],MATCH(Std[[#This Row],[Player]],Proj[Player],0),23)-P$764)/P$765)*IF('League Inputs'!$C$23 = "Yes",-1, 1)</f>
        <v>-0.90737149360508162</v>
      </c>
      <c r="Q684" s="12">
        <f>(INDEX(Proj[],MATCH(Std[[#This Row],[Player]],Proj[Player],0),24)-Q$764)/Q$765</f>
        <v>-0.5766103108129359</v>
      </c>
      <c r="R684" s="12">
        <f>(INDEX(Proj[],MATCH(Std[[#This Row],[Player]],Proj[Player],0),25)-R$764)/R$765</f>
        <v>-0.62531533033812681</v>
      </c>
      <c r="S684" s="12">
        <f>(INDEX(Proj[],MATCH(Std[[#This Row],[Player]],Proj[Player],0),26)-S$764)/S$765</f>
        <v>-1.1372634166224509</v>
      </c>
      <c r="T68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-780.93679344829093</v>
      </c>
      <c r="U684" s="11"/>
      <c r="W684" t="str">
        <v>Sam Malinski</v>
      </c>
      <c r="AA684" t="str">
        <v>Sam Malinski</v>
      </c>
      <c r="AB684" t="str">
        <v>Sam Malinski</v>
      </c>
    </row>
    <row r="685" spans="1:28" x14ac:dyDescent="0.25">
      <c r="A685" t="s">
        <v>742</v>
      </c>
      <c r="B685">
        <f>INDEX(Proj[],MATCH(Std[[#This Row],[Player]],Proj[Player],0),2)</f>
        <v>26</v>
      </c>
      <c r="C685" t="s">
        <v>3</v>
      </c>
      <c r="D685" s="75"/>
      <c r="E685" s="57"/>
      <c r="F685" t="s">
        <v>31</v>
      </c>
      <c r="G685" s="12">
        <f>(INDEX(Proj[],MATCH(Std[[#This Row],[Player]],Proj[Player],0),14)-G$764)/G$765</f>
        <v>-0.7681191251392494</v>
      </c>
      <c r="H685" s="12">
        <f>(INDEX(Proj[],MATCH(Std[[#This Row],[Player]],Proj[Player],0),15)-H$764)/H$765</f>
        <v>-1.1098444354292263</v>
      </c>
      <c r="I685" s="12">
        <f>(INDEX(Proj[],MATCH(Std[[#This Row],[Player]],Proj[Player],0),16)-I$764)/I$765</f>
        <v>-1.0470327670369184</v>
      </c>
      <c r="J685" s="12">
        <f>(INDEX(Proj[],MATCH(Std[[#This Row],[Player]],Proj[Player],0),17)-J$764)/J$765</f>
        <v>-0.76105581014900237</v>
      </c>
      <c r="K685" s="12">
        <f>(INDEX(Proj[],MATCH(Std[[#This Row],[Player]],Proj[Player],0),18)-K$764)/K$765</f>
        <v>-0.75859266061649311</v>
      </c>
      <c r="L685" s="12">
        <f>(INDEX(Proj[],MATCH(Std[[#This Row],[Player]],Proj[Player],0),19)-L$764)/L$765</f>
        <v>-0.81647589674950882</v>
      </c>
      <c r="M685" s="12">
        <f>(INDEX(Proj[],MATCH(Std[[#This Row],[Player]],Proj[Player],0),20)-M$764)/M$765</f>
        <v>0.31240082183847029</v>
      </c>
      <c r="N685" s="12">
        <f>(INDEX(Proj[],MATCH(Std[[#This Row],[Player]],Proj[Player],0),21)-N$764)/N$765</f>
        <v>1.5749434424564541</v>
      </c>
      <c r="O685" s="12">
        <f>(INDEX(Proj[],MATCH(Std[[#This Row],[Player]],Proj[Player],0),22)-O$764)/O$765</f>
        <v>-0.84620025945834632</v>
      </c>
      <c r="P685" s="12">
        <f>((INDEX(Proj[],MATCH(Std[[#This Row],[Player]],Proj[Player],0),23)-P$764)/P$765)*IF('League Inputs'!$C$23 = "Yes",-1, 1)</f>
        <v>0.44228196104731388</v>
      </c>
      <c r="Q685" s="12">
        <f>(INDEX(Proj[],MATCH(Std[[#This Row],[Player]],Proj[Player],0),24)-Q$764)/Q$765</f>
        <v>-0.10753329387410253</v>
      </c>
      <c r="R685" s="12">
        <f>(INDEX(Proj[],MATCH(Std[[#This Row],[Player]],Proj[Player],0),25)-R$764)/R$765</f>
        <v>-0.13725517408311327</v>
      </c>
      <c r="S685" s="12">
        <f>(INDEX(Proj[],MATCH(Std[[#This Row],[Player]],Proj[Player],0),26)-S$764)/S$765</f>
        <v>-0.89398300648193119</v>
      </c>
      <c r="T68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-357.19633806655156</v>
      </c>
      <c r="U685" s="11"/>
      <c r="W685" t="str">
        <v>Reese Johnson</v>
      </c>
      <c r="AA685" t="str">
        <v>Reese Johnson</v>
      </c>
      <c r="AB685" t="str">
        <v>Reese Johnson</v>
      </c>
    </row>
    <row r="686" spans="1:28" x14ac:dyDescent="0.25">
      <c r="A686" t="s">
        <v>684</v>
      </c>
      <c r="B686">
        <f>INDEX(Proj[],MATCH(Std[[#This Row],[Player]],Proj[Player],0),2)</f>
        <v>29</v>
      </c>
      <c r="C686" t="s">
        <v>74</v>
      </c>
      <c r="D686" s="75"/>
      <c r="E686" s="56"/>
      <c r="F686" t="s">
        <v>22</v>
      </c>
      <c r="G686" s="12">
        <f>(INDEX(Proj[],MATCH(Std[[#This Row],[Player]],Proj[Player],0),14)-G$764)/G$765</f>
        <v>-0.7681191251392494</v>
      </c>
      <c r="H686" s="12">
        <f>(INDEX(Proj[],MATCH(Std[[#This Row],[Player]],Proj[Player],0),15)-H$764)/H$765</f>
        <v>-1.1098444354292263</v>
      </c>
      <c r="I686" s="12">
        <f>(INDEX(Proj[],MATCH(Std[[#This Row],[Player]],Proj[Player],0),16)-I$764)/I$765</f>
        <v>-1.0470327670369184</v>
      </c>
      <c r="J686" s="12">
        <f>(INDEX(Proj[],MATCH(Std[[#This Row],[Player]],Proj[Player],0),17)-J$764)/J$765</f>
        <v>-0.76105581014900237</v>
      </c>
      <c r="K686" s="12">
        <f>(INDEX(Proj[],MATCH(Std[[#This Row],[Player]],Proj[Player],0),18)-K$764)/K$765</f>
        <v>-0.75859266061649311</v>
      </c>
      <c r="L686" s="12">
        <f>(INDEX(Proj[],MATCH(Std[[#This Row],[Player]],Proj[Player],0),19)-L$764)/L$765</f>
        <v>-0.81647589674950882</v>
      </c>
      <c r="M686" s="12">
        <f>(INDEX(Proj[],MATCH(Std[[#This Row],[Player]],Proj[Player],0),20)-M$764)/M$765</f>
        <v>-0.71308883245737775</v>
      </c>
      <c r="N686" s="12">
        <f>(INDEX(Proj[],MATCH(Std[[#This Row],[Player]],Proj[Player],0),21)-N$764)/N$765</f>
        <v>0.58657704169067726</v>
      </c>
      <c r="O686" s="12">
        <f>(INDEX(Proj[],MATCH(Std[[#This Row],[Player]],Proj[Player],0),22)-O$764)/O$765</f>
        <v>-1.2408723162245034</v>
      </c>
      <c r="P686" s="12">
        <f>((INDEX(Proj[],MATCH(Std[[#This Row],[Player]],Proj[Player],0),23)-P$764)/P$765)*IF('League Inputs'!$C$23 = "Yes",-1, 1)</f>
        <v>-0.53505329921821387</v>
      </c>
      <c r="Q686" s="12">
        <f>(INDEX(Proj[],MATCH(Std[[#This Row],[Player]],Proj[Player],0),24)-Q$764)/Q$765</f>
        <v>-0.54462778693074265</v>
      </c>
      <c r="R686" s="12">
        <f>(INDEX(Proj[],MATCH(Std[[#This Row],[Player]],Proj[Player],0),25)-R$764)/R$765</f>
        <v>-0.57991438557021857</v>
      </c>
      <c r="S686" s="12">
        <f>(INDEX(Proj[],MATCH(Std[[#This Row],[Player]],Proj[Player],0),26)-S$764)/S$765</f>
        <v>-1.2021381926599228</v>
      </c>
      <c r="T68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-667.75867776976088</v>
      </c>
      <c r="U686" s="11"/>
      <c r="W686" t="str">
        <v>Dryden Hunt</v>
      </c>
      <c r="AA686" t="str">
        <v>Dryden Hunt</v>
      </c>
      <c r="AB686" t="str">
        <v>Dryden Hunt</v>
      </c>
    </row>
    <row r="687" spans="1:28" x14ac:dyDescent="0.25">
      <c r="A687" t="s">
        <v>780</v>
      </c>
      <c r="B687">
        <f>INDEX(Proj[],MATCH(Std[[#This Row],[Player]],Proj[Player],0),2)</f>
        <v>28</v>
      </c>
      <c r="C687" t="s">
        <v>3</v>
      </c>
      <c r="D687" s="75"/>
      <c r="E687" s="57"/>
      <c r="F687" t="s">
        <v>6</v>
      </c>
      <c r="G687" s="12">
        <f>(INDEX(Proj[],MATCH(Std[[#This Row],[Player]],Proj[Player],0),14)-G$764)/G$765</f>
        <v>-0.7681191251392494</v>
      </c>
      <c r="H687" s="12">
        <f>(INDEX(Proj[],MATCH(Std[[#This Row],[Player]],Proj[Player],0),15)-H$764)/H$765</f>
        <v>-1.1098444354292263</v>
      </c>
      <c r="I687" s="12">
        <f>(INDEX(Proj[],MATCH(Std[[#This Row],[Player]],Proj[Player],0),16)-I$764)/I$765</f>
        <v>-1.0470327670369184</v>
      </c>
      <c r="J687" s="12">
        <f>(INDEX(Proj[],MATCH(Std[[#This Row],[Player]],Proj[Player],0),17)-J$764)/J$765</f>
        <v>-0.76105581014900237</v>
      </c>
      <c r="K687" s="12">
        <f>(INDEX(Proj[],MATCH(Std[[#This Row],[Player]],Proj[Player],0),18)-K$764)/K$765</f>
        <v>-0.75859266061649311</v>
      </c>
      <c r="L687" s="12">
        <f>(INDEX(Proj[],MATCH(Std[[#This Row],[Player]],Proj[Player],0),19)-L$764)/L$765</f>
        <v>-0.81647589674950882</v>
      </c>
      <c r="M687" s="12">
        <f>(INDEX(Proj[],MATCH(Std[[#This Row],[Player]],Proj[Player],0),20)-M$764)/M$765</f>
        <v>0.31240082183847029</v>
      </c>
      <c r="N687" s="12">
        <f>(INDEX(Proj[],MATCH(Std[[#This Row],[Player]],Proj[Player],0),21)-N$764)/N$765</f>
        <v>8.2703974633614577E-2</v>
      </c>
      <c r="O687" s="12">
        <f>(INDEX(Proj[],MATCH(Std[[#This Row],[Player]],Proj[Player],0),22)-O$764)/O$765</f>
        <v>-0.75333624610160344</v>
      </c>
      <c r="P687" s="12">
        <f>((INDEX(Proj[],MATCH(Std[[#This Row],[Player]],Proj[Player],0),23)-P$764)/P$765)*IF('League Inputs'!$C$23 = "Yes",-1, 1)</f>
        <v>-0.81429194500836466</v>
      </c>
      <c r="Q687" s="12">
        <f>(INDEX(Proj[],MATCH(Std[[#This Row],[Player]],Proj[Player],0),24)-Q$764)/Q$765</f>
        <v>-0.5392973662837105</v>
      </c>
      <c r="R687" s="12">
        <f>(INDEX(Proj[],MATCH(Std[[#This Row],[Player]],Proj[Player],0),25)-R$764)/R$765</f>
        <v>-0.56288903128225298</v>
      </c>
      <c r="S687" s="12">
        <f>(INDEX(Proj[],MATCH(Std[[#This Row],[Player]],Proj[Player],0),26)-S$764)/S$765</f>
        <v>-0.95885778251940312</v>
      </c>
      <c r="T68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-672.45515896343704</v>
      </c>
      <c r="U687" s="11"/>
      <c r="W687" t="str">
        <v>Joel Kiviranta</v>
      </c>
      <c r="AA687" t="str">
        <v>Joel Kiviranta</v>
      </c>
      <c r="AB687" t="str">
        <v>Joel Kiviranta</v>
      </c>
    </row>
    <row r="688" spans="1:28" x14ac:dyDescent="0.25">
      <c r="A688" t="s">
        <v>1154</v>
      </c>
      <c r="B688">
        <f>INDEX(Proj[],MATCH(Std[[#This Row],[Player]],Proj[Player],0),2)</f>
        <v>23</v>
      </c>
      <c r="C688" t="s">
        <v>3</v>
      </c>
      <c r="D688" s="75"/>
      <c r="E688" s="64"/>
      <c r="F688" t="s">
        <v>11</v>
      </c>
      <c r="G688" s="12">
        <f>(INDEX(Proj[],MATCH(Std[[#This Row],[Player]],Proj[Player],0),14)-G$764)/G$765</f>
        <v>-0.873752993897015</v>
      </c>
      <c r="H688" s="12">
        <f>(INDEX(Proj[],MATCH(Std[[#This Row],[Player]],Proj[Player],0),15)-H$764)/H$765</f>
        <v>-1.0353151684409609</v>
      </c>
      <c r="I688" s="12">
        <f>(INDEX(Proj[],MATCH(Std[[#This Row],[Player]],Proj[Player],0),16)-I$764)/I$765</f>
        <v>-1.0470327670369184</v>
      </c>
      <c r="J688" s="12">
        <f>(INDEX(Proj[],MATCH(Std[[#This Row],[Player]],Proj[Player],0),17)-J$764)/J$765</f>
        <v>-0.76105581014900237</v>
      </c>
      <c r="K688" s="12">
        <f>(INDEX(Proj[],MATCH(Std[[#This Row],[Player]],Proj[Player],0),18)-K$764)/K$765</f>
        <v>-0.75859266061649311</v>
      </c>
      <c r="L688" s="12">
        <f>(INDEX(Proj[],MATCH(Std[[#This Row],[Player]],Proj[Player],0),19)-L$764)/L$765</f>
        <v>-0.81647589674950882</v>
      </c>
      <c r="M688" s="12">
        <f>(INDEX(Proj[],MATCH(Std[[#This Row],[Player]],Proj[Player],0),20)-M$764)/M$765</f>
        <v>-0.71308883245737775</v>
      </c>
      <c r="N688" s="12">
        <f>(INDEX(Proj[],MATCH(Std[[#This Row],[Player]],Proj[Player],0),21)-N$764)/N$765</f>
        <v>-1.0219408262222536</v>
      </c>
      <c r="O688" s="12">
        <f>(INDEX(Proj[],MATCH(Std[[#This Row],[Player]],Proj[Player],0),22)-O$764)/O$765</f>
        <v>-0.73012024276241771</v>
      </c>
      <c r="P688" s="12">
        <f>((INDEX(Proj[],MATCH(Std[[#This Row],[Player]],Proj[Player],0),23)-P$764)/P$765)*IF('League Inputs'!$C$23 = "Yes",-1, 1)</f>
        <v>-1.2796896879919493</v>
      </c>
      <c r="Q688" s="12">
        <f>(INDEX(Proj[],MATCH(Std[[#This Row],[Player]],Proj[Player],0),24)-Q$764)/Q$765</f>
        <v>-0.41136727075493779</v>
      </c>
      <c r="R688" s="12">
        <f>(INDEX(Proj[],MATCH(Std[[#This Row],[Player]],Proj[Player],0),25)-R$764)/R$765</f>
        <v>-0.42668619697852828</v>
      </c>
      <c r="S688" s="12">
        <f>(INDEX(Proj[],MATCH(Std[[#This Row],[Player]],Proj[Player],0),26)-S$764)/S$765</f>
        <v>-1.072388640584979</v>
      </c>
      <c r="T68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-828.80834944409423</v>
      </c>
      <c r="U688" s="11"/>
      <c r="W688" t="str">
        <v>Mikael Pyyhtia</v>
      </c>
      <c r="AA688" t="str">
        <v>Mikael Pyyhtia</v>
      </c>
      <c r="AB688" t="str">
        <v>Mikael Pyyhtia</v>
      </c>
    </row>
    <row r="689" spans="1:28" x14ac:dyDescent="0.25">
      <c r="A689" t="s">
        <v>1146</v>
      </c>
      <c r="B689">
        <f>INDEX(Proj[],MATCH(Std[[#This Row],[Player]],Proj[Player],0),2)</f>
        <v>22</v>
      </c>
      <c r="C689" t="s">
        <v>3</v>
      </c>
      <c r="D689" s="75"/>
      <c r="E689" s="57"/>
      <c r="F689" t="s">
        <v>23</v>
      </c>
      <c r="G689" s="12">
        <f>(INDEX(Proj[],MATCH(Std[[#This Row],[Player]],Proj[Player],0),14)-G$764)/G$765</f>
        <v>-0.873752993897015</v>
      </c>
      <c r="H689" s="12">
        <f>(INDEX(Proj[],MATCH(Std[[#This Row],[Player]],Proj[Player],0),15)-H$764)/H$765</f>
        <v>-1.0353151684409609</v>
      </c>
      <c r="I689" s="12">
        <f>(INDEX(Proj[],MATCH(Std[[#This Row],[Player]],Proj[Player],0),16)-I$764)/I$765</f>
        <v>-1.0470327670369184</v>
      </c>
      <c r="J689" s="12">
        <f>(INDEX(Proj[],MATCH(Std[[#This Row],[Player]],Proj[Player],0),17)-J$764)/J$765</f>
        <v>-0.76105581014900237</v>
      </c>
      <c r="K689" s="12">
        <f>(INDEX(Proj[],MATCH(Std[[#This Row],[Player]],Proj[Player],0),18)-K$764)/K$765</f>
        <v>-0.75859266061649311</v>
      </c>
      <c r="L689" s="12">
        <f>(INDEX(Proj[],MATCH(Std[[#This Row],[Player]],Proj[Player],0),19)-L$764)/L$765</f>
        <v>-0.81647589674950882</v>
      </c>
      <c r="M689" s="12">
        <f>(INDEX(Proj[],MATCH(Std[[#This Row],[Player]],Proj[Player],0),20)-M$764)/M$765</f>
        <v>-0.71308883245737775</v>
      </c>
      <c r="N689" s="12">
        <f>(INDEX(Proj[],MATCH(Std[[#This Row],[Player]],Proj[Player],0),21)-N$764)/N$765</f>
        <v>-0.80876375939041945</v>
      </c>
      <c r="O689" s="12">
        <f>(INDEX(Proj[],MATCH(Std[[#This Row],[Player]],Proj[Player],0),22)-O$764)/O$765</f>
        <v>-1.1015762961893891</v>
      </c>
      <c r="P689" s="12">
        <f>((INDEX(Proj[],MATCH(Std[[#This Row],[Player]],Proj[Player],0),23)-P$764)/P$765)*IF('League Inputs'!$C$23 = "Yes",-1, 1)</f>
        <v>-1.0469908165001569</v>
      </c>
      <c r="Q689" s="12">
        <f>(INDEX(Proj[],MATCH(Std[[#This Row],[Player]],Proj[Player],0),24)-Q$764)/Q$765</f>
        <v>-0.42735853269603435</v>
      </c>
      <c r="R689" s="12">
        <f>(INDEX(Proj[],MATCH(Std[[#This Row],[Player]],Proj[Player],0),25)-R$764)/R$765</f>
        <v>-0.44371155126649386</v>
      </c>
      <c r="S689" s="12">
        <f>(INDEX(Proj[],MATCH(Std[[#This Row],[Player]],Proj[Player],0),26)-S$764)/S$765</f>
        <v>-1.3481064387442347</v>
      </c>
      <c r="T68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-850.53726696446392</v>
      </c>
      <c r="U689" s="11"/>
      <c r="W689" t="str">
        <v>Landon Slaggert</v>
      </c>
      <c r="AA689" t="str">
        <v>Landon Slaggert</v>
      </c>
      <c r="AB689" t="str">
        <v>Landon Slaggert</v>
      </c>
    </row>
    <row r="690" spans="1:28" x14ac:dyDescent="0.25">
      <c r="A690" t="s">
        <v>819</v>
      </c>
      <c r="B690">
        <f>INDEX(Proj[],MATCH(Std[[#This Row],[Player]],Proj[Player],0),2)</f>
        <v>27</v>
      </c>
      <c r="C690" t="s">
        <v>3</v>
      </c>
      <c r="D690" s="75"/>
      <c r="E690" s="57"/>
      <c r="F690" t="s">
        <v>153</v>
      </c>
      <c r="G690" s="12">
        <f>(INDEX(Proj[],MATCH(Std[[#This Row],[Player]],Proj[Player],0),14)-G$764)/G$765</f>
        <v>-0.873752993897015</v>
      </c>
      <c r="H690" s="12">
        <f>(INDEX(Proj[],MATCH(Std[[#This Row],[Player]],Proj[Player],0),15)-H$764)/H$765</f>
        <v>-1.0353151684409609</v>
      </c>
      <c r="I690" s="12">
        <f>(INDEX(Proj[],MATCH(Std[[#This Row],[Player]],Proj[Player],0),16)-I$764)/I$765</f>
        <v>-1.0470327670369184</v>
      </c>
      <c r="J690" s="12">
        <f>(INDEX(Proj[],MATCH(Std[[#This Row],[Player]],Proj[Player],0),17)-J$764)/J$765</f>
        <v>-0.76105581014900237</v>
      </c>
      <c r="K690" s="12">
        <f>(INDEX(Proj[],MATCH(Std[[#This Row],[Player]],Proj[Player],0),18)-K$764)/K$765</f>
        <v>-0.75859266061649311</v>
      </c>
      <c r="L690" s="12">
        <f>(INDEX(Proj[],MATCH(Std[[#This Row],[Player]],Proj[Player],0),19)-L$764)/L$765</f>
        <v>-0.81647589674950882</v>
      </c>
      <c r="M690" s="12">
        <f>(INDEX(Proj[],MATCH(Std[[#This Row],[Player]],Proj[Player],0),20)-M$764)/M$765</f>
        <v>-0.71308883245737775</v>
      </c>
      <c r="N690" s="12">
        <f>(INDEX(Proj[],MATCH(Std[[#This Row],[Player]],Proj[Player],0),21)-N$764)/N$765</f>
        <v>-0.20799202559161389</v>
      </c>
      <c r="O690" s="12">
        <f>(INDEX(Proj[],MATCH(Std[[#This Row],[Player]],Proj[Player],0),22)-O$764)/O$765</f>
        <v>-1.0087122828326462</v>
      </c>
      <c r="P690" s="12">
        <f>((INDEX(Proj[],MATCH(Std[[#This Row],[Player]],Proj[Player],0),23)-P$764)/P$765)*IF('League Inputs'!$C$23 = "Yes",-1, 1)</f>
        <v>-0.67467262211328927</v>
      </c>
      <c r="Q690" s="12">
        <f>(INDEX(Proj[],MATCH(Std[[#This Row],[Player]],Proj[Player],0),24)-Q$764)/Q$765</f>
        <v>-0.52863652498964608</v>
      </c>
      <c r="R690" s="12">
        <f>(INDEX(Proj[],MATCH(Std[[#This Row],[Player]],Proj[Player],0),25)-R$764)/R$765</f>
        <v>-0.5855895036662071</v>
      </c>
      <c r="S690" s="12">
        <f>(INDEX(Proj[],MATCH(Std[[#This Row],[Player]],Proj[Player],0),26)-S$764)/S$765</f>
        <v>-1.1534821106318189</v>
      </c>
      <c r="T69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-734.60723922834177</v>
      </c>
      <c r="U690" s="11"/>
      <c r="W690" t="str">
        <v>Jansen Harkins</v>
      </c>
      <c r="AA690" t="str">
        <v>Jansen Harkins</v>
      </c>
      <c r="AB690" t="str">
        <v>Jansen Harkins</v>
      </c>
    </row>
    <row r="691" spans="1:28" x14ac:dyDescent="0.25">
      <c r="A691" t="s">
        <v>724</v>
      </c>
      <c r="B691">
        <f>INDEX(Proj[],MATCH(Std[[#This Row],[Player]],Proj[Player],0),2)</f>
        <v>25</v>
      </c>
      <c r="C691" t="s">
        <v>3</v>
      </c>
      <c r="D691" s="75"/>
      <c r="E691" s="64"/>
      <c r="F691" t="s">
        <v>14</v>
      </c>
      <c r="G691" s="12">
        <f>(INDEX(Proj[],MATCH(Std[[#This Row],[Player]],Proj[Player],0),14)-G$764)/G$765</f>
        <v>-0.873752993897015</v>
      </c>
      <c r="H691" s="12">
        <f>(INDEX(Proj[],MATCH(Std[[#This Row],[Player]],Proj[Player],0),15)-H$764)/H$765</f>
        <v>-1.0353151684409609</v>
      </c>
      <c r="I691" s="12">
        <f>(INDEX(Proj[],MATCH(Std[[#This Row],[Player]],Proj[Player],0),16)-I$764)/I$765</f>
        <v>-1.0470327670369184</v>
      </c>
      <c r="J691" s="12">
        <f>(INDEX(Proj[],MATCH(Std[[#This Row],[Player]],Proj[Player],0),17)-J$764)/J$765</f>
        <v>-0.76105581014900237</v>
      </c>
      <c r="K691" s="12">
        <f>(INDEX(Proj[],MATCH(Std[[#This Row],[Player]],Proj[Player],0),18)-K$764)/K$765</f>
        <v>-0.75859266061649311</v>
      </c>
      <c r="L691" s="12">
        <f>(INDEX(Proj[],MATCH(Std[[#This Row],[Player]],Proj[Player],0),19)-L$764)/L$765</f>
        <v>-0.81647589674950882</v>
      </c>
      <c r="M691" s="12">
        <f>(INDEX(Proj[],MATCH(Std[[#This Row],[Player]],Proj[Player],0),20)-M$764)/M$765</f>
        <v>-0.71308883245737775</v>
      </c>
      <c r="N691" s="12">
        <f>(INDEX(Proj[],MATCH(Std[[#This Row],[Player]],Proj[Player],0),21)-N$764)/N$765</f>
        <v>-0.16923255889491676</v>
      </c>
      <c r="O691" s="12">
        <f>(INDEX(Proj[],MATCH(Std[[#This Row],[Player]],Proj[Player],0),22)-O$764)/O$765</f>
        <v>-0.68368823608404627</v>
      </c>
      <c r="P691" s="12">
        <f>((INDEX(Proj[],MATCH(Std[[#This Row],[Player]],Proj[Player],0),23)-P$764)/P$765)*IF('League Inputs'!$C$23 = "Yes",-1, 1)</f>
        <v>-1.2796896879919493</v>
      </c>
      <c r="Q691" s="12">
        <f>(INDEX(Proj[],MATCH(Std[[#This Row],[Player]],Proj[Player],0),24)-Q$764)/Q$765</f>
        <v>-0.37405432622571239</v>
      </c>
      <c r="R691" s="12">
        <f>(INDEX(Proj[],MATCH(Std[[#This Row],[Player]],Proj[Player],0),25)-R$764)/R$765</f>
        <v>-0.36993501601864298</v>
      </c>
      <c r="S691" s="12">
        <f>(INDEX(Proj[],MATCH(Std[[#This Row],[Player]],Proj[Player],0),26)-S$764)/S$765</f>
        <v>-1.104826028603715</v>
      </c>
      <c r="T69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-738.40676639247431</v>
      </c>
      <c r="U691" s="11"/>
      <c r="W691" t="str">
        <v>Jaret Anderson-Dolan</v>
      </c>
      <c r="AA691" t="str">
        <v>Jaret Anderson-Dolan</v>
      </c>
      <c r="AB691" t="str">
        <v>Jaret Anderson-Dolan</v>
      </c>
    </row>
    <row r="692" spans="1:28" x14ac:dyDescent="0.25">
      <c r="A692" t="s">
        <v>958</v>
      </c>
      <c r="B692">
        <f>INDEX(Proj[],MATCH(Std[[#This Row],[Player]],Proj[Player],0),2)</f>
        <v>24</v>
      </c>
      <c r="C692" t="s">
        <v>3</v>
      </c>
      <c r="D692" s="75"/>
      <c r="E692" s="58"/>
      <c r="F692" t="s">
        <v>21</v>
      </c>
      <c r="G692" s="12">
        <f>(INDEX(Proj[],MATCH(Std[[#This Row],[Player]],Proj[Player],0),14)-G$764)/G$765</f>
        <v>-0.873752993897015</v>
      </c>
      <c r="H692" s="12">
        <f>(INDEX(Proj[],MATCH(Std[[#This Row],[Player]],Proj[Player],0),15)-H$764)/H$765</f>
        <v>-1.0353151684409609</v>
      </c>
      <c r="I692" s="12">
        <f>(INDEX(Proj[],MATCH(Std[[#This Row],[Player]],Proj[Player],0),16)-I$764)/I$765</f>
        <v>-1.0470327670369184</v>
      </c>
      <c r="J692" s="12">
        <f>(INDEX(Proj[],MATCH(Std[[#This Row],[Player]],Proj[Player],0),17)-J$764)/J$765</f>
        <v>-0.76105581014900237</v>
      </c>
      <c r="K692" s="12">
        <f>(INDEX(Proj[],MATCH(Std[[#This Row],[Player]],Proj[Player],0),18)-K$764)/K$765</f>
        <v>-0.75859266061649311</v>
      </c>
      <c r="L692" s="12">
        <f>(INDEX(Proj[],MATCH(Std[[#This Row],[Player]],Proj[Player],0),19)-L$764)/L$765</f>
        <v>-0.81647589674950882</v>
      </c>
      <c r="M692" s="12">
        <f>(INDEX(Proj[],MATCH(Std[[#This Row],[Player]],Proj[Player],0),20)-M$764)/M$765</f>
        <v>0.31240082183847029</v>
      </c>
      <c r="N692" s="12">
        <f>(INDEX(Proj[],MATCH(Std[[#This Row],[Player]],Proj[Player],0),21)-N$764)/N$765</f>
        <v>-0.82814349273876797</v>
      </c>
      <c r="O692" s="12">
        <f>(INDEX(Proj[],MATCH(Std[[#This Row],[Player]],Proj[Player],0),22)-O$764)/O$765</f>
        <v>-0.75333624610160344</v>
      </c>
      <c r="P692" s="12">
        <f>((INDEX(Proj[],MATCH(Std[[#This Row],[Player]],Proj[Player],0),23)-P$764)/P$765)*IF('League Inputs'!$C$23 = "Yes",-1, 1)</f>
        <v>-1.0469908165001569</v>
      </c>
      <c r="Q692" s="12">
        <f>(INDEX(Proj[],MATCH(Std[[#This Row],[Player]],Proj[Player],0),24)-Q$764)/Q$765</f>
        <v>-9.2488093345858581E-4</v>
      </c>
      <c r="R692" s="12">
        <f>(INDEX(Proj[],MATCH(Std[[#This Row],[Player]],Proj[Player],0),25)-R$764)/R$765</f>
        <v>0.16352608500427879</v>
      </c>
      <c r="S692" s="12">
        <f>(INDEX(Proj[],MATCH(Std[[#This Row],[Player]],Proj[Player],0),26)-S$764)/S$765</f>
        <v>-1.3481064387442347</v>
      </c>
      <c r="T69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-775.00787011426246</v>
      </c>
      <c r="U692" s="11"/>
      <c r="W692" t="str">
        <v>Nils Aman</v>
      </c>
      <c r="AA692" t="str">
        <v>Nils Aman</v>
      </c>
      <c r="AB692" t="str">
        <v>Nils Aman</v>
      </c>
    </row>
    <row r="693" spans="1:28" x14ac:dyDescent="0.25">
      <c r="A693" t="s">
        <v>1149</v>
      </c>
      <c r="B693">
        <f>INDEX(Proj[],MATCH(Std[[#This Row],[Player]],Proj[Player],0),2)</f>
        <v>22</v>
      </c>
      <c r="C693" t="s">
        <v>3</v>
      </c>
      <c r="D693" s="75"/>
      <c r="E693" s="57"/>
      <c r="F693" t="s">
        <v>87</v>
      </c>
      <c r="G693" s="12">
        <f>(INDEX(Proj[],MATCH(Std[[#This Row],[Player]],Proj[Player],0),14)-G$764)/G$765</f>
        <v>-0.9793868626547807</v>
      </c>
      <c r="H693" s="12">
        <f>(INDEX(Proj[],MATCH(Std[[#This Row],[Player]],Proj[Player],0),15)-H$764)/H$765</f>
        <v>-0.96078590145269582</v>
      </c>
      <c r="I693" s="12">
        <f>(INDEX(Proj[],MATCH(Std[[#This Row],[Player]],Proj[Player],0),16)-I$764)/I$765</f>
        <v>-1.0470327670369184</v>
      </c>
      <c r="J693" s="12">
        <f>(INDEX(Proj[],MATCH(Std[[#This Row],[Player]],Proj[Player],0),17)-J$764)/J$765</f>
        <v>-0.76105581014900237</v>
      </c>
      <c r="K693" s="12">
        <f>(INDEX(Proj[],MATCH(Std[[#This Row],[Player]],Proj[Player],0),18)-K$764)/K$765</f>
        <v>-0.75859266061649311</v>
      </c>
      <c r="L693" s="12">
        <f>(INDEX(Proj[],MATCH(Std[[#This Row],[Player]],Proj[Player],0),19)-L$764)/L$765</f>
        <v>-0.81647589674950882</v>
      </c>
      <c r="M693" s="12">
        <f>(INDEX(Proj[],MATCH(Std[[#This Row],[Player]],Proj[Player],0),20)-M$764)/M$765</f>
        <v>-0.71308883245737775</v>
      </c>
      <c r="N693" s="12">
        <f>(INDEX(Proj[],MATCH(Std[[#This Row],[Player]],Proj[Player],0),21)-N$764)/N$765</f>
        <v>-0.78938402604207092</v>
      </c>
      <c r="O693" s="12">
        <f>(INDEX(Proj[],MATCH(Std[[#This Row],[Player]],Proj[Player],0),22)-O$764)/O$765</f>
        <v>-0.98549627949346053</v>
      </c>
      <c r="P693" s="12">
        <f>((INDEX(Proj[],MATCH(Std[[#This Row],[Player]],Proj[Player],0),23)-P$764)/P$765)*IF('League Inputs'!$C$23 = "Yes",-1, 1)</f>
        <v>-0.86083171930672309</v>
      </c>
      <c r="Q693" s="12">
        <f>(INDEX(Proj[],MATCH(Std[[#This Row],[Player]],Proj[Player],0),24)-Q$764)/Q$765</f>
        <v>-3.8237825462683964E-2</v>
      </c>
      <c r="R693" s="12">
        <f>(INDEX(Proj[],MATCH(Std[[#This Row],[Player]],Proj[Player],0),25)-R$764)/R$765</f>
        <v>-2.9427930259331221E-2</v>
      </c>
      <c r="S693" s="12">
        <f>(INDEX(Proj[],MATCH(Std[[#This Row],[Player]],Proj[Player],0),26)-S$764)/S$765</f>
        <v>-1.5913868488847545</v>
      </c>
      <c r="T69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-806.90181270835967</v>
      </c>
      <c r="U693" s="11"/>
      <c r="W693" t="str">
        <v>Marat Khusnutdinov</v>
      </c>
      <c r="AA693" t="str">
        <v>Marat Khusnutdinov</v>
      </c>
      <c r="AB693" t="str">
        <v>Marat Khusnutdinov</v>
      </c>
    </row>
    <row r="694" spans="1:28" x14ac:dyDescent="0.25">
      <c r="A694" t="s">
        <v>624</v>
      </c>
      <c r="B694">
        <f>INDEX(Proj[],MATCH(Std[[#This Row],[Player]],Proj[Player],0),2)</f>
        <v>29</v>
      </c>
      <c r="C694" t="s">
        <v>3</v>
      </c>
      <c r="D694" s="75"/>
      <c r="E694" s="56"/>
      <c r="F694" t="s">
        <v>32</v>
      </c>
      <c r="G694" s="12">
        <f>(INDEX(Proj[],MATCH(Std[[#This Row],[Player]],Proj[Player],0),14)-G$764)/G$765</f>
        <v>-0.9793868626547807</v>
      </c>
      <c r="H694" s="12">
        <f>(INDEX(Proj[],MATCH(Std[[#This Row],[Player]],Proj[Player],0),15)-H$764)/H$765</f>
        <v>-1.0353151684409609</v>
      </c>
      <c r="I694" s="12">
        <f>(INDEX(Proj[],MATCH(Std[[#This Row],[Player]],Proj[Player],0),16)-I$764)/I$765</f>
        <v>-1.0942753259990214</v>
      </c>
      <c r="J694" s="12">
        <f>(INDEX(Proj[],MATCH(Std[[#This Row],[Player]],Proj[Player],0),17)-J$764)/J$765</f>
        <v>-0.76105581014900237</v>
      </c>
      <c r="K694" s="12">
        <f>(INDEX(Proj[],MATCH(Std[[#This Row],[Player]],Proj[Player],0),18)-K$764)/K$765</f>
        <v>-0.75859266061649311</v>
      </c>
      <c r="L694" s="12">
        <f>(INDEX(Proj[],MATCH(Std[[#This Row],[Player]],Proj[Player],0),19)-L$764)/L$765</f>
        <v>-0.81647589674950882</v>
      </c>
      <c r="M694" s="12">
        <f>(INDEX(Proj[],MATCH(Std[[#This Row],[Player]],Proj[Player],0),20)-M$764)/M$765</f>
        <v>-0.71308883245737775</v>
      </c>
      <c r="N694" s="12">
        <f>(INDEX(Proj[],MATCH(Std[[#This Row],[Player]],Proj[Player],0),21)-N$764)/N$765</f>
        <v>2.505170643177185</v>
      </c>
      <c r="O694" s="12">
        <f>(INDEX(Proj[],MATCH(Std[[#This Row],[Player]],Proj[Player],0),22)-O$764)/O$765</f>
        <v>1.7075601078520819</v>
      </c>
      <c r="P694" s="12">
        <f>((INDEX(Proj[],MATCH(Std[[#This Row],[Player]],Proj[Player],0),23)-P$764)/P$765)*IF('League Inputs'!$C$23 = "Yes",-1, 1)</f>
        <v>1.8850149642964262</v>
      </c>
      <c r="Q694" s="12">
        <f>(INDEX(Proj[],MATCH(Std[[#This Row],[Player]],Proj[Player],0),24)-Q$764)/Q$765</f>
        <v>-0.5766103108129359</v>
      </c>
      <c r="R694" s="12">
        <f>(INDEX(Proj[],MATCH(Std[[#This Row],[Player]],Proj[Player],0),25)-R$764)/R$765</f>
        <v>-0.62531533033812681</v>
      </c>
      <c r="S694" s="12">
        <f>(INDEX(Proj[],MATCH(Std[[#This Row],[Player]],Proj[Player],0),26)-S$764)/S$765</f>
        <v>-0.73179606638825134</v>
      </c>
      <c r="T69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86.388608428023389</v>
      </c>
      <c r="U694" s="11"/>
      <c r="W694" t="str">
        <v>Kyle Burroughs</v>
      </c>
      <c r="AA694" t="str">
        <v>Kyle Burroughs</v>
      </c>
      <c r="AB694" t="str">
        <v>Kyle Burroughs</v>
      </c>
    </row>
    <row r="695" spans="1:28" x14ac:dyDescent="0.25">
      <c r="A695" t="s">
        <v>620</v>
      </c>
      <c r="B695">
        <f>INDEX(Proj[],MATCH(Std[[#This Row],[Player]],Proj[Player],0),2)</f>
        <v>31</v>
      </c>
      <c r="C695" t="s">
        <v>3</v>
      </c>
      <c r="D695" s="75"/>
      <c r="E695" s="57"/>
      <c r="F695" t="s">
        <v>14</v>
      </c>
      <c r="G695" s="12">
        <f>(INDEX(Proj[],MATCH(Std[[#This Row],[Player]],Proj[Player],0),14)-G$764)/G$765</f>
        <v>-0.9793868626547807</v>
      </c>
      <c r="H695" s="12">
        <f>(INDEX(Proj[],MATCH(Std[[#This Row],[Player]],Proj[Player],0),15)-H$764)/H$765</f>
        <v>-1.0353151684409609</v>
      </c>
      <c r="I695" s="12">
        <f>(INDEX(Proj[],MATCH(Std[[#This Row],[Player]],Proj[Player],0),16)-I$764)/I$765</f>
        <v>-1.0942753259990214</v>
      </c>
      <c r="J695" s="12">
        <f>(INDEX(Proj[],MATCH(Std[[#This Row],[Player]],Proj[Player],0),17)-J$764)/J$765</f>
        <v>-0.76105581014900237</v>
      </c>
      <c r="K695" s="12">
        <f>(INDEX(Proj[],MATCH(Std[[#This Row],[Player]],Proj[Player],0),18)-K$764)/K$765</f>
        <v>-0.75859266061649311</v>
      </c>
      <c r="L695" s="12">
        <f>(INDEX(Proj[],MATCH(Std[[#This Row],[Player]],Proj[Player],0),19)-L$764)/L$765</f>
        <v>-0.81647589674950882</v>
      </c>
      <c r="M695" s="12">
        <f>(INDEX(Proj[],MATCH(Std[[#This Row],[Player]],Proj[Player],0),20)-M$764)/M$765</f>
        <v>-0.71308883245737775</v>
      </c>
      <c r="N695" s="12">
        <f>(INDEX(Proj[],MATCH(Std[[#This Row],[Player]],Proj[Player],0),21)-N$764)/N$765</f>
        <v>0.89665277526425435</v>
      </c>
      <c r="O695" s="12">
        <f>(INDEX(Proj[],MATCH(Std[[#This Row],[Player]],Proj[Player],0),22)-O$764)/O$765</f>
        <v>0.87178398764139631</v>
      </c>
      <c r="P695" s="12">
        <f>((INDEX(Proj[],MATCH(Std[[#This Row],[Player]],Proj[Player],0),23)-P$764)/P$765)*IF('League Inputs'!$C$23 = "Yes",-1, 1)</f>
        <v>1.4196172213128415</v>
      </c>
      <c r="Q695" s="12">
        <f>(INDEX(Proj[],MATCH(Std[[#This Row],[Player]],Proj[Player],0),24)-Q$764)/Q$765</f>
        <v>-0.5766103108129359</v>
      </c>
      <c r="R695" s="12">
        <f>(INDEX(Proj[],MATCH(Std[[#This Row],[Player]],Proj[Player],0),25)-R$764)/R$765</f>
        <v>-0.62531533033812681</v>
      </c>
      <c r="S695" s="12">
        <f>(INDEX(Proj[],MATCH(Std[[#This Row],[Player]],Proj[Player],0),26)-S$764)/S$765</f>
        <v>-1.072388640584979</v>
      </c>
      <c r="T69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-238.63982210236952</v>
      </c>
      <c r="U695" s="11"/>
      <c r="W695" t="str">
        <v>Josh Brown</v>
      </c>
      <c r="AA695" t="str">
        <v>Josh Brown</v>
      </c>
      <c r="AB695" t="str">
        <v>Josh Brown</v>
      </c>
    </row>
    <row r="696" spans="1:28" x14ac:dyDescent="0.25">
      <c r="A696" t="s">
        <v>927</v>
      </c>
      <c r="B696">
        <f>INDEX(Proj[],MATCH(Std[[#This Row],[Player]],Proj[Player],0),2)</f>
        <v>25</v>
      </c>
      <c r="C696" t="s">
        <v>3</v>
      </c>
      <c r="D696" s="75"/>
      <c r="E696" s="56"/>
      <c r="F696" t="s">
        <v>156</v>
      </c>
      <c r="G696" s="12">
        <f>(INDEX(Proj[],MATCH(Std[[#This Row],[Player]],Proj[Player],0),14)-G$764)/G$765</f>
        <v>-1.0850207314125464</v>
      </c>
      <c r="H696" s="12">
        <f>(INDEX(Proj[],MATCH(Std[[#This Row],[Player]],Proj[Player],0),15)-H$764)/H$765</f>
        <v>-0.96078590145269582</v>
      </c>
      <c r="I696" s="12">
        <f>(INDEX(Proj[],MATCH(Std[[#This Row],[Player]],Proj[Player],0),16)-I$764)/I$765</f>
        <v>-1.0942753259990214</v>
      </c>
      <c r="J696" s="12">
        <f>(INDEX(Proj[],MATCH(Std[[#This Row],[Player]],Proj[Player],0),17)-J$764)/J$765</f>
        <v>-0.76105581014900237</v>
      </c>
      <c r="K696" s="12">
        <f>(INDEX(Proj[],MATCH(Std[[#This Row],[Player]],Proj[Player],0),18)-K$764)/K$765</f>
        <v>-0.75859266061649311</v>
      </c>
      <c r="L696" s="12">
        <f>(INDEX(Proj[],MATCH(Std[[#This Row],[Player]],Proj[Player],0),19)-L$764)/L$765</f>
        <v>-0.81647589674950882</v>
      </c>
      <c r="M696" s="12">
        <f>(INDEX(Proj[],MATCH(Std[[#This Row],[Player]],Proj[Player],0),20)-M$764)/M$765</f>
        <v>0.31240082183847029</v>
      </c>
      <c r="N696" s="12">
        <f>(INDEX(Proj[],MATCH(Std[[#This Row],[Player]],Proj[Player],0),21)-N$764)/N$765</f>
        <v>0.87727304191590572</v>
      </c>
      <c r="O696" s="12">
        <f>(INDEX(Proj[],MATCH(Std[[#This Row],[Player]],Proj[Player],0),22)-O$764)/O$765</f>
        <v>0.22173589414419639</v>
      </c>
      <c r="P696" s="12">
        <f>((INDEX(Proj[],MATCH(Std[[#This Row],[Player]],Proj[Player],0),23)-P$764)/P$765)*IF('League Inputs'!$C$23 = "Yes",-1, 1)</f>
        <v>0.30266263815223848</v>
      </c>
      <c r="Q696" s="12">
        <f>(INDEX(Proj[],MATCH(Std[[#This Row],[Player]],Proj[Player],0),24)-Q$764)/Q$765</f>
        <v>-0.5766103108129359</v>
      </c>
      <c r="R696" s="12">
        <f>(INDEX(Proj[],MATCH(Std[[#This Row],[Player]],Proj[Player],0),25)-R$764)/R$765</f>
        <v>-0.62531533033812681</v>
      </c>
      <c r="S696" s="12">
        <f>(INDEX(Proj[],MATCH(Std[[#This Row],[Player]],Proj[Player],0),26)-S$764)/S$765</f>
        <v>-0.87776431247256315</v>
      </c>
      <c r="T69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-400.92609046869308</v>
      </c>
      <c r="U696" s="11"/>
      <c r="W696" t="str">
        <v>Brayden Pachal</v>
      </c>
      <c r="AA696" t="str">
        <v>Brayden Pachal</v>
      </c>
      <c r="AB696" t="str">
        <v>Brayden Pachal</v>
      </c>
    </row>
    <row r="697" spans="1:28" x14ac:dyDescent="0.25">
      <c r="A697" t="s">
        <v>1058</v>
      </c>
      <c r="B697">
        <f>INDEX(Proj[],MATCH(Std[[#This Row],[Player]],Proj[Player],0),2)</f>
        <v>28</v>
      </c>
      <c r="C697" t="s">
        <v>3</v>
      </c>
      <c r="D697" s="75"/>
      <c r="E697" s="56"/>
      <c r="F697" t="s">
        <v>22</v>
      </c>
      <c r="G697" s="12">
        <f>(INDEX(Proj[],MATCH(Std[[#This Row],[Player]],Proj[Player],0),14)-G$764)/G$765</f>
        <v>-1.0850207314125464</v>
      </c>
      <c r="H697" s="12">
        <f>(INDEX(Proj[],MATCH(Std[[#This Row],[Player]],Proj[Player],0),15)-H$764)/H$765</f>
        <v>-0.96078590145269582</v>
      </c>
      <c r="I697" s="12">
        <f>(INDEX(Proj[],MATCH(Std[[#This Row],[Player]],Proj[Player],0),16)-I$764)/I$765</f>
        <v>-1.0942753259990214</v>
      </c>
      <c r="J697" s="12">
        <f>(INDEX(Proj[],MATCH(Std[[#This Row],[Player]],Proj[Player],0),17)-J$764)/J$765</f>
        <v>-0.76105581014900237</v>
      </c>
      <c r="K697" s="12">
        <f>(INDEX(Proj[],MATCH(Std[[#This Row],[Player]],Proj[Player],0),18)-K$764)/K$765</f>
        <v>-0.75859266061649311</v>
      </c>
      <c r="L697" s="12">
        <f>(INDEX(Proj[],MATCH(Std[[#This Row],[Player]],Proj[Player],0),19)-L$764)/L$765</f>
        <v>-0.81647589674950882</v>
      </c>
      <c r="M697" s="12">
        <f>(INDEX(Proj[],MATCH(Std[[#This Row],[Player]],Proj[Player],0),20)-M$764)/M$765</f>
        <v>-0.71308883245737775</v>
      </c>
      <c r="N697" s="12">
        <f>(INDEX(Proj[],MATCH(Std[[#This Row],[Player]],Proj[Player],0),21)-N$764)/N$765</f>
        <v>4.3944507936917447E-2</v>
      </c>
      <c r="O697" s="12">
        <f>(INDEX(Proj[],MATCH(Std[[#This Row],[Player]],Proj[Player],0),22)-O$764)/O$765</f>
        <v>0.10565587744826785</v>
      </c>
      <c r="P697" s="12">
        <f>((INDEX(Proj[],MATCH(Std[[#This Row],[Player]],Proj[Player],0),23)-P$764)/P$765)*IF('League Inputs'!$C$23 = "Yes",-1, 1)</f>
        <v>-0.20927487912970463</v>
      </c>
      <c r="Q697" s="12">
        <f>(INDEX(Proj[],MATCH(Std[[#This Row],[Player]],Proj[Player],0),24)-Q$764)/Q$765</f>
        <v>-0.5766103108129359</v>
      </c>
      <c r="R697" s="12">
        <f>(INDEX(Proj[],MATCH(Std[[#This Row],[Player]],Proj[Player],0),25)-R$764)/R$765</f>
        <v>-0.62531533033812681</v>
      </c>
      <c r="S697" s="12">
        <f>(INDEX(Proj[],MATCH(Std[[#This Row],[Player]],Proj[Player],0),26)-S$764)/S$765</f>
        <v>-1.3643251327536026</v>
      </c>
      <c r="T69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-595.71677929248312</v>
      </c>
      <c r="U697" s="11"/>
      <c r="W697" t="str">
        <v>Dennis Gilbert</v>
      </c>
      <c r="AA697" t="str">
        <v>Dennis Gilbert</v>
      </c>
      <c r="AB697" t="str">
        <v>Dennis Gilbert</v>
      </c>
    </row>
    <row r="698" spans="1:28" x14ac:dyDescent="0.25">
      <c r="A698" t="s">
        <v>477</v>
      </c>
      <c r="B698">
        <f>INDEX(Proj[],MATCH(Std[[#This Row],[Player]],Proj[Player],0),2)</f>
        <v>33</v>
      </c>
      <c r="C698" t="s">
        <v>3</v>
      </c>
      <c r="D698" s="75"/>
      <c r="E698" s="56"/>
      <c r="F698" t="s">
        <v>32</v>
      </c>
      <c r="G698" s="12">
        <f>(INDEX(Proj[],MATCH(Std[[#This Row],[Player]],Proj[Player],0),14)-G$764)/G$765</f>
        <v>-1.190654600170312</v>
      </c>
      <c r="H698" s="12">
        <f>(INDEX(Proj[],MATCH(Std[[#This Row],[Player]],Proj[Player],0),15)-H$764)/H$765</f>
        <v>-0.88625663446443059</v>
      </c>
      <c r="I698" s="12">
        <f>(INDEX(Proj[],MATCH(Std[[#This Row],[Player]],Proj[Player],0),16)-I$764)/I$765</f>
        <v>-1.0942753259990214</v>
      </c>
      <c r="J698" s="12">
        <f>(INDEX(Proj[],MATCH(Std[[#This Row],[Player]],Proj[Player],0),17)-J$764)/J$765</f>
        <v>-0.76105581014900237</v>
      </c>
      <c r="K698" s="12">
        <f>(INDEX(Proj[],MATCH(Std[[#This Row],[Player]],Proj[Player],0),18)-K$764)/K$765</f>
        <v>-0.75859266061649311</v>
      </c>
      <c r="L698" s="12">
        <f>(INDEX(Proj[],MATCH(Std[[#This Row],[Player]],Proj[Player],0),19)-L$764)/L$765</f>
        <v>-0.81647589674950882</v>
      </c>
      <c r="M698" s="12">
        <f>(INDEX(Proj[],MATCH(Std[[#This Row],[Player]],Proj[Player],0),20)-M$764)/M$765</f>
        <v>-0.71308883245737775</v>
      </c>
      <c r="N698" s="12">
        <f>(INDEX(Proj[],MATCH(Std[[#This Row],[Player]],Proj[Player],0),21)-N$764)/N$765</f>
        <v>-0.20799202559161389</v>
      </c>
      <c r="O698" s="12">
        <f>(INDEX(Proj[],MATCH(Std[[#This Row],[Player]],Proj[Player],0),22)-O$764)/O$765</f>
        <v>0.15208788412663926</v>
      </c>
      <c r="P698" s="12">
        <f>((INDEX(Proj[],MATCH(Std[[#This Row],[Player]],Proj[Player],0),23)-P$764)/P$765)*IF('League Inputs'!$C$23 = "Yes",-1, 1)</f>
        <v>-0.39543397632313848</v>
      </c>
      <c r="Q698" s="12">
        <f>(INDEX(Proj[],MATCH(Std[[#This Row],[Player]],Proj[Player],0),24)-Q$764)/Q$765</f>
        <v>-0.5766103108129359</v>
      </c>
      <c r="R698" s="12">
        <f>(INDEX(Proj[],MATCH(Std[[#This Row],[Player]],Proj[Player],0),25)-R$764)/R$765</f>
        <v>-0.62531533033812681</v>
      </c>
      <c r="S698" s="12">
        <f>(INDEX(Proj[],MATCH(Std[[#This Row],[Player]],Proj[Player],0),26)-S$764)/S$765</f>
        <v>-1.4940746848285464</v>
      </c>
      <c r="T69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-650.9685570812868</v>
      </c>
      <c r="U698" s="11"/>
      <c r="W698" t="str">
        <v>Justin Holl</v>
      </c>
      <c r="AA698" t="str">
        <v>Justin Holl</v>
      </c>
      <c r="AB698" t="str">
        <v>Justin Holl</v>
      </c>
    </row>
    <row r="699" spans="1:28" x14ac:dyDescent="0.25">
      <c r="A699" t="s">
        <v>1209</v>
      </c>
      <c r="B699">
        <f>INDEX(Proj[],MATCH(Std[[#This Row],[Player]],Proj[Player],0),2)</f>
        <v>22</v>
      </c>
      <c r="C699" t="s">
        <v>103</v>
      </c>
      <c r="D699" s="75"/>
      <c r="E699" s="57"/>
      <c r="F699" t="s">
        <v>13</v>
      </c>
      <c r="G699" s="12">
        <f>(INDEX(Proj[],MATCH(Std[[#This Row],[Player]],Proj[Player],0),14)-G$764)/G$765</f>
        <v>-0.7681191251392494</v>
      </c>
      <c r="H699" s="12">
        <f>(INDEX(Proj[],MATCH(Std[[#This Row],[Player]],Proj[Player],0),15)-H$764)/H$765</f>
        <v>-1.1843737024174914</v>
      </c>
      <c r="I699" s="12">
        <f>(INDEX(Proj[],MATCH(Std[[#This Row],[Player]],Proj[Player],0),16)-I$764)/I$765</f>
        <v>-1.0942753259990214</v>
      </c>
      <c r="J699" s="12">
        <f>(INDEX(Proj[],MATCH(Std[[#This Row],[Player]],Proj[Player],0),17)-J$764)/J$765</f>
        <v>-0.76105581014900237</v>
      </c>
      <c r="K699" s="12">
        <f>(INDEX(Proj[],MATCH(Std[[#This Row],[Player]],Proj[Player],0),18)-K$764)/K$765</f>
        <v>-0.75859266061649311</v>
      </c>
      <c r="L699" s="12">
        <f>(INDEX(Proj[],MATCH(Std[[#This Row],[Player]],Proj[Player],0),19)-L$764)/L$765</f>
        <v>-0.81647589674950882</v>
      </c>
      <c r="M699" s="12">
        <f>(INDEX(Proj[],MATCH(Std[[#This Row],[Player]],Proj[Player],0),20)-M$764)/M$765</f>
        <v>-0.71308883245737775</v>
      </c>
      <c r="N699" s="12">
        <f>(INDEX(Proj[],MATCH(Std[[#This Row],[Player]],Proj[Player],0),21)-N$764)/N$765</f>
        <v>1.7299813092432426</v>
      </c>
      <c r="O699" s="12">
        <f>(INDEX(Proj[],MATCH(Std[[#This Row],[Player]],Proj[Player],0),22)-O$764)/O$765</f>
        <v>-1.0783602928502034</v>
      </c>
      <c r="P699" s="12">
        <f>((INDEX(Proj[],MATCH(Std[[#This Row],[Player]],Proj[Player],0),23)-P$764)/P$765)*IF('League Inputs'!$C$23 = "Yes",-1, 1)</f>
        <v>2.4434922558767278</v>
      </c>
      <c r="Q699" s="12">
        <f>(INDEX(Proj[],MATCH(Std[[#This Row],[Player]],Proj[Player],0),24)-Q$764)/Q$765</f>
        <v>-0.51264526304854952</v>
      </c>
      <c r="R699" s="12">
        <f>(INDEX(Proj[],MATCH(Std[[#This Row],[Player]],Proj[Player],0),25)-R$764)/R$765</f>
        <v>-0.55721391318626445</v>
      </c>
      <c r="S699" s="12">
        <f>(INDEX(Proj[],MATCH(Std[[#This Row],[Player]],Proj[Player],0),26)-S$764)/S$765</f>
        <v>-1.1210447226130829</v>
      </c>
      <c r="T69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-240.18207636971357</v>
      </c>
      <c r="U699" s="11"/>
      <c r="W699" t="str">
        <v>Matt Rempe</v>
      </c>
      <c r="AA699" t="str">
        <v>Matt Rempe</v>
      </c>
      <c r="AB699" t="str">
        <v>Matt Rempe</v>
      </c>
    </row>
    <row r="700" spans="1:28" x14ac:dyDescent="0.25">
      <c r="A700" t="s">
        <v>1201</v>
      </c>
      <c r="B700">
        <f>INDEX(Proj[],MATCH(Std[[#This Row],[Player]],Proj[Player],0),2)</f>
        <v>23</v>
      </c>
      <c r="C700" t="s">
        <v>3</v>
      </c>
      <c r="D700" s="75"/>
      <c r="E700" s="57"/>
      <c r="F700" t="s">
        <v>8</v>
      </c>
      <c r="G700" s="12">
        <f>(INDEX(Proj[],MATCH(Std[[#This Row],[Player]],Proj[Player],0),14)-G$764)/G$765</f>
        <v>-1.190654600170312</v>
      </c>
      <c r="H700" s="12">
        <f>(INDEX(Proj[],MATCH(Std[[#This Row],[Player]],Proj[Player],0),15)-H$764)/H$765</f>
        <v>-0.88625663446443059</v>
      </c>
      <c r="I700" s="12">
        <f>(INDEX(Proj[],MATCH(Std[[#This Row],[Player]],Proj[Player],0),16)-I$764)/I$765</f>
        <v>-1.0942753259990214</v>
      </c>
      <c r="J700" s="12">
        <f>(INDEX(Proj[],MATCH(Std[[#This Row],[Player]],Proj[Player],0),17)-J$764)/J$765</f>
        <v>-0.76105581014900237</v>
      </c>
      <c r="K700" s="12">
        <f>(INDEX(Proj[],MATCH(Std[[#This Row],[Player]],Proj[Player],0),18)-K$764)/K$765</f>
        <v>-0.75859266061649311</v>
      </c>
      <c r="L700" s="12">
        <f>(INDEX(Proj[],MATCH(Std[[#This Row],[Player]],Proj[Player],0),19)-L$764)/L$765</f>
        <v>-0.81647589674950882</v>
      </c>
      <c r="M700" s="12">
        <f>(INDEX(Proj[],MATCH(Std[[#This Row],[Player]],Proj[Player],0),20)-M$764)/M$765</f>
        <v>-0.71308883245737775</v>
      </c>
      <c r="N700" s="12">
        <f>(INDEX(Proj[],MATCH(Std[[#This Row],[Player]],Proj[Player],0),21)-N$764)/N$765</f>
        <v>-1.2932570930991336</v>
      </c>
      <c r="O700" s="12">
        <f>(INDEX(Proj[],MATCH(Std[[#This Row],[Player]],Proj[Player],0),22)-O$764)/O$765</f>
        <v>-0.14972015928277496</v>
      </c>
      <c r="P700" s="12">
        <f>((INDEX(Proj[],MATCH(Std[[#This Row],[Player]],Proj[Player],0),23)-P$764)/P$765)*IF('League Inputs'!$C$23 = "Yes",-1, 1)</f>
        <v>-0.72121239641164769</v>
      </c>
      <c r="Q700" s="12">
        <f>(INDEX(Proj[],MATCH(Std[[#This Row],[Player]],Proj[Player],0),24)-Q$764)/Q$765</f>
        <v>-0.5766103108129359</v>
      </c>
      <c r="R700" s="12">
        <f>(INDEX(Proj[],MATCH(Std[[#This Row],[Player]],Proj[Player],0),25)-R$764)/R$765</f>
        <v>-0.62531533033812681</v>
      </c>
      <c r="S700" s="12">
        <f>(INDEX(Proj[],MATCH(Std[[#This Row],[Player]],Proj[Player],0),26)-S$764)/S$765</f>
        <v>-1.1210447226130829</v>
      </c>
      <c r="T70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-784.9507139602847</v>
      </c>
      <c r="U700" s="11"/>
      <c r="W700" t="str">
        <v>Ryan Johnson</v>
      </c>
      <c r="AA700" t="str">
        <v>Ryan Johnson</v>
      </c>
      <c r="AB700" t="str">
        <v>Ryan Johnson</v>
      </c>
    </row>
    <row r="701" spans="1:28" x14ac:dyDescent="0.25">
      <c r="A701" t="s">
        <v>952</v>
      </c>
      <c r="B701">
        <f>INDEX(Proj[],MATCH(Std[[#This Row],[Player]],Proj[Player],0),2)</f>
        <v>26</v>
      </c>
      <c r="C701" t="s">
        <v>3</v>
      </c>
      <c r="D701" s="75"/>
      <c r="E701" s="57"/>
      <c r="F701" t="s">
        <v>30</v>
      </c>
      <c r="G701" s="12">
        <f>(INDEX(Proj[],MATCH(Std[[#This Row],[Player]],Proj[Player],0),14)-G$764)/G$765</f>
        <v>-0.873752993897015</v>
      </c>
      <c r="H701" s="12">
        <f>(INDEX(Proj[],MATCH(Std[[#This Row],[Player]],Proj[Player],0),15)-H$764)/H$765</f>
        <v>-1.1098444354292263</v>
      </c>
      <c r="I701" s="12">
        <f>(INDEX(Proj[],MATCH(Std[[#This Row],[Player]],Proj[Player],0),16)-I$764)/I$765</f>
        <v>-1.0942753259990214</v>
      </c>
      <c r="J701" s="12">
        <f>(INDEX(Proj[],MATCH(Std[[#This Row],[Player]],Proj[Player],0),17)-J$764)/J$765</f>
        <v>-0.76105581014900237</v>
      </c>
      <c r="K701" s="12">
        <f>(INDEX(Proj[],MATCH(Std[[#This Row],[Player]],Proj[Player],0),18)-K$764)/K$765</f>
        <v>-0.75859266061649311</v>
      </c>
      <c r="L701" s="12">
        <f>(INDEX(Proj[],MATCH(Std[[#This Row],[Player]],Proj[Player],0),19)-L$764)/L$765</f>
        <v>-0.81647589674950882</v>
      </c>
      <c r="M701" s="12">
        <f>(INDEX(Proj[],MATCH(Std[[#This Row],[Player]],Proj[Player],0),20)-M$764)/M$765</f>
        <v>0.31240082183847029</v>
      </c>
      <c r="N701" s="12">
        <f>(INDEX(Proj[],MATCH(Std[[#This Row],[Player]],Proj[Player],0),21)-N$764)/N$765</f>
        <v>-0.36302989237840244</v>
      </c>
      <c r="O701" s="12">
        <f>(INDEX(Proj[],MATCH(Std[[#This Row],[Player]],Proj[Player],0),22)-O$764)/O$765</f>
        <v>-1.031928286171832</v>
      </c>
      <c r="P701" s="12">
        <f>((INDEX(Proj[],MATCH(Std[[#This Row],[Player]],Proj[Player],0),23)-P$764)/P$765)*IF('League Inputs'!$C$23 = "Yes",-1, 1)</f>
        <v>1.0472990269259739</v>
      </c>
      <c r="Q701" s="12">
        <f>(INDEX(Proj[],MATCH(Std[[#This Row],[Player]],Proj[Player],0),24)-Q$764)/Q$765</f>
        <v>-0.45401063593119534</v>
      </c>
      <c r="R701" s="12">
        <f>(INDEX(Proj[],MATCH(Std[[#This Row],[Player]],Proj[Player],0),25)-R$764)/R$765</f>
        <v>-0.55153879509027592</v>
      </c>
      <c r="S701" s="12">
        <f>(INDEX(Proj[],MATCH(Std[[#This Row],[Player]],Proj[Player],0),26)-S$764)/S$765</f>
        <v>-1.0561699465756109</v>
      </c>
      <c r="T70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-575.21883862058382</v>
      </c>
      <c r="U701" s="11"/>
      <c r="W701" t="str">
        <v>Mason Shaw</v>
      </c>
      <c r="AA701" t="str">
        <v>Mason Shaw</v>
      </c>
      <c r="AB701" t="str">
        <v>Mason Shaw</v>
      </c>
    </row>
    <row r="702" spans="1:28" x14ac:dyDescent="0.25">
      <c r="A702" t="s">
        <v>832</v>
      </c>
      <c r="B702">
        <f>INDEX(Proj[],MATCH(Std[[#This Row],[Player]],Proj[Player],0),2)</f>
        <v>26</v>
      </c>
      <c r="C702" t="s">
        <v>3</v>
      </c>
      <c r="D702" s="75"/>
      <c r="E702" s="57"/>
      <c r="F702" t="s">
        <v>15</v>
      </c>
      <c r="G702" s="12">
        <f>(INDEX(Proj[],MATCH(Std[[#This Row],[Player]],Proj[Player],0),14)-G$764)/G$765</f>
        <v>-0.873752993897015</v>
      </c>
      <c r="H702" s="12">
        <f>(INDEX(Proj[],MATCH(Std[[#This Row],[Player]],Proj[Player],0),15)-H$764)/H$765</f>
        <v>-1.1098444354292263</v>
      </c>
      <c r="I702" s="12">
        <f>(INDEX(Proj[],MATCH(Std[[#This Row],[Player]],Proj[Player],0),16)-I$764)/I$765</f>
        <v>-1.0942753259990214</v>
      </c>
      <c r="J702" s="12">
        <f>(INDEX(Proj[],MATCH(Std[[#This Row],[Player]],Proj[Player],0),17)-J$764)/J$765</f>
        <v>-0.76105581014900237</v>
      </c>
      <c r="K702" s="12">
        <f>(INDEX(Proj[],MATCH(Std[[#This Row],[Player]],Proj[Player],0),18)-K$764)/K$765</f>
        <v>-0.75859266061649311</v>
      </c>
      <c r="L702" s="12">
        <f>(INDEX(Proj[],MATCH(Std[[#This Row],[Player]],Proj[Player],0),19)-L$764)/L$765</f>
        <v>-0.81647589674950882</v>
      </c>
      <c r="M702" s="12">
        <f>(INDEX(Proj[],MATCH(Std[[#This Row],[Player]],Proj[Player],0),20)-M$764)/M$765</f>
        <v>-0.71308883245737775</v>
      </c>
      <c r="N702" s="12">
        <f>(INDEX(Proj[],MATCH(Std[[#This Row],[Player]],Proj[Player],0),21)-N$764)/N$765</f>
        <v>-0.73124482599702512</v>
      </c>
      <c r="O702" s="12">
        <f>(INDEX(Proj[],MATCH(Std[[#This Row],[Player]],Proj[Player],0),22)-O$764)/O$765</f>
        <v>-1.1247922995285748</v>
      </c>
      <c r="P702" s="12">
        <f>((INDEX(Proj[],MATCH(Std[[#This Row],[Player]],Proj[Player],0),23)-P$764)/P$765)*IF('League Inputs'!$C$23 = "Yes",-1, 1)</f>
        <v>-1.4193090108870248</v>
      </c>
      <c r="Q702" s="12">
        <f>(INDEX(Proj[],MATCH(Std[[#This Row],[Player]],Proj[Player],0),24)-Q$764)/Q$765</f>
        <v>-0.54462778693074265</v>
      </c>
      <c r="R702" s="12">
        <f>(INDEX(Proj[],MATCH(Std[[#This Row],[Player]],Proj[Player],0),25)-R$764)/R$765</f>
        <v>-0.57423926747423004</v>
      </c>
      <c r="S702" s="12">
        <f>(INDEX(Proj[],MATCH(Std[[#This Row],[Player]],Proj[Player],0),26)-S$764)/S$765</f>
        <v>-1.2670129686973948</v>
      </c>
      <c r="T70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-898.1335544115534</v>
      </c>
      <c r="U702" s="11"/>
      <c r="W702" t="str">
        <v>Axel Jonsson-Fjallby</v>
      </c>
      <c r="AA702" t="str">
        <v>Axel Jonsson-Fjallby</v>
      </c>
      <c r="AB702" t="str">
        <v>Axel Jonsson-Fjallby</v>
      </c>
    </row>
    <row r="703" spans="1:28" x14ac:dyDescent="0.25">
      <c r="A703" t="s">
        <v>1133</v>
      </c>
      <c r="B703">
        <f>INDEX(Proj[],MATCH(Std[[#This Row],[Player]],Proj[Player],0),2)</f>
        <v>29</v>
      </c>
      <c r="C703" t="s">
        <v>3</v>
      </c>
      <c r="D703" s="75"/>
      <c r="E703" s="57"/>
      <c r="F703" t="s">
        <v>20</v>
      </c>
      <c r="G703" s="12">
        <f>(INDEX(Proj[],MATCH(Std[[#This Row],[Player]],Proj[Player],0),14)-G$764)/G$765</f>
        <v>-0.873752993897015</v>
      </c>
      <c r="H703" s="12">
        <f>(INDEX(Proj[],MATCH(Std[[#This Row],[Player]],Proj[Player],0),15)-H$764)/H$765</f>
        <v>-1.1098444354292263</v>
      </c>
      <c r="I703" s="12">
        <f>(INDEX(Proj[],MATCH(Std[[#This Row],[Player]],Proj[Player],0),16)-I$764)/I$765</f>
        <v>-1.0942753259990214</v>
      </c>
      <c r="J703" s="12">
        <f>(INDEX(Proj[],MATCH(Std[[#This Row],[Player]],Proj[Player],0),17)-J$764)/J$765</f>
        <v>-0.76105581014900237</v>
      </c>
      <c r="K703" s="12">
        <f>(INDEX(Proj[],MATCH(Std[[#This Row],[Player]],Proj[Player],0),18)-K$764)/K$765</f>
        <v>-0.75859266061649311</v>
      </c>
      <c r="L703" s="12">
        <f>(INDEX(Proj[],MATCH(Std[[#This Row],[Player]],Proj[Player],0),19)-L$764)/L$765</f>
        <v>-0.81647589674950882</v>
      </c>
      <c r="M703" s="12">
        <f>(INDEX(Proj[],MATCH(Std[[#This Row],[Player]],Proj[Player],0),20)-M$764)/M$765</f>
        <v>-0.71308883245737775</v>
      </c>
      <c r="N703" s="12">
        <f>(INDEX(Proj[],MATCH(Std[[#This Row],[Player]],Proj[Player],0),21)-N$764)/N$765</f>
        <v>-0.94442189282885936</v>
      </c>
      <c r="O703" s="12">
        <f>(INDEX(Proj[],MATCH(Std[[#This Row],[Player]],Proj[Player],0),22)-O$764)/O$765</f>
        <v>-1.0087122828326462</v>
      </c>
      <c r="P703" s="12">
        <f>((INDEX(Proj[],MATCH(Std[[#This Row],[Player]],Proj[Player],0),23)-P$764)/P$765)*IF('League Inputs'!$C$23 = "Yes",-1, 1)</f>
        <v>-0.39543397632313848</v>
      </c>
      <c r="Q703" s="12">
        <f>(INDEX(Proj[],MATCH(Std[[#This Row],[Player]],Proj[Player],0),24)-Q$764)/Q$765</f>
        <v>-0.21947212746177866</v>
      </c>
      <c r="R703" s="12">
        <f>(INDEX(Proj[],MATCH(Std[[#This Row],[Player]],Proj[Player],0),25)-R$764)/R$765</f>
        <v>-0.16563076456305592</v>
      </c>
      <c r="S703" s="12">
        <f>(INDEX(Proj[],MATCH(Std[[#This Row],[Player]],Proj[Player],0),26)-S$764)/S$765</f>
        <v>-1.4129812147817067</v>
      </c>
      <c r="T70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-787.53701463029006</v>
      </c>
      <c r="U703" s="11"/>
      <c r="W703" t="str">
        <v>Jacob Lucchini</v>
      </c>
      <c r="AA703" t="str">
        <v>Jacob Lucchini</v>
      </c>
      <c r="AB703" t="str">
        <v>Jacob Lucchini</v>
      </c>
    </row>
    <row r="704" spans="1:28" x14ac:dyDescent="0.25">
      <c r="A704" t="s">
        <v>974</v>
      </c>
      <c r="B704">
        <f>INDEX(Proj[],MATCH(Std[[#This Row],[Player]],Proj[Player],0),2)</f>
        <v>24</v>
      </c>
      <c r="C704" t="s">
        <v>3</v>
      </c>
      <c r="D704" s="75"/>
      <c r="E704" s="57"/>
      <c r="F704" t="s">
        <v>8</v>
      </c>
      <c r="G704" s="12">
        <f>(INDEX(Proj[],MATCH(Std[[#This Row],[Player]],Proj[Player],0),14)-G$764)/G$765</f>
        <v>-0.7681191251392494</v>
      </c>
      <c r="H704" s="12">
        <f>(INDEX(Proj[],MATCH(Std[[#This Row],[Player]],Proj[Player],0),15)-H$764)/H$765</f>
        <v>-1.1843737024174914</v>
      </c>
      <c r="I704" s="12">
        <f>(INDEX(Proj[],MATCH(Std[[#This Row],[Player]],Proj[Player],0),16)-I$764)/I$765</f>
        <v>-1.0942753259990214</v>
      </c>
      <c r="J704" s="12">
        <f>(INDEX(Proj[],MATCH(Std[[#This Row],[Player]],Proj[Player],0),17)-J$764)/J$765</f>
        <v>-0.76105581014900237</v>
      </c>
      <c r="K704" s="12">
        <f>(INDEX(Proj[],MATCH(Std[[#This Row],[Player]],Proj[Player],0),18)-K$764)/K$765</f>
        <v>-0.75859266061649311</v>
      </c>
      <c r="L704" s="12">
        <f>(INDEX(Proj[],MATCH(Std[[#This Row],[Player]],Proj[Player],0),19)-L$764)/L$765</f>
        <v>-0.81647589674950882</v>
      </c>
      <c r="M704" s="12">
        <f>(INDEX(Proj[],MATCH(Std[[#This Row],[Player]],Proj[Player],0),20)-M$764)/M$765</f>
        <v>-0.71308883245737775</v>
      </c>
      <c r="N704" s="12">
        <f>(INDEX(Proj[],MATCH(Std[[#This Row],[Player]],Proj[Player],0),21)-N$764)/N$765</f>
        <v>-0.88628269278381366</v>
      </c>
      <c r="O704" s="12">
        <f>(INDEX(Proj[],MATCH(Std[[#This Row],[Player]],Proj[Player],0),22)-O$764)/O$765</f>
        <v>-1.1480083028677606</v>
      </c>
      <c r="P704" s="12">
        <f>((INDEX(Proj[],MATCH(Std[[#This Row],[Player]],Proj[Player],0),23)-P$764)/P$765)*IF('League Inputs'!$C$23 = "Yes",-1, 1)</f>
        <v>-1.3727692365886661</v>
      </c>
      <c r="Q704" s="12">
        <f>(INDEX(Proj[],MATCH(Std[[#This Row],[Player]],Proj[Player],0),24)-Q$764)/Q$765</f>
        <v>-0.50731484240151736</v>
      </c>
      <c r="R704" s="12">
        <f>(INDEX(Proj[],MATCH(Std[[#This Row],[Player]],Proj[Player],0),25)-R$764)/R$765</f>
        <v>-0.54018855889829887</v>
      </c>
      <c r="S704" s="12">
        <f>(INDEX(Proj[],MATCH(Std[[#This Row],[Player]],Proj[Player],0),26)-S$764)/S$765</f>
        <v>-1.2832316627067628</v>
      </c>
      <c r="T70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-906.08507876537919</v>
      </c>
      <c r="U704" s="11"/>
      <c r="W704" t="str">
        <v>Liam Foudy</v>
      </c>
      <c r="AA704" t="str">
        <v>Liam Foudy</v>
      </c>
      <c r="AB704" t="str">
        <v>Liam Foudy</v>
      </c>
    </row>
    <row r="705" spans="1:28" x14ac:dyDescent="0.25">
      <c r="A705" t="s">
        <v>920</v>
      </c>
      <c r="B705">
        <f>INDEX(Proj[],MATCH(Std[[#This Row],[Player]],Proj[Player],0),2)</f>
        <v>26</v>
      </c>
      <c r="C705" t="s">
        <v>3</v>
      </c>
      <c r="D705" s="75"/>
      <c r="E705" s="56"/>
      <c r="F705" t="s">
        <v>15</v>
      </c>
      <c r="G705" s="12">
        <f>(INDEX(Proj[],MATCH(Std[[#This Row],[Player]],Proj[Player],0),14)-G$764)/G$765</f>
        <v>-1.0850207314125464</v>
      </c>
      <c r="H705" s="12">
        <f>(INDEX(Proj[],MATCH(Std[[#This Row],[Player]],Proj[Player],0),15)-H$764)/H$765</f>
        <v>-1.0353151684409609</v>
      </c>
      <c r="I705" s="12">
        <f>(INDEX(Proj[],MATCH(Std[[#This Row],[Player]],Proj[Player],0),16)-I$764)/I$765</f>
        <v>-1.1415178849611247</v>
      </c>
      <c r="J705" s="12">
        <f>(INDEX(Proj[],MATCH(Std[[#This Row],[Player]],Proj[Player],0),17)-J$764)/J$765</f>
        <v>-0.76105581014900237</v>
      </c>
      <c r="K705" s="12">
        <f>(INDEX(Proj[],MATCH(Std[[#This Row],[Player]],Proj[Player],0),18)-K$764)/K$765</f>
        <v>-0.75859266061649311</v>
      </c>
      <c r="L705" s="12">
        <f>(INDEX(Proj[],MATCH(Std[[#This Row],[Player]],Proj[Player],0),19)-L$764)/L$765</f>
        <v>-0.81647589674950882</v>
      </c>
      <c r="M705" s="12">
        <f>(INDEX(Proj[],MATCH(Std[[#This Row],[Player]],Proj[Player],0),20)-M$764)/M$765</f>
        <v>-0.71308883245737775</v>
      </c>
      <c r="N705" s="12">
        <f>(INDEX(Proj[],MATCH(Std[[#This Row],[Player]],Proj[Player],0),21)-N$764)/N$765</f>
        <v>3.1059423769759906</v>
      </c>
      <c r="O705" s="12">
        <f>(INDEX(Proj[],MATCH(Std[[#This Row],[Player]],Proj[Player],0),22)-O$764)/O$765</f>
        <v>1.0342960110156962</v>
      </c>
      <c r="P705" s="12">
        <f>((INDEX(Proj[],MATCH(Std[[#This Row],[Player]],Proj[Player],0),23)-P$764)/P$765)*IF('League Inputs'!$C$23 = "Yes",-1, 1)</f>
        <v>0.58190128394238927</v>
      </c>
      <c r="Q705" s="12">
        <f>(INDEX(Proj[],MATCH(Std[[#This Row],[Player]],Proj[Player],0),24)-Q$764)/Q$765</f>
        <v>-0.5766103108129359</v>
      </c>
      <c r="R705" s="12">
        <f>(INDEX(Proj[],MATCH(Std[[#This Row],[Player]],Proj[Player],0),25)-R$764)/R$765</f>
        <v>-0.62531533033812681</v>
      </c>
      <c r="S705" s="12">
        <f>(INDEX(Proj[],MATCH(Std[[#This Row],[Player]],Proj[Player],0),26)-S$764)/S$765</f>
        <v>-0.92642039450066715</v>
      </c>
      <c r="T70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-85.922071494366719</v>
      </c>
      <c r="U705" s="11"/>
      <c r="W705" t="str">
        <v>Simon Benoit</v>
      </c>
      <c r="AA705" t="str">
        <v>Simon Benoit</v>
      </c>
      <c r="AB705" t="str">
        <v>Simon Benoit</v>
      </c>
    </row>
    <row r="706" spans="1:28" x14ac:dyDescent="0.25">
      <c r="A706" t="s">
        <v>517</v>
      </c>
      <c r="B706">
        <f>INDEX(Proj[],MATCH(Std[[#This Row],[Player]],Proj[Player],0),2)</f>
        <v>33</v>
      </c>
      <c r="C706" t="s">
        <v>74</v>
      </c>
      <c r="D706" s="75" t="s">
        <v>103</v>
      </c>
      <c r="E706" s="56"/>
      <c r="F706" t="s">
        <v>17</v>
      </c>
      <c r="G706" s="12">
        <f>(INDEX(Proj[],MATCH(Std[[#This Row],[Player]],Proj[Player],0),14)-G$764)/G$765</f>
        <v>-0.873752993897015</v>
      </c>
      <c r="H706" s="12">
        <f>(INDEX(Proj[],MATCH(Std[[#This Row],[Player]],Proj[Player],0),15)-H$764)/H$765</f>
        <v>-1.1843737024174914</v>
      </c>
      <c r="I706" s="12">
        <f>(INDEX(Proj[],MATCH(Std[[#This Row],[Player]],Proj[Player],0),16)-I$764)/I$765</f>
        <v>-1.1415178849611247</v>
      </c>
      <c r="J706" s="12">
        <f>(INDEX(Proj[],MATCH(Std[[#This Row],[Player]],Proj[Player],0),17)-J$764)/J$765</f>
        <v>-0.76105581014900237</v>
      </c>
      <c r="K706" s="12">
        <f>(INDEX(Proj[],MATCH(Std[[#This Row],[Player]],Proj[Player],0),18)-K$764)/K$765</f>
        <v>-0.75859266061649311</v>
      </c>
      <c r="L706" s="12">
        <f>(INDEX(Proj[],MATCH(Std[[#This Row],[Player]],Proj[Player],0),19)-L$764)/L$765</f>
        <v>-0.81647589674950882</v>
      </c>
      <c r="M706" s="12">
        <f>(INDEX(Proj[],MATCH(Std[[#This Row],[Player]],Proj[Player],0),20)-M$764)/M$765</f>
        <v>0.31240082183847029</v>
      </c>
      <c r="N706" s="12">
        <f>(INDEX(Proj[],MATCH(Std[[#This Row],[Player]],Proj[Player],0),21)-N$764)/N$765</f>
        <v>2.1950949096036081</v>
      </c>
      <c r="O706" s="12">
        <f>(INDEX(Proj[],MATCH(Std[[#This Row],[Player]],Proj[Player],0),22)-O$764)/O$765</f>
        <v>-0.77655224944078916</v>
      </c>
      <c r="P706" s="12">
        <f>((INDEX(Proj[],MATCH(Std[[#This Row],[Player]],Proj[Player],0),23)-P$764)/P$765)*IF('League Inputs'!$C$23 = "Yes",-1, 1)</f>
        <v>3.1881286446504631</v>
      </c>
      <c r="Q706" s="12">
        <f>(INDEX(Proj[],MATCH(Std[[#This Row],[Player]],Proj[Player],0),24)-Q$764)/Q$765</f>
        <v>-0.52863652498964608</v>
      </c>
      <c r="R706" s="12">
        <f>(INDEX(Proj[],MATCH(Std[[#This Row],[Player]],Proj[Player],0),25)-R$764)/R$765</f>
        <v>-0.54586367699428739</v>
      </c>
      <c r="S706" s="12">
        <f>(INDEX(Proj[],MATCH(Std[[#This Row],[Player]],Proj[Player],0),26)-S$764)/S$765</f>
        <v>-1.007513864547507</v>
      </c>
      <c r="T70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-94.559956274901012</v>
      </c>
      <c r="U706" s="11"/>
      <c r="W706" t="str">
        <v>Nicolas Deslauriers</v>
      </c>
      <c r="AA706" t="str">
        <v>Nicolas Deslauriers</v>
      </c>
      <c r="AB706" t="str">
        <v>Nicolas Deslauriers</v>
      </c>
    </row>
    <row r="707" spans="1:28" x14ac:dyDescent="0.25">
      <c r="A707" t="s">
        <v>813</v>
      </c>
      <c r="B707">
        <f>INDEX(Proj[],MATCH(Std[[#This Row],[Player]],Proj[Player],0),2)</f>
        <v>26</v>
      </c>
      <c r="C707" t="s">
        <v>74</v>
      </c>
      <c r="D707" s="75"/>
      <c r="E707" s="56"/>
      <c r="F707" t="s">
        <v>10</v>
      </c>
      <c r="G707" s="12">
        <f>(INDEX(Proj[],MATCH(Std[[#This Row],[Player]],Proj[Player],0),14)-G$764)/G$765</f>
        <v>-0.9793868626547807</v>
      </c>
      <c r="H707" s="12">
        <f>(INDEX(Proj[],MATCH(Std[[#This Row],[Player]],Proj[Player],0),15)-H$764)/H$765</f>
        <v>-1.1098444354292263</v>
      </c>
      <c r="I707" s="12">
        <f>(INDEX(Proj[],MATCH(Std[[#This Row],[Player]],Proj[Player],0),16)-I$764)/I$765</f>
        <v>-1.1415178849611247</v>
      </c>
      <c r="J707" s="12">
        <f>(INDEX(Proj[],MATCH(Std[[#This Row],[Player]],Proj[Player],0),17)-J$764)/J$765</f>
        <v>-0.76105581014900237</v>
      </c>
      <c r="K707" s="12">
        <f>(INDEX(Proj[],MATCH(Std[[#This Row],[Player]],Proj[Player],0),18)-K$764)/K$765</f>
        <v>-0.75859266061649311</v>
      </c>
      <c r="L707" s="12">
        <f>(INDEX(Proj[],MATCH(Std[[#This Row],[Player]],Proj[Player],0),19)-L$764)/L$765</f>
        <v>-0.81647589674950882</v>
      </c>
      <c r="M707" s="12">
        <f>(INDEX(Proj[],MATCH(Std[[#This Row],[Player]],Proj[Player],0),20)-M$764)/M$765</f>
        <v>-0.71308883245737775</v>
      </c>
      <c r="N707" s="12">
        <f>(INDEX(Proj[],MATCH(Std[[#This Row],[Player]],Proj[Player],0),21)-N$764)/N$765</f>
        <v>0.74161490847746581</v>
      </c>
      <c r="O707" s="12">
        <f>(INDEX(Proj[],MATCH(Std[[#This Row],[Player]],Proj[Player],0),22)-O$764)/O$765</f>
        <v>-0.98549627949346053</v>
      </c>
      <c r="P707" s="12">
        <f>((INDEX(Proj[],MATCH(Std[[#This Row],[Player]],Proj[Player],0),23)-P$764)/P$765)*IF('League Inputs'!$C$23 = "Yes",-1, 1)</f>
        <v>3.6535263876340478</v>
      </c>
      <c r="Q707" s="12">
        <f>(INDEX(Proj[],MATCH(Std[[#This Row],[Player]],Proj[Player],0),24)-Q$764)/Q$765</f>
        <v>-0.53396694563667835</v>
      </c>
      <c r="R707" s="12">
        <f>(INDEX(Proj[],MATCH(Std[[#This Row],[Player]],Proj[Player],0),25)-R$764)/R$765</f>
        <v>-0.56856414937824151</v>
      </c>
      <c r="S707" s="12">
        <f>(INDEX(Proj[],MATCH(Std[[#This Row],[Player]],Proj[Player],0),26)-S$764)/S$765</f>
        <v>-1.0561699465756109</v>
      </c>
      <c r="T70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-222.77169553888766</v>
      </c>
      <c r="U707" s="11"/>
      <c r="W707" t="str">
        <v>Givani Smith</v>
      </c>
      <c r="AA707" t="str">
        <v>Givani Smith</v>
      </c>
      <c r="AB707" t="str">
        <v>Givani Smith</v>
      </c>
    </row>
    <row r="708" spans="1:28" x14ac:dyDescent="0.25">
      <c r="A708" t="s">
        <v>761</v>
      </c>
      <c r="B708">
        <f>INDEX(Proj[],MATCH(Std[[#This Row],[Player]],Proj[Player],0),2)</f>
        <v>30</v>
      </c>
      <c r="C708" t="s">
        <v>3</v>
      </c>
      <c r="D708" s="75"/>
      <c r="E708" s="57"/>
      <c r="F708" t="s">
        <v>23</v>
      </c>
      <c r="G708" s="12">
        <f>(INDEX(Proj[],MATCH(Std[[#This Row],[Player]],Proj[Player],0),14)-G$764)/G$765</f>
        <v>-0.9793868626547807</v>
      </c>
      <c r="H708" s="12">
        <f>(INDEX(Proj[],MATCH(Std[[#This Row],[Player]],Proj[Player],0),15)-H$764)/H$765</f>
        <v>-1.1098444354292263</v>
      </c>
      <c r="I708" s="12">
        <f>(INDEX(Proj[],MATCH(Std[[#This Row],[Player]],Proj[Player],0),16)-I$764)/I$765</f>
        <v>-1.1415178849611247</v>
      </c>
      <c r="J708" s="12">
        <f>(INDEX(Proj[],MATCH(Std[[#This Row],[Player]],Proj[Player],0),17)-J$764)/J$765</f>
        <v>-0.76105581014900237</v>
      </c>
      <c r="K708" s="12">
        <f>(INDEX(Proj[],MATCH(Std[[#This Row],[Player]],Proj[Player],0),18)-K$764)/K$765</f>
        <v>-0.75859266061649311</v>
      </c>
      <c r="L708" s="12">
        <f>(INDEX(Proj[],MATCH(Std[[#This Row],[Player]],Proj[Player],0),19)-L$764)/L$765</f>
        <v>-0.81647589674950882</v>
      </c>
      <c r="M708" s="12">
        <f>(INDEX(Proj[],MATCH(Std[[#This Row],[Player]],Proj[Player],0),20)-M$764)/M$765</f>
        <v>-0.71308883245737775</v>
      </c>
      <c r="N708" s="12">
        <f>(INDEX(Proj[],MATCH(Std[[#This Row],[Player]],Proj[Player],0),21)-N$764)/N$765</f>
        <v>0.99355144200599721</v>
      </c>
      <c r="O708" s="12">
        <f>(INDEX(Proj[],MATCH(Std[[#This Row],[Player]],Proj[Player],0),22)-O$764)/O$765</f>
        <v>-0.8229842561191606</v>
      </c>
      <c r="P708" s="12">
        <f>((INDEX(Proj[],MATCH(Std[[#This Row],[Player]],Proj[Player],0),23)-P$764)/P$765)*IF('League Inputs'!$C$23 = "Yes",-1, 1)</f>
        <v>2.4900320301750862</v>
      </c>
      <c r="Q708" s="12">
        <f>(INDEX(Proj[],MATCH(Std[[#This Row],[Player]],Proj[Player],0),24)-Q$764)/Q$765</f>
        <v>-0.52330610434261393</v>
      </c>
      <c r="R708" s="12">
        <f>(INDEX(Proj[],MATCH(Std[[#This Row],[Player]],Proj[Player],0),25)-R$764)/R$765</f>
        <v>-0.56288903128225298</v>
      </c>
      <c r="S708" s="12">
        <f>(INDEX(Proj[],MATCH(Std[[#This Row],[Player]],Proj[Player],0),26)-S$764)/S$765</f>
        <v>-1.3805438267629706</v>
      </c>
      <c r="T70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-329.04757948383013</v>
      </c>
      <c r="U708" s="11"/>
      <c r="W708" t="str">
        <v>Ross Johnston</v>
      </c>
      <c r="AA708" t="str">
        <v>Ross Johnston</v>
      </c>
      <c r="AB708" t="str">
        <v>Ross Johnston</v>
      </c>
    </row>
    <row r="709" spans="1:28" x14ac:dyDescent="0.25">
      <c r="A709" t="s">
        <v>561</v>
      </c>
      <c r="B709">
        <f>INDEX(Proj[],MATCH(Std[[#This Row],[Player]],Proj[Player],0),2)</f>
        <v>28</v>
      </c>
      <c r="C709" t="s">
        <v>3</v>
      </c>
      <c r="D709" s="75"/>
      <c r="E709" s="57"/>
      <c r="F709" t="s">
        <v>6</v>
      </c>
      <c r="G709" s="12">
        <f>(INDEX(Proj[],MATCH(Std[[#This Row],[Player]],Proj[Player],0),14)-G$764)/G$765</f>
        <v>-0.873752993897015</v>
      </c>
      <c r="H709" s="12">
        <f>(INDEX(Proj[],MATCH(Std[[#This Row],[Player]],Proj[Player],0),15)-H$764)/H$765</f>
        <v>-1.1843737024174914</v>
      </c>
      <c r="I709" s="12">
        <f>(INDEX(Proj[],MATCH(Std[[#This Row],[Player]],Proj[Player],0),16)-I$764)/I$765</f>
        <v>-1.1415178849611247</v>
      </c>
      <c r="J709" s="12">
        <f>(INDEX(Proj[],MATCH(Std[[#This Row],[Player]],Proj[Player],0),17)-J$764)/J$765</f>
        <v>-0.76105581014900237</v>
      </c>
      <c r="K709" s="12">
        <f>(INDEX(Proj[],MATCH(Std[[#This Row],[Player]],Proj[Player],0),18)-K$764)/K$765</f>
        <v>-0.75859266061649311</v>
      </c>
      <c r="L709" s="12">
        <f>(INDEX(Proj[],MATCH(Std[[#This Row],[Player]],Proj[Player],0),19)-L$764)/L$765</f>
        <v>-0.81647589674950882</v>
      </c>
      <c r="M709" s="12">
        <f>(INDEX(Proj[],MATCH(Std[[#This Row],[Player]],Proj[Player],0),20)-M$764)/M$765</f>
        <v>-0.71308883245737775</v>
      </c>
      <c r="N709" s="12">
        <f>(INDEX(Proj[],MATCH(Std[[#This Row],[Player]],Proj[Player],0),21)-N$764)/N$765</f>
        <v>0.31526077481379738</v>
      </c>
      <c r="O709" s="12">
        <f>(INDEX(Proj[],MATCH(Std[[#This Row],[Player]],Proj[Player],0),22)-O$764)/O$765</f>
        <v>-1.1247922995285748</v>
      </c>
      <c r="P709" s="12">
        <f>((INDEX(Proj[],MATCH(Std[[#This Row],[Player]],Proj[Player],0),23)-P$764)/P$765)*IF('League Inputs'!$C$23 = "Yes",-1, 1)</f>
        <v>2.0711740614898599</v>
      </c>
      <c r="Q709" s="12">
        <f>(INDEX(Proj[],MATCH(Std[[#This Row],[Player]],Proj[Player],0),24)-Q$764)/Q$765</f>
        <v>-0.51264526304854952</v>
      </c>
      <c r="R709" s="12">
        <f>(INDEX(Proj[],MATCH(Std[[#This Row],[Player]],Proj[Player],0),25)-R$764)/R$765</f>
        <v>-0.50046273222637916</v>
      </c>
      <c r="S709" s="12">
        <f>(INDEX(Proj[],MATCH(Std[[#This Row],[Player]],Proj[Player],0),26)-S$764)/S$765</f>
        <v>-1.2021381926599228</v>
      </c>
      <c r="T70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-446.92613969585278</v>
      </c>
      <c r="U709" s="11"/>
      <c r="W709" t="str">
        <v>Brendan Lemieux</v>
      </c>
      <c r="AA709" t="str">
        <v>Brendan Lemieux</v>
      </c>
      <c r="AB709" t="str">
        <v>Brendan Lemieux</v>
      </c>
    </row>
    <row r="710" spans="1:28" x14ac:dyDescent="0.25">
      <c r="A710" t="s">
        <v>651</v>
      </c>
      <c r="B710">
        <f>INDEX(Proj[],MATCH(Std[[#This Row],[Player]],Proj[Player],0),2)</f>
        <v>34</v>
      </c>
      <c r="C710" t="s">
        <v>3</v>
      </c>
      <c r="D710" s="75"/>
      <c r="E710" s="57"/>
      <c r="F710" t="s">
        <v>30</v>
      </c>
      <c r="G710" s="12">
        <f>(INDEX(Proj[],MATCH(Std[[#This Row],[Player]],Proj[Player],0),14)-G$764)/G$765</f>
        <v>-1.0850207314125464</v>
      </c>
      <c r="H710" s="12">
        <f>(INDEX(Proj[],MATCH(Std[[#This Row],[Player]],Proj[Player],0),15)-H$764)/H$765</f>
        <v>-1.0353151684409609</v>
      </c>
      <c r="I710" s="12">
        <f>(INDEX(Proj[],MATCH(Std[[#This Row],[Player]],Proj[Player],0),16)-I$764)/I$765</f>
        <v>-1.1415178849611247</v>
      </c>
      <c r="J710" s="12">
        <f>(INDEX(Proj[],MATCH(Std[[#This Row],[Player]],Proj[Player],0),17)-J$764)/J$765</f>
        <v>-0.76105581014900237</v>
      </c>
      <c r="K710" s="12">
        <f>(INDEX(Proj[],MATCH(Std[[#This Row],[Player]],Proj[Player],0),18)-K$764)/K$765</f>
        <v>-0.75859266061649311</v>
      </c>
      <c r="L710" s="12">
        <f>(INDEX(Proj[],MATCH(Std[[#This Row],[Player]],Proj[Player],0),19)-L$764)/L$765</f>
        <v>-0.81647589674950882</v>
      </c>
      <c r="M710" s="12">
        <f>(INDEX(Proj[],MATCH(Std[[#This Row],[Player]],Proj[Player],0),20)-M$764)/M$765</f>
        <v>0.31240082183847029</v>
      </c>
      <c r="N710" s="12">
        <f>(INDEX(Proj[],MATCH(Std[[#This Row],[Player]],Proj[Player],0),21)-N$764)/N$765</f>
        <v>-0.1498528255465682</v>
      </c>
      <c r="O710" s="12">
        <f>(INDEX(Proj[],MATCH(Std[[#This Row],[Player]],Proj[Player],0),22)-O$764)/O$765</f>
        <v>5.9223870769896429E-2</v>
      </c>
      <c r="P710" s="12">
        <f>((INDEX(Proj[],MATCH(Std[[#This Row],[Player]],Proj[Player],0),23)-P$764)/P$765)*IF('League Inputs'!$C$23 = "Yes",-1, 1)</f>
        <v>-0.86083171930672309</v>
      </c>
      <c r="Q710" s="12">
        <f>(INDEX(Proj[],MATCH(Std[[#This Row],[Player]],Proj[Player],0),24)-Q$764)/Q$765</f>
        <v>-0.5766103108129359</v>
      </c>
      <c r="R710" s="12">
        <f>(INDEX(Proj[],MATCH(Std[[#This Row],[Player]],Proj[Player],0),25)-R$764)/R$765</f>
        <v>-0.62531533033812681</v>
      </c>
      <c r="S710" s="12">
        <f>(INDEX(Proj[],MATCH(Std[[#This Row],[Player]],Proj[Player],0),26)-S$764)/S$765</f>
        <v>-1.1534821106318189</v>
      </c>
      <c r="T71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-675.9882777092289</v>
      </c>
      <c r="U710" s="11"/>
      <c r="W710" t="str">
        <v>Marco Scandella</v>
      </c>
      <c r="AA710" t="str">
        <v>Marco Scandella</v>
      </c>
      <c r="AB710" t="str">
        <v>Marco Scandella</v>
      </c>
    </row>
    <row r="711" spans="1:28" x14ac:dyDescent="0.25">
      <c r="A711" t="s">
        <v>671</v>
      </c>
      <c r="B711">
        <f>INDEX(Proj[],MATCH(Std[[#This Row],[Player]],Proj[Player],0),2)</f>
        <v>27</v>
      </c>
      <c r="C711" t="s">
        <v>3</v>
      </c>
      <c r="D711" s="75"/>
      <c r="E711" s="57"/>
      <c r="F711" t="s">
        <v>20</v>
      </c>
      <c r="G711" s="12">
        <f>(INDEX(Proj[],MATCH(Std[[#This Row],[Player]],Proj[Player],0),14)-G$764)/G$765</f>
        <v>-0.9793868626547807</v>
      </c>
      <c r="H711" s="12">
        <f>(INDEX(Proj[],MATCH(Std[[#This Row],[Player]],Proj[Player],0),15)-H$764)/H$765</f>
        <v>-1.1098444354292263</v>
      </c>
      <c r="I711" s="12">
        <f>(INDEX(Proj[],MATCH(Std[[#This Row],[Player]],Proj[Player],0),16)-I$764)/I$765</f>
        <v>-1.1415178849611247</v>
      </c>
      <c r="J711" s="12">
        <f>(INDEX(Proj[],MATCH(Std[[#This Row],[Player]],Proj[Player],0),17)-J$764)/J$765</f>
        <v>-0.76105581014900237</v>
      </c>
      <c r="K711" s="12">
        <f>(INDEX(Proj[],MATCH(Std[[#This Row],[Player]],Proj[Player],0),18)-K$764)/K$765</f>
        <v>-0.75859266061649311</v>
      </c>
      <c r="L711" s="12">
        <f>(INDEX(Proj[],MATCH(Std[[#This Row],[Player]],Proj[Player],0),19)-L$764)/L$765</f>
        <v>-0.81647589674950882</v>
      </c>
      <c r="M711" s="12">
        <f>(INDEX(Proj[],MATCH(Std[[#This Row],[Player]],Proj[Player],0),20)-M$764)/M$765</f>
        <v>-0.71308883245737775</v>
      </c>
      <c r="N711" s="12">
        <f>(INDEX(Proj[],MATCH(Std[[#This Row],[Player]],Proj[Player],0),21)-N$764)/N$765</f>
        <v>-0.96380162617720799</v>
      </c>
      <c r="O711" s="12">
        <f>(INDEX(Proj[],MATCH(Std[[#This Row],[Player]],Proj[Player],0),22)-O$764)/O$765</f>
        <v>-3.3640142586846417E-2</v>
      </c>
      <c r="P711" s="12">
        <f>((INDEX(Proj[],MATCH(Std[[#This Row],[Player]],Proj[Player],0),23)-P$764)/P$765)*IF('League Inputs'!$C$23 = "Yes",-1, 1)</f>
        <v>-0.86083171930672309</v>
      </c>
      <c r="Q711" s="12">
        <f>(INDEX(Proj[],MATCH(Std[[#This Row],[Player]],Proj[Player],0),24)-Q$764)/Q$765</f>
        <v>-0.5766103108129359</v>
      </c>
      <c r="R711" s="12">
        <f>(INDEX(Proj[],MATCH(Std[[#This Row],[Player]],Proj[Player],0),25)-R$764)/R$765</f>
        <v>-0.62531533033812681</v>
      </c>
      <c r="S711" s="12">
        <f>(INDEX(Proj[],MATCH(Std[[#This Row],[Player]],Proj[Player],0),26)-S$764)/S$765</f>
        <v>-1.1534821106318189</v>
      </c>
      <c r="T71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-763.55909893101716</v>
      </c>
      <c r="U711" s="11"/>
      <c r="W711" t="str">
        <v>Ethan Bear</v>
      </c>
      <c r="AA711" t="str">
        <v>Ethan Bear</v>
      </c>
      <c r="AB711" t="str">
        <v>Ethan Bear</v>
      </c>
    </row>
    <row r="712" spans="1:28" x14ac:dyDescent="0.25">
      <c r="A712" t="s">
        <v>1204</v>
      </c>
      <c r="B712">
        <f>INDEX(Proj[],MATCH(Std[[#This Row],[Player]],Proj[Player],0),2)</f>
        <v>24</v>
      </c>
      <c r="C712" t="s">
        <v>74</v>
      </c>
      <c r="D712" s="75" t="s">
        <v>102</v>
      </c>
      <c r="E712" s="56"/>
      <c r="F712" t="s">
        <v>4</v>
      </c>
      <c r="G712" s="12">
        <f>(INDEX(Proj[],MATCH(Std[[#This Row],[Player]],Proj[Player],0),14)-G$764)/G$765</f>
        <v>-1.0850207314125464</v>
      </c>
      <c r="H712" s="12">
        <f>(INDEX(Proj[],MATCH(Std[[#This Row],[Player]],Proj[Player],0),15)-H$764)/H$765</f>
        <v>-1.0353151684409609</v>
      </c>
      <c r="I712" s="12">
        <f>(INDEX(Proj[],MATCH(Std[[#This Row],[Player]],Proj[Player],0),16)-I$764)/I$765</f>
        <v>-1.1415178849611247</v>
      </c>
      <c r="J712" s="12">
        <f>(INDEX(Proj[],MATCH(Std[[#This Row],[Player]],Proj[Player],0),17)-J$764)/J$765</f>
        <v>-0.76105581014900237</v>
      </c>
      <c r="K712" s="12">
        <f>(INDEX(Proj[],MATCH(Std[[#This Row],[Player]],Proj[Player],0),18)-K$764)/K$765</f>
        <v>-0.75859266061649311</v>
      </c>
      <c r="L712" s="12">
        <f>(INDEX(Proj[],MATCH(Std[[#This Row],[Player]],Proj[Player],0),19)-L$764)/L$765</f>
        <v>-0.81647589674950882</v>
      </c>
      <c r="M712" s="12">
        <f>(INDEX(Proj[],MATCH(Std[[#This Row],[Player]],Proj[Player],0),20)-M$764)/M$765</f>
        <v>-0.71308883245737775</v>
      </c>
      <c r="N712" s="12">
        <f>(INDEX(Proj[],MATCH(Std[[#This Row],[Player]],Proj[Player],0),21)-N$764)/N$765</f>
        <v>-0.73124482599702512</v>
      </c>
      <c r="O712" s="12">
        <f>(INDEX(Proj[],MATCH(Std[[#This Row],[Player]],Proj[Player],0),22)-O$764)/O$765</f>
        <v>-0.42831219935300352</v>
      </c>
      <c r="P712" s="12">
        <f>((INDEX(Proj[],MATCH(Std[[#This Row],[Player]],Proj[Player],0),23)-P$764)/P$765)*IF('League Inputs'!$C$23 = "Yes",-1, 1)</f>
        <v>-0.90737149360508162</v>
      </c>
      <c r="Q712" s="12">
        <f>(INDEX(Proj[],MATCH(Std[[#This Row],[Player]],Proj[Player],0),24)-Q$764)/Q$765</f>
        <v>-0.5766103108129359</v>
      </c>
      <c r="R712" s="12">
        <f>(INDEX(Proj[],MATCH(Std[[#This Row],[Player]],Proj[Player],0),25)-R$764)/R$765</f>
        <v>-0.62531533033812681</v>
      </c>
      <c r="S712" s="12">
        <f>(INDEX(Proj[],MATCH(Std[[#This Row],[Player]],Proj[Player],0),26)-S$764)/S$765</f>
        <v>-1.3318877447348667</v>
      </c>
      <c r="T71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-805.3756256067054</v>
      </c>
      <c r="U712" s="11"/>
      <c r="W712" t="str">
        <v>Santeri Hatakka</v>
      </c>
      <c r="AA712" t="str">
        <v>Santeri Hatakka</v>
      </c>
      <c r="AB712" t="str">
        <v>Santeri Hatakka</v>
      </c>
    </row>
    <row r="713" spans="1:28" x14ac:dyDescent="0.25">
      <c r="A713" t="s">
        <v>668</v>
      </c>
      <c r="B713">
        <f>INDEX(Proj[],MATCH(Std[[#This Row],[Player]],Proj[Player],0),2)</f>
        <v>24</v>
      </c>
      <c r="C713" t="s">
        <v>3</v>
      </c>
      <c r="D713" s="75"/>
      <c r="E713" s="57"/>
      <c r="F713" t="s">
        <v>13</v>
      </c>
      <c r="G713" s="12">
        <f>(INDEX(Proj[],MATCH(Std[[#This Row],[Player]],Proj[Player],0),14)-G$764)/G$765</f>
        <v>-1.0850207314125464</v>
      </c>
      <c r="H713" s="12">
        <f>(INDEX(Proj[],MATCH(Std[[#This Row],[Player]],Proj[Player],0),15)-H$764)/H$765</f>
        <v>-1.0353151684409609</v>
      </c>
      <c r="I713" s="12">
        <f>(INDEX(Proj[],MATCH(Std[[#This Row],[Player]],Proj[Player],0),16)-I$764)/I$765</f>
        <v>-1.1415178849611247</v>
      </c>
      <c r="J713" s="12">
        <f>(INDEX(Proj[],MATCH(Std[[#This Row],[Player]],Proj[Player],0),17)-J$764)/J$765</f>
        <v>-0.76105581014900237</v>
      </c>
      <c r="K713" s="12">
        <f>(INDEX(Proj[],MATCH(Std[[#This Row],[Player]],Proj[Player],0),18)-K$764)/K$765</f>
        <v>-0.75859266061649311</v>
      </c>
      <c r="L713" s="12">
        <f>(INDEX(Proj[],MATCH(Std[[#This Row],[Player]],Proj[Player],0),19)-L$764)/L$765</f>
        <v>-0.81647589674950882</v>
      </c>
      <c r="M713" s="12">
        <f>(INDEX(Proj[],MATCH(Std[[#This Row],[Player]],Proj[Player],0),20)-M$764)/M$765</f>
        <v>-0.71308883245737775</v>
      </c>
      <c r="N713" s="12">
        <f>(INDEX(Proj[],MATCH(Std[[#This Row],[Player]],Proj[Player],0),21)-N$764)/N$765</f>
        <v>-1.1188394929639964</v>
      </c>
      <c r="O713" s="12">
        <f>(INDEX(Proj[],MATCH(Std[[#This Row],[Player]],Proj[Player],0),22)-O$764)/O$765</f>
        <v>-0.4050961960138178</v>
      </c>
      <c r="P713" s="12">
        <f>((INDEX(Proj[],MATCH(Std[[#This Row],[Player]],Proj[Player],0),23)-P$764)/P$765)*IF('League Inputs'!$C$23 = "Yes",-1, 1)</f>
        <v>-1.140070365096874</v>
      </c>
      <c r="Q713" s="12">
        <f>(INDEX(Proj[],MATCH(Std[[#This Row],[Player]],Proj[Player],0),24)-Q$764)/Q$765</f>
        <v>-0.5766103108129359</v>
      </c>
      <c r="R713" s="12">
        <f>(INDEX(Proj[],MATCH(Std[[#This Row],[Player]],Proj[Player],0),25)-R$764)/R$765</f>
        <v>-0.62531533033812681</v>
      </c>
      <c r="S713" s="12">
        <f>(INDEX(Proj[],MATCH(Std[[#This Row],[Player]],Proj[Player],0),26)-S$764)/S$765</f>
        <v>-1.169700804641187</v>
      </c>
      <c r="T71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-848.86468510929512</v>
      </c>
      <c r="U713" s="11"/>
      <c r="W713" t="str">
        <v>Zac Jones</v>
      </c>
      <c r="AA713" t="str">
        <v>Zac Jones</v>
      </c>
      <c r="AB713" t="str">
        <v>Zac Jones</v>
      </c>
    </row>
    <row r="714" spans="1:28" x14ac:dyDescent="0.25">
      <c r="A714" t="s">
        <v>1167</v>
      </c>
      <c r="B714">
        <f>INDEX(Proj[],MATCH(Std[[#This Row],[Player]],Proj[Player],0),2)</f>
        <v>26</v>
      </c>
      <c r="C714" t="s">
        <v>3</v>
      </c>
      <c r="D714" s="75"/>
      <c r="E714" s="57"/>
      <c r="F714" t="s">
        <v>20</v>
      </c>
      <c r="G714" s="12">
        <f>(INDEX(Proj[],MATCH(Std[[#This Row],[Player]],Proj[Player],0),14)-G$764)/G$765</f>
        <v>-0.9793868626547807</v>
      </c>
      <c r="H714" s="12">
        <f>(INDEX(Proj[],MATCH(Std[[#This Row],[Player]],Proj[Player],0),15)-H$764)/H$765</f>
        <v>-1.1098444354292263</v>
      </c>
      <c r="I714" s="12">
        <f>(INDEX(Proj[],MATCH(Std[[#This Row],[Player]],Proj[Player],0),16)-I$764)/I$765</f>
        <v>-1.1415178849611247</v>
      </c>
      <c r="J714" s="12">
        <f>(INDEX(Proj[],MATCH(Std[[#This Row],[Player]],Proj[Player],0),17)-J$764)/J$765</f>
        <v>-0.76105581014900237</v>
      </c>
      <c r="K714" s="12">
        <f>(INDEX(Proj[],MATCH(Std[[#This Row],[Player]],Proj[Player],0),18)-K$764)/K$765</f>
        <v>-0.75859266061649311</v>
      </c>
      <c r="L714" s="12">
        <f>(INDEX(Proj[],MATCH(Std[[#This Row],[Player]],Proj[Player],0),19)-L$764)/L$765</f>
        <v>-0.81647589674950882</v>
      </c>
      <c r="M714" s="12">
        <f>(INDEX(Proj[],MATCH(Std[[#This Row],[Player]],Proj[Player],0),20)-M$764)/M$765</f>
        <v>-0.71308883245737775</v>
      </c>
      <c r="N714" s="12">
        <f>(INDEX(Proj[],MATCH(Std[[#This Row],[Player]],Proj[Player],0),21)-N$764)/N$765</f>
        <v>-0.13047309219821965</v>
      </c>
      <c r="O714" s="12">
        <f>(INDEX(Proj[],MATCH(Std[[#This Row],[Player]],Proj[Player],0),22)-O$764)/O$765</f>
        <v>-1.1015762961893891</v>
      </c>
      <c r="P714" s="12">
        <f>((INDEX(Proj[],MATCH(Std[[#This Row],[Player]],Proj[Player],0),23)-P$764)/P$765)*IF('League Inputs'!$C$23 = "Yes",-1, 1)</f>
        <v>-0.53505329921821387</v>
      </c>
      <c r="Q714" s="12">
        <f>(INDEX(Proj[],MATCH(Std[[#This Row],[Player]],Proj[Player],0),24)-Q$764)/Q$765</f>
        <v>-0.42202811204900215</v>
      </c>
      <c r="R714" s="12">
        <f>(INDEX(Proj[],MATCH(Std[[#This Row],[Player]],Proj[Player],0),25)-R$764)/R$765</f>
        <v>-0.46073690555445945</v>
      </c>
      <c r="S714" s="12">
        <f>(INDEX(Proj[],MATCH(Std[[#This Row],[Player]],Proj[Player],0),26)-S$764)/S$765</f>
        <v>-1.2832316627067628</v>
      </c>
      <c r="T71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-751.95875421562289</v>
      </c>
      <c r="U714" s="11"/>
      <c r="W714" t="str">
        <v>William Lockwood</v>
      </c>
      <c r="AA714" t="str">
        <v>William Lockwood</v>
      </c>
      <c r="AB714" t="str">
        <v>William Lockwood</v>
      </c>
    </row>
    <row r="715" spans="1:28" x14ac:dyDescent="0.25">
      <c r="A715" t="s">
        <v>1017</v>
      </c>
      <c r="B715">
        <f>INDEX(Proj[],MATCH(Std[[#This Row],[Player]],Proj[Player],0),2)</f>
        <v>28</v>
      </c>
      <c r="C715" t="s">
        <v>3</v>
      </c>
      <c r="D715" s="75"/>
      <c r="E715" s="57"/>
      <c r="F715" t="s">
        <v>13</v>
      </c>
      <c r="G715" s="12">
        <f>(INDEX(Proj[],MATCH(Std[[#This Row],[Player]],Proj[Player],0),14)-G$764)/G$765</f>
        <v>-0.873752993897015</v>
      </c>
      <c r="H715" s="12">
        <f>(INDEX(Proj[],MATCH(Std[[#This Row],[Player]],Proj[Player],0),15)-H$764)/H$765</f>
        <v>-1.1843737024174914</v>
      </c>
      <c r="I715" s="12">
        <f>(INDEX(Proj[],MATCH(Std[[#This Row],[Player]],Proj[Player],0),16)-I$764)/I$765</f>
        <v>-1.1415178849611247</v>
      </c>
      <c r="J715" s="12">
        <f>(INDEX(Proj[],MATCH(Std[[#This Row],[Player]],Proj[Player],0),17)-J$764)/J$765</f>
        <v>-0.46669252292436259</v>
      </c>
      <c r="K715" s="12">
        <f>(INDEX(Proj[],MATCH(Std[[#This Row],[Player]],Proj[Player],0),18)-K$764)/K$765</f>
        <v>-0.45042076997056774</v>
      </c>
      <c r="L715" s="12">
        <f>(INDEX(Proj[],MATCH(Std[[#This Row],[Player]],Proj[Player],0),19)-L$764)/L$765</f>
        <v>-0.49026000221120619</v>
      </c>
      <c r="M715" s="12">
        <f>(INDEX(Proj[],MATCH(Std[[#This Row],[Player]],Proj[Player],0),20)-M$764)/M$765</f>
        <v>-0.71308883245737775</v>
      </c>
      <c r="N715" s="12">
        <f>(INDEX(Proj[],MATCH(Std[[#This Row],[Player]],Proj[Player],0),21)-N$764)/N$765</f>
        <v>0.21836210807205453</v>
      </c>
      <c r="O715" s="12">
        <f>(INDEX(Proj[],MATCH(Std[[#This Row],[Player]],Proj[Player],0),22)-O$764)/O$765</f>
        <v>-1.1015762961893891</v>
      </c>
      <c r="P715" s="12">
        <f>((INDEX(Proj[],MATCH(Std[[#This Row],[Player]],Proj[Player],0),23)-P$764)/P$765)*IF('League Inputs'!$C$23 = "Yes",-1, 1)</f>
        <v>1.3730774470144831</v>
      </c>
      <c r="Q715" s="12">
        <f>(INDEX(Proj[],MATCH(Std[[#This Row],[Player]],Proj[Player],0),24)-Q$764)/Q$765</f>
        <v>-0.35273264363758361</v>
      </c>
      <c r="R715" s="12">
        <f>(INDEX(Proj[],MATCH(Std[[#This Row],[Player]],Proj[Player],0),25)-R$764)/R$765</f>
        <v>-0.46641202365044798</v>
      </c>
      <c r="S715" s="12">
        <f>(INDEX(Proj[],MATCH(Std[[#This Row],[Player]],Proj[Player],0),26)-S$764)/S$765</f>
        <v>-1.2183568866692909</v>
      </c>
      <c r="T71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-477.11308548965638</v>
      </c>
      <c r="U715" s="11"/>
      <c r="W715" t="str">
        <v>Zack MacEwen</v>
      </c>
      <c r="AA715" t="str">
        <v>Zack MacEwen</v>
      </c>
      <c r="AB715" t="str">
        <v>Zack MacEwen</v>
      </c>
    </row>
    <row r="716" spans="1:28" x14ac:dyDescent="0.25">
      <c r="A716" t="s">
        <v>566</v>
      </c>
      <c r="B716">
        <f>INDEX(Proj[],MATCH(Std[[#This Row],[Player]],Proj[Player],0),2)</f>
        <v>30</v>
      </c>
      <c r="C716" t="s">
        <v>3</v>
      </c>
      <c r="D716" s="75"/>
      <c r="E716" s="57"/>
      <c r="F716" t="s">
        <v>6</v>
      </c>
      <c r="G716" s="12">
        <f>(INDEX(Proj[],MATCH(Std[[#This Row],[Player]],Proj[Player],0),14)-G$764)/G$765</f>
        <v>-0.9793868626547807</v>
      </c>
      <c r="H716" s="12">
        <f>(INDEX(Proj[],MATCH(Std[[#This Row],[Player]],Proj[Player],0),15)-H$764)/H$765</f>
        <v>-1.1098444354292263</v>
      </c>
      <c r="I716" s="12">
        <f>(INDEX(Proj[],MATCH(Std[[#This Row],[Player]],Proj[Player],0),16)-I$764)/I$765</f>
        <v>-1.1415178849611247</v>
      </c>
      <c r="J716" s="12">
        <f>(INDEX(Proj[],MATCH(Std[[#This Row],[Player]],Proj[Player],0),17)-J$764)/J$765</f>
        <v>-0.76105581014900237</v>
      </c>
      <c r="K716" s="12">
        <f>(INDEX(Proj[],MATCH(Std[[#This Row],[Player]],Proj[Player],0),18)-K$764)/K$765</f>
        <v>-0.75859266061649311</v>
      </c>
      <c r="L716" s="12">
        <f>(INDEX(Proj[],MATCH(Std[[#This Row],[Player]],Proj[Player],0),19)-L$764)/L$765</f>
        <v>-0.81647589674950882</v>
      </c>
      <c r="M716" s="12">
        <f>(INDEX(Proj[],MATCH(Std[[#This Row],[Player]],Proj[Player],0),20)-M$764)/M$765</f>
        <v>-0.71308883245737775</v>
      </c>
      <c r="N716" s="12">
        <f>(INDEX(Proj[],MATCH(Std[[#This Row],[Player]],Proj[Player],0),21)-N$764)/N$765</f>
        <v>-0.82814349273876797</v>
      </c>
      <c r="O716" s="12">
        <f>(INDEX(Proj[],MATCH(Std[[#This Row],[Player]],Proj[Player],0),22)-O$764)/O$765</f>
        <v>-0.70690423942323199</v>
      </c>
      <c r="P716" s="12">
        <f>((INDEX(Proj[],MATCH(Std[[#This Row],[Player]],Proj[Player],0),23)-P$764)/P$765)*IF('League Inputs'!$C$23 = "Yes",-1, 1)</f>
        <v>-1.140070365096874</v>
      </c>
      <c r="Q716" s="12">
        <f>(INDEX(Proj[],MATCH(Std[[#This Row],[Player]],Proj[Player],0),24)-Q$764)/Q$765</f>
        <v>-0.310089278461326</v>
      </c>
      <c r="R716" s="12">
        <f>(INDEX(Proj[],MATCH(Std[[#This Row],[Player]],Proj[Player],0),25)-R$764)/R$765</f>
        <v>-8.6179111219216523E-2</v>
      </c>
      <c r="S716" s="12">
        <f>(INDEX(Proj[],MATCH(Std[[#This Row],[Player]],Proj[Player],0),26)-S$764)/S$765</f>
        <v>-1.3805438267629706</v>
      </c>
      <c r="T71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-841.29762822778105</v>
      </c>
      <c r="U716" s="11"/>
      <c r="W716" t="str">
        <v>Zach Sanford</v>
      </c>
      <c r="AA716" t="str">
        <v>Zach Sanford</v>
      </c>
      <c r="AB716" t="str">
        <v>Zach Sanford</v>
      </c>
    </row>
    <row r="717" spans="1:28" x14ac:dyDescent="0.25">
      <c r="A717" t="s">
        <v>828</v>
      </c>
      <c r="B717">
        <f>INDEX(Proj[],MATCH(Std[[#This Row],[Player]],Proj[Player],0),2)</f>
        <v>25</v>
      </c>
      <c r="C717" t="s">
        <v>3</v>
      </c>
      <c r="D717" s="75"/>
      <c r="E717" s="57"/>
      <c r="F717" t="s">
        <v>20</v>
      </c>
      <c r="G717" s="12">
        <f>(INDEX(Proj[],MATCH(Std[[#This Row],[Player]],Proj[Player],0),14)-G$764)/G$765</f>
        <v>-0.873752993897015</v>
      </c>
      <c r="H717" s="12">
        <f>(INDEX(Proj[],MATCH(Std[[#This Row],[Player]],Proj[Player],0),15)-H$764)/H$765</f>
        <v>-1.1843737024174914</v>
      </c>
      <c r="I717" s="12">
        <f>(INDEX(Proj[],MATCH(Std[[#This Row],[Player]],Proj[Player],0),16)-I$764)/I$765</f>
        <v>-1.1415178849611247</v>
      </c>
      <c r="J717" s="12">
        <f>(INDEX(Proj[],MATCH(Std[[#This Row],[Player]],Proj[Player],0),17)-J$764)/J$765</f>
        <v>-0.76105581014900237</v>
      </c>
      <c r="K717" s="12">
        <f>(INDEX(Proj[],MATCH(Std[[#This Row],[Player]],Proj[Player],0),18)-K$764)/K$765</f>
        <v>-0.75859266061649311</v>
      </c>
      <c r="L717" s="12">
        <f>(INDEX(Proj[],MATCH(Std[[#This Row],[Player]],Proj[Player],0),19)-L$764)/L$765</f>
        <v>-0.81647589674950882</v>
      </c>
      <c r="M717" s="12">
        <f>(INDEX(Proj[],MATCH(Std[[#This Row],[Player]],Proj[Player],0),20)-M$764)/M$765</f>
        <v>-0.71308883245737775</v>
      </c>
      <c r="N717" s="12">
        <f>(INDEX(Proj[],MATCH(Std[[#This Row],[Player]],Proj[Player],0),21)-N$764)/N$765</f>
        <v>-1.2351178930540878</v>
      </c>
      <c r="O717" s="12">
        <f>(INDEX(Proj[],MATCH(Std[[#This Row],[Player]],Proj[Player],0),22)-O$764)/O$765</f>
        <v>-1.031928286171832</v>
      </c>
      <c r="P717" s="12">
        <f>((INDEX(Proj[],MATCH(Std[[#This Row],[Player]],Proj[Player],0),23)-P$764)/P$765)*IF('League Inputs'!$C$23 = "Yes",-1, 1)</f>
        <v>-1.4193090108870248</v>
      </c>
      <c r="Q717" s="12">
        <f>(INDEX(Proj[],MATCH(Std[[#This Row],[Player]],Proj[Player],0),24)-Q$764)/Q$765</f>
        <v>-0.51264526304854952</v>
      </c>
      <c r="R717" s="12">
        <f>(INDEX(Proj[],MATCH(Std[[#This Row],[Player]],Proj[Player],0),25)-R$764)/R$765</f>
        <v>-0.54586367699428739</v>
      </c>
      <c r="S717" s="12">
        <f>(INDEX(Proj[],MATCH(Std[[#This Row],[Player]],Proj[Player],0),26)-S$764)/S$765</f>
        <v>-1.2021381926599228</v>
      </c>
      <c r="T71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-941.72591238465554</v>
      </c>
      <c r="U717" s="11"/>
      <c r="W717" t="str">
        <v>Jonas Rondbjerg</v>
      </c>
      <c r="AA717" t="str">
        <v>Jonas Rondbjerg</v>
      </c>
      <c r="AB717" t="str">
        <v>Jonas Rondbjerg</v>
      </c>
    </row>
    <row r="718" spans="1:28" x14ac:dyDescent="0.25">
      <c r="A718" t="s">
        <v>710</v>
      </c>
      <c r="B718">
        <f>INDEX(Proj[],MATCH(Std[[#This Row],[Player]],Proj[Player],0),2)</f>
        <v>31</v>
      </c>
      <c r="C718" t="s">
        <v>3</v>
      </c>
      <c r="D718" s="75"/>
      <c r="E718" s="57"/>
      <c r="F718" t="s">
        <v>10</v>
      </c>
      <c r="G718" s="12">
        <f>(INDEX(Proj[],MATCH(Std[[#This Row],[Player]],Proj[Player],0),14)-G$764)/G$765</f>
        <v>-0.7681191251392494</v>
      </c>
      <c r="H718" s="12">
        <f>(INDEX(Proj[],MATCH(Std[[#This Row],[Player]],Proj[Player],0),15)-H$764)/H$765</f>
        <v>-1.2589029694057567</v>
      </c>
      <c r="I718" s="12">
        <f>(INDEX(Proj[],MATCH(Std[[#This Row],[Player]],Proj[Player],0),16)-I$764)/I$765</f>
        <v>-1.1415178849611247</v>
      </c>
      <c r="J718" s="12">
        <f>(INDEX(Proj[],MATCH(Std[[#This Row],[Player]],Proj[Player],0),17)-J$764)/J$765</f>
        <v>-0.76105581014900237</v>
      </c>
      <c r="K718" s="12">
        <f>(INDEX(Proj[],MATCH(Std[[#This Row],[Player]],Proj[Player],0),18)-K$764)/K$765</f>
        <v>-0.75859266061649311</v>
      </c>
      <c r="L718" s="12">
        <f>(INDEX(Proj[],MATCH(Std[[#This Row],[Player]],Proj[Player],0),19)-L$764)/L$765</f>
        <v>-0.81647589674950882</v>
      </c>
      <c r="M718" s="12">
        <f>(INDEX(Proj[],MATCH(Std[[#This Row],[Player]],Proj[Player],0),20)-M$764)/M$765</f>
        <v>0.31240082183847029</v>
      </c>
      <c r="N718" s="12">
        <f>(INDEX(Proj[],MATCH(Std[[#This Row],[Player]],Proj[Player],0),21)-N$764)/N$765</f>
        <v>5.1850412402203189E-3</v>
      </c>
      <c r="O718" s="12">
        <f>(INDEX(Proj[],MATCH(Std[[#This Row],[Player]],Proj[Player],0),22)-O$764)/O$765</f>
        <v>-0.59082422272730351</v>
      </c>
      <c r="P718" s="12">
        <f>((INDEX(Proj[],MATCH(Std[[#This Row],[Player]],Proj[Player],0),23)-P$764)/P$765)*IF('League Inputs'!$C$23 = "Yes",-1, 1)</f>
        <v>-1.3262294622903077</v>
      </c>
      <c r="Q718" s="12">
        <f>(INDEX(Proj[],MATCH(Std[[#This Row],[Player]],Proj[Player],0),24)-Q$764)/Q$765</f>
        <v>0.12167479394828194</v>
      </c>
      <c r="R718" s="12">
        <f>(INDEX(Proj[],MATCH(Std[[#This Row],[Player]],Proj[Player],0),25)-R$764)/R$765</f>
        <v>0.23730262025212967</v>
      </c>
      <c r="S718" s="12">
        <f>(INDEX(Proj[],MATCH(Std[[#This Row],[Player]],Proj[Player],0),26)-S$764)/S$765</f>
        <v>-1.2994503567161306</v>
      </c>
      <c r="T71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-707.46600828008798</v>
      </c>
      <c r="U718" s="11"/>
      <c r="W718" t="str">
        <v>Kevin Rooney</v>
      </c>
      <c r="AA718" t="str">
        <v>Kevin Rooney</v>
      </c>
      <c r="AB718" t="str">
        <v>Kevin Rooney</v>
      </c>
    </row>
    <row r="719" spans="1:28" x14ac:dyDescent="0.25">
      <c r="A719" t="s">
        <v>752</v>
      </c>
      <c r="B719">
        <f>INDEX(Proj[],MATCH(Std[[#This Row],[Player]],Proj[Player],0),2)</f>
        <v>24</v>
      </c>
      <c r="C719" t="s">
        <v>3</v>
      </c>
      <c r="D719" s="75"/>
      <c r="E719" s="57"/>
      <c r="F719" t="s">
        <v>5</v>
      </c>
      <c r="G719" s="12">
        <f>(INDEX(Proj[],MATCH(Std[[#This Row],[Player]],Proj[Player],0),14)-G$764)/G$765</f>
        <v>-0.9793868626547807</v>
      </c>
      <c r="H719" s="12">
        <f>(INDEX(Proj[],MATCH(Std[[#This Row],[Player]],Proj[Player],0),15)-H$764)/H$765</f>
        <v>-1.1098444354292263</v>
      </c>
      <c r="I719" s="12">
        <f>(INDEX(Proj[],MATCH(Std[[#This Row],[Player]],Proj[Player],0),16)-I$764)/I$765</f>
        <v>-1.1415178849611247</v>
      </c>
      <c r="J719" s="12">
        <f>(INDEX(Proj[],MATCH(Std[[#This Row],[Player]],Proj[Player],0),17)-J$764)/J$765</f>
        <v>-0.76105581014900237</v>
      </c>
      <c r="K719" s="12">
        <f>(INDEX(Proj[],MATCH(Std[[#This Row],[Player]],Proj[Player],0),18)-K$764)/K$765</f>
        <v>-0.75859266061649311</v>
      </c>
      <c r="L719" s="12">
        <f>(INDEX(Proj[],MATCH(Std[[#This Row],[Player]],Proj[Player],0),19)-L$764)/L$765</f>
        <v>-0.81647589674950882</v>
      </c>
      <c r="M719" s="12">
        <f>(INDEX(Proj[],MATCH(Std[[#This Row],[Player]],Proj[Player],0),20)-M$764)/M$765</f>
        <v>-0.71308883245737775</v>
      </c>
      <c r="N719" s="12">
        <f>(INDEX(Proj[],MATCH(Std[[#This Row],[Player]],Proj[Player],0),21)-N$764)/N$765</f>
        <v>-0.53744749251353952</v>
      </c>
      <c r="O719" s="12">
        <f>(INDEX(Proj[],MATCH(Std[[#This Row],[Player]],Proj[Player],0),22)-O$764)/O$765</f>
        <v>-0.91584826947590336</v>
      </c>
      <c r="P719" s="12">
        <f>((INDEX(Proj[],MATCH(Std[[#This Row],[Player]],Proj[Player],0),23)-P$764)/P$765)*IF('League Inputs'!$C$23 = "Yes",-1, 1)</f>
        <v>-1.140070365096874</v>
      </c>
      <c r="Q719" s="12">
        <f>(INDEX(Proj[],MATCH(Std[[#This Row],[Player]],Proj[Player],0),24)-Q$764)/Q$765</f>
        <v>0.31890035788847326</v>
      </c>
      <c r="R719" s="12">
        <f>(INDEX(Proj[],MATCH(Std[[#This Row],[Player]],Proj[Player],0),25)-R$764)/R$765</f>
        <v>0.43025663551573967</v>
      </c>
      <c r="S719" s="12">
        <f>(INDEX(Proj[],MATCH(Std[[#This Row],[Player]],Proj[Player],0),26)-S$764)/S$765</f>
        <v>-1.072388640584979</v>
      </c>
      <c r="T71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-739.40794895774638</v>
      </c>
      <c r="U719" s="11"/>
      <c r="W719" t="str">
        <v>Rasmus Kupari</v>
      </c>
      <c r="AA719" t="str">
        <v>Rasmus Kupari</v>
      </c>
      <c r="AB719" t="str">
        <v>Rasmus Kupari</v>
      </c>
    </row>
    <row r="720" spans="1:28" x14ac:dyDescent="0.25">
      <c r="A720" t="s">
        <v>1148</v>
      </c>
      <c r="B720">
        <f>INDEX(Proj[],MATCH(Std[[#This Row],[Player]],Proj[Player],0),2)</f>
        <v>25</v>
      </c>
      <c r="C720" t="s">
        <v>3</v>
      </c>
      <c r="D720" s="75"/>
      <c r="E720" s="57"/>
      <c r="F720" t="s">
        <v>9</v>
      </c>
      <c r="G720" s="12">
        <f>(INDEX(Proj[],MATCH(Std[[#This Row],[Player]],Proj[Player],0),14)-G$764)/G$765</f>
        <v>-1.0850207314125464</v>
      </c>
      <c r="H720" s="12">
        <f>(INDEX(Proj[],MATCH(Std[[#This Row],[Player]],Proj[Player],0),15)-H$764)/H$765</f>
        <v>-1.0353151684409609</v>
      </c>
      <c r="I720" s="12">
        <f>(INDEX(Proj[],MATCH(Std[[#This Row],[Player]],Proj[Player],0),16)-I$764)/I$765</f>
        <v>-1.1415178849611247</v>
      </c>
      <c r="J720" s="12">
        <f>(INDEX(Proj[],MATCH(Std[[#This Row],[Player]],Proj[Player],0),17)-J$764)/J$765</f>
        <v>-0.76105581014900237</v>
      </c>
      <c r="K720" s="12">
        <f>(INDEX(Proj[],MATCH(Std[[#This Row],[Player]],Proj[Player],0),18)-K$764)/K$765</f>
        <v>-0.75859266061649311</v>
      </c>
      <c r="L720" s="12">
        <f>(INDEX(Proj[],MATCH(Std[[#This Row],[Player]],Proj[Player],0),19)-L$764)/L$765</f>
        <v>-0.81647589674950882</v>
      </c>
      <c r="M720" s="12">
        <f>(INDEX(Proj[],MATCH(Std[[#This Row],[Player]],Proj[Player],0),20)-M$764)/M$765</f>
        <v>-0.71308883245737775</v>
      </c>
      <c r="N720" s="12">
        <f>(INDEX(Proj[],MATCH(Std[[#This Row],[Player]],Proj[Player],0),21)-N$764)/N$765</f>
        <v>-1.138219226312345</v>
      </c>
      <c r="O720" s="12">
        <f>(INDEX(Proj[],MATCH(Std[[#This Row],[Player]],Proj[Player],0),22)-O$764)/O$765</f>
        <v>-1.1015762961893891</v>
      </c>
      <c r="P720" s="12">
        <f>((INDEX(Proj[],MATCH(Std[[#This Row],[Player]],Proj[Player],0),23)-P$764)/P$765)*IF('League Inputs'!$C$23 = "Yes",-1, 1)</f>
        <v>-1.3262294622903077</v>
      </c>
      <c r="Q720" s="12">
        <f>(INDEX(Proj[],MATCH(Std[[#This Row],[Player]],Proj[Player],0),24)-Q$764)/Q$765</f>
        <v>-0.40070642946087337</v>
      </c>
      <c r="R720" s="12">
        <f>(INDEX(Proj[],MATCH(Std[[#This Row],[Player]],Proj[Player],0),25)-R$764)/R$765</f>
        <v>-0.46641202365044798</v>
      </c>
      <c r="S720" s="12">
        <f>(INDEX(Proj[],MATCH(Std[[#This Row],[Player]],Proj[Player],0),26)-S$764)/S$765</f>
        <v>-1.6400429309128584</v>
      </c>
      <c r="T72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-968.51040267299129</v>
      </c>
      <c r="U720" s="11"/>
      <c r="W720" t="str">
        <v>Lukas Rousek</v>
      </c>
      <c r="AA720" t="str">
        <v>Lukas Rousek</v>
      </c>
      <c r="AB720" t="str">
        <v>Lukas Rousek</v>
      </c>
    </row>
    <row r="721" spans="1:28" x14ac:dyDescent="0.25">
      <c r="A721" t="s">
        <v>973</v>
      </c>
      <c r="B721">
        <f>INDEX(Proj[],MATCH(Std[[#This Row],[Player]],Proj[Player],0),2)</f>
        <v>30</v>
      </c>
      <c r="C721" t="s">
        <v>3</v>
      </c>
      <c r="D721" s="75"/>
      <c r="E721" s="57"/>
      <c r="F721" t="s">
        <v>156</v>
      </c>
      <c r="G721" s="12">
        <f>(INDEX(Proj[],MATCH(Std[[#This Row],[Player]],Proj[Player],0),14)-G$764)/G$765</f>
        <v>-0.873752993897015</v>
      </c>
      <c r="H721" s="12">
        <f>(INDEX(Proj[],MATCH(Std[[#This Row],[Player]],Proj[Player],0),15)-H$764)/H$765</f>
        <v>-1.2589029694057567</v>
      </c>
      <c r="I721" s="12">
        <f>(INDEX(Proj[],MATCH(Std[[#This Row],[Player]],Proj[Player],0),16)-I$764)/I$765</f>
        <v>-1.188760443923228</v>
      </c>
      <c r="J721" s="12">
        <f>(INDEX(Proj[],MATCH(Std[[#This Row],[Player]],Proj[Player],0),17)-J$764)/J$765</f>
        <v>-0.76105581014900237</v>
      </c>
      <c r="K721" s="12">
        <f>(INDEX(Proj[],MATCH(Std[[#This Row],[Player]],Proj[Player],0),18)-K$764)/K$765</f>
        <v>-0.75859266061649311</v>
      </c>
      <c r="L721" s="12">
        <f>(INDEX(Proj[],MATCH(Std[[#This Row],[Player]],Proj[Player],0),19)-L$764)/L$765</f>
        <v>-0.81647589674950882</v>
      </c>
      <c r="M721" s="12">
        <f>(INDEX(Proj[],MATCH(Std[[#This Row],[Player]],Proj[Player],0),20)-M$764)/M$765</f>
        <v>-0.71308883245737775</v>
      </c>
      <c r="N721" s="12">
        <f>(INDEX(Proj[],MATCH(Std[[#This Row],[Player]],Proj[Player],0),21)-N$764)/N$765</f>
        <v>0.62533650838737442</v>
      </c>
      <c r="O721" s="12">
        <f>(INDEX(Proj[],MATCH(Std[[#This Row],[Player]],Proj[Player],0),22)-O$764)/O$765</f>
        <v>-1.0087122828326462</v>
      </c>
      <c r="P721" s="12">
        <f>((INDEX(Proj[],MATCH(Std[[#This Row],[Player]],Proj[Player],0),23)-P$764)/P$765)*IF('League Inputs'!$C$23 = "Yes",-1, 1)</f>
        <v>2.2107933843849357</v>
      </c>
      <c r="Q721" s="12">
        <f>(INDEX(Proj[],MATCH(Std[[#This Row],[Player]],Proj[Player],0),24)-Q$764)/Q$765</f>
        <v>-0.44334979463713092</v>
      </c>
      <c r="R721" s="12">
        <f>(INDEX(Proj[],MATCH(Std[[#This Row],[Player]],Proj[Player],0),25)-R$764)/R$765</f>
        <v>-0.50046273222637916</v>
      </c>
      <c r="S721" s="12">
        <f>(INDEX(Proj[],MATCH(Std[[#This Row],[Player]],Proj[Player],0),26)-S$764)/S$765</f>
        <v>-1.4129812147817067</v>
      </c>
      <c r="T72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-416.68057034546814</v>
      </c>
      <c r="U721" s="11"/>
      <c r="W721" t="str">
        <v>Kurtis MacDermid</v>
      </c>
      <c r="AA721" t="str">
        <v>Kurtis MacDermid</v>
      </c>
      <c r="AB721" t="str">
        <v>Kurtis MacDermid</v>
      </c>
    </row>
    <row r="722" spans="1:28" x14ac:dyDescent="0.25">
      <c r="A722" t="s">
        <v>917</v>
      </c>
      <c r="B722">
        <f>INDEX(Proj[],MATCH(Std[[#This Row],[Player]],Proj[Player],0),2)</f>
        <v>27</v>
      </c>
      <c r="C722" t="s">
        <v>3</v>
      </c>
      <c r="D722" s="75"/>
      <c r="E722" s="57"/>
      <c r="F722" t="s">
        <v>32</v>
      </c>
      <c r="G722" s="12">
        <f>(INDEX(Proj[],MATCH(Std[[#This Row],[Player]],Proj[Player],0),14)-G$764)/G$765</f>
        <v>-1.190654600170312</v>
      </c>
      <c r="H722" s="12">
        <f>(INDEX(Proj[],MATCH(Std[[#This Row],[Player]],Proj[Player],0),15)-H$764)/H$765</f>
        <v>-1.0353151684409609</v>
      </c>
      <c r="I722" s="12">
        <f>(INDEX(Proj[],MATCH(Std[[#This Row],[Player]],Proj[Player],0),16)-I$764)/I$765</f>
        <v>-1.188760443923228</v>
      </c>
      <c r="J722" s="12">
        <f>(INDEX(Proj[],MATCH(Std[[#This Row],[Player]],Proj[Player],0),17)-J$764)/J$765</f>
        <v>-0.76105581014900237</v>
      </c>
      <c r="K722" s="12">
        <f>(INDEX(Proj[],MATCH(Std[[#This Row],[Player]],Proj[Player],0),18)-K$764)/K$765</f>
        <v>-0.75859266061649311</v>
      </c>
      <c r="L722" s="12">
        <f>(INDEX(Proj[],MATCH(Std[[#This Row],[Player]],Proj[Player],0),19)-L$764)/L$765</f>
        <v>-0.81647589674950882</v>
      </c>
      <c r="M722" s="12">
        <f>(INDEX(Proj[],MATCH(Std[[#This Row],[Player]],Proj[Player],0),20)-M$764)/M$765</f>
        <v>-0.71308883245737775</v>
      </c>
      <c r="N722" s="12">
        <f>(INDEX(Proj[],MATCH(Std[[#This Row],[Player]],Proj[Player],0),21)-N$764)/N$765</f>
        <v>1.5749434424564541</v>
      </c>
      <c r="O722" s="12">
        <f>(INDEX(Proj[],MATCH(Std[[#This Row],[Player]],Proj[Player],0),22)-O$764)/O$765</f>
        <v>0.63962395424953922</v>
      </c>
      <c r="P722" s="12">
        <f>((INDEX(Proj[],MATCH(Std[[#This Row],[Player]],Proj[Player],0),23)-P$764)/P$765)*IF('League Inputs'!$C$23 = "Yes",-1, 1)</f>
        <v>-0.44197375062149696</v>
      </c>
      <c r="Q722" s="12">
        <f>(INDEX(Proj[],MATCH(Std[[#This Row],[Player]],Proj[Player],0),24)-Q$764)/Q$765</f>
        <v>-0.5766103108129359</v>
      </c>
      <c r="R722" s="12">
        <f>(INDEX(Proj[],MATCH(Std[[#This Row],[Player]],Proj[Player],0),25)-R$764)/R$765</f>
        <v>-0.62531533033812681</v>
      </c>
      <c r="S722" s="12">
        <f>(INDEX(Proj[],MATCH(Std[[#This Row],[Player]],Proj[Player],0),26)-S$764)/S$765</f>
        <v>-1.3643251327536026</v>
      </c>
      <c r="T72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-439.95479067660528</v>
      </c>
      <c r="U722" s="11"/>
      <c r="W722" t="str">
        <v>Noah Juulsen</v>
      </c>
      <c r="AA722" t="str">
        <v>Noah Juulsen</v>
      </c>
      <c r="AB722" t="str">
        <v>Noah Juulsen</v>
      </c>
    </row>
    <row r="723" spans="1:28" x14ac:dyDescent="0.25">
      <c r="A723" t="s">
        <v>764</v>
      </c>
      <c r="B723">
        <f>INDEX(Proj[],MATCH(Std[[#This Row],[Player]],Proj[Player],0),2)</f>
        <v>26</v>
      </c>
      <c r="C723" t="s">
        <v>3</v>
      </c>
      <c r="D723" s="75"/>
      <c r="E723" s="56"/>
      <c r="F723" t="s">
        <v>9</v>
      </c>
      <c r="G723" s="12">
        <f>(INDEX(Proj[],MATCH(Std[[#This Row],[Player]],Proj[Player],0),14)-G$764)/G$765</f>
        <v>-0.873752993897015</v>
      </c>
      <c r="H723" s="12">
        <f>(INDEX(Proj[],MATCH(Std[[#This Row],[Player]],Proj[Player],0),15)-H$764)/H$765</f>
        <v>-1.2589029694057567</v>
      </c>
      <c r="I723" s="12">
        <f>(INDEX(Proj[],MATCH(Std[[#This Row],[Player]],Proj[Player],0),16)-I$764)/I$765</f>
        <v>-1.188760443923228</v>
      </c>
      <c r="J723" s="12">
        <f>(INDEX(Proj[],MATCH(Std[[#This Row],[Player]],Proj[Player],0),17)-J$764)/J$765</f>
        <v>-0.76105581014900237</v>
      </c>
      <c r="K723" s="12">
        <f>(INDEX(Proj[],MATCH(Std[[#This Row],[Player]],Proj[Player],0),18)-K$764)/K$765</f>
        <v>-0.75859266061649311</v>
      </c>
      <c r="L723" s="12">
        <f>(INDEX(Proj[],MATCH(Std[[#This Row],[Player]],Proj[Player],0),19)-L$764)/L$765</f>
        <v>-0.81647589674950882</v>
      </c>
      <c r="M723" s="12">
        <f>(INDEX(Proj[],MATCH(Std[[#This Row],[Player]],Proj[Player],0),20)-M$764)/M$765</f>
        <v>-0.71308883245737775</v>
      </c>
      <c r="N723" s="12">
        <f>(INDEX(Proj[],MATCH(Std[[#This Row],[Player]],Proj[Player],0),21)-N$764)/N$765</f>
        <v>0.78037437517416297</v>
      </c>
      <c r="O723" s="12">
        <f>(INDEX(Proj[],MATCH(Std[[#This Row],[Player]],Proj[Player],0),22)-O$764)/O$765</f>
        <v>-1.031928286171832</v>
      </c>
      <c r="P723" s="12">
        <f>((INDEX(Proj[],MATCH(Std[[#This Row],[Player]],Proj[Player],0),23)-P$764)/P$765)*IF('League Inputs'!$C$23 = "Yes",-1, 1)</f>
        <v>3.7466059362307647</v>
      </c>
      <c r="Q723" s="12">
        <f>(INDEX(Proj[],MATCH(Std[[#This Row],[Player]],Proj[Player],0),24)-Q$764)/Q$765</f>
        <v>-0.54462778693074265</v>
      </c>
      <c r="R723" s="12">
        <f>(INDEX(Proj[],MATCH(Std[[#This Row],[Player]],Proj[Player],0),25)-R$764)/R$765</f>
        <v>-0.59126462176219563</v>
      </c>
      <c r="S723" s="12">
        <f>(INDEX(Proj[],MATCH(Std[[#This Row],[Player]],Proj[Player],0),26)-S$764)/S$765</f>
        <v>-1.169700804641187</v>
      </c>
      <c r="T72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-235.71688703143428</v>
      </c>
      <c r="U723" s="11"/>
      <c r="W723" t="str">
        <v>Jonah Gadjovich</v>
      </c>
      <c r="AA723" t="str">
        <v>Jonah Gadjovich</v>
      </c>
      <c r="AB723" t="str">
        <v>Jonah Gadjovich</v>
      </c>
    </row>
    <row r="724" spans="1:28" x14ac:dyDescent="0.25">
      <c r="A724" t="s">
        <v>490</v>
      </c>
      <c r="B724">
        <f>INDEX(Proj[],MATCH(Std[[#This Row],[Player]],Proj[Player],0),2)</f>
        <v>33</v>
      </c>
      <c r="C724" t="s">
        <v>3</v>
      </c>
      <c r="D724" s="75"/>
      <c r="E724" s="57"/>
      <c r="F724" t="s">
        <v>7</v>
      </c>
      <c r="G724" s="12">
        <f>(INDEX(Proj[],MATCH(Std[[#This Row],[Player]],Proj[Player],0),14)-G$764)/G$765</f>
        <v>-0.873752993897015</v>
      </c>
      <c r="H724" s="12">
        <f>(INDEX(Proj[],MATCH(Std[[#This Row],[Player]],Proj[Player],0),15)-H$764)/H$765</f>
        <v>-1.2589029694057567</v>
      </c>
      <c r="I724" s="12">
        <f>(INDEX(Proj[],MATCH(Std[[#This Row],[Player]],Proj[Player],0),16)-I$764)/I$765</f>
        <v>-1.188760443923228</v>
      </c>
      <c r="J724" s="12">
        <f>(INDEX(Proj[],MATCH(Std[[#This Row],[Player]],Proj[Player],0),17)-J$764)/J$765</f>
        <v>-0.76105581014900237</v>
      </c>
      <c r="K724" s="12">
        <f>(INDEX(Proj[],MATCH(Std[[#This Row],[Player]],Proj[Player],0),18)-K$764)/K$765</f>
        <v>-0.75859266061649311</v>
      </c>
      <c r="L724" s="12">
        <f>(INDEX(Proj[],MATCH(Std[[#This Row],[Player]],Proj[Player],0),19)-L$764)/L$765</f>
        <v>-0.81647589674950882</v>
      </c>
      <c r="M724" s="12">
        <f>(INDEX(Proj[],MATCH(Std[[#This Row],[Player]],Proj[Player],0),20)-M$764)/M$765</f>
        <v>0.31240082183847029</v>
      </c>
      <c r="N724" s="12">
        <f>(INDEX(Proj[],MATCH(Std[[#This Row],[Player]],Proj[Player],0),21)-N$764)/N$765</f>
        <v>0.78037437517416297</v>
      </c>
      <c r="O724" s="12">
        <f>(INDEX(Proj[],MATCH(Std[[#This Row],[Player]],Proj[Player],0),22)-O$764)/O$765</f>
        <v>-0.4747442060313749</v>
      </c>
      <c r="P724" s="12">
        <f>((INDEX(Proj[],MATCH(Std[[#This Row],[Player]],Proj[Player],0),23)-P$764)/P$765)*IF('League Inputs'!$C$23 = "Yes",-1, 1)</f>
        <v>2.6761911273685199</v>
      </c>
      <c r="Q724" s="12">
        <f>(INDEX(Proj[],MATCH(Std[[#This Row],[Player]],Proj[Player],0),24)-Q$764)/Q$765</f>
        <v>-0.54462778693074265</v>
      </c>
      <c r="R724" s="12">
        <f>(INDEX(Proj[],MATCH(Std[[#This Row],[Player]],Proj[Player],0),25)-R$764)/R$765</f>
        <v>-0.56288903128225298</v>
      </c>
      <c r="S724" s="12">
        <f>(INDEX(Proj[],MATCH(Std[[#This Row],[Player]],Proj[Player],0),26)-S$764)/S$765</f>
        <v>-1.3156690507254987</v>
      </c>
      <c r="T72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-301.63678451204413</v>
      </c>
      <c r="U724" s="11"/>
      <c r="W724" t="str">
        <v>Austin Watson</v>
      </c>
      <c r="AA724" t="str">
        <v>Austin Watson</v>
      </c>
      <c r="AB724" t="str">
        <v>Austin Watson</v>
      </c>
    </row>
    <row r="725" spans="1:28" x14ac:dyDescent="0.25">
      <c r="A725" t="s">
        <v>910</v>
      </c>
      <c r="B725">
        <f>INDEX(Proj[],MATCH(Std[[#This Row],[Player]],Proj[Player],0),2)</f>
        <v>32</v>
      </c>
      <c r="C725" t="s">
        <v>3</v>
      </c>
      <c r="D725" s="75"/>
      <c r="E725" s="56"/>
      <c r="F725" t="s">
        <v>5</v>
      </c>
      <c r="G725" s="12">
        <f>(INDEX(Proj[],MATCH(Std[[#This Row],[Player]],Proj[Player],0),14)-G$764)/G$765</f>
        <v>-1.190654600170312</v>
      </c>
      <c r="H725" s="12">
        <f>(INDEX(Proj[],MATCH(Std[[#This Row],[Player]],Proj[Player],0),15)-H$764)/H$765</f>
        <v>-1.0353151684409609</v>
      </c>
      <c r="I725" s="12">
        <f>(INDEX(Proj[],MATCH(Std[[#This Row],[Player]],Proj[Player],0),16)-I$764)/I$765</f>
        <v>-1.188760443923228</v>
      </c>
      <c r="J725" s="12">
        <f>(INDEX(Proj[],MATCH(Std[[#This Row],[Player]],Proj[Player],0),17)-J$764)/J$765</f>
        <v>-0.76105581014900237</v>
      </c>
      <c r="K725" s="12">
        <f>(INDEX(Proj[],MATCH(Std[[#This Row],[Player]],Proj[Player],0),18)-K$764)/K$765</f>
        <v>-0.75859266061649311</v>
      </c>
      <c r="L725" s="12">
        <f>(INDEX(Proj[],MATCH(Std[[#This Row],[Player]],Proj[Player],0),19)-L$764)/L$765</f>
        <v>-0.81647589674950882</v>
      </c>
      <c r="M725" s="12">
        <f>(INDEX(Proj[],MATCH(Std[[#This Row],[Player]],Proj[Player],0),20)-M$764)/M$765</f>
        <v>0.31240082183847029</v>
      </c>
      <c r="N725" s="12">
        <f>(INDEX(Proj[],MATCH(Std[[#This Row],[Player]],Proj[Player],0),21)-N$764)/N$765</f>
        <v>-0.11109335884987108</v>
      </c>
      <c r="O725" s="12">
        <f>(INDEX(Proj[],MATCH(Std[[#This Row],[Player]],Proj[Player],0),22)-O$764)/O$765</f>
        <v>0.89499999098058203</v>
      </c>
      <c r="P725" s="12">
        <f>((INDEX(Proj[],MATCH(Std[[#This Row],[Player]],Proj[Player],0),23)-P$764)/P$765)*IF('League Inputs'!$C$23 = "Yes",-1, 1)</f>
        <v>-0.53505329921821387</v>
      </c>
      <c r="Q725" s="12">
        <f>(INDEX(Proj[],MATCH(Std[[#This Row],[Player]],Proj[Player],0),24)-Q$764)/Q$765</f>
        <v>-0.5766103108129359</v>
      </c>
      <c r="R725" s="12">
        <f>(INDEX(Proj[],MATCH(Std[[#This Row],[Player]],Proj[Player],0),25)-R$764)/R$765</f>
        <v>-0.62531533033812681</v>
      </c>
      <c r="S725" s="12">
        <f>(INDEX(Proj[],MATCH(Std[[#This Row],[Player]],Proj[Player],0),26)-S$764)/S$765</f>
        <v>-1.2507942746880267</v>
      </c>
      <c r="T72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-580.97573618724755</v>
      </c>
      <c r="U725" s="11"/>
      <c r="W725" t="str">
        <v>Jaycob Megna</v>
      </c>
      <c r="AA725" t="str">
        <v>Jaycob Megna</v>
      </c>
      <c r="AB725" t="str">
        <v>Jaycob Megna</v>
      </c>
    </row>
    <row r="726" spans="1:28" x14ac:dyDescent="0.25">
      <c r="A726" t="s">
        <v>983</v>
      </c>
      <c r="B726">
        <f>INDEX(Proj[],MATCH(Std[[#This Row],[Player]],Proj[Player],0),2)</f>
        <v>28</v>
      </c>
      <c r="C726" t="s">
        <v>3</v>
      </c>
      <c r="D726" s="75"/>
      <c r="E726" s="57"/>
      <c r="F726" t="s">
        <v>30</v>
      </c>
      <c r="G726" s="12">
        <f>(INDEX(Proj[],MATCH(Std[[#This Row],[Player]],Proj[Player],0),14)-G$764)/G$765</f>
        <v>-1.190654600170312</v>
      </c>
      <c r="H726" s="12">
        <f>(INDEX(Proj[],MATCH(Std[[#This Row],[Player]],Proj[Player],0),15)-H$764)/H$765</f>
        <v>-1.0353151684409609</v>
      </c>
      <c r="I726" s="12">
        <f>(INDEX(Proj[],MATCH(Std[[#This Row],[Player]],Proj[Player],0),16)-I$764)/I$765</f>
        <v>-1.188760443923228</v>
      </c>
      <c r="J726" s="12">
        <f>(INDEX(Proj[],MATCH(Std[[#This Row],[Player]],Proj[Player],0),17)-J$764)/J$765</f>
        <v>-0.76105581014900237</v>
      </c>
      <c r="K726" s="12">
        <f>(INDEX(Proj[],MATCH(Std[[#This Row],[Player]],Proj[Player],0),18)-K$764)/K$765</f>
        <v>-0.75859266061649311</v>
      </c>
      <c r="L726" s="12">
        <f>(INDEX(Proj[],MATCH(Std[[#This Row],[Player]],Proj[Player],0),19)-L$764)/L$765</f>
        <v>-0.81647589674950882</v>
      </c>
      <c r="M726" s="12">
        <f>(INDEX(Proj[],MATCH(Std[[#This Row],[Player]],Proj[Player],0),20)-M$764)/M$765</f>
        <v>-0.71308883245737775</v>
      </c>
      <c r="N726" s="12">
        <f>(INDEX(Proj[],MATCH(Std[[#This Row],[Player]],Proj[Player],0),21)-N$764)/N$765</f>
        <v>-1.4194692108128246E-2</v>
      </c>
      <c r="O726" s="12">
        <f>(INDEX(Proj[],MATCH(Std[[#This Row],[Player]],Proj[Player],0),22)-O$764)/O$765</f>
        <v>5.9223870769896429E-2</v>
      </c>
      <c r="P726" s="12">
        <f>((INDEX(Proj[],MATCH(Std[[#This Row],[Player]],Proj[Player],0),23)-P$764)/P$765)*IF('League Inputs'!$C$23 = "Yes",-1, 1)</f>
        <v>-0.25581465342806309</v>
      </c>
      <c r="Q726" s="12">
        <f>(INDEX(Proj[],MATCH(Std[[#This Row],[Player]],Proj[Player],0),24)-Q$764)/Q$765</f>
        <v>-0.5766103108129359</v>
      </c>
      <c r="R726" s="12">
        <f>(INDEX(Proj[],MATCH(Std[[#This Row],[Player]],Proj[Player],0),25)-R$764)/R$765</f>
        <v>-0.62531533033812681</v>
      </c>
      <c r="S726" s="12">
        <f>(INDEX(Proj[],MATCH(Std[[#This Row],[Player]],Proj[Player],0),26)-S$764)/S$765</f>
        <v>-1.3318877447348667</v>
      </c>
      <c r="T72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-635.04896395981064</v>
      </c>
      <c r="U726" s="11"/>
      <c r="W726" t="str">
        <v>William Lagesson</v>
      </c>
      <c r="AA726" t="str">
        <v>William Lagesson</v>
      </c>
      <c r="AB726" t="str">
        <v>William Lagesson</v>
      </c>
    </row>
    <row r="727" spans="1:28" x14ac:dyDescent="0.25">
      <c r="A727" t="s">
        <v>776</v>
      </c>
      <c r="B727">
        <f>INDEX(Proj[],MATCH(Std[[#This Row],[Player]],Proj[Player],0),2)</f>
        <v>33</v>
      </c>
      <c r="C727" t="s">
        <v>3</v>
      </c>
      <c r="D727" s="75"/>
      <c r="E727" s="57"/>
      <c r="F727" t="s">
        <v>154</v>
      </c>
      <c r="G727" s="12">
        <f>(INDEX(Proj[],MATCH(Std[[#This Row],[Player]],Proj[Player],0),14)-G$764)/G$765</f>
        <v>-1.0850207314125464</v>
      </c>
      <c r="H727" s="12">
        <f>(INDEX(Proj[],MATCH(Std[[#This Row],[Player]],Proj[Player],0),15)-H$764)/H$765</f>
        <v>-1.1098444354292263</v>
      </c>
      <c r="I727" s="12">
        <f>(INDEX(Proj[],MATCH(Std[[#This Row],[Player]],Proj[Player],0),16)-I$764)/I$765</f>
        <v>-1.188760443923228</v>
      </c>
      <c r="J727" s="12">
        <f>(INDEX(Proj[],MATCH(Std[[#This Row],[Player]],Proj[Player],0),17)-J$764)/J$765</f>
        <v>-0.76105581014900237</v>
      </c>
      <c r="K727" s="12">
        <f>(INDEX(Proj[],MATCH(Std[[#This Row],[Player]],Proj[Player],0),18)-K$764)/K$765</f>
        <v>-0.75859266061649311</v>
      </c>
      <c r="L727" s="12">
        <f>(INDEX(Proj[],MATCH(Std[[#This Row],[Player]],Proj[Player],0),19)-L$764)/L$765</f>
        <v>-0.81647589674950882</v>
      </c>
      <c r="M727" s="12">
        <f>(INDEX(Proj[],MATCH(Std[[#This Row],[Player]],Proj[Player],0),20)-M$764)/M$765</f>
        <v>-0.71308883245737775</v>
      </c>
      <c r="N727" s="12">
        <f>(INDEX(Proj[],MATCH(Std[[#This Row],[Player]],Proj[Player],0),21)-N$764)/N$765</f>
        <v>-0.44054882577179671</v>
      </c>
      <c r="O727" s="12">
        <f>(INDEX(Proj[],MATCH(Std[[#This Row],[Player]],Proj[Player],0),22)-O$764)/O$765</f>
        <v>8.2439874109082142E-2</v>
      </c>
      <c r="P727" s="12">
        <f>((INDEX(Proj[],MATCH(Std[[#This Row],[Player]],Proj[Player],0),23)-P$764)/P$765)*IF('League Inputs'!$C$23 = "Yes",-1, 1)</f>
        <v>-0.39543397632313848</v>
      </c>
      <c r="Q727" s="12">
        <f>(INDEX(Proj[],MATCH(Std[[#This Row],[Player]],Proj[Player],0),24)-Q$764)/Q$765</f>
        <v>-0.5766103108129359</v>
      </c>
      <c r="R727" s="12">
        <f>(INDEX(Proj[],MATCH(Std[[#This Row],[Player]],Proj[Player],0),25)-R$764)/R$765</f>
        <v>-0.62531533033812681</v>
      </c>
      <c r="S727" s="12">
        <f>(INDEX(Proj[],MATCH(Std[[#This Row],[Player]],Proj[Player],0),26)-S$764)/S$765</f>
        <v>-1.4616372968098106</v>
      </c>
      <c r="T72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-699.18920431231095</v>
      </c>
      <c r="U727" s="11"/>
      <c r="W727" t="str">
        <v>Joel Hanley</v>
      </c>
      <c r="AA727" t="str">
        <v>Joel Hanley</v>
      </c>
      <c r="AB727" t="str">
        <v>Joel Hanley</v>
      </c>
    </row>
    <row r="728" spans="1:28" x14ac:dyDescent="0.25">
      <c r="A728" t="s">
        <v>1207</v>
      </c>
      <c r="B728">
        <f>INDEX(Proj[],MATCH(Std[[#This Row],[Player]],Proj[Player],0),2)</f>
        <v>28</v>
      </c>
      <c r="C728" t="s">
        <v>3</v>
      </c>
      <c r="D728" s="75"/>
      <c r="E728" s="64"/>
      <c r="F728" t="s">
        <v>18</v>
      </c>
      <c r="G728" s="73">
        <f>(INDEX(Proj[],MATCH(Std[[#This Row],[Player]],Proj[Player],0),14)-G$764)/G$765</f>
        <v>-1.0850207314125464</v>
      </c>
      <c r="H728" s="73">
        <f>(INDEX(Proj[],MATCH(Std[[#This Row],[Player]],Proj[Player],0),15)-H$764)/H$765</f>
        <v>-1.1098444354292263</v>
      </c>
      <c r="I728" s="73">
        <f>(INDEX(Proj[],MATCH(Std[[#This Row],[Player]],Proj[Player],0),16)-I$764)/I$765</f>
        <v>-1.188760443923228</v>
      </c>
      <c r="J728" s="12">
        <f>(INDEX(Proj[],MATCH(Std[[#This Row],[Player]],Proj[Player],0),17)-J$764)/J$765</f>
        <v>-0.76105581014900237</v>
      </c>
      <c r="K728" s="12">
        <f>(INDEX(Proj[],MATCH(Std[[#This Row],[Player]],Proj[Player],0),18)-K$764)/K$765</f>
        <v>-0.75859266061649311</v>
      </c>
      <c r="L728" s="12">
        <f>(INDEX(Proj[],MATCH(Std[[#This Row],[Player]],Proj[Player],0),19)-L$764)/L$765</f>
        <v>-0.81647589674950882</v>
      </c>
      <c r="M728" s="12">
        <f>(INDEX(Proj[],MATCH(Std[[#This Row],[Player]],Proj[Player],0),20)-M$764)/M$765</f>
        <v>-0.71308883245737775</v>
      </c>
      <c r="N728" s="12">
        <f>(INDEX(Proj[],MATCH(Std[[#This Row],[Player]],Proj[Player],0),21)-N$764)/N$765</f>
        <v>-0.63434615925528237</v>
      </c>
      <c r="O728" s="12">
        <f>(INDEX(Proj[],MATCH(Std[[#This Row],[Player]],Proj[Player],0),22)-O$764)/O$765</f>
        <v>-0.49796020937056062</v>
      </c>
      <c r="P728" s="12">
        <f>((INDEX(Proj[],MATCH(Std[[#This Row],[Player]],Proj[Player],0),23)-P$764)/P$765)*IF('League Inputs'!$C$23 = "Yes",-1, 1)</f>
        <v>-0.81429194500836466</v>
      </c>
      <c r="Q728" s="12">
        <f>(INDEX(Proj[],MATCH(Std[[#This Row],[Player]],Proj[Player],0),24)-Q$764)/Q$765</f>
        <v>-0.5766103108129359</v>
      </c>
      <c r="R728" s="12">
        <f>(INDEX(Proj[],MATCH(Std[[#This Row],[Player]],Proj[Player],0),25)-R$764)/R$765</f>
        <v>-0.62531533033812681</v>
      </c>
      <c r="S728" s="12">
        <f>(INDEX(Proj[],MATCH(Std[[#This Row],[Player]],Proj[Player],0),26)-S$764)/S$765</f>
        <v>-1.2507942746880267</v>
      </c>
      <c r="T72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-797.41044066496806</v>
      </c>
      <c r="U728" s="11"/>
      <c r="W728" t="str">
        <v>Uvis Balinskis</v>
      </c>
      <c r="AA728" t="str">
        <v>Uvis Balinskis</v>
      </c>
      <c r="AB728" t="str">
        <v>Uvis Balinskis</v>
      </c>
    </row>
    <row r="729" spans="1:28" x14ac:dyDescent="0.25">
      <c r="A729" t="s">
        <v>1066</v>
      </c>
      <c r="B729">
        <f>INDEX(Proj[],MATCH(Std[[#This Row],[Player]],Proj[Player],0),2)</f>
        <v>24</v>
      </c>
      <c r="C729" t="s">
        <v>3</v>
      </c>
      <c r="D729" s="75"/>
      <c r="E729" s="58"/>
      <c r="F729" t="s">
        <v>155</v>
      </c>
      <c r="G729" s="73">
        <f>(INDEX(Proj[],MATCH(Std[[#This Row],[Player]],Proj[Player],0),14)-G$764)/G$765</f>
        <v>-1.0850207314125464</v>
      </c>
      <c r="H729" s="73">
        <f>(INDEX(Proj[],MATCH(Std[[#This Row],[Player]],Proj[Player],0),15)-H$764)/H$765</f>
        <v>-1.1098444354292263</v>
      </c>
      <c r="I729" s="73">
        <f>(INDEX(Proj[],MATCH(Std[[#This Row],[Player]],Proj[Player],0),16)-I$764)/I$765</f>
        <v>-1.188760443923228</v>
      </c>
      <c r="J729" s="12">
        <f>(INDEX(Proj[],MATCH(Std[[#This Row],[Player]],Proj[Player],0),17)-J$764)/J$765</f>
        <v>-0.76105581014900237</v>
      </c>
      <c r="K729" s="12">
        <f>(INDEX(Proj[],MATCH(Std[[#This Row],[Player]],Proj[Player],0),18)-K$764)/K$765</f>
        <v>-0.75859266061649311</v>
      </c>
      <c r="L729" s="12">
        <f>(INDEX(Proj[],MATCH(Std[[#This Row],[Player]],Proj[Player],0),19)-L$764)/L$765</f>
        <v>-0.81647589674950882</v>
      </c>
      <c r="M729" s="12">
        <f>(INDEX(Proj[],MATCH(Std[[#This Row],[Player]],Proj[Player],0),20)-M$764)/M$765</f>
        <v>-0.71308883245737775</v>
      </c>
      <c r="N729" s="12">
        <f>(INDEX(Proj[],MATCH(Std[[#This Row],[Player]],Proj[Player],0),21)-N$764)/N$765</f>
        <v>-0.59558669255858521</v>
      </c>
      <c r="O729" s="12">
        <f>(INDEX(Proj[],MATCH(Std[[#This Row],[Player]],Proj[Player],0),22)-O$764)/O$765</f>
        <v>-0.26580017597870353</v>
      </c>
      <c r="P729" s="12">
        <f>((INDEX(Proj[],MATCH(Std[[#This Row],[Player]],Proj[Player],0),23)-P$764)/P$765)*IF('League Inputs'!$C$23 = "Yes",-1, 1)</f>
        <v>-1.140070365096874</v>
      </c>
      <c r="Q729" s="12">
        <f>(INDEX(Proj[],MATCH(Std[[#This Row],[Player]],Proj[Player],0),24)-Q$764)/Q$765</f>
        <v>-0.5766103108129359</v>
      </c>
      <c r="R729" s="12">
        <f>(INDEX(Proj[],MATCH(Std[[#This Row],[Player]],Proj[Player],0),25)-R$764)/R$765</f>
        <v>-0.62531533033812681</v>
      </c>
      <c r="S729" s="12">
        <f>(INDEX(Proj[],MATCH(Std[[#This Row],[Player]],Proj[Player],0),26)-S$764)/S$765</f>
        <v>-1.2507942746880267</v>
      </c>
      <c r="T72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-802.89633266496344</v>
      </c>
      <c r="U729" s="11"/>
      <c r="W729" t="str">
        <v>Samuel Bolduc</v>
      </c>
      <c r="AA729" t="str">
        <v>Samuel Bolduc</v>
      </c>
      <c r="AB729" t="str">
        <v>Samuel Bolduc</v>
      </c>
    </row>
    <row r="730" spans="1:28" x14ac:dyDescent="0.25">
      <c r="A730" t="s">
        <v>1202</v>
      </c>
      <c r="B730">
        <f>INDEX(Proj[],MATCH(Std[[#This Row],[Player]],Proj[Player],0),2)</f>
        <v>27</v>
      </c>
      <c r="C730" t="s">
        <v>3</v>
      </c>
      <c r="D730" s="75"/>
      <c r="E730" s="57"/>
      <c r="F730" t="s">
        <v>156</v>
      </c>
      <c r="G730" s="12">
        <f>(INDEX(Proj[],MATCH(Std[[#This Row],[Player]],Proj[Player],0),14)-G$764)/G$765</f>
        <v>-1.0850207314125464</v>
      </c>
      <c r="H730" s="12">
        <f>(INDEX(Proj[],MATCH(Std[[#This Row],[Player]],Proj[Player],0),15)-H$764)/H$765</f>
        <v>-1.1098444354292263</v>
      </c>
      <c r="I730" s="12">
        <f>(INDEX(Proj[],MATCH(Std[[#This Row],[Player]],Proj[Player],0),16)-I$764)/I$765</f>
        <v>-1.188760443923228</v>
      </c>
      <c r="J730" s="12">
        <f>(INDEX(Proj[],MATCH(Std[[#This Row],[Player]],Proj[Player],0),17)-J$764)/J$765</f>
        <v>-0.76105581014900237</v>
      </c>
      <c r="K730" s="12">
        <f>(INDEX(Proj[],MATCH(Std[[#This Row],[Player]],Proj[Player],0),18)-K$764)/K$765</f>
        <v>-0.75859266061649311</v>
      </c>
      <c r="L730" s="12">
        <f>(INDEX(Proj[],MATCH(Std[[#This Row],[Player]],Proj[Player],0),19)-L$764)/L$765</f>
        <v>-0.81647589674950882</v>
      </c>
      <c r="M730" s="12">
        <f>(INDEX(Proj[],MATCH(Std[[#This Row],[Player]],Proj[Player],0),20)-M$764)/M$765</f>
        <v>-0.71308883245737775</v>
      </c>
      <c r="N730" s="12">
        <f>(INDEX(Proj[],MATCH(Std[[#This Row],[Player]],Proj[Player],0),21)-N$764)/N$765</f>
        <v>-0.88628269278381366</v>
      </c>
      <c r="O730" s="12">
        <f>(INDEX(Proj[],MATCH(Std[[#This Row],[Player]],Proj[Player],0),22)-O$764)/O$765</f>
        <v>-0.33544818599626064</v>
      </c>
      <c r="P730" s="12">
        <f>((INDEX(Proj[],MATCH(Std[[#This Row],[Player]],Proj[Player],0),23)-P$764)/P$765)*IF('League Inputs'!$C$23 = "Yes",-1, 1)</f>
        <v>-1.0935305907985153</v>
      </c>
      <c r="Q730" s="12">
        <f>(INDEX(Proj[],MATCH(Std[[#This Row],[Player]],Proj[Player],0),24)-Q$764)/Q$765</f>
        <v>-0.5766103108129359</v>
      </c>
      <c r="R730" s="12">
        <f>(INDEX(Proj[],MATCH(Std[[#This Row],[Player]],Proj[Player],0),25)-R$764)/R$765</f>
        <v>-0.62531533033812681</v>
      </c>
      <c r="S730" s="12">
        <f>(INDEX(Proj[],MATCH(Std[[#This Row],[Player]],Proj[Player],0),26)-S$764)/S$765</f>
        <v>-1.3318877447348667</v>
      </c>
      <c r="T73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-842.38610326409025</v>
      </c>
      <c r="U730" s="11"/>
      <c r="W730" t="str">
        <v>Ryan Shea</v>
      </c>
      <c r="AA730" t="str">
        <v>Ryan Shea</v>
      </c>
      <c r="AB730" t="str">
        <v>Ryan Shea</v>
      </c>
    </row>
    <row r="731" spans="1:28" x14ac:dyDescent="0.25">
      <c r="A731" t="s">
        <v>683</v>
      </c>
      <c r="B731">
        <f>INDEX(Proj[],MATCH(Std[[#This Row],[Player]],Proj[Player],0),2)</f>
        <v>27</v>
      </c>
      <c r="C731" t="s">
        <v>3</v>
      </c>
      <c r="D731" s="75"/>
      <c r="E731" s="57"/>
      <c r="F731" t="s">
        <v>29</v>
      </c>
      <c r="G731" s="12">
        <f>(INDEX(Proj[],MATCH(Std[[#This Row],[Player]],Proj[Player],0),14)-G$764)/G$765</f>
        <v>-1.190654600170312</v>
      </c>
      <c r="H731" s="12">
        <f>(INDEX(Proj[],MATCH(Std[[#This Row],[Player]],Proj[Player],0),15)-H$764)/H$765</f>
        <v>-1.0353151684409609</v>
      </c>
      <c r="I731" s="12">
        <f>(INDEX(Proj[],MATCH(Std[[#This Row],[Player]],Proj[Player],0),16)-I$764)/I$765</f>
        <v>-1.188760443923228</v>
      </c>
      <c r="J731" s="12">
        <f>(INDEX(Proj[],MATCH(Std[[#This Row],[Player]],Proj[Player],0),17)-J$764)/J$765</f>
        <v>-0.76105581014900237</v>
      </c>
      <c r="K731" s="12">
        <f>(INDEX(Proj[],MATCH(Std[[#This Row],[Player]],Proj[Player],0),18)-K$764)/K$765</f>
        <v>-0.75859266061649311</v>
      </c>
      <c r="L731" s="12">
        <f>(INDEX(Proj[],MATCH(Std[[#This Row],[Player]],Proj[Player],0),19)-L$764)/L$765</f>
        <v>-0.81647589674950882</v>
      </c>
      <c r="M731" s="12">
        <f>(INDEX(Proj[],MATCH(Std[[#This Row],[Player]],Proj[Player],0),20)-M$764)/M$765</f>
        <v>-0.71308883245737775</v>
      </c>
      <c r="N731" s="12">
        <f>(INDEX(Proj[],MATCH(Std[[#This Row],[Player]],Proj[Player],0),21)-N$764)/N$765</f>
        <v>-1.0994597596156479</v>
      </c>
      <c r="O731" s="12">
        <f>(INDEX(Proj[],MATCH(Std[[#This Row],[Player]],Proj[Player],0),22)-O$764)/O$765</f>
        <v>-8.0072149265217829E-2</v>
      </c>
      <c r="P731" s="12">
        <f>((INDEX(Proj[],MATCH(Std[[#This Row],[Player]],Proj[Player],0),23)-P$764)/P$765)*IF('League Inputs'!$C$23 = "Yes",-1, 1)</f>
        <v>-1.1866101393952324</v>
      </c>
      <c r="Q731" s="12">
        <f>(INDEX(Proj[],MATCH(Std[[#This Row],[Player]],Proj[Player],0),24)-Q$764)/Q$765</f>
        <v>-0.5766103108129359</v>
      </c>
      <c r="R731" s="12">
        <f>(INDEX(Proj[],MATCH(Std[[#This Row],[Player]],Proj[Player],0),25)-R$764)/R$765</f>
        <v>-0.62531533033812681</v>
      </c>
      <c r="S731" s="12">
        <f>(INDEX(Proj[],MATCH(Std[[#This Row],[Player]],Proj[Player],0),26)-S$764)/S$765</f>
        <v>-1.5589494608660184</v>
      </c>
      <c r="T73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-873.29079292390611</v>
      </c>
      <c r="U731" s="11"/>
      <c r="W731" t="str">
        <v>Jacob Bryson</v>
      </c>
      <c r="AA731" t="str">
        <v>Jacob Bryson</v>
      </c>
      <c r="AB731" t="str">
        <v>Jacob Bryson</v>
      </c>
    </row>
    <row r="732" spans="1:28" x14ac:dyDescent="0.25">
      <c r="A732" t="s">
        <v>823</v>
      </c>
      <c r="B732">
        <f>INDEX(Proj[],MATCH(Std[[#This Row],[Player]],Proj[Player],0),2)</f>
        <v>25</v>
      </c>
      <c r="C732" t="s">
        <v>3</v>
      </c>
      <c r="D732" s="75"/>
      <c r="E732" s="57"/>
      <c r="F732" t="s">
        <v>28</v>
      </c>
      <c r="G732" s="12">
        <f>(INDEX(Proj[],MATCH(Std[[#This Row],[Player]],Proj[Player],0),14)-G$764)/G$765</f>
        <v>-0.9793868626547807</v>
      </c>
      <c r="H732" s="12">
        <f>(INDEX(Proj[],MATCH(Std[[#This Row],[Player]],Proj[Player],0),15)-H$764)/H$765</f>
        <v>-1.1843737024174914</v>
      </c>
      <c r="I732" s="12">
        <f>(INDEX(Proj[],MATCH(Std[[#This Row],[Player]],Proj[Player],0),16)-I$764)/I$765</f>
        <v>-1.188760443923228</v>
      </c>
      <c r="J732" s="12">
        <f>(INDEX(Proj[],MATCH(Std[[#This Row],[Player]],Proj[Player],0),17)-J$764)/J$765</f>
        <v>-0.76105581014900237</v>
      </c>
      <c r="K732" s="12">
        <f>(INDEX(Proj[],MATCH(Std[[#This Row],[Player]],Proj[Player],0),18)-K$764)/K$765</f>
        <v>-0.75859266061649311</v>
      </c>
      <c r="L732" s="12">
        <f>(INDEX(Proj[],MATCH(Std[[#This Row],[Player]],Proj[Player],0),19)-L$764)/L$765</f>
        <v>-0.81647589674950882</v>
      </c>
      <c r="M732" s="12">
        <f>(INDEX(Proj[],MATCH(Std[[#This Row],[Player]],Proj[Player],0),20)-M$764)/M$765</f>
        <v>-0.71308883245737775</v>
      </c>
      <c r="N732" s="12">
        <f>(INDEX(Proj[],MATCH(Std[[#This Row],[Player]],Proj[Player],0),21)-N$764)/N$765</f>
        <v>8.2703974633614577E-2</v>
      </c>
      <c r="O732" s="12">
        <f>(INDEX(Proj[],MATCH(Std[[#This Row],[Player]],Proj[Player],0),22)-O$764)/O$765</f>
        <v>-0.86941626279753204</v>
      </c>
      <c r="P732" s="12">
        <f>((INDEX(Proj[],MATCH(Std[[#This Row],[Player]],Proj[Player],0),23)-P$764)/P$765)*IF('League Inputs'!$C$23 = "Yes",-1, 1)</f>
        <v>-0.95391126790344005</v>
      </c>
      <c r="Q732" s="12">
        <f>(INDEX(Proj[],MATCH(Std[[#This Row],[Player]],Proj[Player],0),24)-Q$764)/Q$765</f>
        <v>0.48414339794647138</v>
      </c>
      <c r="R732" s="12">
        <f>(INDEX(Proj[],MATCH(Std[[#This Row],[Player]],Proj[Player],0),25)-R$764)/R$765</f>
        <v>0.5324087612435332</v>
      </c>
      <c r="S732" s="12">
        <f>(INDEX(Proj[],MATCH(Std[[#This Row],[Player]],Proj[Player],0),26)-S$764)/S$765</f>
        <v>-1.072388640584979</v>
      </c>
      <c r="T73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-649.78657044508736</v>
      </c>
      <c r="U732" s="11"/>
      <c r="W732" t="str">
        <v>Jake Leschyshyn</v>
      </c>
      <c r="AA732" t="str">
        <v>Jake Leschyshyn</v>
      </c>
      <c r="AB732" t="str">
        <v>Jake Leschyshyn</v>
      </c>
    </row>
    <row r="733" spans="1:28" x14ac:dyDescent="0.25">
      <c r="A733" t="s">
        <v>775</v>
      </c>
      <c r="B733">
        <f>INDEX(Proj[],MATCH(Std[[#This Row],[Player]],Proj[Player],0),2)</f>
        <v>32</v>
      </c>
      <c r="C733" t="s">
        <v>3</v>
      </c>
      <c r="D733" s="75"/>
      <c r="E733" s="57"/>
      <c r="F733" t="s">
        <v>153</v>
      </c>
      <c r="G733" s="12">
        <f>(INDEX(Proj[],MATCH(Std[[#This Row],[Player]],Proj[Player],0),14)-G$764)/G$765</f>
        <v>-0.9793868626547807</v>
      </c>
      <c r="H733" s="12">
        <f>(INDEX(Proj[],MATCH(Std[[#This Row],[Player]],Proj[Player],0),15)-H$764)/H$765</f>
        <v>-1.1843737024174914</v>
      </c>
      <c r="I733" s="12">
        <f>(INDEX(Proj[],MATCH(Std[[#This Row],[Player]],Proj[Player],0),16)-I$764)/I$765</f>
        <v>-1.188760443923228</v>
      </c>
      <c r="J733" s="12">
        <f>(INDEX(Proj[],MATCH(Std[[#This Row],[Player]],Proj[Player],0),17)-J$764)/J$765</f>
        <v>-0.76105581014900237</v>
      </c>
      <c r="K733" s="12">
        <f>(INDEX(Proj[],MATCH(Std[[#This Row],[Player]],Proj[Player],0),18)-K$764)/K$765</f>
        <v>-0.75859266061649311</v>
      </c>
      <c r="L733" s="12">
        <f>(INDEX(Proj[],MATCH(Std[[#This Row],[Player]],Proj[Player],0),19)-L$764)/L$765</f>
        <v>-0.81647589674950882</v>
      </c>
      <c r="M733" s="12">
        <f>(INDEX(Proj[],MATCH(Std[[#This Row],[Player]],Proj[Player],0),20)-M$764)/M$765</f>
        <v>-0.71308883245737775</v>
      </c>
      <c r="N733" s="12">
        <f>(INDEX(Proj[],MATCH(Std[[#This Row],[Player]],Proj[Player],0),21)-N$764)/N$765</f>
        <v>0.17960264137535742</v>
      </c>
      <c r="O733" s="12">
        <f>(INDEX(Proj[],MATCH(Std[[#This Row],[Player]],Proj[Player],0),22)-O$764)/O$765</f>
        <v>-0.86941626279753204</v>
      </c>
      <c r="P733" s="12">
        <f>((INDEX(Proj[],MATCH(Std[[#This Row],[Player]],Proj[Player],0),23)-P$764)/P$765)*IF('League Inputs'!$C$23 = "Yes",-1, 1)</f>
        <v>-0.76775217071000623</v>
      </c>
      <c r="Q733" s="12">
        <f>(INDEX(Proj[],MATCH(Std[[#This Row],[Player]],Proj[Player],0),24)-Q$764)/Q$765</f>
        <v>9.5022690713120958E-2</v>
      </c>
      <c r="R733" s="12">
        <f>(INDEX(Proj[],MATCH(Std[[#This Row],[Player]],Proj[Player],0),25)-R$764)/R$765</f>
        <v>-3.5103048355319751E-2</v>
      </c>
      <c r="S733" s="12">
        <f>(INDEX(Proj[],MATCH(Std[[#This Row],[Player]],Proj[Player],0),26)-S$764)/S$765</f>
        <v>-1.3481064387442347</v>
      </c>
      <c r="T73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-687.96464459083029</v>
      </c>
      <c r="U733" s="11"/>
      <c r="W733" t="str">
        <v>Patrick Brown</v>
      </c>
      <c r="AA733" t="str">
        <v>Patrick Brown</v>
      </c>
      <c r="AB733" t="str">
        <v>Patrick Brown</v>
      </c>
    </row>
    <row r="734" spans="1:28" x14ac:dyDescent="0.25">
      <c r="A734" t="s">
        <v>1033</v>
      </c>
      <c r="B734">
        <f>INDEX(Proj[],MATCH(Std[[#This Row],[Player]],Proj[Player],0),2)</f>
        <v>26</v>
      </c>
      <c r="C734" t="s">
        <v>3</v>
      </c>
      <c r="D734" s="75"/>
      <c r="E734" s="57"/>
      <c r="F734" t="s">
        <v>11</v>
      </c>
      <c r="G734" s="12">
        <f>(INDEX(Proj[],MATCH(Std[[#This Row],[Player]],Proj[Player],0),14)-G$764)/G$765</f>
        <v>-0.9793868626547807</v>
      </c>
      <c r="H734" s="12">
        <f>(INDEX(Proj[],MATCH(Std[[#This Row],[Player]],Proj[Player],0),15)-H$764)/H$765</f>
        <v>-1.1843737024174914</v>
      </c>
      <c r="I734" s="12">
        <f>(INDEX(Proj[],MATCH(Std[[#This Row],[Player]],Proj[Player],0),16)-I$764)/I$765</f>
        <v>-1.188760443923228</v>
      </c>
      <c r="J734" s="12">
        <f>(INDEX(Proj[],MATCH(Std[[#This Row],[Player]],Proj[Player],0),17)-J$764)/J$765</f>
        <v>-0.76105581014900237</v>
      </c>
      <c r="K734" s="12">
        <f>(INDEX(Proj[],MATCH(Std[[#This Row],[Player]],Proj[Player],0),18)-K$764)/K$765</f>
        <v>-0.75859266061649311</v>
      </c>
      <c r="L734" s="12">
        <f>(INDEX(Proj[],MATCH(Std[[#This Row],[Player]],Proj[Player],0),19)-L$764)/L$765</f>
        <v>-0.81647589674950882</v>
      </c>
      <c r="M734" s="12">
        <f>(INDEX(Proj[],MATCH(Std[[#This Row],[Player]],Proj[Player],0),20)-M$764)/M$765</f>
        <v>-0.71308883245737775</v>
      </c>
      <c r="N734" s="12">
        <f>(INDEX(Proj[],MATCH(Std[[#This Row],[Player]],Proj[Player],0),21)-N$764)/N$765</f>
        <v>-0.63434615925528237</v>
      </c>
      <c r="O734" s="12">
        <f>(INDEX(Proj[],MATCH(Std[[#This Row],[Player]],Proj[Player],0),22)-O$764)/O$765</f>
        <v>-1.194440309546132</v>
      </c>
      <c r="P734" s="12">
        <f>((INDEX(Proj[],MATCH(Std[[#This Row],[Player]],Proj[Player],0),23)-P$764)/P$765)*IF('League Inputs'!$C$23 = "Yes",-1, 1)</f>
        <v>-1.2331499136935908</v>
      </c>
      <c r="Q734" s="12">
        <f>(INDEX(Proj[],MATCH(Std[[#This Row],[Player]],Proj[Player],0),24)-Q$764)/Q$765</f>
        <v>-0.45401063593119534</v>
      </c>
      <c r="R734" s="12">
        <f>(INDEX(Proj[],MATCH(Std[[#This Row],[Player]],Proj[Player],0),25)-R$764)/R$765</f>
        <v>-0.49478761413039063</v>
      </c>
      <c r="S734" s="12">
        <f>(INDEX(Proj[],MATCH(Std[[#This Row],[Player]],Proj[Player],0),26)-S$764)/S$765</f>
        <v>-1.4616372968098106</v>
      </c>
      <c r="T73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-914.65812209810201</v>
      </c>
      <c r="U734" s="11"/>
      <c r="W734" t="str">
        <v>Cole Koepke</v>
      </c>
      <c r="AA734" t="str">
        <v>Cole Koepke</v>
      </c>
      <c r="AB734" t="str">
        <v>Cole Koepke</v>
      </c>
    </row>
    <row r="735" spans="1:28" x14ac:dyDescent="0.25">
      <c r="A735" t="s">
        <v>755</v>
      </c>
      <c r="B735">
        <f>INDEX(Proj[],MATCH(Std[[#This Row],[Player]],Proj[Player],0),2)</f>
        <v>32</v>
      </c>
      <c r="C735" t="s">
        <v>3</v>
      </c>
      <c r="D735" s="75"/>
      <c r="E735" s="57"/>
      <c r="F735" t="s">
        <v>20</v>
      </c>
      <c r="G735" s="12">
        <f>(INDEX(Proj[],MATCH(Std[[#This Row],[Player]],Proj[Player],0),14)-G$764)/G$765</f>
        <v>-0.9793868626547807</v>
      </c>
      <c r="H735" s="12">
        <f>(INDEX(Proj[],MATCH(Std[[#This Row],[Player]],Proj[Player],0),15)-H$764)/H$765</f>
        <v>-1.1843737024174914</v>
      </c>
      <c r="I735" s="12">
        <f>(INDEX(Proj[],MATCH(Std[[#This Row],[Player]],Proj[Player],0),16)-I$764)/I$765</f>
        <v>-1.188760443923228</v>
      </c>
      <c r="J735" s="12">
        <f>(INDEX(Proj[],MATCH(Std[[#This Row],[Player]],Proj[Player],0),17)-J$764)/J$765</f>
        <v>-0.46669252292436259</v>
      </c>
      <c r="K735" s="12">
        <f>(INDEX(Proj[],MATCH(Std[[#This Row],[Player]],Proj[Player],0),18)-K$764)/K$765</f>
        <v>-0.60450671529353051</v>
      </c>
      <c r="L735" s="12">
        <f>(INDEX(Proj[],MATCH(Std[[#This Row],[Player]],Proj[Player],0),19)-L$764)/L$765</f>
        <v>-0.59899863372397377</v>
      </c>
      <c r="M735" s="12">
        <f>(INDEX(Proj[],MATCH(Std[[#This Row],[Player]],Proj[Player],0),20)-M$764)/M$765</f>
        <v>-0.71308883245737775</v>
      </c>
      <c r="N735" s="12">
        <f>(INDEX(Proj[],MATCH(Std[[#This Row],[Player]],Proj[Player],0),21)-N$764)/N$765</f>
        <v>-1.2351178930540878</v>
      </c>
      <c r="O735" s="12">
        <f>(INDEX(Proj[],MATCH(Std[[#This Row],[Player]],Proj[Player],0),22)-O$764)/O$765</f>
        <v>-1.1480083028677606</v>
      </c>
      <c r="P735" s="12">
        <f>((INDEX(Proj[],MATCH(Std[[#This Row],[Player]],Proj[Player],0),23)-P$764)/P$765)*IF('League Inputs'!$C$23 = "Yes",-1, 1)</f>
        <v>-1.3727692365886661</v>
      </c>
      <c r="Q735" s="12">
        <f>(INDEX(Proj[],MATCH(Std[[#This Row],[Player]],Proj[Player],0),24)-Q$764)/Q$765</f>
        <v>-0.54462778693074265</v>
      </c>
      <c r="R735" s="12">
        <f>(INDEX(Proj[],MATCH(Std[[#This Row],[Player]],Proj[Player],0),25)-R$764)/R$765</f>
        <v>-0.59126462176219563</v>
      </c>
      <c r="S735" s="12">
        <f>(INDEX(Proj[],MATCH(Std[[#This Row],[Player]],Proj[Player],0),26)-S$764)/S$765</f>
        <v>-1.5102933788379145</v>
      </c>
      <c r="T73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-976.23362409986464</v>
      </c>
      <c r="U735" s="11"/>
      <c r="W735" t="str">
        <v>Matt Nieto</v>
      </c>
      <c r="AA735" t="str">
        <v>Matt Nieto</v>
      </c>
      <c r="AB735" t="str">
        <v>Matt Nieto</v>
      </c>
    </row>
    <row r="736" spans="1:28" x14ac:dyDescent="0.25">
      <c r="A736" t="s">
        <v>990</v>
      </c>
      <c r="B736">
        <f>INDEX(Proj[],MATCH(Std[[#This Row],[Player]],Proj[Player],0),2)</f>
        <v>28</v>
      </c>
      <c r="C736" t="s">
        <v>3</v>
      </c>
      <c r="D736" s="75"/>
      <c r="E736" s="57"/>
      <c r="F736" t="s">
        <v>29</v>
      </c>
      <c r="G736" s="12">
        <f>(INDEX(Proj[],MATCH(Std[[#This Row],[Player]],Proj[Player],0),14)-G$764)/G$765</f>
        <v>-0.9793868626547807</v>
      </c>
      <c r="H736" s="12">
        <f>(INDEX(Proj[],MATCH(Std[[#This Row],[Player]],Proj[Player],0),15)-H$764)/H$765</f>
        <v>-1.1843737024174914</v>
      </c>
      <c r="I736" s="12">
        <f>(INDEX(Proj[],MATCH(Std[[#This Row],[Player]],Proj[Player],0),16)-I$764)/I$765</f>
        <v>-1.188760443923228</v>
      </c>
      <c r="J736" s="12">
        <f>(INDEX(Proj[],MATCH(Std[[#This Row],[Player]],Proj[Player],0),17)-J$764)/J$765</f>
        <v>-0.46669252292436259</v>
      </c>
      <c r="K736" s="12">
        <f>(INDEX(Proj[],MATCH(Std[[#This Row],[Player]],Proj[Player],0),18)-K$764)/K$765</f>
        <v>-0.60450671529353051</v>
      </c>
      <c r="L736" s="12">
        <f>(INDEX(Proj[],MATCH(Std[[#This Row],[Player]],Proj[Player],0),19)-L$764)/L$765</f>
        <v>-0.59899863372397377</v>
      </c>
      <c r="M736" s="12">
        <f>(INDEX(Proj[],MATCH(Std[[#This Row],[Player]],Proj[Player],0),20)-M$764)/M$765</f>
        <v>-0.71308883245737775</v>
      </c>
      <c r="N736" s="12">
        <f>(INDEX(Proj[],MATCH(Std[[#This Row],[Player]],Proj[Player],0),21)-N$764)/N$765</f>
        <v>-0.80876375939041945</v>
      </c>
      <c r="O736" s="12">
        <f>(INDEX(Proj[],MATCH(Std[[#This Row],[Player]],Proj[Player],0),22)-O$764)/O$765</f>
        <v>-0.98549627949346053</v>
      </c>
      <c r="P736" s="12">
        <f>((INDEX(Proj[],MATCH(Std[[#This Row],[Player]],Proj[Player],0),23)-P$764)/P$765)*IF('League Inputs'!$C$23 = "Yes",-1, 1)</f>
        <v>-1.2796896879919493</v>
      </c>
      <c r="Q736" s="12">
        <f>(INDEX(Proj[],MATCH(Std[[#This Row],[Player]],Proj[Player],0),24)-Q$764)/Q$765</f>
        <v>-0.10753329387410253</v>
      </c>
      <c r="R736" s="12">
        <f>(INDEX(Proj[],MATCH(Std[[#This Row],[Player]],Proj[Player],0),25)-R$764)/R$765</f>
        <v>0.13515049452433614</v>
      </c>
      <c r="S736" s="12">
        <f>(INDEX(Proj[],MATCH(Std[[#This Row],[Player]],Proj[Player],0),26)-S$764)/S$765</f>
        <v>-1.2994503567161306</v>
      </c>
      <c r="T73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-843.24530201855373</v>
      </c>
      <c r="U736" s="11"/>
      <c r="W736" t="str">
        <v>Colin White (C)</v>
      </c>
      <c r="AA736" t="str">
        <v>Colin White (C)</v>
      </c>
      <c r="AB736" t="str">
        <v>Colin White (C)</v>
      </c>
    </row>
    <row r="737" spans="1:28" x14ac:dyDescent="0.25">
      <c r="A737" t="s">
        <v>1040</v>
      </c>
      <c r="B737">
        <f>INDEX(Proj[],MATCH(Std[[#This Row],[Player]],Proj[Player],0),2)</f>
        <v>24</v>
      </c>
      <c r="C737" t="s">
        <v>3</v>
      </c>
      <c r="D737" s="75"/>
      <c r="E737" s="57"/>
      <c r="F737" t="s">
        <v>15</v>
      </c>
      <c r="G737" s="12">
        <f>(INDEX(Proj[],MATCH(Std[[#This Row],[Player]],Proj[Player],0),14)-G$764)/G$765</f>
        <v>-0.9793868626547807</v>
      </c>
      <c r="H737" s="12">
        <f>(INDEX(Proj[],MATCH(Std[[#This Row],[Player]],Proj[Player],0),15)-H$764)/H$765</f>
        <v>-1.1843737024174914</v>
      </c>
      <c r="I737" s="12">
        <f>(INDEX(Proj[],MATCH(Std[[#This Row],[Player]],Proj[Player],0),16)-I$764)/I$765</f>
        <v>-1.188760443923228</v>
      </c>
      <c r="J737" s="12">
        <f>(INDEX(Proj[],MATCH(Std[[#This Row],[Player]],Proj[Player],0),17)-J$764)/J$765</f>
        <v>-0.76105581014900237</v>
      </c>
      <c r="K737" s="12">
        <f>(INDEX(Proj[],MATCH(Std[[#This Row],[Player]],Proj[Player],0),18)-K$764)/K$765</f>
        <v>-0.75859266061649311</v>
      </c>
      <c r="L737" s="12">
        <f>(INDEX(Proj[],MATCH(Std[[#This Row],[Player]],Proj[Player],0),19)-L$764)/L$765</f>
        <v>-0.81647589674950882</v>
      </c>
      <c r="M737" s="12">
        <f>(INDEX(Proj[],MATCH(Std[[#This Row],[Player]],Proj[Player],0),20)-M$764)/M$765</f>
        <v>-0.71308883245737775</v>
      </c>
      <c r="N737" s="12">
        <f>(INDEX(Proj[],MATCH(Std[[#This Row],[Player]],Proj[Player],0),21)-N$764)/N$765</f>
        <v>-0.69248535930032806</v>
      </c>
      <c r="O737" s="12">
        <f>(INDEX(Proj[],MATCH(Std[[#This Row],[Player]],Proj[Player],0),22)-O$764)/O$765</f>
        <v>-1.1247922995285748</v>
      </c>
      <c r="P737" s="12">
        <f>((INDEX(Proj[],MATCH(Std[[#This Row],[Player]],Proj[Player],0),23)-P$764)/P$765)*IF('League Inputs'!$C$23 = "Yes",-1, 1)</f>
        <v>-1.2331499136935908</v>
      </c>
      <c r="Q737" s="12">
        <f>(INDEX(Proj[],MATCH(Std[[#This Row],[Player]],Proj[Player],0),24)-Q$764)/Q$765</f>
        <v>-0.19815044487364988</v>
      </c>
      <c r="R737" s="12">
        <f>(INDEX(Proj[],MATCH(Std[[#This Row],[Player]],Proj[Player],0),25)-R$764)/R$765</f>
        <v>-3.5103048355319751E-2</v>
      </c>
      <c r="S737" s="12">
        <f>(INDEX(Proj[],MATCH(Std[[#This Row],[Player]],Proj[Player],0),26)-S$764)/S$765</f>
        <v>-1.4291999087910745</v>
      </c>
      <c r="T73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-884.67748319322266</v>
      </c>
      <c r="U737" s="11"/>
      <c r="W737" t="str">
        <v>Nikita Alexandrov</v>
      </c>
      <c r="AA737" t="str">
        <v>Nikita Alexandrov</v>
      </c>
      <c r="AB737" t="str">
        <v>Nikita Alexandrov</v>
      </c>
    </row>
    <row r="738" spans="1:28" x14ac:dyDescent="0.25">
      <c r="A738" t="s">
        <v>810</v>
      </c>
      <c r="B738">
        <f>INDEX(Proj[],MATCH(Std[[#This Row],[Player]],Proj[Player],0),2)</f>
        <v>27</v>
      </c>
      <c r="C738" t="s">
        <v>3</v>
      </c>
      <c r="D738" s="75"/>
      <c r="E738" s="57"/>
      <c r="F738" t="s">
        <v>31</v>
      </c>
      <c r="G738" s="12">
        <f>(INDEX(Proj[],MATCH(Std[[#This Row],[Player]],Proj[Player],0),14)-G$764)/G$765</f>
        <v>-0.9793868626547807</v>
      </c>
      <c r="H738" s="12">
        <f>(INDEX(Proj[],MATCH(Std[[#This Row],[Player]],Proj[Player],0),15)-H$764)/H$765</f>
        <v>-1.1843737024174914</v>
      </c>
      <c r="I738" s="12">
        <f>(INDEX(Proj[],MATCH(Std[[#This Row],[Player]],Proj[Player],0),16)-I$764)/I$765</f>
        <v>-1.188760443923228</v>
      </c>
      <c r="J738" s="12">
        <f>(INDEX(Proj[],MATCH(Std[[#This Row],[Player]],Proj[Player],0),17)-J$764)/J$765</f>
        <v>-0.76105581014900237</v>
      </c>
      <c r="K738" s="12">
        <f>(INDEX(Proj[],MATCH(Std[[#This Row],[Player]],Proj[Player],0),18)-K$764)/K$765</f>
        <v>-0.75859266061649311</v>
      </c>
      <c r="L738" s="12">
        <f>(INDEX(Proj[],MATCH(Std[[#This Row],[Player]],Proj[Player],0),19)-L$764)/L$765</f>
        <v>-0.81647589674950882</v>
      </c>
      <c r="M738" s="12">
        <f>(INDEX(Proj[],MATCH(Std[[#This Row],[Player]],Proj[Player],0),20)-M$764)/M$765</f>
        <v>-0.71308883245737775</v>
      </c>
      <c r="N738" s="12">
        <f>(INDEX(Proj[],MATCH(Std[[#This Row],[Player]],Proj[Player],0),21)-N$764)/N$765</f>
        <v>-1.2157381597057393</v>
      </c>
      <c r="O738" s="12">
        <f>(INDEX(Proj[],MATCH(Std[[#This Row],[Player]],Proj[Player],0),22)-O$764)/O$765</f>
        <v>-1.1015762961893891</v>
      </c>
      <c r="P738" s="12">
        <f>((INDEX(Proj[],MATCH(Std[[#This Row],[Player]],Proj[Player],0),23)-P$764)/P$765)*IF('League Inputs'!$C$23 = "Yes",-1, 1)</f>
        <v>-1.140070365096874</v>
      </c>
      <c r="Q738" s="12">
        <f>(INDEX(Proj[],MATCH(Std[[#This Row],[Player]],Proj[Player],0),24)-Q$764)/Q$765</f>
        <v>0.1963006830067327</v>
      </c>
      <c r="R738" s="12">
        <f>(INDEX(Proj[],MATCH(Std[[#This Row],[Player]],Proj[Player],0),25)-R$764)/R$765</f>
        <v>6.7049077372473787E-2</v>
      </c>
      <c r="S738" s="12">
        <f>(INDEX(Proj[],MATCH(Std[[#This Row],[Player]],Proj[Player],0),26)-S$764)/S$765</f>
        <v>-1.4616372968098106</v>
      </c>
      <c r="T73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-889.17183405400897</v>
      </c>
      <c r="U738" s="11"/>
      <c r="W738" t="str">
        <v>Mitchell Stephens</v>
      </c>
      <c r="AA738" t="str">
        <v>Mitchell Stephens</v>
      </c>
      <c r="AB738" t="str">
        <v>Mitchell Stephens</v>
      </c>
    </row>
    <row r="739" spans="1:28" x14ac:dyDescent="0.25">
      <c r="A739" t="s">
        <v>818</v>
      </c>
      <c r="B739">
        <f>INDEX(Proj[],MATCH(Std[[#This Row],[Player]],Proj[Player],0),2)</f>
        <v>30</v>
      </c>
      <c r="C739" t="s">
        <v>3</v>
      </c>
      <c r="D739" s="75"/>
      <c r="E739" s="57"/>
      <c r="F739" t="s">
        <v>16</v>
      </c>
      <c r="G739" s="12">
        <f>(INDEX(Proj[],MATCH(Std[[#This Row],[Player]],Proj[Player],0),14)-G$764)/G$765</f>
        <v>-1.0850207314125464</v>
      </c>
      <c r="H739" s="12">
        <f>(INDEX(Proj[],MATCH(Std[[#This Row],[Player]],Proj[Player],0),15)-H$764)/H$765</f>
        <v>-1.1098444354292263</v>
      </c>
      <c r="I739" s="12">
        <f>(INDEX(Proj[],MATCH(Std[[#This Row],[Player]],Proj[Player],0),16)-I$764)/I$765</f>
        <v>-1.188760443923228</v>
      </c>
      <c r="J739" s="12">
        <f>(INDEX(Proj[],MATCH(Std[[#This Row],[Player]],Proj[Player],0),17)-J$764)/J$765</f>
        <v>-0.76105581014900237</v>
      </c>
      <c r="K739" s="12">
        <f>(INDEX(Proj[],MATCH(Std[[#This Row],[Player]],Proj[Player],0),18)-K$764)/K$765</f>
        <v>-0.75859266061649311</v>
      </c>
      <c r="L739" s="12">
        <f>(INDEX(Proj[],MATCH(Std[[#This Row],[Player]],Proj[Player],0),19)-L$764)/L$765</f>
        <v>-0.81647589674950882</v>
      </c>
      <c r="M739" s="12">
        <f>(INDEX(Proj[],MATCH(Std[[#This Row],[Player]],Proj[Player],0),20)-M$764)/M$765</f>
        <v>-0.71308883245737775</v>
      </c>
      <c r="N739" s="12">
        <f>(INDEX(Proj[],MATCH(Std[[#This Row],[Player]],Proj[Player],0),21)-N$764)/N$765</f>
        <v>-0.86690295943546514</v>
      </c>
      <c r="O739" s="12">
        <f>(INDEX(Proj[],MATCH(Std[[#This Row],[Player]],Proj[Player],0),22)-O$764)/O$765</f>
        <v>-1.031928286171832</v>
      </c>
      <c r="P739" s="12">
        <f>((INDEX(Proj[],MATCH(Std[[#This Row],[Player]],Proj[Player],0),23)-P$764)/P$765)*IF('League Inputs'!$C$23 = "Yes",-1, 1)</f>
        <v>-1.4193090108870248</v>
      </c>
      <c r="Q739" s="12">
        <f>(INDEX(Proj[],MATCH(Std[[#This Row],[Player]],Proj[Player],0),24)-Q$764)/Q$765</f>
        <v>-0.29409801652022943</v>
      </c>
      <c r="R739" s="12">
        <f>(INDEX(Proj[],MATCH(Std[[#This Row],[Player]],Proj[Player],0),25)-R$764)/R$765</f>
        <v>-0.31885895315474622</v>
      </c>
      <c r="S739" s="12">
        <f>(INDEX(Proj[],MATCH(Std[[#This Row],[Player]],Proj[Player],0),26)-S$764)/S$765</f>
        <v>-1.4940746848285464</v>
      </c>
      <c r="T73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-930.64144653576068</v>
      </c>
      <c r="U739" s="11"/>
      <c r="W739" t="str">
        <v>Devin Shore</v>
      </c>
      <c r="AA739" t="str">
        <v>Devin Shore</v>
      </c>
      <c r="AB739" t="str">
        <v>Devin Shore</v>
      </c>
    </row>
    <row r="740" spans="1:28" x14ac:dyDescent="0.25">
      <c r="A740" t="s">
        <v>552</v>
      </c>
      <c r="B740">
        <f>INDEX(Proj[],MATCH(Std[[#This Row],[Player]],Proj[Player],0),2)</f>
        <v>26</v>
      </c>
      <c r="C740" t="s">
        <v>74</v>
      </c>
      <c r="D740" s="75" t="s">
        <v>103</v>
      </c>
      <c r="E740" s="57"/>
      <c r="F740" t="s">
        <v>15</v>
      </c>
      <c r="G740" s="12">
        <f>(INDEX(Proj[],MATCH(Std[[#This Row],[Player]],Proj[Player],0),14)-G$764)/G$765</f>
        <v>-1.0850207314125464</v>
      </c>
      <c r="H740" s="12">
        <f>(INDEX(Proj[],MATCH(Std[[#This Row],[Player]],Proj[Player],0),15)-H$764)/H$765</f>
        <v>-1.1843737024174914</v>
      </c>
      <c r="I740" s="12">
        <f>(INDEX(Proj[],MATCH(Std[[#This Row],[Player]],Proj[Player],0),16)-I$764)/I$765</f>
        <v>-1.2360030028853313</v>
      </c>
      <c r="J740" s="12">
        <f>(INDEX(Proj[],MATCH(Std[[#This Row],[Player]],Proj[Player],0),17)-J$764)/J$765</f>
        <v>-0.76105581014900237</v>
      </c>
      <c r="K740" s="12">
        <f>(INDEX(Proj[],MATCH(Std[[#This Row],[Player]],Proj[Player],0),18)-K$764)/K$765</f>
        <v>-0.75859266061649311</v>
      </c>
      <c r="L740" s="12">
        <f>(INDEX(Proj[],MATCH(Std[[#This Row],[Player]],Proj[Player],0),19)-L$764)/L$765</f>
        <v>-0.81647589674950882</v>
      </c>
      <c r="M740" s="12">
        <f>(INDEX(Proj[],MATCH(Std[[#This Row],[Player]],Proj[Player],0),20)-M$764)/M$765</f>
        <v>-0.71308883245737775</v>
      </c>
      <c r="N740" s="12">
        <f>(INDEX(Proj[],MATCH(Std[[#This Row],[Player]],Proj[Player],0),21)-N$764)/N$765</f>
        <v>-9.1713625501522511E-2</v>
      </c>
      <c r="O740" s="12">
        <f>(INDEX(Proj[],MATCH(Std[[#This Row],[Player]],Proj[Player],0),22)-O$764)/O$765</f>
        <v>1.2791864091525006E-2</v>
      </c>
      <c r="P740" s="12">
        <f>((INDEX(Proj[],MATCH(Std[[#This Row],[Player]],Proj[Player],0),23)-P$764)/P$765)*IF('League Inputs'!$C$23 = "Yes",-1, 1)</f>
        <v>0.30266263815223848</v>
      </c>
      <c r="Q740" s="12">
        <f>(INDEX(Proj[],MATCH(Std[[#This Row],[Player]],Proj[Player],0),24)-Q$764)/Q$765</f>
        <v>-0.5766103108129359</v>
      </c>
      <c r="R740" s="12">
        <f>(INDEX(Proj[],MATCH(Std[[#This Row],[Player]],Proj[Player],0),25)-R$764)/R$765</f>
        <v>-0.62531533033812681</v>
      </c>
      <c r="S740" s="12">
        <f>(INDEX(Proj[],MATCH(Std[[#This Row],[Player]],Proj[Player],0),26)-S$764)/S$765</f>
        <v>-1.2507942746880267</v>
      </c>
      <c r="T74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-592.55370422236001</v>
      </c>
      <c r="U740" s="11"/>
      <c r="W740" t="str">
        <v>Logan Stanley</v>
      </c>
      <c r="AA740" t="str">
        <v>Logan Stanley</v>
      </c>
      <c r="AB740" t="str">
        <v>Logan Stanley</v>
      </c>
    </row>
    <row r="741" spans="1:28" x14ac:dyDescent="0.25">
      <c r="A741" t="s">
        <v>719</v>
      </c>
      <c r="B741">
        <f>INDEX(Proj[],MATCH(Std[[#This Row],[Player]],Proj[Player],0),2)</f>
        <v>28</v>
      </c>
      <c r="C741" t="s">
        <v>3</v>
      </c>
      <c r="D741" s="75"/>
      <c r="E741" s="57"/>
      <c r="F741" t="s">
        <v>8</v>
      </c>
      <c r="G741" s="12">
        <f>(INDEX(Proj[],MATCH(Std[[#This Row],[Player]],Proj[Player],0),14)-G$764)/G$765</f>
        <v>-1.0850207314125464</v>
      </c>
      <c r="H741" s="12">
        <f>(INDEX(Proj[],MATCH(Std[[#This Row],[Player]],Proj[Player],0),15)-H$764)/H$765</f>
        <v>-1.1843737024174914</v>
      </c>
      <c r="I741" s="12">
        <f>(INDEX(Proj[],MATCH(Std[[#This Row],[Player]],Proj[Player],0),16)-I$764)/I$765</f>
        <v>-1.2360030028853313</v>
      </c>
      <c r="J741" s="12">
        <f>(INDEX(Proj[],MATCH(Std[[#This Row],[Player]],Proj[Player],0),17)-J$764)/J$765</f>
        <v>-0.76105581014900237</v>
      </c>
      <c r="K741" s="12">
        <f>(INDEX(Proj[],MATCH(Std[[#This Row],[Player]],Proj[Player],0),18)-K$764)/K$765</f>
        <v>-0.75859266061649311</v>
      </c>
      <c r="L741" s="12">
        <f>(INDEX(Proj[],MATCH(Std[[#This Row],[Player]],Proj[Player],0),19)-L$764)/L$765</f>
        <v>-0.81647589674950882</v>
      </c>
      <c r="M741" s="12">
        <f>(INDEX(Proj[],MATCH(Std[[#This Row],[Player]],Proj[Player],0),20)-M$764)/M$765</f>
        <v>-0.71308883245737775</v>
      </c>
      <c r="N741" s="12">
        <f>(INDEX(Proj[],MATCH(Std[[#This Row],[Player]],Proj[Player],0),21)-N$764)/N$765</f>
        <v>-0.42116909242344813</v>
      </c>
      <c r="O741" s="12">
        <f>(INDEX(Proj[],MATCH(Std[[#This Row],[Player]],Proj[Player],0),22)-O$764)/O$765</f>
        <v>0.33781591084012497</v>
      </c>
      <c r="P741" s="12">
        <f>((INDEX(Proj[],MATCH(Std[[#This Row],[Player]],Proj[Player],0),23)-P$764)/P$765)*IF('League Inputs'!$C$23 = "Yes",-1, 1)</f>
        <v>-0.20927487912970463</v>
      </c>
      <c r="Q741" s="12">
        <f>(INDEX(Proj[],MATCH(Std[[#This Row],[Player]],Proj[Player],0),24)-Q$764)/Q$765</f>
        <v>-0.5766103108129359</v>
      </c>
      <c r="R741" s="12">
        <f>(INDEX(Proj[],MATCH(Std[[#This Row],[Player]],Proj[Player],0),25)-R$764)/R$765</f>
        <v>-0.62531533033812681</v>
      </c>
      <c r="S741" s="12">
        <f>(INDEX(Proj[],MATCH(Std[[#This Row],[Player]],Proj[Player],0),26)-S$764)/S$765</f>
        <v>-1.0561699465756109</v>
      </c>
      <c r="T74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-624.72816515664522</v>
      </c>
      <c r="U741" s="11"/>
      <c r="W741" t="str">
        <v>Haydn Fleury</v>
      </c>
      <c r="AA741" t="str">
        <v>Haydn Fleury</v>
      </c>
      <c r="AB741" t="str">
        <v>Haydn Fleury</v>
      </c>
    </row>
    <row r="742" spans="1:28" x14ac:dyDescent="0.25">
      <c r="A742" t="s">
        <v>645</v>
      </c>
      <c r="B742">
        <f>INDEX(Proj[],MATCH(Std[[#This Row],[Player]],Proj[Player],0),2)</f>
        <v>34</v>
      </c>
      <c r="C742" t="s">
        <v>3</v>
      </c>
      <c r="D742" s="75"/>
      <c r="E742" s="57"/>
      <c r="F742" t="s">
        <v>2</v>
      </c>
      <c r="G742" s="12">
        <f>(INDEX(Proj[],MATCH(Std[[#This Row],[Player]],Proj[Player],0),14)-G$764)/G$765</f>
        <v>-1.0850207314125464</v>
      </c>
      <c r="H742" s="12">
        <f>(INDEX(Proj[],MATCH(Std[[#This Row],[Player]],Proj[Player],0),15)-H$764)/H$765</f>
        <v>-1.1843737024174914</v>
      </c>
      <c r="I742" s="12">
        <f>(INDEX(Proj[],MATCH(Std[[#This Row],[Player]],Proj[Player],0),16)-I$764)/I$765</f>
        <v>-1.2360030028853313</v>
      </c>
      <c r="J742" s="12">
        <f>(INDEX(Proj[],MATCH(Std[[#This Row],[Player]],Proj[Player],0),17)-J$764)/J$765</f>
        <v>-0.76105581014900237</v>
      </c>
      <c r="K742" s="12">
        <f>(INDEX(Proj[],MATCH(Std[[#This Row],[Player]],Proj[Player],0),18)-K$764)/K$765</f>
        <v>-0.75859266061649311</v>
      </c>
      <c r="L742" s="12">
        <f>(INDEX(Proj[],MATCH(Std[[#This Row],[Player]],Proj[Player],0),19)-L$764)/L$765</f>
        <v>-0.81647589674950882</v>
      </c>
      <c r="M742" s="12">
        <f>(INDEX(Proj[],MATCH(Std[[#This Row],[Player]],Proj[Player],0),20)-M$764)/M$765</f>
        <v>-0.71308883245737775</v>
      </c>
      <c r="N742" s="12">
        <f>(INDEX(Proj[],MATCH(Std[[#This Row],[Player]],Proj[Player],0),21)-N$764)/N$765</f>
        <v>0.47029864160058588</v>
      </c>
      <c r="O742" s="12">
        <f>(INDEX(Proj[],MATCH(Std[[#This Row],[Player]],Proj[Player],0),22)-O$764)/O$765</f>
        <v>8.2439874109082142E-2</v>
      </c>
      <c r="P742" s="12">
        <f>((INDEX(Proj[],MATCH(Std[[#This Row],[Player]],Proj[Player],0),23)-P$764)/P$765)*IF('League Inputs'!$C$23 = "Yes",-1, 1)</f>
        <v>-1.0469908165001569</v>
      </c>
      <c r="Q742" s="12">
        <f>(INDEX(Proj[],MATCH(Std[[#This Row],[Player]],Proj[Player],0),24)-Q$764)/Q$765</f>
        <v>-0.5766103108129359</v>
      </c>
      <c r="R742" s="12">
        <f>(INDEX(Proj[],MATCH(Std[[#This Row],[Player]],Proj[Player],0),25)-R$764)/R$765</f>
        <v>-0.62531533033812681</v>
      </c>
      <c r="S742" s="12">
        <f>(INDEX(Proj[],MATCH(Std[[#This Row],[Player]],Proj[Player],0),26)-S$764)/S$765</f>
        <v>-1.2021381926599228</v>
      </c>
      <c r="T74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-659.48741377282261</v>
      </c>
      <c r="U742" s="11"/>
      <c r="W742" t="str">
        <v>Chad Ruhwedel</v>
      </c>
      <c r="AA742" t="str">
        <v>Chad Ruhwedel</v>
      </c>
      <c r="AB742" t="str">
        <v>Chad Ruhwedel</v>
      </c>
    </row>
    <row r="743" spans="1:28" x14ac:dyDescent="0.25">
      <c r="A743" t="s">
        <v>782</v>
      </c>
      <c r="B743">
        <f>INDEX(Proj[],MATCH(Std[[#This Row],[Player]],Proj[Player],0),2)</f>
        <v>29</v>
      </c>
      <c r="C743" t="s">
        <v>3</v>
      </c>
      <c r="D743" s="75"/>
      <c r="E743" s="56"/>
      <c r="F743" t="s">
        <v>87</v>
      </c>
      <c r="G743" s="12">
        <f>(INDEX(Proj[],MATCH(Std[[#This Row],[Player]],Proj[Player],0),14)-G$764)/G$765</f>
        <v>-1.0850207314125464</v>
      </c>
      <c r="H743" s="12">
        <f>(INDEX(Proj[],MATCH(Std[[#This Row],[Player]],Proj[Player],0),15)-H$764)/H$765</f>
        <v>-1.1843737024174914</v>
      </c>
      <c r="I743" s="12">
        <f>(INDEX(Proj[],MATCH(Std[[#This Row],[Player]],Proj[Player],0),16)-I$764)/I$765</f>
        <v>-1.2360030028853313</v>
      </c>
      <c r="J743" s="12">
        <f>(INDEX(Proj[],MATCH(Std[[#This Row],[Player]],Proj[Player],0),17)-J$764)/J$765</f>
        <v>-0.76105581014900237</v>
      </c>
      <c r="K743" s="12">
        <f>(INDEX(Proj[],MATCH(Std[[#This Row],[Player]],Proj[Player],0),18)-K$764)/K$765</f>
        <v>-0.75859266061649311</v>
      </c>
      <c r="L743" s="12">
        <f>(INDEX(Proj[],MATCH(Std[[#This Row],[Player]],Proj[Player],0),19)-L$764)/L$765</f>
        <v>-0.81647589674950882</v>
      </c>
      <c r="M743" s="12">
        <f>(INDEX(Proj[],MATCH(Std[[#This Row],[Player]],Proj[Player],0),20)-M$764)/M$765</f>
        <v>-0.71308883245737775</v>
      </c>
      <c r="N743" s="12">
        <f>(INDEX(Proj[],MATCH(Std[[#This Row],[Player]],Proj[Player],0),21)-N$764)/N$765</f>
        <v>-0.51806775916519099</v>
      </c>
      <c r="O743" s="12">
        <f>(INDEX(Proj[],MATCH(Std[[#This Row],[Player]],Proj[Player],0),22)-O$764)/O$765</f>
        <v>-0.1961521659611464</v>
      </c>
      <c r="P743" s="12">
        <f>((INDEX(Proj[],MATCH(Std[[#This Row],[Player]],Proj[Player],0),23)-P$764)/P$765)*IF('League Inputs'!$C$23 = "Yes",-1, 1)</f>
        <v>-0.34889420202478</v>
      </c>
      <c r="Q743" s="12">
        <f>(INDEX(Proj[],MATCH(Std[[#This Row],[Player]],Proj[Player],0),24)-Q$764)/Q$765</f>
        <v>-0.5766103108129359</v>
      </c>
      <c r="R743" s="12">
        <f>(INDEX(Proj[],MATCH(Std[[#This Row],[Player]],Proj[Player],0),25)-R$764)/R$765</f>
        <v>-0.62531533033812681</v>
      </c>
      <c r="S743" s="12">
        <f>(INDEX(Proj[],MATCH(Std[[#This Row],[Player]],Proj[Player],0),26)-S$764)/S$765</f>
        <v>-1.3318877447348667</v>
      </c>
      <c r="T74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-729.34855161637984</v>
      </c>
      <c r="U743" s="11"/>
      <c r="W743" t="str">
        <v>Mark Friedman</v>
      </c>
      <c r="AA743" t="str">
        <v>Mark Friedman</v>
      </c>
      <c r="AB743" t="str">
        <v>Mark Friedman</v>
      </c>
    </row>
    <row r="744" spans="1:28" x14ac:dyDescent="0.25">
      <c r="A744" t="s">
        <v>923</v>
      </c>
      <c r="B744">
        <f>INDEX(Proj[],MATCH(Std[[#This Row],[Player]],Proj[Player],0),2)</f>
        <v>25</v>
      </c>
      <c r="C744" t="s">
        <v>3</v>
      </c>
      <c r="D744" s="75"/>
      <c r="E744" s="56"/>
      <c r="F744" t="s">
        <v>28</v>
      </c>
      <c r="G744" s="12">
        <f>(INDEX(Proj[],MATCH(Std[[#This Row],[Player]],Proj[Player],0),14)-G$764)/G$765</f>
        <v>-1.190654600170312</v>
      </c>
      <c r="H744" s="12">
        <f>(INDEX(Proj[],MATCH(Std[[#This Row],[Player]],Proj[Player],0),15)-H$764)/H$765</f>
        <v>-1.1098444354292263</v>
      </c>
      <c r="I744" s="12">
        <f>(INDEX(Proj[],MATCH(Std[[#This Row],[Player]],Proj[Player],0),16)-I$764)/I$765</f>
        <v>-1.2360030028853313</v>
      </c>
      <c r="J744" s="12">
        <f>(INDEX(Proj[],MATCH(Std[[#This Row],[Player]],Proj[Player],0),17)-J$764)/J$765</f>
        <v>-0.76105581014900237</v>
      </c>
      <c r="K744" s="12">
        <f>(INDEX(Proj[],MATCH(Std[[#This Row],[Player]],Proj[Player],0),18)-K$764)/K$765</f>
        <v>-0.75859266061649311</v>
      </c>
      <c r="L744" s="12">
        <f>(INDEX(Proj[],MATCH(Std[[#This Row],[Player]],Proj[Player],0),19)-L$764)/L$765</f>
        <v>-0.81647589674950882</v>
      </c>
      <c r="M744" s="12">
        <f>(INDEX(Proj[],MATCH(Std[[#This Row],[Player]],Proj[Player],0),20)-M$764)/M$765</f>
        <v>-0.71308883245737775</v>
      </c>
      <c r="N744" s="12">
        <f>(INDEX(Proj[],MATCH(Std[[#This Row],[Player]],Proj[Player],0),21)-N$764)/N$765</f>
        <v>-0.45992855912014524</v>
      </c>
      <c r="O744" s="12">
        <f>(INDEX(Proj[],MATCH(Std[[#This Row],[Player]],Proj[Player],0),22)-O$764)/O$765</f>
        <v>0.29138390416175353</v>
      </c>
      <c r="P744" s="12">
        <f>((INDEX(Proj[],MATCH(Std[[#This Row],[Player]],Proj[Player],0),23)-P$764)/P$765)*IF('League Inputs'!$C$23 = "Yes",-1, 1)</f>
        <v>-1.1866101393952324</v>
      </c>
      <c r="Q744" s="12">
        <f>(INDEX(Proj[],MATCH(Std[[#This Row],[Player]],Proj[Player],0),24)-Q$764)/Q$765</f>
        <v>-0.5766103108129359</v>
      </c>
      <c r="R744" s="12">
        <f>(INDEX(Proj[],MATCH(Std[[#This Row],[Player]],Proj[Player],0),25)-R$764)/R$765</f>
        <v>-0.62531533033812681</v>
      </c>
      <c r="S744" s="12">
        <f>(INDEX(Proj[],MATCH(Std[[#This Row],[Player]],Proj[Player],0),26)-S$764)/S$765</f>
        <v>-1.3643251327536026</v>
      </c>
      <c r="T74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-764.90681731545408</v>
      </c>
      <c r="U744" s="11"/>
      <c r="W744" t="str">
        <v>Alexander Alexeyev</v>
      </c>
      <c r="AA744" t="str">
        <v>Alexander Alexeyev</v>
      </c>
      <c r="AB744" t="str">
        <v>Alexander Alexeyev</v>
      </c>
    </row>
    <row r="745" spans="1:28" x14ac:dyDescent="0.25">
      <c r="A745" t="s">
        <v>699</v>
      </c>
      <c r="B745">
        <f>INDEX(Proj[],MATCH(Std[[#This Row],[Player]],Proj[Player],0),2)</f>
        <v>26</v>
      </c>
      <c r="C745" t="s">
        <v>3</v>
      </c>
      <c r="D745" s="75"/>
      <c r="E745" s="56"/>
      <c r="F745" t="s">
        <v>20</v>
      </c>
      <c r="G745" s="12">
        <f>(INDEX(Proj[],MATCH(Std[[#This Row],[Player]],Proj[Player],0),14)-G$764)/G$765</f>
        <v>-1.0850207314125464</v>
      </c>
      <c r="H745" s="12">
        <f>(INDEX(Proj[],MATCH(Std[[#This Row],[Player]],Proj[Player],0),15)-H$764)/H$765</f>
        <v>-1.1843737024174914</v>
      </c>
      <c r="I745" s="12">
        <f>(INDEX(Proj[],MATCH(Std[[#This Row],[Player]],Proj[Player],0),16)-I$764)/I$765</f>
        <v>-1.2360030028853313</v>
      </c>
      <c r="J745" s="12">
        <f>(INDEX(Proj[],MATCH(Std[[#This Row],[Player]],Proj[Player],0),17)-J$764)/J$765</f>
        <v>-0.76105581014900237</v>
      </c>
      <c r="K745" s="12">
        <f>(INDEX(Proj[],MATCH(Std[[#This Row],[Player]],Proj[Player],0),18)-K$764)/K$765</f>
        <v>-0.75859266061649311</v>
      </c>
      <c r="L745" s="12">
        <f>(INDEX(Proj[],MATCH(Std[[#This Row],[Player]],Proj[Player],0),19)-L$764)/L$765</f>
        <v>-0.81647589674950882</v>
      </c>
      <c r="M745" s="12">
        <f>(INDEX(Proj[],MATCH(Std[[#This Row],[Player]],Proj[Player],0),20)-M$764)/M$765</f>
        <v>-0.71308883245737775</v>
      </c>
      <c r="N745" s="12">
        <f>(INDEX(Proj[],MATCH(Std[[#This Row],[Player]],Proj[Player],0),21)-N$764)/N$765</f>
        <v>-0.9056624261321623</v>
      </c>
      <c r="O745" s="12">
        <f>(INDEX(Proj[],MATCH(Std[[#This Row],[Player]],Proj[Player],0),22)-O$764)/O$765</f>
        <v>-0.14972015928277496</v>
      </c>
      <c r="P745" s="12">
        <f>((INDEX(Proj[],MATCH(Std[[#This Row],[Player]],Proj[Player],0),23)-P$764)/P$765)*IF('League Inputs'!$C$23 = "Yes",-1, 1)</f>
        <v>-0.62813284781493084</v>
      </c>
      <c r="Q745" s="12">
        <f>(INDEX(Proj[],MATCH(Std[[#This Row],[Player]],Proj[Player],0),24)-Q$764)/Q$765</f>
        <v>-0.5766103108129359</v>
      </c>
      <c r="R745" s="12">
        <f>(INDEX(Proj[],MATCH(Std[[#This Row],[Player]],Proj[Player],0),25)-R$764)/R$765</f>
        <v>-0.62531533033812681</v>
      </c>
      <c r="S745" s="12">
        <f>(INDEX(Proj[],MATCH(Std[[#This Row],[Player]],Proj[Player],0),26)-S$764)/S$765</f>
        <v>-1.4129812147817067</v>
      </c>
      <c r="T74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-799.49802922893878</v>
      </c>
      <c r="U745" s="11"/>
      <c r="W745" t="str">
        <v>Nikolai Knyzhov</v>
      </c>
      <c r="AA745" t="str">
        <v>Nikolai Knyzhov</v>
      </c>
      <c r="AB745" t="str">
        <v>Nikolai Knyzhov</v>
      </c>
    </row>
    <row r="746" spans="1:28" x14ac:dyDescent="0.25">
      <c r="A746" t="s">
        <v>1194</v>
      </c>
      <c r="B746">
        <f>INDEX(Proj[],MATCH(Std[[#This Row],[Player]],Proj[Player],0),2)</f>
        <v>30</v>
      </c>
      <c r="C746" t="s">
        <v>3</v>
      </c>
      <c r="D746" s="75"/>
      <c r="E746" s="57"/>
      <c r="F746" t="s">
        <v>2</v>
      </c>
      <c r="G746" s="12">
        <f>(INDEX(Proj[],MATCH(Std[[#This Row],[Player]],Proj[Player],0),14)-G$764)/G$765</f>
        <v>-1.0850207314125464</v>
      </c>
      <c r="H746" s="12">
        <f>(INDEX(Proj[],MATCH(Std[[#This Row],[Player]],Proj[Player],0),15)-H$764)/H$765</f>
        <v>-1.1843737024174914</v>
      </c>
      <c r="I746" s="12">
        <f>(INDEX(Proj[],MATCH(Std[[#This Row],[Player]],Proj[Player],0),16)-I$764)/I$765</f>
        <v>-1.2360030028853313</v>
      </c>
      <c r="J746" s="12">
        <f>(INDEX(Proj[],MATCH(Std[[#This Row],[Player]],Proj[Player],0),17)-J$764)/J$765</f>
        <v>-0.76105581014900237</v>
      </c>
      <c r="K746" s="12">
        <f>(INDEX(Proj[],MATCH(Std[[#This Row],[Player]],Proj[Player],0),18)-K$764)/K$765</f>
        <v>-0.75859266061649311</v>
      </c>
      <c r="L746" s="12">
        <f>(INDEX(Proj[],MATCH(Std[[#This Row],[Player]],Proj[Player],0),19)-L$764)/L$765</f>
        <v>-0.81647589674950882</v>
      </c>
      <c r="M746" s="12">
        <f>(INDEX(Proj[],MATCH(Std[[#This Row],[Player]],Proj[Player],0),20)-M$764)/M$765</f>
        <v>-0.71308883245737775</v>
      </c>
      <c r="N746" s="12">
        <f>(INDEX(Proj[],MATCH(Std[[#This Row],[Player]],Proj[Player],0),21)-N$764)/N$765</f>
        <v>-1.0800800262672994</v>
      </c>
      <c r="O746" s="12">
        <f>(INDEX(Proj[],MATCH(Std[[#This Row],[Player]],Proj[Player],0),22)-O$764)/O$765</f>
        <v>-0.54439221604893206</v>
      </c>
      <c r="P746" s="12">
        <f>((INDEX(Proj[],MATCH(Std[[#This Row],[Player]],Proj[Player],0),23)-P$764)/P$765)*IF('League Inputs'!$C$23 = "Yes",-1, 1)</f>
        <v>-1.2796896879919493</v>
      </c>
      <c r="Q746" s="12">
        <f>(INDEX(Proj[],MATCH(Std[[#This Row],[Player]],Proj[Player],0),24)-Q$764)/Q$765</f>
        <v>-0.5766103108129359</v>
      </c>
      <c r="R746" s="12">
        <f>(INDEX(Proj[],MATCH(Std[[#This Row],[Player]],Proj[Player],0),25)-R$764)/R$765</f>
        <v>-0.62531533033812681</v>
      </c>
      <c r="S746" s="12">
        <f>(INDEX(Proj[],MATCH(Std[[#This Row],[Player]],Proj[Player],0),26)-S$764)/S$765</f>
        <v>-1.4778559908191786</v>
      </c>
      <c r="T746"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-928.05015654051726</v>
      </c>
      <c r="U746" s="11"/>
      <c r="W746" t="str">
        <v>Nick DeSimone</v>
      </c>
      <c r="AA746" t="str">
        <v>Nick DeSimone</v>
      </c>
      <c r="AB746" t="str">
        <v>Nick DeSimone</v>
      </c>
    </row>
    <row r="747" spans="1:28" x14ac:dyDescent="0.25">
      <c r="A747" t="s">
        <v>969</v>
      </c>
      <c r="B747">
        <f>INDEX(Proj[],MATCH(Std[[#This Row],[Player]],Proj[Player],0),2)</f>
        <v>25</v>
      </c>
      <c r="C747" t="s">
        <v>3</v>
      </c>
      <c r="D747" s="75"/>
      <c r="E747" s="57"/>
      <c r="F747" t="s">
        <v>4</v>
      </c>
      <c r="G747" s="12">
        <f>(INDEX(Proj[],MATCH(Std[[#This Row],[Player]],Proj[Player],0),14)-G$764)/G$765</f>
        <v>-0.9793868626547807</v>
      </c>
      <c r="H747" s="12">
        <f>(INDEX(Proj[],MATCH(Std[[#This Row],[Player]],Proj[Player],0),15)-H$764)/H$765</f>
        <v>-1.2589029694057567</v>
      </c>
      <c r="I747" s="12">
        <f>(INDEX(Proj[],MATCH(Std[[#This Row],[Player]],Proj[Player],0),16)-I$764)/I$765</f>
        <v>-1.2360030028853313</v>
      </c>
      <c r="J747" s="12">
        <f>(INDEX(Proj[],MATCH(Std[[#This Row],[Player]],Proj[Player],0),17)-J$764)/J$765</f>
        <v>-0.76105581014900237</v>
      </c>
      <c r="K747" s="12">
        <f>(INDEX(Proj[],MATCH(Std[[#This Row],[Player]],Proj[Player],0),18)-K$764)/K$765</f>
        <v>-0.75859266061649311</v>
      </c>
      <c r="L747" s="12">
        <f>(INDEX(Proj[],MATCH(Std[[#This Row],[Player]],Proj[Player],0),19)-L$764)/L$765</f>
        <v>-0.81647589674950882</v>
      </c>
      <c r="M747" s="12">
        <f>(INDEX(Proj[],MATCH(Std[[#This Row],[Player]],Proj[Player],0),20)-M$764)/M$765</f>
        <v>-0.71308883245737775</v>
      </c>
      <c r="N747" s="12">
        <f>(INDEX(Proj[],MATCH(Std[[#This Row],[Player]],Proj[Player],0),21)-N$764)/N$765</f>
        <v>-0.47930829246849382</v>
      </c>
      <c r="O747" s="12">
        <f>(INDEX(Proj[],MATCH(Std[[#This Row],[Player]],Proj[Player],0),22)-O$764)/O$765</f>
        <v>-1.0087122828326462</v>
      </c>
      <c r="P747" s="12">
        <f>((INDEX(Proj[],MATCH(Std[[#This Row],[Player]],Proj[Player],0),23)-P$764)/P$765)*IF('League Inputs'!$C$23 = "Yes",-1, 1)</f>
        <v>-1.0469908165001569</v>
      </c>
      <c r="Q747" s="12">
        <f>(INDEX(Proj[],MATCH(Std[[#This Row],[Player]],Proj[Player],0),24)-Q$764)/Q$765</f>
        <v>2.57272223017024E-2</v>
      </c>
      <c r="R747" s="12">
        <f>(INDEX(Proj[],MATCH(Std[[#This Row],[Player]],Proj[Player],0),25)-R$764)/R$765</f>
        <v>0.27702844692404938</v>
      </c>
      <c r="S747" s="12">
        <f>(INDEX(Proj[],MATCH(Std[[#This Row],[Player]],Proj[Player],0),26)-S$764)/S$765</f>
        <v>-1.2021381926599228</v>
      </c>
      <c r="T747"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-800.21910938548933</v>
      </c>
      <c r="U747" s="11"/>
      <c r="W747" t="str">
        <v>Jack Studnicka</v>
      </c>
      <c r="AA747" t="str">
        <v>Jack Studnicka</v>
      </c>
      <c r="AB747" t="str">
        <v>Jack Studnicka</v>
      </c>
    </row>
    <row r="748" spans="1:28" x14ac:dyDescent="0.25">
      <c r="A748" t="s">
        <v>689</v>
      </c>
      <c r="B748">
        <f>INDEX(Proj[],MATCH(Std[[#This Row],[Player]],Proj[Player],0),2)</f>
        <v>30</v>
      </c>
      <c r="C748" t="s">
        <v>3</v>
      </c>
      <c r="D748" s="75"/>
      <c r="E748" s="56"/>
      <c r="F748" t="s">
        <v>16</v>
      </c>
      <c r="G748" s="12">
        <f>(INDEX(Proj[],MATCH(Std[[#This Row],[Player]],Proj[Player],0),14)-G$764)/G$765</f>
        <v>-0.873752993897015</v>
      </c>
      <c r="H748" s="12">
        <f>(INDEX(Proj[],MATCH(Std[[#This Row],[Player]],Proj[Player],0),15)-H$764)/H$765</f>
        <v>-1.3334322363940219</v>
      </c>
      <c r="I748" s="12">
        <f>(INDEX(Proj[],MATCH(Std[[#This Row],[Player]],Proj[Player],0),16)-I$764)/I$765</f>
        <v>-1.2360030028853313</v>
      </c>
      <c r="J748" s="12">
        <f>(INDEX(Proj[],MATCH(Std[[#This Row],[Player]],Proj[Player],0),17)-J$764)/J$765</f>
        <v>-0.76105581014900237</v>
      </c>
      <c r="K748" s="12">
        <f>(INDEX(Proj[],MATCH(Std[[#This Row],[Player]],Proj[Player],0),18)-K$764)/K$765</f>
        <v>-0.75859266061649311</v>
      </c>
      <c r="L748" s="12">
        <f>(INDEX(Proj[],MATCH(Std[[#This Row],[Player]],Proj[Player],0),19)-L$764)/L$765</f>
        <v>-0.81647589674950882</v>
      </c>
      <c r="M748" s="12">
        <f>(INDEX(Proj[],MATCH(Std[[#This Row],[Player]],Proj[Player],0),20)-M$764)/M$765</f>
        <v>-0.71308883245737775</v>
      </c>
      <c r="N748" s="12">
        <f>(INDEX(Proj[],MATCH(Std[[#This Row],[Player]],Proj[Player],0),21)-N$764)/N$765</f>
        <v>-7.2333892153173943E-2</v>
      </c>
      <c r="O748" s="12">
        <f>(INDEX(Proj[],MATCH(Std[[#This Row],[Player]],Proj[Player],0),22)-O$764)/O$765</f>
        <v>-1.0087122828326462</v>
      </c>
      <c r="P748" s="12">
        <f>((INDEX(Proj[],MATCH(Std[[#This Row],[Player]],Proj[Player],0),23)-P$764)/P$765)*IF('League Inputs'!$C$23 = "Yes",-1, 1)</f>
        <v>-1.140070365096874</v>
      </c>
      <c r="Q748" s="12">
        <f>(INDEX(Proj[],MATCH(Std[[#This Row],[Player]],Proj[Player],0),24)-Q$764)/Q$765</f>
        <v>-0.5392973662837105</v>
      </c>
      <c r="R748" s="12">
        <f>(INDEX(Proj[],MATCH(Std[[#This Row],[Player]],Proj[Player],0),25)-R$764)/R$765</f>
        <v>-0.5855895036662071</v>
      </c>
      <c r="S748" s="12">
        <f>(INDEX(Proj[],MATCH(Std[[#This Row],[Player]],Proj[Player],0),26)-S$764)/S$765</f>
        <v>-1.3643251327536026</v>
      </c>
      <c r="T748"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-838.44031690458837</v>
      </c>
      <c r="U748" s="11"/>
      <c r="W748" t="str">
        <v>Zach Aston-Reese</v>
      </c>
      <c r="AA748" t="str">
        <v>Zach Aston-Reese</v>
      </c>
      <c r="AB748" t="str">
        <v>Zach Aston-Reese</v>
      </c>
    </row>
    <row r="749" spans="1:28" x14ac:dyDescent="0.25">
      <c r="A749" t="s">
        <v>858</v>
      </c>
      <c r="B749">
        <f>INDEX(Proj[],MATCH(Std[[#This Row],[Player]],Proj[Player],0),2)</f>
        <v>26</v>
      </c>
      <c r="C749" t="s">
        <v>3</v>
      </c>
      <c r="D749" s="75"/>
      <c r="E749" s="57"/>
      <c r="F749" t="s">
        <v>87</v>
      </c>
      <c r="G749" s="12">
        <f>(INDEX(Proj[],MATCH(Std[[#This Row],[Player]],Proj[Player],0),14)-G$764)/G$765</f>
        <v>-0.9793868626547807</v>
      </c>
      <c r="H749" s="12">
        <f>(INDEX(Proj[],MATCH(Std[[#This Row],[Player]],Proj[Player],0),15)-H$764)/H$765</f>
        <v>-1.2589029694057567</v>
      </c>
      <c r="I749" s="12">
        <f>(INDEX(Proj[],MATCH(Std[[#This Row],[Player]],Proj[Player],0),16)-I$764)/I$765</f>
        <v>-1.2360030028853313</v>
      </c>
      <c r="J749" s="12">
        <f>(INDEX(Proj[],MATCH(Std[[#This Row],[Player]],Proj[Player],0),17)-J$764)/J$765</f>
        <v>-0.76105581014900237</v>
      </c>
      <c r="K749" s="12">
        <f>(INDEX(Proj[],MATCH(Std[[#This Row],[Player]],Proj[Player],0),18)-K$764)/K$765</f>
        <v>-0.75859266061649311</v>
      </c>
      <c r="L749" s="12">
        <f>(INDEX(Proj[],MATCH(Std[[#This Row],[Player]],Proj[Player],0),19)-L$764)/L$765</f>
        <v>-0.81647589674950882</v>
      </c>
      <c r="M749" s="12">
        <f>(INDEX(Proj[],MATCH(Std[[#This Row],[Player]],Proj[Player],0),20)-M$764)/M$765</f>
        <v>-0.71308883245737775</v>
      </c>
      <c r="N749" s="12">
        <f>(INDEX(Proj[],MATCH(Std[[#This Row],[Player]],Proj[Player],0),21)-N$764)/N$765</f>
        <v>-0.59558669255858521</v>
      </c>
      <c r="O749" s="12">
        <f>(INDEX(Proj[],MATCH(Std[[#This Row],[Player]],Proj[Player],0),22)-O$764)/O$765</f>
        <v>-1.1712243062069463</v>
      </c>
      <c r="P749" s="12">
        <f>((INDEX(Proj[],MATCH(Std[[#This Row],[Player]],Proj[Player],0),23)-P$764)/P$765)*IF('League Inputs'!$C$23 = "Yes",-1, 1)</f>
        <v>-1.1866101393952324</v>
      </c>
      <c r="Q749" s="12">
        <f>(INDEX(Proj[],MATCH(Std[[#This Row],[Player]],Proj[Player],0),24)-Q$764)/Q$765</f>
        <v>-0.11286371452113472</v>
      </c>
      <c r="R749" s="12">
        <f>(INDEX(Proj[],MATCH(Std[[#This Row],[Player]],Proj[Player],0),25)-R$764)/R$765</f>
        <v>-5.2128402643285339E-2</v>
      </c>
      <c r="S749" s="12">
        <f>(INDEX(Proj[],MATCH(Std[[#This Row],[Player]],Proj[Player],0),26)-S$764)/S$765</f>
        <v>-1.4778559908191786</v>
      </c>
      <c r="T749"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-883.49095751964558</v>
      </c>
      <c r="U749" s="11"/>
      <c r="W749" t="str">
        <v>Ben Meyers</v>
      </c>
      <c r="AA749" t="str">
        <v>Ben Meyers</v>
      </c>
      <c r="AB749" t="str">
        <v>Ben Meyers</v>
      </c>
    </row>
    <row r="750" spans="1:28" x14ac:dyDescent="0.25">
      <c r="A750" t="s">
        <v>965</v>
      </c>
      <c r="B750">
        <f>INDEX(Proj[],MATCH(Std[[#This Row],[Player]],Proj[Player],0),2)</f>
        <v>24</v>
      </c>
      <c r="C750" t="s">
        <v>3</v>
      </c>
      <c r="D750" s="75"/>
      <c r="E750" s="56"/>
      <c r="F750" t="s">
        <v>17</v>
      </c>
      <c r="G750" s="12">
        <f>(INDEX(Proj[],MATCH(Std[[#This Row],[Player]],Proj[Player],0),14)-G$764)/G$765</f>
        <v>-1.0850207314125464</v>
      </c>
      <c r="H750" s="12">
        <f>(INDEX(Proj[],MATCH(Std[[#This Row],[Player]],Proj[Player],0),15)-H$764)/H$765</f>
        <v>-1.2589029694057567</v>
      </c>
      <c r="I750" s="12">
        <f>(INDEX(Proj[],MATCH(Std[[#This Row],[Player]],Proj[Player],0),16)-I$764)/I$765</f>
        <v>-1.2832455618474345</v>
      </c>
      <c r="J750" s="12">
        <f>(INDEX(Proj[],MATCH(Std[[#This Row],[Player]],Proj[Player],0),17)-J$764)/J$765</f>
        <v>-0.76105581014900237</v>
      </c>
      <c r="K750" s="12">
        <f>(INDEX(Proj[],MATCH(Std[[#This Row],[Player]],Proj[Player],0),18)-K$764)/K$765</f>
        <v>-0.75859266061649311</v>
      </c>
      <c r="L750" s="12">
        <f>(INDEX(Proj[],MATCH(Std[[#This Row],[Player]],Proj[Player],0),19)-L$764)/L$765</f>
        <v>-0.81647589674950882</v>
      </c>
      <c r="M750" s="12">
        <f>(INDEX(Proj[],MATCH(Std[[#This Row],[Player]],Proj[Player],0),20)-M$764)/M$765</f>
        <v>-0.71308883245737775</v>
      </c>
      <c r="N750" s="12">
        <f>(INDEX(Proj[],MATCH(Std[[#This Row],[Player]],Proj[Player],0),21)-N$764)/N$765</f>
        <v>0.12146344133031171</v>
      </c>
      <c r="O750" s="12">
        <f>(INDEX(Proj[],MATCH(Std[[#This Row],[Player]],Proj[Player],0),22)-O$764)/O$765</f>
        <v>-0.38188019267463208</v>
      </c>
      <c r="P750" s="12">
        <f>((INDEX(Proj[],MATCH(Std[[#This Row],[Player]],Proj[Player],0),23)-P$764)/P$765)*IF('League Inputs'!$C$23 = "Yes",-1, 1)</f>
        <v>0.48882173534567236</v>
      </c>
      <c r="Q750" s="12">
        <f>(INDEX(Proj[],MATCH(Std[[#This Row],[Player]],Proj[Player],0),24)-Q$764)/Q$765</f>
        <v>-0.5766103108129359</v>
      </c>
      <c r="R750" s="12">
        <f>(INDEX(Proj[],MATCH(Std[[#This Row],[Player]],Proj[Player],0),25)-R$764)/R$765</f>
        <v>-0.62531533033812681</v>
      </c>
      <c r="S750" s="12">
        <f>(INDEX(Proj[],MATCH(Std[[#This Row],[Player]],Proj[Player],0),26)-S$764)/S$765</f>
        <v>-1.4129812147817067</v>
      </c>
      <c r="T750"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-620.48317010085384</v>
      </c>
      <c r="U750" s="11"/>
      <c r="W750" t="str">
        <v>Tyler Tucker</v>
      </c>
      <c r="AA750" t="str">
        <v>Tyler Tucker</v>
      </c>
      <c r="AB750" t="str">
        <v>Tyler Tucker</v>
      </c>
    </row>
    <row r="751" spans="1:28" x14ac:dyDescent="0.25">
      <c r="A751" t="s">
        <v>881</v>
      </c>
      <c r="B751">
        <f>INDEX(Proj[],MATCH(Std[[#This Row],[Player]],Proj[Player],0),2)</f>
        <v>32</v>
      </c>
      <c r="C751" t="s">
        <v>3</v>
      </c>
      <c r="D751" s="75"/>
      <c r="E751" s="57"/>
      <c r="F751" t="s">
        <v>7</v>
      </c>
      <c r="G751" s="12">
        <f>(INDEX(Proj[],MATCH(Std[[#This Row],[Player]],Proj[Player],0),14)-G$764)/G$765</f>
        <v>-1.190654600170312</v>
      </c>
      <c r="H751" s="12">
        <f>(INDEX(Proj[],MATCH(Std[[#This Row],[Player]],Proj[Player],0),15)-H$764)/H$765</f>
        <v>-1.1843737024174914</v>
      </c>
      <c r="I751" s="12">
        <f>(INDEX(Proj[],MATCH(Std[[#This Row],[Player]],Proj[Player],0),16)-I$764)/I$765</f>
        <v>-1.2832455618474345</v>
      </c>
      <c r="J751" s="12">
        <f>(INDEX(Proj[],MATCH(Std[[#This Row],[Player]],Proj[Player],0),17)-J$764)/J$765</f>
        <v>-0.76105581014900237</v>
      </c>
      <c r="K751" s="12">
        <f>(INDEX(Proj[],MATCH(Std[[#This Row],[Player]],Proj[Player],0),18)-K$764)/K$765</f>
        <v>-0.75859266061649311</v>
      </c>
      <c r="L751" s="12">
        <f>(INDEX(Proj[],MATCH(Std[[#This Row],[Player]],Proj[Player],0),19)-L$764)/L$765</f>
        <v>-0.81647589674950882</v>
      </c>
      <c r="M751" s="12">
        <f>(INDEX(Proj[],MATCH(Std[[#This Row],[Player]],Proj[Player],0),20)-M$764)/M$765</f>
        <v>-0.71308883245737775</v>
      </c>
      <c r="N751" s="12">
        <f>(INDEX(Proj[],MATCH(Std[[#This Row],[Player]],Proj[Player],0),21)-N$764)/N$765</f>
        <v>-0.98318135952555652</v>
      </c>
      <c r="O751" s="12">
        <f>(INDEX(Proj[],MATCH(Std[[#This Row],[Player]],Proj[Player],0),22)-O$764)/O$765</f>
        <v>-0.10328815260440355</v>
      </c>
      <c r="P751" s="12">
        <f>((INDEX(Proj[],MATCH(Std[[#This Row],[Player]],Proj[Player],0),23)-P$764)/P$765)*IF('League Inputs'!$C$23 = "Yes",-1, 1)</f>
        <v>-1.2331499136935908</v>
      </c>
      <c r="Q751" s="12">
        <f>(INDEX(Proj[],MATCH(Std[[#This Row],[Player]],Proj[Player],0),24)-Q$764)/Q$765</f>
        <v>-0.5766103108129359</v>
      </c>
      <c r="R751" s="12">
        <f>(INDEX(Proj[],MATCH(Std[[#This Row],[Player]],Proj[Player],0),25)-R$764)/R$765</f>
        <v>-0.62531533033812681</v>
      </c>
      <c r="S751" s="12">
        <f>(INDEX(Proj[],MATCH(Std[[#This Row],[Player]],Proj[Player],0),26)-S$764)/S$765</f>
        <v>-1.3318877447348667</v>
      </c>
      <c r="T751"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-870.2867242556099</v>
      </c>
      <c r="U751" s="11"/>
      <c r="W751" t="str">
        <v>Jordan Oesterle</v>
      </c>
      <c r="AA751" t="str">
        <v>Jordan Oesterle</v>
      </c>
      <c r="AB751" t="str">
        <v>Jordan Oesterle</v>
      </c>
    </row>
    <row r="752" spans="1:28" x14ac:dyDescent="0.25">
      <c r="A752" t="s">
        <v>1061</v>
      </c>
      <c r="B752">
        <f>INDEX(Proj[],MATCH(Std[[#This Row],[Player]],Proj[Player],0),2)</f>
        <v>25</v>
      </c>
      <c r="C752" t="s">
        <v>3</v>
      </c>
      <c r="D752" s="75"/>
      <c r="E752" s="56"/>
      <c r="F752" t="s">
        <v>16</v>
      </c>
      <c r="G752" s="12">
        <f>(INDEX(Proj[],MATCH(Std[[#This Row],[Player]],Proj[Player],0),14)-G$764)/G$765</f>
        <v>-1.190654600170312</v>
      </c>
      <c r="H752" s="12">
        <f>(INDEX(Proj[],MATCH(Std[[#This Row],[Player]],Proj[Player],0),15)-H$764)/H$765</f>
        <v>-1.1843737024174914</v>
      </c>
      <c r="I752" s="12">
        <f>(INDEX(Proj[],MATCH(Std[[#This Row],[Player]],Proj[Player],0),16)-I$764)/I$765</f>
        <v>-1.2832455618474345</v>
      </c>
      <c r="J752" s="12">
        <f>(INDEX(Proj[],MATCH(Std[[#This Row],[Player]],Proj[Player],0),17)-J$764)/J$765</f>
        <v>-0.76105581014900237</v>
      </c>
      <c r="K752" s="12">
        <f>(INDEX(Proj[],MATCH(Std[[#This Row],[Player]],Proj[Player],0),18)-K$764)/K$765</f>
        <v>-0.75859266061649311</v>
      </c>
      <c r="L752" s="12">
        <f>(INDEX(Proj[],MATCH(Std[[#This Row],[Player]],Proj[Player],0),19)-L$764)/L$765</f>
        <v>-0.81647589674950882</v>
      </c>
      <c r="M752" s="12">
        <f>(INDEX(Proj[],MATCH(Std[[#This Row],[Player]],Proj[Player],0),20)-M$764)/M$765</f>
        <v>-0.71308883245737775</v>
      </c>
      <c r="N752" s="12">
        <f>(INDEX(Proj[],MATCH(Std[[#This Row],[Player]],Proj[Player],0),21)-N$764)/N$765</f>
        <v>-1.0994597596156479</v>
      </c>
      <c r="O752" s="12">
        <f>(INDEX(Proj[],MATCH(Std[[#This Row],[Player]],Proj[Player],0),22)-O$764)/O$765</f>
        <v>-0.54439221604893206</v>
      </c>
      <c r="P752" s="12">
        <f>((INDEX(Proj[],MATCH(Std[[#This Row],[Player]],Proj[Player],0),23)-P$764)/P$765)*IF('League Inputs'!$C$23 = "Yes",-1, 1)</f>
        <v>-1.2331499136935908</v>
      </c>
      <c r="Q752" s="12">
        <f>(INDEX(Proj[],MATCH(Std[[#This Row],[Player]],Proj[Player],0),24)-Q$764)/Q$765</f>
        <v>-0.5766103108129359</v>
      </c>
      <c r="R752" s="12">
        <f>(INDEX(Proj[],MATCH(Std[[#This Row],[Player]],Proj[Player],0),25)-R$764)/R$765</f>
        <v>-0.62531533033812681</v>
      </c>
      <c r="S752" s="12">
        <f>(INDEX(Proj[],MATCH(Std[[#This Row],[Player]],Proj[Player],0),26)-S$764)/S$765</f>
        <v>-1.5265120728472825</v>
      </c>
      <c r="T752"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-945.48740342031363</v>
      </c>
      <c r="U752" s="11"/>
      <c r="W752" t="str">
        <v>Jake Christiansen</v>
      </c>
      <c r="AA752" t="str">
        <v>Jake Christiansen</v>
      </c>
      <c r="AB752" t="str">
        <v>Jake Christiansen</v>
      </c>
    </row>
    <row r="753" spans="1:28" x14ac:dyDescent="0.25">
      <c r="A753" t="s">
        <v>1135</v>
      </c>
      <c r="B753">
        <f>INDEX(Proj[],MATCH(Std[[#This Row],[Player]],Proj[Player],0),2)</f>
        <v>25</v>
      </c>
      <c r="C753" t="s">
        <v>3</v>
      </c>
      <c r="D753" s="75"/>
      <c r="E753" s="56"/>
      <c r="F753" t="s">
        <v>20</v>
      </c>
      <c r="G753" s="12">
        <f>(INDEX(Proj[],MATCH(Std[[#This Row],[Player]],Proj[Player],0),14)-G$764)/G$765</f>
        <v>-0.9793868626547807</v>
      </c>
      <c r="H753" s="12">
        <f>(INDEX(Proj[],MATCH(Std[[#This Row],[Player]],Proj[Player],0),15)-H$764)/H$765</f>
        <v>-1.3334322363940219</v>
      </c>
      <c r="I753" s="12">
        <f>(INDEX(Proj[],MATCH(Std[[#This Row],[Player]],Proj[Player],0),16)-I$764)/I$765</f>
        <v>-1.2832455618474345</v>
      </c>
      <c r="J753" s="12">
        <f>(INDEX(Proj[],MATCH(Std[[#This Row],[Player]],Proj[Player],0),17)-J$764)/J$765</f>
        <v>-0.76105581014900237</v>
      </c>
      <c r="K753" s="12">
        <f>(INDEX(Proj[],MATCH(Std[[#This Row],[Player]],Proj[Player],0),18)-K$764)/K$765</f>
        <v>-0.75859266061649311</v>
      </c>
      <c r="L753" s="12">
        <f>(INDEX(Proj[],MATCH(Std[[#This Row],[Player]],Proj[Player],0),19)-L$764)/L$765</f>
        <v>-0.81647589674950882</v>
      </c>
      <c r="M753" s="12">
        <f>(INDEX(Proj[],MATCH(Std[[#This Row],[Player]],Proj[Player],0),20)-M$764)/M$765</f>
        <v>-0.71308883245737775</v>
      </c>
      <c r="N753" s="12">
        <f>(INDEX(Proj[],MATCH(Std[[#This Row],[Player]],Proj[Player],0),21)-N$764)/N$765</f>
        <v>-1.3126368264474821</v>
      </c>
      <c r="O753" s="12">
        <f>(INDEX(Proj[],MATCH(Std[[#This Row],[Player]],Proj[Player],0),22)-O$764)/O$765</f>
        <v>-1.1480083028677606</v>
      </c>
      <c r="P753" s="12">
        <f>((INDEX(Proj[],MATCH(Std[[#This Row],[Player]],Proj[Player],0),23)-P$764)/P$765)*IF('League Inputs'!$C$23 = "Yes",-1, 1)</f>
        <v>-1.5123885594837416</v>
      </c>
      <c r="Q753" s="12">
        <f>(INDEX(Proj[],MATCH(Std[[#This Row],[Player]],Proj[Player],0),24)-Q$764)/Q$765</f>
        <v>-0.20348086552068209</v>
      </c>
      <c r="R753" s="12">
        <f>(INDEX(Proj[],MATCH(Std[[#This Row],[Player]],Proj[Player],0),25)-R$764)/R$765</f>
        <v>-0.23373218171491827</v>
      </c>
      <c r="S753" s="12">
        <f>(INDEX(Proj[],MATCH(Std[[#This Row],[Player]],Proj[Player],0),26)-S$764)/S$765</f>
        <v>-1.6238242369034903</v>
      </c>
      <c r="T753"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-1021.2879348868903</v>
      </c>
      <c r="U753" s="11"/>
      <c r="W753" t="str">
        <v>James Hamblin</v>
      </c>
      <c r="AA753" t="str">
        <v>James Hamblin</v>
      </c>
      <c r="AB753" t="str">
        <v>James Hamblin</v>
      </c>
    </row>
    <row r="754" spans="1:28" x14ac:dyDescent="0.25">
      <c r="A754" t="s">
        <v>599</v>
      </c>
      <c r="B754">
        <f>INDEX(Proj[],MATCH(Std[[#This Row],[Player]],Proj[Player],0),2)</f>
        <v>35</v>
      </c>
      <c r="C754" t="s">
        <v>3</v>
      </c>
      <c r="D754" s="75"/>
      <c r="E754" s="57"/>
      <c r="F754" t="s">
        <v>12</v>
      </c>
      <c r="G754" s="12">
        <f>(INDEX(Proj[],MATCH(Std[[#This Row],[Player]],Proj[Player],0),14)-G$764)/G$765</f>
        <v>-1.190654600170312</v>
      </c>
      <c r="H754" s="12">
        <f>(INDEX(Proj[],MATCH(Std[[#This Row],[Player]],Proj[Player],0),15)-H$764)/H$765</f>
        <v>-1.2589029694057567</v>
      </c>
      <c r="I754" s="12">
        <f>(INDEX(Proj[],MATCH(Std[[#This Row],[Player]],Proj[Player],0),16)-I$764)/I$765</f>
        <v>-1.3304881208095376</v>
      </c>
      <c r="J754" s="12">
        <f>(INDEX(Proj[],MATCH(Std[[#This Row],[Player]],Proj[Player],0),17)-J$764)/J$765</f>
        <v>-0.76105581014900237</v>
      </c>
      <c r="K754" s="12">
        <f>(INDEX(Proj[],MATCH(Std[[#This Row],[Player]],Proj[Player],0),18)-K$764)/K$765</f>
        <v>-0.75859266061649311</v>
      </c>
      <c r="L754" s="12">
        <f>(INDEX(Proj[],MATCH(Std[[#This Row],[Player]],Proj[Player],0),19)-L$764)/L$765</f>
        <v>-0.81647589674950882</v>
      </c>
      <c r="M754" s="12">
        <f>(INDEX(Proj[],MATCH(Std[[#This Row],[Player]],Proj[Player],0),20)-M$764)/M$765</f>
        <v>-0.71308883245737775</v>
      </c>
      <c r="N754" s="12">
        <f>(INDEX(Proj[],MATCH(Std[[#This Row],[Player]],Proj[Player],0),21)-N$764)/N$765</f>
        <v>-1.4194692108128246E-2</v>
      </c>
      <c r="O754" s="12">
        <f>(INDEX(Proj[],MATCH(Std[[#This Row],[Player]],Proj[Player],0),22)-O$764)/O$765</f>
        <v>0.82535198096302487</v>
      </c>
      <c r="P754" s="12">
        <f>((INDEX(Proj[],MATCH(Std[[#This Row],[Player]],Proj[Player],0),23)-P$764)/P$765)*IF('League Inputs'!$C$23 = "Yes",-1, 1)</f>
        <v>0.44228196104731388</v>
      </c>
      <c r="Q754" s="12">
        <f>(INDEX(Proj[],MATCH(Std[[#This Row],[Player]],Proj[Player],0),24)-Q$764)/Q$765</f>
        <v>-0.5766103108129359</v>
      </c>
      <c r="R754" s="12">
        <f>(INDEX(Proj[],MATCH(Std[[#This Row],[Player]],Proj[Player],0),25)-R$764)/R$765</f>
        <v>-0.62531533033812681</v>
      </c>
      <c r="S754" s="12">
        <f>(INDEX(Proj[],MATCH(Std[[#This Row],[Player]],Proj[Player],0),26)-S$764)/S$765</f>
        <v>-1.3643251327536026</v>
      </c>
      <c r="T754"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-528.40177807994428</v>
      </c>
      <c r="U754" s="11"/>
      <c r="W754" t="str">
        <v>Robert Bortuzzo</v>
      </c>
      <c r="AA754" t="str">
        <v>Robert Bortuzzo</v>
      </c>
      <c r="AB754" t="str">
        <v>Robert Bortuzzo</v>
      </c>
    </row>
    <row r="755" spans="1:28" x14ac:dyDescent="0.25">
      <c r="A755" t="s">
        <v>984</v>
      </c>
      <c r="B755">
        <f>INDEX(Proj[],MATCH(Std[[#This Row],[Player]],Proj[Player],0),2)</f>
        <v>26</v>
      </c>
      <c r="C755" t="s">
        <v>3</v>
      </c>
      <c r="D755" s="75"/>
      <c r="E755" s="57"/>
      <c r="F755" t="s">
        <v>25</v>
      </c>
      <c r="G755" s="12">
        <f>(INDEX(Proj[],MATCH(Std[[#This Row],[Player]],Proj[Player],0),14)-G$764)/G$765</f>
        <v>-1.190654600170312</v>
      </c>
      <c r="H755" s="12">
        <f>(INDEX(Proj[],MATCH(Std[[#This Row],[Player]],Proj[Player],0),15)-H$764)/H$765</f>
        <v>-1.2589029694057567</v>
      </c>
      <c r="I755" s="12">
        <f>(INDEX(Proj[],MATCH(Std[[#This Row],[Player]],Proj[Player],0),16)-I$764)/I$765</f>
        <v>-1.3304881208095376</v>
      </c>
      <c r="J755" s="12">
        <f>(INDEX(Proj[],MATCH(Std[[#This Row],[Player]],Proj[Player],0),17)-J$764)/J$765</f>
        <v>-0.76105581014900237</v>
      </c>
      <c r="K755" s="12">
        <f>(INDEX(Proj[],MATCH(Std[[#This Row],[Player]],Proj[Player],0),18)-K$764)/K$765</f>
        <v>-0.75859266061649311</v>
      </c>
      <c r="L755" s="12">
        <f>(INDEX(Proj[],MATCH(Std[[#This Row],[Player]],Proj[Player],0),19)-L$764)/L$765</f>
        <v>-0.81647589674950882</v>
      </c>
      <c r="M755" s="12">
        <f>(INDEX(Proj[],MATCH(Std[[#This Row],[Player]],Proj[Player],0),20)-M$764)/M$765</f>
        <v>-0.71308883245737775</v>
      </c>
      <c r="N755" s="12">
        <f>(INDEX(Proj[],MATCH(Std[[#This Row],[Player]],Proj[Player],0),21)-N$764)/N$765</f>
        <v>-1.1188394929639964</v>
      </c>
      <c r="O755" s="12">
        <f>(INDEX(Proj[],MATCH(Std[[#This Row],[Player]],Proj[Player],0),22)-O$764)/O$765</f>
        <v>-0.4050961960138178</v>
      </c>
      <c r="P755" s="12">
        <f>((INDEX(Proj[],MATCH(Std[[#This Row],[Player]],Proj[Player],0),23)-P$764)/P$765)*IF('League Inputs'!$C$23 = "Yes",-1, 1)</f>
        <v>-1.0935305907985153</v>
      </c>
      <c r="Q755" s="12">
        <f>(INDEX(Proj[],MATCH(Std[[#This Row],[Player]],Proj[Player],0),24)-Q$764)/Q$765</f>
        <v>-0.5766103108129359</v>
      </c>
      <c r="R755" s="12">
        <f>(INDEX(Proj[],MATCH(Std[[#This Row],[Player]],Proj[Player],0),25)-R$764)/R$765</f>
        <v>-0.62531533033812681</v>
      </c>
      <c r="S755" s="12">
        <f>(INDEX(Proj[],MATCH(Std[[#This Row],[Player]],Proj[Player],0),26)-S$764)/S$765</f>
        <v>-1.4940746848285464</v>
      </c>
      <c r="T755" s="11">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-928.46728625529272</v>
      </c>
      <c r="U755" s="11"/>
      <c r="W755" t="str">
        <v>Jacob Moverare</v>
      </c>
      <c r="AA755" t="str">
        <v>Jacob Moverare</v>
      </c>
      <c r="AB755" t="str">
        <v>Jacob Moverare</v>
      </c>
    </row>
    <row r="756" spans="1:28" x14ac:dyDescent="0.25">
      <c r="A756" s="112" t="s">
        <v>1263</v>
      </c>
      <c r="B756" s="72">
        <f>INDEX(Table1[],MATCH(Proj[[#This Row],[Player]],Table1[Player],0),3)</f>
        <v>35</v>
      </c>
      <c r="C756" s="58"/>
      <c r="D756" s="113"/>
      <c r="E756" s="58"/>
      <c r="F756" s="72"/>
      <c r="G756" s="73">
        <f>(INDEX(Proj[],MATCH(Std[[#This Row],[Player]],Proj[Player],0),14)-G$764)/G$765</f>
        <v>-0.7681191251392494</v>
      </c>
      <c r="H756" s="73">
        <f>(INDEX(Proj[],MATCH(Std[[#This Row],[Player]],Proj[Player],0),15)-H$764)/H$765</f>
        <v>-0.14096396458177846</v>
      </c>
      <c r="I756" s="73">
        <f>(INDEX(Proj[],MATCH(Std[[#This Row],[Player]],Proj[Player],0),16)-I$764)/I$765</f>
        <v>-0.4328795005295763</v>
      </c>
      <c r="J756" s="73">
        <f>(INDEX(Proj[],MATCH(Std[[#This Row],[Player]],Proj[Player],0),17)-J$764)/J$765</f>
        <v>-0.46669252292436259</v>
      </c>
      <c r="K756" s="73">
        <f>(INDEX(Proj[],MATCH(Std[[#This Row],[Player]],Proj[Player],0),18)-K$764)/K$765</f>
        <v>-0.14224887932464234</v>
      </c>
      <c r="L756" s="73">
        <f>(INDEX(Proj[],MATCH(Std[[#This Row],[Player]],Proj[Player],0),19)-L$764)/L$765</f>
        <v>-0.27278273918567114</v>
      </c>
      <c r="M756" s="73">
        <f>(INDEX(Proj[],MATCH(Std[[#This Row],[Player]],Proj[Player],0),20)-M$764)/M$765</f>
        <v>-0.71308883245737775</v>
      </c>
      <c r="N756" s="73">
        <f>(INDEX(Proj[],MATCH(Std[[#This Row],[Player]],Proj[Player],0),21)-N$764)/N$765</f>
        <v>-0.26613122563665959</v>
      </c>
      <c r="O756" s="73">
        <f>(INDEX(Proj[],MATCH(Std[[#This Row],[Player]],Proj[Player],0),22)-O$764)/O$765</f>
        <v>0.12887188078745357</v>
      </c>
      <c r="P756" s="73">
        <f>((INDEX(Proj[],MATCH(Std[[#This Row],[Player]],Proj[Player],0),23)-P$764)/P$765)*IF('League Inputs'!$C$23 = "Yes",-1, 1)</f>
        <v>0.44228196104731388</v>
      </c>
      <c r="Q756" s="73">
        <f>(INDEX(Proj[],MATCH(Std[[#This Row],[Player]],Proj[Player],0),24)-Q$764)/Q$765</f>
        <v>-0.5766103108129359</v>
      </c>
      <c r="R756" s="73">
        <f>(INDEX(Proj[],MATCH(Std[[#This Row],[Player]],Proj[Player],0),25)-R$764)/R$765</f>
        <v>-0.62531533033812681</v>
      </c>
      <c r="S756" s="73">
        <f>(INDEX(Proj[],MATCH(Std[[#This Row],[Player]],Proj[Player],0),26)-S$764)/S$765</f>
        <v>-9.9267000022900009E-2</v>
      </c>
      <c r="T756" s="114">
        <f>(IF('League Inputs'!$C$10 = "Yes", Std[[#This Row],[Goals]], 0)+IF('League Inputs'!$C$11 = "Yes", Std[[#This Row],[Assists]], 0)+IF('League Inputs'!$C$12 = "Yes", Std[[#This Row],[Points]], 0)+IF('League Inputs'!$C$15 = "Yes", Std[[#This Row],[PP Points]], 0)+IF('League Inputs'!$C$17 = "Yes",Std[[#This Row],[SOG]], 0)+IF('League Inputs'!$C$19 = "Yes",Std[[#This Row],[BLK]], 0)+IF('League Inputs'!$C$18 = "Yes", Std[[#This Row],[Hits]], 0)+IF('League Inputs'!$C$20 = "Yes",Std[[#This Row],[FOW]], 0)+IF('League Inputs'!$C$13 = "Yes",Std[[#This Row],[PPG]], 0)+IF('League Inputs'!$C$14 = "Yes",Std[[#This Row],[PPA]], 0)+IF('League Inputs'!$C$16 = "Yes",Std[[#This Row],[SHP]], 0)-IF('League Inputs'!$C$21 = "Yes",Std[[#This Row],[FOL]], 0)+IF('League Inputs'!$C$22 = "Yes",Std[[#This Row],[PIM]], 0))*100</f>
        <v>-198.56000240740033</v>
      </c>
      <c r="U756" s="114"/>
      <c r="W756" t="str">
        <v>Ville Heinola</v>
      </c>
      <c r="AA756" t="str">
        <v>Ville Heinola</v>
      </c>
      <c r="AB756" t="str">
        <v>Ville Heinola</v>
      </c>
    </row>
    <row r="757" spans="1:28" x14ac:dyDescent="0.25">
      <c r="A757" s="67"/>
      <c r="C757" s="59"/>
      <c r="E757" s="59"/>
      <c r="G757" s="115"/>
      <c r="H757" s="115"/>
      <c r="I757" s="115"/>
      <c r="J757" s="115"/>
      <c r="K757" s="115"/>
      <c r="L757" s="115"/>
      <c r="M757" s="115"/>
      <c r="N757" s="115"/>
      <c r="O757" s="115"/>
      <c r="P757" s="115"/>
      <c r="Q757" s="115"/>
      <c r="R757" s="115"/>
      <c r="S757" s="115"/>
      <c r="T757" s="10"/>
      <c r="U757" s="10"/>
    </row>
    <row r="758" spans="1:28" x14ac:dyDescent="0.25">
      <c r="A758" s="67"/>
      <c r="C758" s="59"/>
      <c r="E758" s="59"/>
      <c r="G758" s="115"/>
      <c r="H758" s="115"/>
      <c r="I758" s="115"/>
      <c r="J758" s="115"/>
      <c r="K758" s="115"/>
      <c r="L758" s="115"/>
      <c r="M758" s="115"/>
      <c r="N758" s="115"/>
      <c r="O758" s="115"/>
      <c r="P758" s="115"/>
      <c r="Q758" s="115"/>
      <c r="R758" s="115"/>
      <c r="S758" s="115"/>
      <c r="T758" s="10"/>
      <c r="U758" s="10"/>
    </row>
    <row r="759" spans="1:28" x14ac:dyDescent="0.25">
      <c r="A759" s="67"/>
      <c r="C759" s="59"/>
      <c r="E759" s="59"/>
      <c r="G759" s="115"/>
      <c r="H759" s="115"/>
      <c r="I759" s="115"/>
      <c r="J759" s="115"/>
      <c r="K759" s="115"/>
      <c r="L759" s="115"/>
      <c r="M759" s="115"/>
      <c r="N759" s="115"/>
      <c r="O759" s="115"/>
      <c r="P759" s="115"/>
      <c r="Q759" s="115"/>
      <c r="R759" s="115"/>
      <c r="S759" s="115"/>
      <c r="T759" s="10"/>
      <c r="U759" s="10"/>
    </row>
    <row r="760" spans="1:28" x14ac:dyDescent="0.25">
      <c r="A760" s="67"/>
      <c r="C760" s="59"/>
      <c r="E760" s="59"/>
      <c r="G760" s="115"/>
      <c r="H760" s="115"/>
      <c r="I760" s="115"/>
      <c r="J760" s="115"/>
      <c r="K760" s="115"/>
      <c r="L760" s="115"/>
      <c r="M760" s="115"/>
      <c r="N760" s="115"/>
      <c r="O760" s="115"/>
      <c r="P760" s="115"/>
      <c r="Q760" s="115"/>
      <c r="R760" s="115"/>
      <c r="S760" s="115"/>
      <c r="T760" s="10"/>
      <c r="U760" s="10"/>
    </row>
    <row r="761" spans="1:28" x14ac:dyDescent="0.25">
      <c r="A761" s="67"/>
      <c r="C761" s="59"/>
      <c r="E761" s="59"/>
      <c r="G761" s="115"/>
      <c r="H761" s="115"/>
      <c r="I761" s="115"/>
      <c r="J761" s="115"/>
      <c r="K761" s="115"/>
      <c r="L761" s="115"/>
      <c r="M761" s="115"/>
      <c r="N761" s="115"/>
      <c r="O761" s="115"/>
      <c r="P761" s="115"/>
      <c r="Q761" s="115"/>
      <c r="R761" s="115"/>
      <c r="S761" s="115"/>
      <c r="T761" s="10"/>
      <c r="U761" s="10"/>
    </row>
    <row r="762" spans="1:28" x14ac:dyDescent="0.25">
      <c r="A762" s="67"/>
      <c r="C762" s="59"/>
      <c r="E762" s="59"/>
      <c r="G762" s="115"/>
      <c r="H762" s="115"/>
      <c r="I762" s="115"/>
      <c r="J762" s="115"/>
      <c r="K762" s="115"/>
      <c r="L762" s="115"/>
      <c r="M762" s="115"/>
      <c r="N762" s="115"/>
      <c r="O762" s="115"/>
      <c r="P762" s="115"/>
      <c r="Q762" s="115"/>
      <c r="R762" s="115"/>
      <c r="S762" s="115"/>
      <c r="T762" s="10"/>
      <c r="U762" s="10"/>
    </row>
    <row r="763" spans="1:28" x14ac:dyDescent="0.25">
      <c r="G763" t="s">
        <v>75</v>
      </c>
      <c r="H763" t="s">
        <v>76</v>
      </c>
      <c r="I763" t="s">
        <v>77</v>
      </c>
      <c r="L763" t="s">
        <v>78</v>
      </c>
      <c r="N763" t="s">
        <v>79</v>
      </c>
      <c r="O763" t="s">
        <v>80</v>
      </c>
      <c r="P763" t="s">
        <v>81</v>
      </c>
      <c r="Q763" t="s">
        <v>82</v>
      </c>
      <c r="R763" t="s">
        <v>83</v>
      </c>
      <c r="S763" t="s">
        <v>84</v>
      </c>
    </row>
    <row r="764" spans="1:28" x14ac:dyDescent="0.25">
      <c r="F764" t="s">
        <v>85</v>
      </c>
      <c r="G764" s="9">
        <f>AVERAGE(Proj[Goals])</f>
        <v>12.271523178807946</v>
      </c>
      <c r="H764" s="9">
        <f>AVERAGE(Proj[Assists])</f>
        <v>20.891390728476821</v>
      </c>
      <c r="I764" s="9">
        <f>AVERAGE(Proj[Points])</f>
        <v>33.162913907284768</v>
      </c>
      <c r="J764" s="9">
        <f>AVERAGE(Proj[PPG])</f>
        <v>2.5854304635761589</v>
      </c>
      <c r="K764" s="9">
        <f>AVERAGE(Proj[PPA])</f>
        <v>4.9231788079470196</v>
      </c>
      <c r="L764" s="9">
        <f>AVERAGE(Proj[PP Points])</f>
        <v>7.5086092715231789</v>
      </c>
      <c r="M764" s="9">
        <f>AVERAGE(Proj[SHP])</f>
        <v>0.69536423841059603</v>
      </c>
      <c r="N764" s="9">
        <f>AVERAGE(Proj[Hits])</f>
        <v>82.732450331125833</v>
      </c>
      <c r="O764" s="9">
        <f>AVERAGE(Proj[BLK])</f>
        <v>64.449006622516549</v>
      </c>
      <c r="P764" s="9">
        <f>AVERAGE(Proj[PIM])</f>
        <v>36.496688741721854</v>
      </c>
      <c r="Q764" s="9">
        <f>AVERAGE(Proj[FOW])</f>
        <v>108.17350993377484</v>
      </c>
      <c r="R764" s="9">
        <f>AVERAGE(Proj[FOL])</f>
        <v>110.18543046357615</v>
      </c>
      <c r="S764" s="9">
        <f>AVERAGE(Proj[SOG])</f>
        <v>121.12052980132451</v>
      </c>
    </row>
    <row r="765" spans="1:28" x14ac:dyDescent="0.25">
      <c r="F765" t="s">
        <v>86</v>
      </c>
      <c r="G765" s="9">
        <f>_xlfn.STDEV.P(Proj[Goals])</f>
        <v>9.4666607571966388</v>
      </c>
      <c r="H765" s="9">
        <f>_xlfn.STDEV.P(Proj[Assists])</f>
        <v>13.417547768951653</v>
      </c>
      <c r="I765" s="9">
        <f>_xlfn.STDEV.P(Proj[Points])</f>
        <v>21.167354647367311</v>
      </c>
      <c r="J765" s="9">
        <f>_xlfn.STDEV.P(Proj[PPG])</f>
        <v>3.397162769271775</v>
      </c>
      <c r="K765" s="9">
        <f>_xlfn.STDEV.P(Proj[PPA])</f>
        <v>6.4898845764551032</v>
      </c>
      <c r="L765" s="9">
        <f>_xlfn.STDEV.P(Proj[PP Points])</f>
        <v>9.1963636666016448</v>
      </c>
      <c r="M765" s="9">
        <f>_xlfn.STDEV.P(Proj[SHP])</f>
        <v>0.97514391862553651</v>
      </c>
      <c r="N765" s="9">
        <f>_xlfn.STDEV.P(Proj[Hits])</f>
        <v>51.600297177732557</v>
      </c>
      <c r="O765" s="9">
        <f>_xlfn.STDEV.P(Proj[BLK])</f>
        <v>43.073736051378191</v>
      </c>
      <c r="P765" s="9">
        <f>_xlfn.STDEV.P(Proj[PIM])</f>
        <v>21.486997199195091</v>
      </c>
      <c r="Q765" s="9">
        <f>_xlfn.STDEV.P(Proj[FOW])</f>
        <v>187.60245508143285</v>
      </c>
      <c r="R765" s="9">
        <f>_xlfn.STDEV.P(Proj[FOL])</f>
        <v>176.20778688409186</v>
      </c>
      <c r="S765" s="9">
        <f>_xlfn.STDEV.P(Proj[SOG])</f>
        <v>61.657245609442782</v>
      </c>
    </row>
    <row r="767" spans="1:28" x14ac:dyDescent="0.25">
      <c r="G767">
        <f>_xlfn.STDEV.S(Proj[Goals])</f>
        <v>9.4729363036314318</v>
      </c>
      <c r="H767">
        <f>_xlfn.STDEV.S(Proj[Assists])</f>
        <v>13.426442398877107</v>
      </c>
      <c r="I767">
        <f>_xlfn.STDEV.S(Proj[Points])</f>
        <v>21.181386703696177</v>
      </c>
      <c r="J767">
        <f>_xlfn.STDEV.S(Proj[PPG])</f>
        <v>3.3994147832872663</v>
      </c>
      <c r="K767">
        <f>_xlfn.STDEV.S(Proj[PPA])</f>
        <v>6.4941867874522616</v>
      </c>
      <c r="L767">
        <f>_xlfn.STDEV.S(Proj[PP Points])</f>
        <v>9.2024600303249482</v>
      </c>
      <c r="M767">
        <f>_xlfn.STDEV.S(Proj[SHP])</f>
        <v>0.97579035152293248</v>
      </c>
      <c r="N767">
        <f>_xlfn.STDEV.S(Proj[Hits])</f>
        <v>51.634503543556086</v>
      </c>
      <c r="O767">
        <f>_xlfn.STDEV.S(Proj[BLK])</f>
        <v>43.102290072446799</v>
      </c>
      <c r="P767">
        <f>_xlfn.STDEV.S(Proj[PIM])</f>
        <v>21.501241149847413</v>
      </c>
      <c r="Q767">
        <f>_xlfn.STDEV.S(Proj[FOW])</f>
        <v>187.72681867154557</v>
      </c>
      <c r="R767">
        <f>_xlfn.STDEV.S(Proj[FOL])</f>
        <v>176.32459683187861</v>
      </c>
      <c r="S767">
        <f>_xlfn.STDEV.S(Proj[SOG])</f>
        <v>61.698118829450081</v>
      </c>
    </row>
    <row r="770" spans="1:16" x14ac:dyDescent="0.25">
      <c r="A770" s="52" t="s">
        <v>106</v>
      </c>
      <c r="B770" s="52"/>
      <c r="C770" s="52"/>
      <c r="D770" s="55"/>
    </row>
    <row r="771" spans="1:16" x14ac:dyDescent="0.25">
      <c r="B771" t="s">
        <v>114</v>
      </c>
      <c r="C771" t="s">
        <v>78</v>
      </c>
      <c r="D771" s="54" t="s">
        <v>115</v>
      </c>
      <c r="N771" s="8"/>
      <c r="O771" s="8"/>
      <c r="P771" s="8"/>
    </row>
    <row r="772" spans="1:16" x14ac:dyDescent="0.25">
      <c r="A772" t="s">
        <v>107</v>
      </c>
      <c r="B772">
        <v>15.2</v>
      </c>
      <c r="C772">
        <v>2.8</v>
      </c>
      <c r="D772" s="54">
        <v>0.6</v>
      </c>
      <c r="H772" s="3" t="s">
        <v>55</v>
      </c>
      <c r="I772" s="7" t="s">
        <v>119</v>
      </c>
      <c r="J772" s="66"/>
      <c r="K772" s="66"/>
      <c r="N772" s="8"/>
      <c r="O772" s="8"/>
      <c r="P772" s="8"/>
    </row>
    <row r="773" spans="1:16" x14ac:dyDescent="0.25">
      <c r="A773" t="s">
        <v>108</v>
      </c>
      <c r="B773">
        <v>13.65</v>
      </c>
      <c r="C773">
        <v>2.1</v>
      </c>
      <c r="D773" s="54">
        <v>0.85</v>
      </c>
      <c r="H773" s="17" t="s">
        <v>74</v>
      </c>
      <c r="I773" s="9">
        <f>AVERAGEIF(Std[Pos],"=C",Std[Value])*-1</f>
        <v>-181.7731114525692</v>
      </c>
      <c r="J773" s="9"/>
      <c r="K773" s="9"/>
      <c r="N773" s="8"/>
      <c r="O773" s="8"/>
      <c r="P773" s="8"/>
    </row>
    <row r="774" spans="1:16" x14ac:dyDescent="0.25">
      <c r="A774" t="s">
        <v>109</v>
      </c>
      <c r="B774">
        <v>12.5</v>
      </c>
      <c r="C774">
        <v>1.35</v>
      </c>
      <c r="D774" s="54">
        <v>0.85</v>
      </c>
      <c r="H774" s="2" t="s">
        <v>102</v>
      </c>
      <c r="I774" s="9">
        <f>(SUMIF(Std[Pos], "=LW",Std[Value])+SUMIF(Std[Pos2], "=LW",Std[Value]))/(COUNTIF(Std[Pos2], "=LW")+COUNTIF(Std[Pos], "LW"))*-1</f>
        <v>-150.07937172426</v>
      </c>
      <c r="J774" s="9"/>
      <c r="K774" s="9"/>
      <c r="N774" s="8"/>
      <c r="O774" s="8"/>
      <c r="P774" s="8"/>
    </row>
    <row r="775" spans="1:16" x14ac:dyDescent="0.25">
      <c r="A775" t="s">
        <v>110</v>
      </c>
      <c r="B775">
        <v>11.45</v>
      </c>
      <c r="C775">
        <v>0.9</v>
      </c>
      <c r="D775" s="54">
        <v>0.85</v>
      </c>
      <c r="H775" s="17" t="s">
        <v>103</v>
      </c>
      <c r="I775" s="9">
        <f>(SUMIF(Std[Pos], "=RW",Std[Value])+SUMIF(Std[Pos2], "=RW",Std[Value])+SUMIF(Std[Pos3], "=RW",Std[Value]))/(COUNTIF(Std[Pos2], "=RW")+COUNTIF(Std[Pos], "RW")+COUNTIF(Std[Pos3], "RW"))*-1</f>
        <v>-111.46355459585556</v>
      </c>
      <c r="J775" s="9"/>
      <c r="K775" s="9"/>
    </row>
    <row r="776" spans="1:16" x14ac:dyDescent="0.25">
      <c r="A776" t="s">
        <v>116</v>
      </c>
      <c r="B776">
        <v>9.9</v>
      </c>
      <c r="C776">
        <v>0.4</v>
      </c>
      <c r="D776" s="54">
        <v>0.75</v>
      </c>
      <c r="H776" s="2" t="s">
        <v>3</v>
      </c>
      <c r="I776" s="9">
        <f>AVERAGEIF(Std[Pos],"=D",Std[Value])*-1</f>
        <v>459.51445566524336</v>
      </c>
      <c r="J776" s="9"/>
      <c r="K776" s="9"/>
    </row>
    <row r="777" spans="1:16" x14ac:dyDescent="0.25">
      <c r="A777" t="s">
        <v>111</v>
      </c>
      <c r="B777">
        <v>19.2</v>
      </c>
      <c r="C777">
        <v>1.85</v>
      </c>
      <c r="D777" s="54">
        <v>1.85</v>
      </c>
    </row>
    <row r="778" spans="1:16" x14ac:dyDescent="0.25">
      <c r="A778" t="s">
        <v>112</v>
      </c>
      <c r="B778">
        <v>17.5</v>
      </c>
      <c r="C778">
        <v>0.9</v>
      </c>
      <c r="D778" s="54">
        <v>1.75</v>
      </c>
    </row>
    <row r="779" spans="1:16" x14ac:dyDescent="0.25">
      <c r="A779" t="s">
        <v>113</v>
      </c>
      <c r="B779">
        <v>16</v>
      </c>
      <c r="C779">
        <v>0.3</v>
      </c>
      <c r="D779" s="54">
        <v>1.5</v>
      </c>
    </row>
    <row r="780" spans="1:16" x14ac:dyDescent="0.25">
      <c r="A780" t="s">
        <v>117</v>
      </c>
      <c r="B780">
        <v>14.4</v>
      </c>
      <c r="C780">
        <v>0.3</v>
      </c>
      <c r="D780" s="54">
        <v>1.1000000000000001</v>
      </c>
      <c r="L780" s="9"/>
      <c r="M780" s="9"/>
    </row>
    <row r="781" spans="1:16" x14ac:dyDescent="0.25">
      <c r="L781" s="9"/>
      <c r="M781" s="9"/>
    </row>
    <row r="782" spans="1:16" x14ac:dyDescent="0.25">
      <c r="L782" s="9"/>
      <c r="M782" s="9"/>
    </row>
    <row r="783" spans="1:16" x14ac:dyDescent="0.25">
      <c r="L783" s="9"/>
      <c r="M783" s="9"/>
    </row>
  </sheetData>
  <protectedRanges>
    <protectedRange sqref="B1:U1" name="Range2_1"/>
  </protectedRanges>
  <phoneticPr fontId="18" type="noConversion"/>
  <conditionalFormatting sqref="R1">
    <cfRule type="colorScale" priority="15">
      <colorScale>
        <cfvo type="min"/>
        <cfvo type="percentile" val="50"/>
        <cfvo type="max"/>
        <color rgb="FFF8696B"/>
        <color rgb="FFFFEB84"/>
        <color rgb="FF63BE7B"/>
      </colorScale>
    </cfRule>
  </conditionalFormatting>
  <conditionalFormatting sqref="S1">
    <cfRule type="colorScale" priority="14">
      <colorScale>
        <cfvo type="min"/>
        <cfvo type="percentile" val="50"/>
        <cfvo type="max"/>
        <color rgb="FFF8696B"/>
        <color rgb="FFFFEB84"/>
        <color rgb="FF63BE7B"/>
      </colorScale>
    </cfRule>
  </conditionalFormatting>
  <conditionalFormatting sqref="T1">
    <cfRule type="colorScale" priority="13">
      <colorScale>
        <cfvo type="min"/>
        <cfvo type="percentile" val="50"/>
        <cfvo type="max"/>
        <color rgb="FFF8696B"/>
        <color rgb="FFFFEB84"/>
        <color rgb="FF63BE7B"/>
      </colorScale>
    </cfRule>
  </conditionalFormatting>
  <conditionalFormatting sqref="U1">
    <cfRule type="colorScale" priority="16">
      <colorScale>
        <cfvo type="min"/>
        <cfvo type="percentile" val="50"/>
        <cfvo type="max"/>
        <color rgb="FFF8696B"/>
        <color rgb="FFFFEB84"/>
        <color rgb="FF63BE7B"/>
      </colorScale>
    </cfRule>
  </conditionalFormatting>
  <pageMargins left="0.7" right="0.7" top="0.75" bottom="0.75" header="0.3" footer="0.3"/>
  <pageSetup orientation="portrait" r:id="rId1"/>
  <tableParts count="2">
    <tablePart r:id="rId2"/>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0F0B0-903E-44CD-9069-BCB5401FF5E1}">
  <sheetPr codeName="Sheet14"/>
  <dimension ref="A1:W81"/>
  <sheetViews>
    <sheetView workbookViewId="0">
      <selection activeCell="U10" sqref="U10"/>
    </sheetView>
  </sheetViews>
  <sheetFormatPr defaultRowHeight="15" x14ac:dyDescent="0.25"/>
  <cols>
    <col min="1" max="1" width="22" bestFit="1" customWidth="1"/>
    <col min="5" max="5" width="9.5703125" customWidth="1"/>
    <col min="6" max="6" width="9.28515625" customWidth="1"/>
    <col min="8" max="8" width="10.140625" customWidth="1"/>
    <col min="9" max="9" width="9.7109375" customWidth="1"/>
    <col min="10" max="11" width="9.5703125" customWidth="1"/>
    <col min="12" max="13" width="11.28515625" customWidth="1"/>
    <col min="14" max="15" width="9.7109375" customWidth="1"/>
    <col min="16" max="16" width="10.42578125" customWidth="1"/>
    <col min="20" max="20" width="15.140625" customWidth="1"/>
    <col min="21" max="21" width="1.5703125" hidden="1" customWidth="1"/>
    <col min="23" max="23" width="11.42578125" bestFit="1" customWidth="1"/>
  </cols>
  <sheetData>
    <row r="1" spans="1:23" x14ac:dyDescent="0.25">
      <c r="A1" t="s">
        <v>226</v>
      </c>
      <c r="B1" t="s">
        <v>225</v>
      </c>
      <c r="C1" t="s">
        <v>224</v>
      </c>
      <c r="D1" t="s">
        <v>223</v>
      </c>
      <c r="E1" t="s">
        <v>1</v>
      </c>
      <c r="F1" t="s">
        <v>237</v>
      </c>
      <c r="G1" t="s">
        <v>236</v>
      </c>
      <c r="H1" t="s">
        <v>235</v>
      </c>
      <c r="I1" t="s">
        <v>234</v>
      </c>
      <c r="J1" t="s">
        <v>233</v>
      </c>
      <c r="K1" t="s">
        <v>232</v>
      </c>
      <c r="L1" t="s">
        <v>231</v>
      </c>
      <c r="M1" t="s">
        <v>230</v>
      </c>
      <c r="N1" t="s">
        <v>229</v>
      </c>
      <c r="O1" t="s">
        <v>228</v>
      </c>
      <c r="P1" t="s">
        <v>227</v>
      </c>
      <c r="Q1" t="s">
        <v>149</v>
      </c>
      <c r="R1" t="s">
        <v>833</v>
      </c>
      <c r="S1" t="s">
        <v>127</v>
      </c>
      <c r="T1" t="s">
        <v>72</v>
      </c>
      <c r="U1" t="s">
        <v>124</v>
      </c>
    </row>
    <row r="2" spans="1:23" x14ac:dyDescent="0.25">
      <c r="A2" t="s">
        <v>196</v>
      </c>
      <c r="B2" t="s">
        <v>10</v>
      </c>
      <c r="C2">
        <v>29</v>
      </c>
      <c r="D2" t="s">
        <v>157</v>
      </c>
      <c r="E2">
        <v>56</v>
      </c>
      <c r="F2" s="10">
        <f>ROUND(Goalie[[#This Row],[GP]]*INDEX(Table27[],MATCH(Goalie[[#This Row],[player]],Table27[player],0),6),0)</f>
        <v>36</v>
      </c>
      <c r="G2" s="10">
        <f>Goalie[[#This Row],[GP]]*INDEX(Table27[],MATCH(Goalie[[#This Row],[player]],Table27[player],0),7)</f>
        <v>15.6912</v>
      </c>
      <c r="H2" s="10">
        <f>Goalie[[#This Row],[GP]]*INDEX(Table27[],MATCH(Goalie[[#This Row],[player]],Table27[player],0),8)</f>
        <v>4.5527999999999995</v>
      </c>
      <c r="I2" s="10">
        <f>Goalie[[#This Row],[GP]]*INDEX(Table27[],MATCH(Goalie[[#This Row],[player]],Table27[player],0),9)</f>
        <v>136.8528</v>
      </c>
      <c r="J2" s="10">
        <f>Goalie[[#This Row],[GP]]*INDEX(Table27[],MATCH(Goalie[[#This Row],[player]],Table27[player],0),10)</f>
        <v>1679.1320000000001</v>
      </c>
      <c r="K2" s="10">
        <f>ROUND(Goalie[[#This Row],[SA]]-Goalie[[#This Row],[GA]],0)</f>
        <v>1542</v>
      </c>
      <c r="L2" s="69">
        <f>ROUND(Goalie[[#This Row],[SV]]/Goalie[[#This Row],[SA]],3)</f>
        <v>0.91800000000000004</v>
      </c>
      <c r="M2" s="9">
        <f>ROUND(Goalie[[#This Row],[GA]]/Goalie[[#This Row],[GP]],2)</f>
        <v>2.44</v>
      </c>
      <c r="N2" s="10">
        <f>Goalie[[#This Row],[GP]]*INDEX(Table27[],MATCH(Goalie[[#This Row],[player]],Table27[player],0),13)</f>
        <v>4.2560000000000002</v>
      </c>
      <c r="O2" s="10">
        <f>Goalie[[#This Row],[GP]]*INDEX(Table27[],MATCH(Goalie[[#This Row],[player]],Table27[player],0),14)</f>
        <v>34.787199999999999</v>
      </c>
      <c r="P2" s="10">
        <f>Goalie[[#This Row],[GP]]*INDEX(Table27[],MATCH(Goalie[[#This Row],[player]],Table27[player],0),15)</f>
        <v>7.4760000000000009</v>
      </c>
      <c r="Q2" s="10">
        <f>INDEX(G_Std[],MATCH(Goalie[[#This Row],[player]],G_Std[player],0),17)</f>
        <v>601.48071785019408</v>
      </c>
      <c r="R2" s="10">
        <f>_xlfn.RANK.EQ(Goalie[[#This Row],[VOR]],Goalie[VOR])</f>
        <v>1</v>
      </c>
      <c r="S2" s="10">
        <f>E2*'League Inputs'!$K$25+F2*'League Inputs'!$K$23+G2*'League Inputs'!$K$24+I2*'League Inputs'!$K$27+J2*'League Inputs'!$K$28+K2*'League Inputs'!$K$29+N2*'League Inputs'!$K$30</f>
        <v>715.9215999999999</v>
      </c>
      <c r="T2" s="10"/>
      <c r="U2">
        <v>56</v>
      </c>
    </row>
    <row r="3" spans="1:23" x14ac:dyDescent="0.25">
      <c r="A3" t="s">
        <v>190</v>
      </c>
      <c r="B3" t="s">
        <v>15</v>
      </c>
      <c r="C3">
        <v>31</v>
      </c>
      <c r="D3" t="s">
        <v>157</v>
      </c>
      <c r="E3">
        <v>52</v>
      </c>
      <c r="F3" s="10">
        <f>ROUND(Goalie[[#This Row],[GP]]*INDEX(Table27[],MATCH(Goalie[[#This Row],[player]],Table27[player],0),6),0)</f>
        <v>34</v>
      </c>
      <c r="G3" s="10">
        <f>Goalie[[#This Row],[GP]]*INDEX(Table27[],MATCH(Goalie[[#This Row],[player]],Table27[player],0),7)</f>
        <v>12.401999999999999</v>
      </c>
      <c r="H3" s="10">
        <f>Goalie[[#This Row],[GP]]*INDEX(Table27[],MATCH(Goalie[[#This Row],[player]],Table27[player],0),8)</f>
        <v>4.8932000000000002</v>
      </c>
      <c r="I3" s="10">
        <f>Goalie[[#This Row],[GP]]*INDEX(Table27[],MATCH(Goalie[[#This Row],[player]],Table27[player],0),9)</f>
        <v>125.85560000000001</v>
      </c>
      <c r="J3" s="10">
        <f>Goalie[[#This Row],[GP]]*INDEX(Table27[],MATCH(Goalie[[#This Row],[player]],Table27[player],0),10)</f>
        <v>1576.4112</v>
      </c>
      <c r="K3" s="10">
        <f>ROUND(Goalie[[#This Row],[SA]]-Goalie[[#This Row],[GA]],0)</f>
        <v>1451</v>
      </c>
      <c r="L3" s="69">
        <f>ROUND(Goalie[[#This Row],[SV]]/Goalie[[#This Row],[SA]],3)</f>
        <v>0.92</v>
      </c>
      <c r="M3" s="9">
        <f>ROUND(Goalie[[#This Row],[GA]]/Goalie[[#This Row],[GP]],2)</f>
        <v>2.42</v>
      </c>
      <c r="N3" s="10">
        <f>Goalie[[#This Row],[GP]]*INDEX(Table27[],MATCH(Goalie[[#This Row],[player]],Table27[player],0),13)</f>
        <v>2.2151999999999998</v>
      </c>
      <c r="O3" s="10">
        <f>Goalie[[#This Row],[GP]]*INDEX(Table27[],MATCH(Goalie[[#This Row],[player]],Table27[player],0),14)</f>
        <v>35.053200000000004</v>
      </c>
      <c r="P3" s="10">
        <f>Goalie[[#This Row],[GP]]*INDEX(Table27[],MATCH(Goalie[[#This Row],[player]],Table27[player],0),15)</f>
        <v>3.9104000000000001</v>
      </c>
      <c r="Q3" s="10">
        <f>INDEX(G_Std[],MATCH(Goalie[[#This Row],[player]],G_Std[player],0),17)</f>
        <v>591.41709101193544</v>
      </c>
      <c r="R3" s="10">
        <f>_xlfn.RANK.EQ(Goalie[[#This Row],[VOR]],Goalie[VOR])</f>
        <v>2</v>
      </c>
      <c r="S3" s="10">
        <f>E3*'League Inputs'!$K$25+F3*'League Inputs'!$K$23+G3*'League Inputs'!$K$24+I3*'League Inputs'!$K$27+J3*'League Inputs'!$K$28+K3*'League Inputs'!$K$29+N3*'League Inputs'!$K$30</f>
        <v>674.10919999999999</v>
      </c>
      <c r="T3" s="10"/>
      <c r="U3">
        <v>52</v>
      </c>
    </row>
    <row r="4" spans="1:23" x14ac:dyDescent="0.25">
      <c r="A4" t="s">
        <v>211</v>
      </c>
      <c r="B4" t="s">
        <v>9</v>
      </c>
      <c r="C4">
        <v>31</v>
      </c>
      <c r="D4" t="s">
        <v>157</v>
      </c>
      <c r="E4">
        <v>63</v>
      </c>
      <c r="F4" s="10">
        <f>ROUND(Goalie[[#This Row],[GP]]*INDEX(Table27[],MATCH(Goalie[[#This Row],[player]],Table27[player],0),6),0)</f>
        <v>34</v>
      </c>
      <c r="G4" s="10">
        <f>Goalie[[#This Row],[GP]]*INDEX(Table27[],MATCH(Goalie[[#This Row],[player]],Table27[player],0),7)</f>
        <v>23.234400000000001</v>
      </c>
      <c r="H4" s="10">
        <f>Goalie[[#This Row],[GP]]*INDEX(Table27[],MATCH(Goalie[[#This Row],[player]],Table27[player],0),8)</f>
        <v>5.4306000000000001</v>
      </c>
      <c r="I4" s="10">
        <f>Goalie[[#This Row],[GP]]*INDEX(Table27[],MATCH(Goalie[[#This Row],[player]],Table27[player],0),9)</f>
        <v>163.85040000000001</v>
      </c>
      <c r="J4" s="10">
        <f>Goalie[[#This Row],[GP]]*INDEX(Table27[],MATCH(Goalie[[#This Row],[player]],Table27[player],0),10)</f>
        <v>1952.2944</v>
      </c>
      <c r="K4" s="10">
        <f>ROUND(Goalie[[#This Row],[SA]]-Goalie[[#This Row],[GA]],0)</f>
        <v>1788</v>
      </c>
      <c r="L4" s="69">
        <f>ROUND(Goalie[[#This Row],[SV]]/Goalie[[#This Row],[SA]],3)</f>
        <v>0.91600000000000004</v>
      </c>
      <c r="M4" s="9">
        <f>ROUND(Goalie[[#This Row],[GA]]/Goalie[[#This Row],[GP]],2)</f>
        <v>2.6</v>
      </c>
      <c r="N4" s="10">
        <f>Goalie[[#This Row],[GP]]*INDEX(Table27[],MATCH(Goalie[[#This Row],[player]],Table27[player],0),13)</f>
        <v>4.3092000000000006</v>
      </c>
      <c r="O4" s="10">
        <f>Goalie[[#This Row],[GP]]*INDEX(Table27[],MATCH(Goalie[[#This Row],[player]],Table27[player],0),14)</f>
        <v>40.1751</v>
      </c>
      <c r="P4" s="10">
        <f>Goalie[[#This Row],[GP]]*INDEX(Table27[],MATCH(Goalie[[#This Row],[player]],Table27[player],0),15)</f>
        <v>7.9695</v>
      </c>
      <c r="Q4" s="10">
        <f>INDEX(G_Std[],MATCH(Goalie[[#This Row],[player]],G_Std[player],0),17)</f>
        <v>554.98637122950413</v>
      </c>
      <c r="R4" s="10">
        <f>_xlfn.RANK.EQ(Goalie[[#This Row],[VOR]],Goalie[VOR])</f>
        <v>3</v>
      </c>
      <c r="S4" s="10">
        <f>E4*'League Inputs'!$K$25+F4*'League Inputs'!$K$23+G4*'League Inputs'!$K$24+I4*'League Inputs'!$K$27+J4*'League Inputs'!$K$28+K4*'League Inputs'!$K$29+N4*'League Inputs'!$K$30</f>
        <v>772.79480000000001</v>
      </c>
      <c r="T4" s="10"/>
      <c r="U4">
        <v>63</v>
      </c>
    </row>
    <row r="5" spans="1:23" x14ac:dyDescent="0.25">
      <c r="A5" t="s">
        <v>208</v>
      </c>
      <c r="B5" t="s">
        <v>7</v>
      </c>
      <c r="C5">
        <v>29</v>
      </c>
      <c r="D5" t="s">
        <v>157</v>
      </c>
      <c r="E5">
        <v>64</v>
      </c>
      <c r="F5" s="10">
        <f>ROUND(Goalie[[#This Row],[GP]]*INDEX(Table27[],MATCH(Goalie[[#This Row],[player]],Table27[player],0),6),0)</f>
        <v>35</v>
      </c>
      <c r="G5" s="10">
        <f>Goalie[[#This Row],[GP]]*INDEX(Table27[],MATCH(Goalie[[#This Row],[player]],Table27[player],0),7)</f>
        <v>23.865600000000001</v>
      </c>
      <c r="H5" s="10">
        <f>Goalie[[#This Row],[GP]]*INDEX(Table27[],MATCH(Goalie[[#This Row],[player]],Table27[player],0),8)</f>
        <v>5.0944000000000003</v>
      </c>
      <c r="I5" s="10">
        <f>Goalie[[#This Row],[GP]]*INDEX(Table27[],MATCH(Goalie[[#This Row],[player]],Table27[player],0),9)</f>
        <v>172.08320000000001</v>
      </c>
      <c r="J5" s="10">
        <f>Goalie[[#This Row],[GP]]*INDEX(Table27[],MATCH(Goalie[[#This Row],[player]],Table27[player],0),10)</f>
        <v>1974.2911999999999</v>
      </c>
      <c r="K5" s="10">
        <f>ROUND(Goalie[[#This Row],[SA]]-Goalie[[#This Row],[GA]],0)</f>
        <v>1802</v>
      </c>
      <c r="L5" s="69">
        <f>ROUND(Goalie[[#This Row],[SV]]/Goalie[[#This Row],[SA]],3)</f>
        <v>0.91300000000000003</v>
      </c>
      <c r="M5" s="9">
        <f>ROUND(Goalie[[#This Row],[GA]]/Goalie[[#This Row],[GP]],2)</f>
        <v>2.69</v>
      </c>
      <c r="N5" s="10">
        <f>Goalie[[#This Row],[GP]]*INDEX(Table27[],MATCH(Goalie[[#This Row],[player]],Table27[player],0),13)</f>
        <v>3.0335999999999999</v>
      </c>
      <c r="O5" s="10">
        <f>Goalie[[#This Row],[GP]]*INDEX(Table27[],MATCH(Goalie[[#This Row],[player]],Table27[player],0),14)</f>
        <v>38.086399999999998</v>
      </c>
      <c r="P5" s="10">
        <f>Goalie[[#This Row],[GP]]*INDEX(Table27[],MATCH(Goalie[[#This Row],[player]],Table27[player],0),15)</f>
        <v>9.5936000000000003</v>
      </c>
      <c r="Q5" s="10">
        <f>INDEX(G_Std[],MATCH(Goalie[[#This Row],[player]],G_Std[player],0),17)</f>
        <v>492.61325928048882</v>
      </c>
      <c r="R5" s="10">
        <f>_xlfn.RANK.EQ(Goalie[[#This Row],[VOR]],Goalie[VOR])</f>
        <v>4</v>
      </c>
      <c r="S5" s="10">
        <f>E5*'League Inputs'!$K$25+F5*'League Inputs'!$K$23+G5*'League Inputs'!$K$24+I5*'League Inputs'!$K$27+J5*'League Inputs'!$K$28+K5*'League Inputs'!$K$29+N5*'League Inputs'!$K$30</f>
        <v>755.11840000000007</v>
      </c>
      <c r="T5" s="10"/>
      <c r="U5">
        <v>64</v>
      </c>
    </row>
    <row r="6" spans="1:23" x14ac:dyDescent="0.25">
      <c r="A6" t="s">
        <v>202</v>
      </c>
      <c r="B6" t="s">
        <v>34</v>
      </c>
      <c r="C6">
        <v>35</v>
      </c>
      <c r="D6" t="s">
        <v>157</v>
      </c>
      <c r="E6">
        <v>43</v>
      </c>
      <c r="F6" s="10">
        <f>ROUND(Goalie[[#This Row],[GP]]*INDEX(Table27[],MATCH(Goalie[[#This Row],[player]],Table27[player],0),6),0)</f>
        <v>29</v>
      </c>
      <c r="G6" s="10">
        <f>Goalie[[#This Row],[GP]]*INDEX(Table27[],MATCH(Goalie[[#This Row],[player]],Table27[player],0),7)</f>
        <v>12.1389</v>
      </c>
      <c r="H6" s="10">
        <f>Goalie[[#This Row],[GP]]*INDEX(Table27[],MATCH(Goalie[[#This Row],[player]],Table27[player],0),8)</f>
        <v>2.1800999999999999</v>
      </c>
      <c r="I6" s="10">
        <f>Goalie[[#This Row],[GP]]*INDEX(Table27[],MATCH(Goalie[[#This Row],[player]],Table27[player],0),9)</f>
        <v>99.08059999999999</v>
      </c>
      <c r="J6" s="10">
        <f>Goalie[[#This Row],[GP]]*INDEX(Table27[],MATCH(Goalie[[#This Row],[player]],Table27[player],0),10)</f>
        <v>1184.2973999999999</v>
      </c>
      <c r="K6" s="10">
        <f>ROUND(Goalie[[#This Row],[SA]]-Goalie[[#This Row],[GA]],0)</f>
        <v>1085</v>
      </c>
      <c r="L6" s="69">
        <f>ROUND(Goalie[[#This Row],[SV]]/Goalie[[#This Row],[SA]],3)</f>
        <v>0.91600000000000004</v>
      </c>
      <c r="M6" s="9">
        <f>ROUND(Goalie[[#This Row],[GA]]/Goalie[[#This Row],[GP]],2)</f>
        <v>2.2999999999999998</v>
      </c>
      <c r="N6" s="10">
        <f>Goalie[[#This Row],[GP]]*INDEX(Table27[],MATCH(Goalie[[#This Row],[player]],Table27[player],0),13)</f>
        <v>3.4958999999999998</v>
      </c>
      <c r="O6" s="10">
        <f>Goalie[[#This Row],[GP]]*INDEX(Table27[],MATCH(Goalie[[#This Row],[player]],Table27[player],0),14)</f>
        <v>25.391500000000001</v>
      </c>
      <c r="P6" s="10">
        <f>Goalie[[#This Row],[GP]]*INDEX(Table27[],MATCH(Goalie[[#This Row],[player]],Table27[player],0),15)</f>
        <v>5.8609</v>
      </c>
      <c r="Q6" s="10">
        <f>INDEX(G_Std[],MATCH(Goalie[[#This Row],[player]],G_Std[player],0),17)</f>
        <v>418.52697571384192</v>
      </c>
      <c r="R6" s="10">
        <f>_xlfn.RANK.EQ(Goalie[[#This Row],[VOR]],Goalie[VOR])</f>
        <v>5</v>
      </c>
      <c r="S6" s="10">
        <f>E6*'League Inputs'!$K$25+F6*'League Inputs'!$K$23+G6*'League Inputs'!$K$24+I6*'League Inputs'!$K$27+J6*'League Inputs'!$K$28+K6*'League Inputs'!$K$29+N6*'League Inputs'!$K$30</f>
        <v>516.23770000000002</v>
      </c>
      <c r="T6" s="10"/>
      <c r="U6">
        <v>43</v>
      </c>
    </row>
    <row r="7" spans="1:23" x14ac:dyDescent="0.25">
      <c r="A7" t="s">
        <v>175</v>
      </c>
      <c r="B7" t="s">
        <v>12</v>
      </c>
      <c r="C7">
        <v>26</v>
      </c>
      <c r="D7" t="s">
        <v>157</v>
      </c>
      <c r="E7">
        <v>50</v>
      </c>
      <c r="F7" s="10">
        <f>ROUND(Goalie[[#This Row],[GP]]*INDEX(Table27[],MATCH(Goalie[[#This Row],[player]],Table27[player],0),6),0)</f>
        <v>30</v>
      </c>
      <c r="G7" s="10">
        <f>Goalie[[#This Row],[GP]]*INDEX(Table27[],MATCH(Goalie[[#This Row],[player]],Table27[player],0),7)</f>
        <v>13.900000000000002</v>
      </c>
      <c r="H7" s="10">
        <f>Goalie[[#This Row],[GP]]*INDEX(Table27[],MATCH(Goalie[[#This Row],[player]],Table27[player],0),8)</f>
        <v>6.6549999999999994</v>
      </c>
      <c r="I7" s="10">
        <f>Goalie[[#This Row],[GP]]*INDEX(Table27[],MATCH(Goalie[[#This Row],[player]],Table27[player],0),9)</f>
        <v>125.66500000000001</v>
      </c>
      <c r="J7" s="10">
        <f>Goalie[[#This Row],[GP]]*INDEX(Table27[],MATCH(Goalie[[#This Row],[player]],Table27[player],0),10)</f>
        <v>1472.53</v>
      </c>
      <c r="K7" s="10">
        <f>ROUND(Goalie[[#This Row],[SA]]-Goalie[[#This Row],[GA]],0)</f>
        <v>1347</v>
      </c>
      <c r="L7" s="69">
        <f>ROUND(Goalie[[#This Row],[SV]]/Goalie[[#This Row],[SA]],3)</f>
        <v>0.91500000000000004</v>
      </c>
      <c r="M7" s="9">
        <f>ROUND(Goalie[[#This Row],[GA]]/Goalie[[#This Row],[GP]],2)</f>
        <v>2.5099999999999998</v>
      </c>
      <c r="N7" s="10">
        <f>Goalie[[#This Row],[GP]]*INDEX(Table27[],MATCH(Goalie[[#This Row],[player]],Table27[player],0),13)</f>
        <v>3.9649999999999999</v>
      </c>
      <c r="O7" s="10">
        <f>Goalie[[#This Row],[GP]]*INDEX(Table27[],MATCH(Goalie[[#This Row],[player]],Table27[player],0),14)</f>
        <v>30.669999999999998</v>
      </c>
      <c r="P7" s="10">
        <f>Goalie[[#This Row],[GP]]*INDEX(Table27[],MATCH(Goalie[[#This Row],[player]],Table27[player],0),15)</f>
        <v>6.4449999999999994</v>
      </c>
      <c r="Q7" s="10">
        <f>INDEX(G_Std[],MATCH(Goalie[[#This Row],[player]],G_Std[player],0),17)</f>
        <v>408.73283316874154</v>
      </c>
      <c r="R7" s="10">
        <f>_xlfn.RANK.EQ(Goalie[[#This Row],[VOR]],Goalie[VOR])</f>
        <v>6</v>
      </c>
      <c r="S7" s="10">
        <f>E7*'League Inputs'!$K$25+F7*'League Inputs'!$K$23+G7*'League Inputs'!$K$24+I7*'League Inputs'!$K$27+J7*'League Inputs'!$K$28+K7*'League Inputs'!$K$29+N7*'League Inputs'!$K$30</f>
        <v>601.03</v>
      </c>
      <c r="T7" s="10"/>
      <c r="U7" s="10">
        <v>50</v>
      </c>
    </row>
    <row r="8" spans="1:23" x14ac:dyDescent="0.25">
      <c r="A8" t="s">
        <v>184</v>
      </c>
      <c r="B8" t="s">
        <v>17</v>
      </c>
      <c r="C8">
        <v>26</v>
      </c>
      <c r="D8" t="s">
        <v>157</v>
      </c>
      <c r="E8">
        <v>54</v>
      </c>
      <c r="F8" s="10">
        <f>ROUND(Goalie[[#This Row],[GP]]*INDEX(Table27[],MATCH(Goalie[[#This Row],[player]],Table27[player],0),6),0)</f>
        <v>34</v>
      </c>
      <c r="G8" s="10">
        <f>Goalie[[#This Row],[GP]]*INDEX(Table27[],MATCH(Goalie[[#This Row],[player]],Table27[player],0),7)</f>
        <v>14.515199999999998</v>
      </c>
      <c r="H8" s="10">
        <f>Goalie[[#This Row],[GP]]*INDEX(Table27[],MATCH(Goalie[[#This Row],[player]],Table27[player],0),8)</f>
        <v>5.2001999999999997</v>
      </c>
      <c r="I8" s="10">
        <f>Goalie[[#This Row],[GP]]*INDEX(Table27[],MATCH(Goalie[[#This Row],[player]],Table27[player],0),9)</f>
        <v>137.8134</v>
      </c>
      <c r="J8" s="10">
        <f>Goalie[[#This Row],[GP]]*INDEX(Table27[],MATCH(Goalie[[#This Row],[player]],Table27[player],0),10)</f>
        <v>1554.1686</v>
      </c>
      <c r="K8" s="10">
        <f>ROUND(Goalie[[#This Row],[SA]]-Goalie[[#This Row],[GA]],0)</f>
        <v>1416</v>
      </c>
      <c r="L8" s="69">
        <f>ROUND(Goalie[[#This Row],[SV]]/Goalie[[#This Row],[SA]],3)</f>
        <v>0.91100000000000003</v>
      </c>
      <c r="M8" s="9">
        <f>ROUND(Goalie[[#This Row],[GA]]/Goalie[[#This Row],[GP]],2)</f>
        <v>2.5499999999999998</v>
      </c>
      <c r="N8" s="10">
        <f>Goalie[[#This Row],[GP]]*INDEX(Table27[],MATCH(Goalie[[#This Row],[player]],Table27[player],0),13)</f>
        <v>2.9807999999999999</v>
      </c>
      <c r="O8" s="10">
        <f>Goalie[[#This Row],[GP]]*INDEX(Table27[],MATCH(Goalie[[#This Row],[player]],Table27[player],0),14)</f>
        <v>31.422599999999999</v>
      </c>
      <c r="P8" s="10">
        <f>Goalie[[#This Row],[GP]]*INDEX(Table27[],MATCH(Goalie[[#This Row],[player]],Table27[player],0),15)</f>
        <v>8.2026000000000003</v>
      </c>
      <c r="Q8" s="10">
        <f>INDEX(G_Std[],MATCH(Goalie[[#This Row],[player]],G_Std[player],0),17)</f>
        <v>399.03485861694696</v>
      </c>
      <c r="R8" s="10">
        <f>_xlfn.RANK.EQ(Goalie[[#This Row],[VOR]],Goalie[VOR])</f>
        <v>7</v>
      </c>
      <c r="S8" s="10">
        <f>E8*'League Inputs'!$K$25+F8*'League Inputs'!$K$23+G8*'League Inputs'!$K$24+I8*'League Inputs'!$K$27+J8*'League Inputs'!$K$28+K8*'League Inputs'!$K$29+N8*'League Inputs'!$K$30</f>
        <v>621.06380000000001</v>
      </c>
      <c r="T8" s="10"/>
      <c r="U8">
        <v>50</v>
      </c>
    </row>
    <row r="9" spans="1:23" x14ac:dyDescent="0.25">
      <c r="A9" t="s">
        <v>205</v>
      </c>
      <c r="B9" t="s">
        <v>31</v>
      </c>
      <c r="C9">
        <v>36</v>
      </c>
      <c r="D9" t="s">
        <v>157</v>
      </c>
      <c r="E9">
        <v>55</v>
      </c>
      <c r="F9" s="10">
        <f>ROUND(Goalie[[#This Row],[GP]]*INDEX(Table27[],MATCH(Goalie[[#This Row],[player]],Table27[player],0),6),0)</f>
        <v>33</v>
      </c>
      <c r="G9" s="10">
        <f>Goalie[[#This Row],[GP]]*INDEX(Table27[],MATCH(Goalie[[#This Row],[player]],Table27[player],0),7)</f>
        <v>15.751999999999999</v>
      </c>
      <c r="H9" s="10">
        <f>Goalie[[#This Row],[GP]]*INDEX(Table27[],MATCH(Goalie[[#This Row],[player]],Table27[player],0),8)</f>
        <v>3.762</v>
      </c>
      <c r="I9" s="10">
        <f>Goalie[[#This Row],[GP]]*INDEX(Table27[],MATCH(Goalie[[#This Row],[player]],Table27[player],0),9)</f>
        <v>143.03300000000002</v>
      </c>
      <c r="J9" s="10">
        <f>Goalie[[#This Row],[GP]]*INDEX(Table27[],MATCH(Goalie[[#This Row],[player]],Table27[player],0),10)</f>
        <v>1587.5529999999999</v>
      </c>
      <c r="K9" s="10">
        <f>ROUND(Goalie[[#This Row],[SA]]-Goalie[[#This Row],[GA]],0)</f>
        <v>1445</v>
      </c>
      <c r="L9" s="69">
        <f>ROUND(Goalie[[#This Row],[SV]]/Goalie[[#This Row],[SA]],3)</f>
        <v>0.91</v>
      </c>
      <c r="M9" s="9">
        <f>ROUND(Goalie[[#This Row],[GA]]/Goalie[[#This Row],[GP]],2)</f>
        <v>2.6</v>
      </c>
      <c r="N9" s="10">
        <f>Goalie[[#This Row],[GP]]*INDEX(Table27[],MATCH(Goalie[[#This Row],[player]],Table27[player],0),13)</f>
        <v>3.6684999999999999</v>
      </c>
      <c r="O9" s="10">
        <f>Goalie[[#This Row],[GP]]*INDEX(Table27[],MATCH(Goalie[[#This Row],[player]],Table27[player],0),14)</f>
        <v>33.945999999999998</v>
      </c>
      <c r="P9" s="10">
        <f>Goalie[[#This Row],[GP]]*INDEX(Table27[],MATCH(Goalie[[#This Row],[player]],Table27[player],0),15)</f>
        <v>7.8815000000000008</v>
      </c>
      <c r="Q9" s="10">
        <f>INDEX(G_Std[],MATCH(Goalie[[#This Row],[player]],G_Std[player],0),17)</f>
        <v>361.77266572117554</v>
      </c>
      <c r="R9" s="10">
        <f>_xlfn.RANK.EQ(Goalie[[#This Row],[VOR]],Goalie[VOR])</f>
        <v>8</v>
      </c>
      <c r="S9" s="10">
        <f>E9*'League Inputs'!$K$25+F9*'League Inputs'!$K$23+G9*'League Inputs'!$K$24+I9*'League Inputs'!$K$27+J9*'League Inputs'!$K$28+K9*'League Inputs'!$K$29+N9*'League Inputs'!$K$30</f>
        <v>621.24349999999993</v>
      </c>
      <c r="T9" s="10"/>
      <c r="U9">
        <v>55</v>
      </c>
    </row>
    <row r="10" spans="1:23" x14ac:dyDescent="0.25">
      <c r="A10" t="s">
        <v>210</v>
      </c>
      <c r="B10" t="s">
        <v>165</v>
      </c>
      <c r="C10">
        <v>30</v>
      </c>
      <c r="D10" t="s">
        <v>157</v>
      </c>
      <c r="E10">
        <v>58</v>
      </c>
      <c r="F10" s="10">
        <f>ROUND(Goalie[[#This Row],[GP]]*INDEX(Table27[],MATCH(Goalie[[#This Row],[player]],Table27[player],0),6),0)</f>
        <v>34</v>
      </c>
      <c r="G10" s="10">
        <f>Goalie[[#This Row],[GP]]*INDEX(Table27[],MATCH(Goalie[[#This Row],[player]],Table27[player],0),7)</f>
        <v>20.3232</v>
      </c>
      <c r="H10" s="10">
        <f>Goalie[[#This Row],[GP]]*INDEX(Table27[],MATCH(Goalie[[#This Row],[player]],Table27[player],0),8)</f>
        <v>3.7932000000000001</v>
      </c>
      <c r="I10" s="10">
        <f>Goalie[[#This Row],[GP]]*INDEX(Table27[],MATCH(Goalie[[#This Row],[player]],Table27[player],0),9)</f>
        <v>155.9794</v>
      </c>
      <c r="J10" s="10">
        <f>Goalie[[#This Row],[GP]]*INDEX(Table27[],MATCH(Goalie[[#This Row],[player]],Table27[player],0),10)</f>
        <v>1725.4652000000001</v>
      </c>
      <c r="K10" s="10">
        <f>ROUND(Goalie[[#This Row],[SA]]-Goalie[[#This Row],[GA]],0)</f>
        <v>1569</v>
      </c>
      <c r="L10" s="69">
        <f>ROUND(Goalie[[#This Row],[SV]]/Goalie[[#This Row],[SA]],3)</f>
        <v>0.90900000000000003</v>
      </c>
      <c r="M10" s="9">
        <f>ROUND(Goalie[[#This Row],[GA]]/Goalie[[#This Row],[GP]],2)</f>
        <v>2.69</v>
      </c>
      <c r="N10" s="10">
        <f>Goalie[[#This Row],[GP]]*INDEX(Table27[],MATCH(Goalie[[#This Row],[player]],Table27[player],0),13)</f>
        <v>2.6274000000000002</v>
      </c>
      <c r="O10" s="10">
        <f>Goalie[[#This Row],[GP]]*INDEX(Table27[],MATCH(Goalie[[#This Row],[player]],Table27[player],0),14)</f>
        <v>32.943999999999996</v>
      </c>
      <c r="P10" s="10">
        <f>Goalie[[#This Row],[GP]]*INDEX(Table27[],MATCH(Goalie[[#This Row],[player]],Table27[player],0),15)</f>
        <v>9.1175999999999995</v>
      </c>
      <c r="Q10" s="10">
        <f>INDEX(G_Std[],MATCH(Goalie[[#This Row],[player]],G_Std[player],0),17)</f>
        <v>358.73618216479588</v>
      </c>
      <c r="R10" s="10">
        <f>_xlfn.RANK.EQ(Goalie[[#This Row],[VOR]],Goalie[VOR])</f>
        <v>9</v>
      </c>
      <c r="S10" s="10">
        <f>E10*'League Inputs'!$K$25+F10*'League Inputs'!$K$23+G10*'League Inputs'!$K$24+I10*'League Inputs'!$K$27+J10*'League Inputs'!$K$28+K10*'League Inputs'!$K$29+N10*'League Inputs'!$K$30</f>
        <v>656.59879999999998</v>
      </c>
      <c r="T10" s="10"/>
      <c r="U10">
        <v>58</v>
      </c>
      <c r="W10" s="10"/>
    </row>
    <row r="11" spans="1:23" x14ac:dyDescent="0.25">
      <c r="A11" t="s">
        <v>186</v>
      </c>
      <c r="B11" t="s">
        <v>20</v>
      </c>
      <c r="C11">
        <v>29</v>
      </c>
      <c r="D11" t="s">
        <v>157</v>
      </c>
      <c r="E11">
        <v>50</v>
      </c>
      <c r="F11" s="10">
        <f>ROUND(Goalie[[#This Row],[GP]]*INDEX(Table27[],MATCH(Goalie[[#This Row],[player]],Table27[player],0),6),0)</f>
        <v>24</v>
      </c>
      <c r="G11" s="10">
        <f>Goalie[[#This Row],[GP]]*INDEX(Table27[],MATCH(Goalie[[#This Row],[player]],Table27[player],0),7)</f>
        <v>17.774999999999999</v>
      </c>
      <c r="H11" s="10">
        <f>Goalie[[#This Row],[GP]]*INDEX(Table27[],MATCH(Goalie[[#This Row],[player]],Table27[player],0),8)</f>
        <v>8.125</v>
      </c>
      <c r="I11" s="10">
        <f>Goalie[[#This Row],[GP]]*INDEX(Table27[],MATCH(Goalie[[#This Row],[player]],Table27[player],0),9)</f>
        <v>133.05000000000001</v>
      </c>
      <c r="J11" s="10">
        <f>Goalie[[#This Row],[GP]]*INDEX(Table27[],MATCH(Goalie[[#This Row],[player]],Table27[player],0),10)</f>
        <v>1589.625</v>
      </c>
      <c r="K11" s="10">
        <f>ROUND(Goalie[[#This Row],[SA]]-Goalie[[#This Row],[GA]],0)</f>
        <v>1457</v>
      </c>
      <c r="L11" s="69">
        <f>ROUND(Goalie[[#This Row],[SV]]/Goalie[[#This Row],[SA]],3)</f>
        <v>0.91700000000000004</v>
      </c>
      <c r="M11" s="9">
        <f>ROUND(Goalie[[#This Row],[GA]]/Goalie[[#This Row],[GP]],2)</f>
        <v>2.66</v>
      </c>
      <c r="N11" s="10">
        <f>Goalie[[#This Row],[GP]]*INDEX(Table27[],MATCH(Goalie[[#This Row],[player]],Table27[player],0),13)</f>
        <v>4.01</v>
      </c>
      <c r="O11" s="10">
        <f>Goalie[[#This Row],[GP]]*INDEX(Table27[],MATCH(Goalie[[#This Row],[player]],Table27[player],0),14)</f>
        <v>32.765000000000001</v>
      </c>
      <c r="P11" s="10">
        <f>Goalie[[#This Row],[GP]]*INDEX(Table27[],MATCH(Goalie[[#This Row],[player]],Table27[player],0),15)</f>
        <v>6.79</v>
      </c>
      <c r="Q11" s="10">
        <f>INDEX(G_Std[],MATCH(Goalie[[#This Row],[player]],G_Std[player],0),17)</f>
        <v>343.45712896174871</v>
      </c>
      <c r="R11" s="10">
        <f>_xlfn.RANK.EQ(Goalie[[#This Row],[VOR]],Goalie[VOR])</f>
        <v>10</v>
      </c>
      <c r="S11" s="10">
        <f>E11*'League Inputs'!$K$25+F11*'League Inputs'!$K$23+G11*'League Inputs'!$K$24+I11*'League Inputs'!$K$27+J11*'League Inputs'!$K$28+K11*'League Inputs'!$K$29+N11*'League Inputs'!$K$30</f>
        <v>615.09999999999991</v>
      </c>
      <c r="T11" s="10"/>
      <c r="U11">
        <v>54</v>
      </c>
    </row>
    <row r="12" spans="1:23" x14ac:dyDescent="0.25">
      <c r="A12" t="s">
        <v>204</v>
      </c>
      <c r="B12" t="s">
        <v>8</v>
      </c>
      <c r="C12">
        <v>29</v>
      </c>
      <c r="D12" t="s">
        <v>157</v>
      </c>
      <c r="E12">
        <v>50</v>
      </c>
      <c r="F12" s="10">
        <f>ROUND(Goalie[[#This Row],[GP]]*INDEX(Table27[],MATCH(Goalie[[#This Row],[player]],Table27[player],0),6),0)</f>
        <v>29</v>
      </c>
      <c r="G12" s="10">
        <f>Goalie[[#This Row],[GP]]*INDEX(Table27[],MATCH(Goalie[[#This Row],[player]],Table27[player],0),7)</f>
        <v>17.145</v>
      </c>
      <c r="H12" s="10">
        <f>Goalie[[#This Row],[GP]]*INDEX(Table27[],MATCH(Goalie[[#This Row],[player]],Table27[player],0),8)</f>
        <v>4.335</v>
      </c>
      <c r="I12" s="10">
        <f>Goalie[[#This Row],[GP]]*INDEX(Table27[],MATCH(Goalie[[#This Row],[player]],Table27[player],0),9)</f>
        <v>134.69500000000002</v>
      </c>
      <c r="J12" s="10">
        <f>Goalie[[#This Row],[GP]]*INDEX(Table27[],MATCH(Goalie[[#This Row],[player]],Table27[player],0),10)</f>
        <v>1538.385</v>
      </c>
      <c r="K12" s="10">
        <f>ROUND(Goalie[[#This Row],[SA]]-Goalie[[#This Row],[GA]],0)</f>
        <v>1404</v>
      </c>
      <c r="L12" s="69">
        <f>ROUND(Goalie[[#This Row],[SV]]/Goalie[[#This Row],[SA]],3)</f>
        <v>0.91300000000000003</v>
      </c>
      <c r="M12" s="9">
        <f>ROUND(Goalie[[#This Row],[GA]]/Goalie[[#This Row],[GP]],2)</f>
        <v>2.69</v>
      </c>
      <c r="N12" s="10">
        <f>Goalie[[#This Row],[GP]]*INDEX(Table27[],MATCH(Goalie[[#This Row],[player]],Table27[player],0),13)</f>
        <v>2.7250000000000001</v>
      </c>
      <c r="O12" s="10">
        <f>Goalie[[#This Row],[GP]]*INDEX(Table27[],MATCH(Goalie[[#This Row],[player]],Table27[player],0),14)</f>
        <v>28.799999999999997</v>
      </c>
      <c r="P12" s="10">
        <f>Goalie[[#This Row],[GP]]*INDEX(Table27[],MATCH(Goalie[[#This Row],[player]],Table27[player],0),15)</f>
        <v>7.4850000000000003</v>
      </c>
      <c r="Q12" s="10">
        <f>INDEX(G_Std[],MATCH(Goalie[[#This Row],[player]],G_Std[player],0),17)</f>
        <v>316.92951399654646</v>
      </c>
      <c r="R12" s="10">
        <f>_xlfn.RANK.EQ(Goalie[[#This Row],[VOR]],Goalie[VOR])</f>
        <v>11</v>
      </c>
      <c r="S12" s="10">
        <f>E12*'League Inputs'!$K$25+F12*'League Inputs'!$K$23+G12*'League Inputs'!$K$24+I12*'League Inputs'!$K$27+J12*'League Inputs'!$K$28+K12*'League Inputs'!$K$29+N12*'League Inputs'!$K$30</f>
        <v>596.93999999999994</v>
      </c>
      <c r="T12" s="10"/>
      <c r="U12">
        <v>50</v>
      </c>
    </row>
    <row r="13" spans="1:23" x14ac:dyDescent="0.25">
      <c r="A13" t="s">
        <v>1242</v>
      </c>
      <c r="B13" t="s">
        <v>1085</v>
      </c>
      <c r="C13">
        <v>35</v>
      </c>
      <c r="D13" t="s">
        <v>157</v>
      </c>
      <c r="E13">
        <v>56</v>
      </c>
      <c r="F13" s="10">
        <f>ROUND(Goalie[[#This Row],[GP]]*INDEX(Table27[],MATCH(Goalie[[#This Row],[player]],Table27[player],0),6),0)</f>
        <v>32</v>
      </c>
      <c r="G13" s="10">
        <f>Goalie[[#This Row],[GP]]*INDEX(Table27[],MATCH(Goalie[[#This Row],[player]],Table27[player],0),7)</f>
        <v>17.466400000000004</v>
      </c>
      <c r="H13" s="10">
        <f>Goalie[[#This Row],[GP]]*INDEX(Table27[],MATCH(Goalie[[#This Row],[player]],Table27[player],0),8)</f>
        <v>6.8936000000000002</v>
      </c>
      <c r="I13" s="10">
        <f>Goalie[[#This Row],[GP]]*INDEX(Table27[],MATCH(Goalie[[#This Row],[player]],Table27[player],0),9)</f>
        <v>146.14320000000001</v>
      </c>
      <c r="J13" s="10">
        <f>Goalie[[#This Row],[GP]]*INDEX(Table27[],MATCH(Goalie[[#This Row],[player]],Table27[player],0),10)</f>
        <v>1574.2384</v>
      </c>
      <c r="K13" s="10">
        <f>ROUND(Goalie[[#This Row],[SA]]-Goalie[[#This Row],[GA]],0)</f>
        <v>1428</v>
      </c>
      <c r="L13" s="69">
        <f>ROUND(Goalie[[#This Row],[SV]]/Goalie[[#This Row],[SA]],3)</f>
        <v>0.90700000000000003</v>
      </c>
      <c r="M13" s="9">
        <f>ROUND(Goalie[[#This Row],[GA]]/Goalie[[#This Row],[GP]],2)</f>
        <v>2.61</v>
      </c>
      <c r="N13" s="10">
        <f>Goalie[[#This Row],[GP]]*INDEX(Table27[],MATCH(Goalie[[#This Row],[player]],Table27[player],0),13)</f>
        <v>3.7968000000000002</v>
      </c>
      <c r="O13" s="10">
        <f>Goalie[[#This Row],[GP]]*INDEX(Table27[],MATCH(Goalie[[#This Row],[player]],Table27[player],0),14)</f>
        <v>30.043999999999997</v>
      </c>
      <c r="P13" s="10">
        <f>Goalie[[#This Row],[GP]]*INDEX(Table27[],MATCH(Goalie[[#This Row],[player]],Table27[player],0),15)</f>
        <v>8.0975999999999999</v>
      </c>
      <c r="Q13" s="10">
        <f>INDEX(G_Std[],MATCH(Goalie[[#This Row],[player]],G_Std[player],0),17)</f>
        <v>296.45980543886964</v>
      </c>
      <c r="R13" s="10">
        <f>_xlfn.RANK.EQ(Goalie[[#This Row],[VOR]],Goalie[VOR])</f>
        <v>12</v>
      </c>
      <c r="S13" s="10">
        <f>E13*'League Inputs'!$K$25+F13*'League Inputs'!$K$23+G13*'League Inputs'!$K$24+I13*'League Inputs'!$K$27+J13*'League Inputs'!$K$28+K13*'League Inputs'!$K$29+N13*'League Inputs'!$K$30</f>
        <v>597.35439999999994</v>
      </c>
      <c r="T13" s="10"/>
      <c r="U13">
        <v>56</v>
      </c>
    </row>
    <row r="14" spans="1:23" x14ac:dyDescent="0.25">
      <c r="A14" t="s">
        <v>180</v>
      </c>
      <c r="B14" t="s">
        <v>16</v>
      </c>
      <c r="C14">
        <v>26</v>
      </c>
      <c r="D14" t="s">
        <v>157</v>
      </c>
      <c r="E14">
        <v>52</v>
      </c>
      <c r="F14" s="10">
        <f>ROUND(Goalie[[#This Row],[GP]]*INDEX(Table27[],MATCH(Goalie[[#This Row],[player]],Table27[player],0),6),0)</f>
        <v>31</v>
      </c>
      <c r="G14" s="10">
        <f>Goalie[[#This Row],[GP]]*INDEX(Table27[],MATCH(Goalie[[#This Row],[player]],Table27[player],0),7)</f>
        <v>16.411200000000001</v>
      </c>
      <c r="H14" s="10">
        <f>Goalie[[#This Row],[GP]]*INDEX(Table27[],MATCH(Goalie[[#This Row],[player]],Table27[player],0),8)</f>
        <v>4.6071999999999997</v>
      </c>
      <c r="I14" s="10">
        <f>Goalie[[#This Row],[GP]]*INDEX(Table27[],MATCH(Goalie[[#This Row],[player]],Table27[player],0),9)</f>
        <v>139.55240000000001</v>
      </c>
      <c r="J14" s="10">
        <f>Goalie[[#This Row],[GP]]*INDEX(Table27[],MATCH(Goalie[[#This Row],[player]],Table27[player],0),10)</f>
        <v>1524.7595999999999</v>
      </c>
      <c r="K14" s="10">
        <f>ROUND(Goalie[[#This Row],[SA]]-Goalie[[#This Row],[GA]],0)</f>
        <v>1385</v>
      </c>
      <c r="L14" s="69">
        <f>ROUND(Goalie[[#This Row],[SV]]/Goalie[[#This Row],[SA]],3)</f>
        <v>0.90800000000000003</v>
      </c>
      <c r="M14" s="9">
        <f>ROUND(Goalie[[#This Row],[GA]]/Goalie[[#This Row],[GP]],2)</f>
        <v>2.68</v>
      </c>
      <c r="N14" s="10">
        <f>Goalie[[#This Row],[GP]]*INDEX(Table27[],MATCH(Goalie[[#This Row],[player]],Table27[player],0),13)</f>
        <v>1.9448000000000001</v>
      </c>
      <c r="O14" s="10">
        <f>Goalie[[#This Row],[GP]]*INDEX(Table27[],MATCH(Goalie[[#This Row],[player]],Table27[player],0),14)</f>
        <v>30.783999999999999</v>
      </c>
      <c r="P14" s="10">
        <f>Goalie[[#This Row],[GP]]*INDEX(Table27[],MATCH(Goalie[[#This Row],[player]],Table27[player],0),15)</f>
        <v>9.6980000000000004</v>
      </c>
      <c r="Q14" s="10">
        <f>INDEX(G_Std[],MATCH(Goalie[[#This Row],[player]],G_Std[player],0),17)</f>
        <v>263.3002495101457</v>
      </c>
      <c r="R14" s="10">
        <f>_xlfn.RANK.EQ(Goalie[[#This Row],[VOR]],Goalie[VOR])</f>
        <v>13</v>
      </c>
      <c r="S14" s="10">
        <f>E14*'League Inputs'!$K$25+F14*'League Inputs'!$K$23+G14*'League Inputs'!$K$24+I14*'League Inputs'!$K$27+J14*'League Inputs'!$K$28+K14*'League Inputs'!$K$29+N14*'League Inputs'!$K$30</f>
        <v>577.06680000000006</v>
      </c>
      <c r="T14" s="10"/>
      <c r="U14">
        <v>52</v>
      </c>
    </row>
    <row r="15" spans="1:23" x14ac:dyDescent="0.25">
      <c r="A15" t="s">
        <v>206</v>
      </c>
      <c r="B15" t="s">
        <v>25</v>
      </c>
      <c r="C15">
        <v>29</v>
      </c>
      <c r="D15" t="s">
        <v>157</v>
      </c>
      <c r="E15">
        <v>52</v>
      </c>
      <c r="F15" s="10">
        <f>ROUND(Goalie[[#This Row],[GP]]*INDEX(Table27[],MATCH(Goalie[[#This Row],[player]],Table27[player],0),6),0)</f>
        <v>26</v>
      </c>
      <c r="G15" s="10">
        <f>Goalie[[#This Row],[GP]]*INDEX(Table27[],MATCH(Goalie[[#This Row],[player]],Table27[player],0),7)</f>
        <v>20.2072</v>
      </c>
      <c r="H15" s="10">
        <f>Goalie[[#This Row],[GP]]*INDEX(Table27[],MATCH(Goalie[[#This Row],[player]],Table27[player],0),8)</f>
        <v>6.0216000000000003</v>
      </c>
      <c r="I15" s="10">
        <f>Goalie[[#This Row],[GP]]*INDEX(Table27[],MATCH(Goalie[[#This Row],[player]],Table27[player],0),9)</f>
        <v>139.464</v>
      </c>
      <c r="J15" s="10">
        <f>Goalie[[#This Row],[GP]]*INDEX(Table27[],MATCH(Goalie[[#This Row],[player]],Table27[player],0),10)</f>
        <v>1546.5892000000001</v>
      </c>
      <c r="K15" s="10">
        <f>ROUND(Goalie[[#This Row],[SA]]-Goalie[[#This Row],[GA]],0)</f>
        <v>1407</v>
      </c>
      <c r="L15" s="69">
        <f>ROUND(Goalie[[#This Row],[SV]]/Goalie[[#This Row],[SA]],3)</f>
        <v>0.91</v>
      </c>
      <c r="M15" s="9">
        <f>ROUND(Goalie[[#This Row],[GA]]/Goalie[[#This Row],[GP]],2)</f>
        <v>2.68</v>
      </c>
      <c r="N15" s="10">
        <f>Goalie[[#This Row],[GP]]*INDEX(Table27[],MATCH(Goalie[[#This Row],[player]],Table27[player],0),13)</f>
        <v>4.2275999999999998</v>
      </c>
      <c r="O15" s="10">
        <f>Goalie[[#This Row],[GP]]*INDEX(Table27[],MATCH(Goalie[[#This Row],[player]],Table27[player],0),14)</f>
        <v>30.997199999999999</v>
      </c>
      <c r="P15" s="10">
        <f>Goalie[[#This Row],[GP]]*INDEX(Table27[],MATCH(Goalie[[#This Row],[player]],Table27[player],0),15)</f>
        <v>8.58</v>
      </c>
      <c r="Q15" s="10">
        <f>INDEX(G_Std[],MATCH(Goalie[[#This Row],[player]],G_Std[player],0),17)</f>
        <v>240.54715457588492</v>
      </c>
      <c r="R15" s="10">
        <f>_xlfn.RANK.EQ(Goalie[[#This Row],[VOR]],Goalie[VOR])</f>
        <v>14</v>
      </c>
      <c r="S15" s="10">
        <f>E15*'League Inputs'!$K$25+F15*'League Inputs'!$K$23+G15*'League Inputs'!$K$24+I15*'League Inputs'!$K$27+J15*'League Inputs'!$K$28+K15*'League Inputs'!$K$29+N15*'League Inputs'!$K$30</f>
        <v>576.94600000000003</v>
      </c>
      <c r="T15" s="10"/>
      <c r="U15">
        <v>52</v>
      </c>
    </row>
    <row r="16" spans="1:23" x14ac:dyDescent="0.25">
      <c r="A16" t="s">
        <v>1247</v>
      </c>
      <c r="B16" t="s">
        <v>87</v>
      </c>
      <c r="C16">
        <v>28</v>
      </c>
      <c r="D16" t="s">
        <v>157</v>
      </c>
      <c r="E16">
        <v>48</v>
      </c>
      <c r="F16" s="10">
        <f>ROUND(Goalie[[#This Row],[GP]]*INDEX(Table27[],MATCH(Goalie[[#This Row],[player]],Table27[player],0),6),0)</f>
        <v>21</v>
      </c>
      <c r="G16" s="10">
        <f>Goalie[[#This Row],[GP]]*INDEX(Table27[],MATCH(Goalie[[#This Row],[player]],Table27[player],0),7)</f>
        <v>18.782399999999999</v>
      </c>
      <c r="H16" s="10">
        <f>Goalie[[#This Row],[GP]]*INDEX(Table27[],MATCH(Goalie[[#This Row],[player]],Table27[player],0),8)</f>
        <v>9.7487999999999992</v>
      </c>
      <c r="I16" s="10">
        <f>Goalie[[#This Row],[GP]]*INDEX(Table27[],MATCH(Goalie[[#This Row],[player]],Table27[player],0),9)</f>
        <v>125.60159999999999</v>
      </c>
      <c r="J16" s="10">
        <f>Goalie[[#This Row],[GP]]*INDEX(Table27[],MATCH(Goalie[[#This Row],[player]],Table27[player],0),10)</f>
        <v>1435.848</v>
      </c>
      <c r="K16" s="10">
        <f>ROUND(Goalie[[#This Row],[SA]]-Goalie[[#This Row],[GA]],0)</f>
        <v>1310</v>
      </c>
      <c r="L16" s="69">
        <f>ROUND(Goalie[[#This Row],[SV]]/Goalie[[#This Row],[SA]],3)</f>
        <v>0.91200000000000003</v>
      </c>
      <c r="M16" s="9">
        <f>ROUND(Goalie[[#This Row],[GA]]/Goalie[[#This Row],[GP]],2)</f>
        <v>2.62</v>
      </c>
      <c r="N16" s="10">
        <f>Goalie[[#This Row],[GP]]*INDEX(Table27[],MATCH(Goalie[[#This Row],[player]],Table27[player],0),13)</f>
        <v>3</v>
      </c>
      <c r="O16" s="10">
        <f>Goalie[[#This Row],[GP]]*INDEX(Table27[],MATCH(Goalie[[#This Row],[player]],Table27[player],0),14)</f>
        <v>29.961599999999997</v>
      </c>
      <c r="P16" s="10">
        <f>Goalie[[#This Row],[GP]]*INDEX(Table27[],MATCH(Goalie[[#This Row],[player]],Table27[player],0),15)</f>
        <v>6.12</v>
      </c>
      <c r="Q16" s="10">
        <f>INDEX(G_Std[],MATCH(Goalie[[#This Row],[player]],G_Std[player],0),17)</f>
        <v>207.97588549513875</v>
      </c>
      <c r="R16" s="10">
        <f>_xlfn.RANK.EQ(Goalie[[#This Row],[VOR]],Goalie[VOR])</f>
        <v>15</v>
      </c>
      <c r="S16" s="10">
        <f>E16*'League Inputs'!$K$25+F16*'League Inputs'!$K$23+G16*'League Inputs'!$K$24+I16*'League Inputs'!$K$27+J16*'League Inputs'!$K$28+K16*'League Inputs'!$K$29+N16*'League Inputs'!$K$30</f>
        <v>529.1952</v>
      </c>
      <c r="T16" s="10"/>
      <c r="U16" s="10">
        <v>48</v>
      </c>
    </row>
    <row r="17" spans="1:21" x14ac:dyDescent="0.25">
      <c r="A17" t="s">
        <v>182</v>
      </c>
      <c r="B17" t="s">
        <v>11</v>
      </c>
      <c r="C17">
        <v>28</v>
      </c>
      <c r="D17" t="s">
        <v>157</v>
      </c>
      <c r="E17">
        <v>53</v>
      </c>
      <c r="F17" s="10">
        <f>ROUND(Goalie[[#This Row],[GP]]*INDEX(Table27[],MATCH(Goalie[[#This Row],[player]],Table27[player],0),6),0)</f>
        <v>32</v>
      </c>
      <c r="G17" s="10">
        <f>Goalie[[#This Row],[GP]]*INDEX(Table27[],MATCH(Goalie[[#This Row],[player]],Table27[player],0),7)</f>
        <v>15.984799999999998</v>
      </c>
      <c r="H17" s="10">
        <f>Goalie[[#This Row],[GP]]*INDEX(Table27[],MATCH(Goalie[[#This Row],[player]],Table27[player],0),8)</f>
        <v>4.6269</v>
      </c>
      <c r="I17" s="10">
        <f>Goalie[[#This Row],[GP]]*INDEX(Table27[],MATCH(Goalie[[#This Row],[player]],Table27[player],0),9)</f>
        <v>149.8681</v>
      </c>
      <c r="J17" s="10">
        <f>Goalie[[#This Row],[GP]]*INDEX(Table27[],MATCH(Goalie[[#This Row],[player]],Table27[player],0),10)</f>
        <v>1568.7947000000001</v>
      </c>
      <c r="K17" s="10">
        <f>ROUND(Goalie[[#This Row],[SA]]-Goalie[[#This Row],[GA]],0)</f>
        <v>1419</v>
      </c>
      <c r="L17" s="69">
        <f>ROUND(Goalie[[#This Row],[SV]]/Goalie[[#This Row],[SA]],3)</f>
        <v>0.90500000000000003</v>
      </c>
      <c r="M17" s="9">
        <f>ROUND(Goalie[[#This Row],[GA]]/Goalie[[#This Row],[GP]],2)</f>
        <v>2.83</v>
      </c>
      <c r="N17" s="10">
        <f>Goalie[[#This Row],[GP]]*INDEX(Table27[],MATCH(Goalie[[#This Row],[player]],Table27[player],0),13)</f>
        <v>2.8938000000000001</v>
      </c>
      <c r="O17" s="10">
        <f>Goalie[[#This Row],[GP]]*INDEX(Table27[],MATCH(Goalie[[#This Row],[player]],Table27[player],0),14)</f>
        <v>27.496400000000001</v>
      </c>
      <c r="P17" s="10">
        <f>Goalie[[#This Row],[GP]]*INDEX(Table27[],MATCH(Goalie[[#This Row],[player]],Table27[player],0),15)</f>
        <v>8.4746999999999986</v>
      </c>
      <c r="Q17" s="10">
        <f>INDEX(G_Std[],MATCH(Goalie[[#This Row],[player]],G_Std[player],0),17)</f>
        <v>184.61524449874111</v>
      </c>
      <c r="R17" s="10">
        <f>_xlfn.RANK.EQ(Goalie[[#This Row],[VOR]],Goalie[VOR])</f>
        <v>16</v>
      </c>
      <c r="S17" s="10">
        <f>E17*'League Inputs'!$K$25+F17*'League Inputs'!$K$23+G17*'League Inputs'!$K$24+I17*'League Inputs'!$K$27+J17*'League Inputs'!$K$28+K17*'League Inputs'!$K$29+N17*'League Inputs'!$K$30</f>
        <v>576.26470000000006</v>
      </c>
      <c r="T17" s="10"/>
      <c r="U17">
        <v>53</v>
      </c>
    </row>
    <row r="18" spans="1:21" x14ac:dyDescent="0.25">
      <c r="A18" t="s">
        <v>161</v>
      </c>
      <c r="B18" t="s">
        <v>29</v>
      </c>
      <c r="C18">
        <v>27</v>
      </c>
      <c r="D18" t="s">
        <v>157</v>
      </c>
      <c r="E18">
        <v>45</v>
      </c>
      <c r="F18" s="10">
        <f>ROUND(Goalie[[#This Row],[GP]]*INDEX(Table27[],MATCH(Goalie[[#This Row],[player]],Table27[player],0),6),0)</f>
        <v>26</v>
      </c>
      <c r="G18" s="10">
        <f>Goalie[[#This Row],[GP]]*INDEX(Table27[],MATCH(Goalie[[#This Row],[player]],Table27[player],0),7)</f>
        <v>15.479999999999999</v>
      </c>
      <c r="H18" s="10">
        <f>Goalie[[#This Row],[GP]]*INDEX(Table27[],MATCH(Goalie[[#This Row],[player]],Table27[player],0),8)</f>
        <v>5.202</v>
      </c>
      <c r="I18" s="10">
        <f>Goalie[[#This Row],[GP]]*INDEX(Table27[],MATCH(Goalie[[#This Row],[player]],Table27[player],0),9)</f>
        <v>126.297</v>
      </c>
      <c r="J18" s="10">
        <f>Goalie[[#This Row],[GP]]*INDEX(Table27[],MATCH(Goalie[[#This Row],[player]],Table27[player],0),10)</f>
        <v>1409.6969999999999</v>
      </c>
      <c r="K18" s="10">
        <f>ROUND(Goalie[[#This Row],[SA]]-Goalie[[#This Row],[GA]],0)</f>
        <v>1283</v>
      </c>
      <c r="L18" s="69">
        <f>ROUND(Goalie[[#This Row],[SV]]/Goalie[[#This Row],[SA]],3)</f>
        <v>0.91</v>
      </c>
      <c r="M18" s="9">
        <f>ROUND(Goalie[[#This Row],[GA]]/Goalie[[#This Row],[GP]],2)</f>
        <v>2.81</v>
      </c>
      <c r="N18" s="10">
        <f>Goalie[[#This Row],[GP]]*INDEX(Table27[],MATCH(Goalie[[#This Row],[player]],Table27[player],0),13)</f>
        <v>1.8675000000000002</v>
      </c>
      <c r="O18" s="10">
        <f>Goalie[[#This Row],[GP]]*INDEX(Table27[],MATCH(Goalie[[#This Row],[player]],Table27[player],0),14)</f>
        <v>25.874999999999996</v>
      </c>
      <c r="P18" s="10">
        <f>Goalie[[#This Row],[GP]]*INDEX(Table27[],MATCH(Goalie[[#This Row],[player]],Table27[player],0),15)</f>
        <v>5.2110000000000003</v>
      </c>
      <c r="Q18" s="10">
        <f>INDEX(G_Std[],MATCH(Goalie[[#This Row],[player]],G_Std[player],0),17)</f>
        <v>161.03874742267726</v>
      </c>
      <c r="R18" s="10">
        <f>_xlfn.RANK.EQ(Goalie[[#This Row],[VOR]],Goalie[VOR])</f>
        <v>17</v>
      </c>
      <c r="S18" s="10">
        <f>E18*'League Inputs'!$K$25+F18*'League Inputs'!$K$23+G18*'League Inputs'!$K$24+I18*'League Inputs'!$K$27+J18*'League Inputs'!$K$28+K18*'League Inputs'!$K$29+N18*'League Inputs'!$K$30</f>
        <v>530.24649999999997</v>
      </c>
      <c r="T18" s="10"/>
      <c r="U18">
        <v>45</v>
      </c>
    </row>
    <row r="19" spans="1:21" x14ac:dyDescent="0.25">
      <c r="A19" t="s">
        <v>171</v>
      </c>
      <c r="B19" t="s">
        <v>21</v>
      </c>
      <c r="C19">
        <v>31</v>
      </c>
      <c r="D19" t="s">
        <v>157</v>
      </c>
      <c r="E19">
        <v>35</v>
      </c>
      <c r="F19" s="10">
        <f>ROUND(Goalie[[#This Row],[GP]]*INDEX(Table27[],MATCH(Goalie[[#This Row],[player]],Table27[player],0),6),0)</f>
        <v>20</v>
      </c>
      <c r="G19" s="10">
        <f>Goalie[[#This Row],[GP]]*INDEX(Table27[],MATCH(Goalie[[#This Row],[player]],Table27[player],0),7)</f>
        <v>10.367000000000001</v>
      </c>
      <c r="H19" s="10">
        <f>Goalie[[#This Row],[GP]]*INDEX(Table27[],MATCH(Goalie[[#This Row],[player]],Table27[player],0),8)</f>
        <v>4.6095000000000006</v>
      </c>
      <c r="I19" s="10">
        <f>Goalie[[#This Row],[GP]]*INDEX(Table27[],MATCH(Goalie[[#This Row],[player]],Table27[player],0),9)</f>
        <v>88.665500000000009</v>
      </c>
      <c r="J19" s="10">
        <f>Goalie[[#This Row],[GP]]*INDEX(Table27[],MATCH(Goalie[[#This Row],[player]],Table27[player],0),10)</f>
        <v>1021.6885</v>
      </c>
      <c r="K19" s="10">
        <f>ROUND(Goalie[[#This Row],[SA]]-Goalie[[#This Row],[GA]],0)</f>
        <v>933</v>
      </c>
      <c r="L19" s="69">
        <f>ROUND(Goalie[[#This Row],[SV]]/Goalie[[#This Row],[SA]],3)</f>
        <v>0.91300000000000003</v>
      </c>
      <c r="M19" s="9">
        <f>ROUND(Goalie[[#This Row],[GA]]/Goalie[[#This Row],[GP]],2)</f>
        <v>2.5299999999999998</v>
      </c>
      <c r="N19" s="10">
        <f>Goalie[[#This Row],[GP]]*INDEX(Table27[],MATCH(Goalie[[#This Row],[player]],Table27[player],0),13)</f>
        <v>2.66</v>
      </c>
      <c r="O19" s="10">
        <f>Goalie[[#This Row],[GP]]*INDEX(Table27[],MATCH(Goalie[[#This Row],[player]],Table27[player],0),14)</f>
        <v>21.343</v>
      </c>
      <c r="P19" s="10">
        <f>Goalie[[#This Row],[GP]]*INDEX(Table27[],MATCH(Goalie[[#This Row],[player]],Table27[player],0),15)</f>
        <v>4.8860000000000001</v>
      </c>
      <c r="Q19" s="10">
        <f>INDEX(G_Std[],MATCH(Goalie[[#This Row],[player]],G_Std[player],0),17)</f>
        <v>144.23553062883832</v>
      </c>
      <c r="R19" s="10">
        <f>_xlfn.RANK.EQ(Goalie[[#This Row],[VOR]],Goalie[VOR])</f>
        <v>18</v>
      </c>
      <c r="S19" s="10">
        <f>E19*'League Inputs'!$K$25+F19*'League Inputs'!$K$23+G19*'League Inputs'!$K$24+I19*'League Inputs'!$K$27+J19*'League Inputs'!$K$28+K19*'League Inputs'!$K$29+N19*'League Inputs'!$K$30</f>
        <v>407.10349999999994</v>
      </c>
      <c r="T19" s="10"/>
      <c r="U19">
        <v>35</v>
      </c>
    </row>
    <row r="20" spans="1:21" x14ac:dyDescent="0.25">
      <c r="A20" t="s">
        <v>1088</v>
      </c>
      <c r="B20" t="s">
        <v>34</v>
      </c>
      <c r="C20">
        <v>25</v>
      </c>
      <c r="D20" t="s">
        <v>157</v>
      </c>
      <c r="E20">
        <v>38</v>
      </c>
      <c r="F20" s="10">
        <f>ROUND(Goalie[[#This Row],[GP]]*INDEX(Table27[],MATCH(Goalie[[#This Row],[player]],Table27[player],0),6),0)</f>
        <v>21</v>
      </c>
      <c r="G20" s="10">
        <f>Goalie[[#This Row],[GP]]*INDEX(Table27[],MATCH(Goalie[[#This Row],[player]],Table27[player],0),7)</f>
        <v>12.7338</v>
      </c>
      <c r="H20" s="10">
        <f>Goalie[[#This Row],[GP]]*INDEX(Table27[],MATCH(Goalie[[#This Row],[player]],Table27[player],0),8)</f>
        <v>4.8183999999999996</v>
      </c>
      <c r="I20" s="10">
        <f>Goalie[[#This Row],[GP]]*INDEX(Table27[],MATCH(Goalie[[#This Row],[player]],Table27[player],0),9)</f>
        <v>94.156399999999991</v>
      </c>
      <c r="J20" s="10">
        <f>Goalie[[#This Row],[GP]]*INDEX(Table27[],MATCH(Goalie[[#This Row],[player]],Table27[player],0),10)</f>
        <v>1031.8368</v>
      </c>
      <c r="K20" s="10">
        <f>ROUND(Goalie[[#This Row],[SA]]-Goalie[[#This Row],[GA]],0)</f>
        <v>938</v>
      </c>
      <c r="L20" s="69">
        <f>ROUND(Goalie[[#This Row],[SV]]/Goalie[[#This Row],[SA]],3)</f>
        <v>0.90900000000000003</v>
      </c>
      <c r="M20" s="9">
        <f>ROUND(Goalie[[#This Row],[GA]]/Goalie[[#This Row],[GP]],2)</f>
        <v>2.48</v>
      </c>
      <c r="N20" s="10">
        <f>Goalie[[#This Row],[GP]]*INDEX(Table27[],MATCH(Goalie[[#This Row],[player]],Table27[player],0),13)</f>
        <v>3.9709999999999996</v>
      </c>
      <c r="O20" s="10">
        <f>Goalie[[#This Row],[GP]]*INDEX(Table27[],MATCH(Goalie[[#This Row],[player]],Table27[player],0),14)</f>
        <v>21.515600000000003</v>
      </c>
      <c r="P20" s="10">
        <f>Goalie[[#This Row],[GP]]*INDEX(Table27[],MATCH(Goalie[[#This Row],[player]],Table27[player],0),15)</f>
        <v>6.6994000000000007</v>
      </c>
      <c r="Q20" s="10">
        <f>INDEX(G_Std[],MATCH(Goalie[[#This Row],[player]],G_Std[player],0),17)</f>
        <v>114.71363504344795</v>
      </c>
      <c r="R20" s="10">
        <f>_xlfn.RANK.EQ(Goalie[[#This Row],[VOR]],Goalie[VOR])</f>
        <v>19</v>
      </c>
      <c r="S20" s="10">
        <f>E20*'League Inputs'!$K$25+F20*'League Inputs'!$K$23+G20*'League Inputs'!$K$24+I20*'League Inputs'!$K$27+J20*'League Inputs'!$K$28+K20*'League Inputs'!$K$29+N20*'League Inputs'!$K$30</f>
        <v>405.18579999999997</v>
      </c>
      <c r="T20" s="10"/>
      <c r="U20">
        <v>38</v>
      </c>
    </row>
    <row r="21" spans="1:21" x14ac:dyDescent="0.25">
      <c r="A21" t="s">
        <v>174</v>
      </c>
      <c r="B21" t="s">
        <v>1089</v>
      </c>
      <c r="C21">
        <v>28</v>
      </c>
      <c r="D21" t="s">
        <v>157</v>
      </c>
      <c r="E21">
        <v>40</v>
      </c>
      <c r="F21" s="10">
        <f>ROUND(Goalie[[#This Row],[GP]]*INDEX(Table27[],MATCH(Goalie[[#This Row],[player]],Table27[player],0),6),0)</f>
        <v>22</v>
      </c>
      <c r="G21" s="10">
        <f>Goalie[[#This Row],[GP]]*INDEX(Table27[],MATCH(Goalie[[#This Row],[player]],Table27[player],0),7)</f>
        <v>14.736000000000001</v>
      </c>
      <c r="H21" s="10">
        <f>Goalie[[#This Row],[GP]]*INDEX(Table27[],MATCH(Goalie[[#This Row],[player]],Table27[player],0),8)</f>
        <v>2.464</v>
      </c>
      <c r="I21" s="10">
        <f>Goalie[[#This Row],[GP]]*INDEX(Table27[],MATCH(Goalie[[#This Row],[player]],Table27[player],0),9)</f>
        <v>105.34800000000001</v>
      </c>
      <c r="J21" s="10">
        <f>Goalie[[#This Row],[GP]]*INDEX(Table27[],MATCH(Goalie[[#This Row],[player]],Table27[player],0),10)</f>
        <v>1157.932</v>
      </c>
      <c r="K21" s="10">
        <f>ROUND(Goalie[[#This Row],[SA]]-Goalie[[#This Row],[GA]],0)</f>
        <v>1053</v>
      </c>
      <c r="L21" s="69">
        <f>ROUND(Goalie[[#This Row],[SV]]/Goalie[[#This Row],[SA]],3)</f>
        <v>0.90900000000000003</v>
      </c>
      <c r="M21" s="9">
        <f>ROUND(Goalie[[#This Row],[GA]]/Goalie[[#This Row],[GP]],2)</f>
        <v>2.63</v>
      </c>
      <c r="N21" s="10">
        <f>Goalie[[#This Row],[GP]]*INDEX(Table27[],MATCH(Goalie[[#This Row],[player]],Table27[player],0),13)</f>
        <v>2.06</v>
      </c>
      <c r="O21" s="10">
        <f>Goalie[[#This Row],[GP]]*INDEX(Table27[],MATCH(Goalie[[#This Row],[player]],Table27[player],0),14)</f>
        <v>22.496000000000002</v>
      </c>
      <c r="P21" s="10">
        <f>Goalie[[#This Row],[GP]]*INDEX(Table27[],MATCH(Goalie[[#This Row],[player]],Table27[player],0),15)</f>
        <v>7.3319999999999999</v>
      </c>
      <c r="Q21" s="10">
        <f>INDEX(G_Std[],MATCH(Goalie[[#This Row],[player]],G_Std[player],0),17)</f>
        <v>102.86260650437579</v>
      </c>
      <c r="R21" s="10">
        <f>_xlfn.RANK.EQ(Goalie[[#This Row],[VOR]],Goalie[VOR])</f>
        <v>20</v>
      </c>
      <c r="S21" s="10">
        <f>E21*'League Inputs'!$K$25+F21*'League Inputs'!$K$23+G21*'League Inputs'!$K$24+I21*'League Inputs'!$K$27+J21*'League Inputs'!$K$28+K21*'League Inputs'!$K$29+N21*'League Inputs'!$K$30</f>
        <v>436.05599999999993</v>
      </c>
      <c r="T21" s="10"/>
      <c r="U21">
        <v>40</v>
      </c>
    </row>
    <row r="22" spans="1:21" x14ac:dyDescent="0.25">
      <c r="A22" t="s">
        <v>168</v>
      </c>
      <c r="B22" t="s">
        <v>30</v>
      </c>
      <c r="C22">
        <v>31</v>
      </c>
      <c r="D22" t="s">
        <v>157</v>
      </c>
      <c r="E22">
        <v>35</v>
      </c>
      <c r="F22" s="10">
        <f>ROUND(Goalie[[#This Row],[GP]]*INDEX(Table27[],MATCH(Goalie[[#This Row],[player]],Table27[player],0),6),0)</f>
        <v>20</v>
      </c>
      <c r="G22" s="10">
        <f>Goalie[[#This Row],[GP]]*INDEX(Table27[],MATCH(Goalie[[#This Row],[player]],Table27[player],0),7)</f>
        <v>12.4215</v>
      </c>
      <c r="H22" s="10">
        <f>Goalie[[#This Row],[GP]]*INDEX(Table27[],MATCH(Goalie[[#This Row],[player]],Table27[player],0),8)</f>
        <v>3.206</v>
      </c>
      <c r="I22" s="10">
        <f>Goalie[[#This Row],[GP]]*INDEX(Table27[],MATCH(Goalie[[#This Row],[player]],Table27[player],0),9)</f>
        <v>97.306999999999988</v>
      </c>
      <c r="J22" s="10">
        <f>Goalie[[#This Row],[GP]]*INDEX(Table27[],MATCH(Goalie[[#This Row],[player]],Table27[player],0),10)</f>
        <v>1130.556</v>
      </c>
      <c r="K22" s="10">
        <f>ROUND(Goalie[[#This Row],[SA]]-Goalie[[#This Row],[GA]],0)</f>
        <v>1033</v>
      </c>
      <c r="L22" s="69">
        <f>ROUND(Goalie[[#This Row],[SV]]/Goalie[[#This Row],[SA]],3)</f>
        <v>0.91400000000000003</v>
      </c>
      <c r="M22" s="9">
        <f>ROUND(Goalie[[#This Row],[GA]]/Goalie[[#This Row],[GP]],2)</f>
        <v>2.78</v>
      </c>
      <c r="N22" s="10">
        <f>Goalie[[#This Row],[GP]]*INDEX(Table27[],MATCH(Goalie[[#This Row],[player]],Table27[player],0),13)</f>
        <v>2.7124999999999999</v>
      </c>
      <c r="O22" s="10">
        <f>Goalie[[#This Row],[GP]]*INDEX(Table27[],MATCH(Goalie[[#This Row],[player]],Table27[player],0),14)</f>
        <v>20.846</v>
      </c>
      <c r="P22" s="10">
        <f>Goalie[[#This Row],[GP]]*INDEX(Table27[],MATCH(Goalie[[#This Row],[player]],Table27[player],0),15)</f>
        <v>4.1020000000000003</v>
      </c>
      <c r="Q22" s="10">
        <f>INDEX(G_Std[],MATCH(Goalie[[#This Row],[player]],G_Std[player],0),17)</f>
        <v>95.819920940552137</v>
      </c>
      <c r="R22" s="10">
        <f>_xlfn.RANK.EQ(Goalie[[#This Row],[VOR]],Goalie[VOR])</f>
        <v>21</v>
      </c>
      <c r="S22" s="10">
        <f>E22*'League Inputs'!$K$25+F22*'League Inputs'!$K$23+G22*'League Inputs'!$K$24+I22*'League Inputs'!$K$27+J22*'League Inputs'!$K$28+K22*'League Inputs'!$K$29+N22*'League Inputs'!$K$30</f>
        <v>441.44150000000002</v>
      </c>
      <c r="T22" s="10"/>
      <c r="U22">
        <v>35</v>
      </c>
    </row>
    <row r="23" spans="1:21" x14ac:dyDescent="0.25">
      <c r="A23" t="s">
        <v>203</v>
      </c>
      <c r="B23" t="s">
        <v>14</v>
      </c>
      <c r="C23">
        <v>31</v>
      </c>
      <c r="D23" t="s">
        <v>157</v>
      </c>
      <c r="E23">
        <v>52</v>
      </c>
      <c r="F23" s="10">
        <f>ROUND(Goalie[[#This Row],[GP]]*INDEX(Table27[],MATCH(Goalie[[#This Row],[player]],Table27[player],0),6),0)</f>
        <v>25</v>
      </c>
      <c r="G23" s="10">
        <f>Goalie[[#This Row],[GP]]*INDEX(Table27[],MATCH(Goalie[[#This Row],[player]],Table27[player],0),7)</f>
        <v>20.852</v>
      </c>
      <c r="H23" s="10">
        <f>Goalie[[#This Row],[GP]]*INDEX(Table27[],MATCH(Goalie[[#This Row],[player]],Table27[player],0),8)</f>
        <v>5.1480000000000006</v>
      </c>
      <c r="I23" s="10">
        <f>Goalie[[#This Row],[GP]]*INDEX(Table27[],MATCH(Goalie[[#This Row],[player]],Table27[player],0),9)</f>
        <v>155.67240000000001</v>
      </c>
      <c r="J23" s="10">
        <f>Goalie[[#This Row],[GP]]*INDEX(Table27[],MATCH(Goalie[[#This Row],[player]],Table27[player],0),10)</f>
        <v>1628.1876</v>
      </c>
      <c r="K23" s="10">
        <f>ROUND(Goalie[[#This Row],[SA]]-Goalie[[#This Row],[GA]],0)</f>
        <v>1473</v>
      </c>
      <c r="L23" s="69">
        <f>ROUND(Goalie[[#This Row],[SV]]/Goalie[[#This Row],[SA]],3)</f>
        <v>0.90500000000000003</v>
      </c>
      <c r="M23" s="9">
        <f>ROUND(Goalie[[#This Row],[GA]]/Goalie[[#This Row],[GP]],2)</f>
        <v>2.99</v>
      </c>
      <c r="N23" s="10">
        <f>Goalie[[#This Row],[GP]]*INDEX(Table27[],MATCH(Goalie[[#This Row],[player]],Table27[player],0),13)</f>
        <v>2.5011999999999999</v>
      </c>
      <c r="O23" s="10">
        <f>Goalie[[#This Row],[GP]]*INDEX(Table27[],MATCH(Goalie[[#This Row],[player]],Table27[player],0),14)</f>
        <v>26.889199999999999</v>
      </c>
      <c r="P23" s="10">
        <f>Goalie[[#This Row],[GP]]*INDEX(Table27[],MATCH(Goalie[[#This Row],[player]],Table27[player],0),15)</f>
        <v>8.8712</v>
      </c>
      <c r="Q23" s="10">
        <f>INDEX(G_Std[],MATCH(Goalie[[#This Row],[player]],G_Std[player],0),17)</f>
        <v>58.884627360970043</v>
      </c>
      <c r="R23" s="10">
        <f>_xlfn.RANK.EQ(Goalie[[#This Row],[VOR]],Goalie[VOR])</f>
        <v>22</v>
      </c>
      <c r="S23" s="10">
        <f>E23*'League Inputs'!$K$25+F23*'League Inputs'!$K$23+G23*'League Inputs'!$K$24+I23*'League Inputs'!$K$27+J23*'League Inputs'!$K$28+K23*'League Inputs'!$K$29+N23*'League Inputs'!$K$30</f>
        <v>554.28879999999992</v>
      </c>
      <c r="T23" s="10"/>
      <c r="U23">
        <v>52</v>
      </c>
    </row>
    <row r="24" spans="1:21" x14ac:dyDescent="0.25">
      <c r="A24" t="s">
        <v>1251</v>
      </c>
      <c r="B24" t="s">
        <v>11</v>
      </c>
      <c r="C24">
        <v>24</v>
      </c>
      <c r="D24" t="s">
        <v>157</v>
      </c>
      <c r="E24">
        <v>30</v>
      </c>
      <c r="F24" s="10">
        <f>ROUND(Goalie[[#This Row],[GP]]*INDEX(Table27[],MATCH(Goalie[[#This Row],[player]],Table27[player],0),6),0)</f>
        <v>17</v>
      </c>
      <c r="G24" s="10">
        <f>Goalie[[#This Row],[GP]]*INDEX(Table27[],MATCH(Goalie[[#This Row],[player]],Table27[player],0),7)</f>
        <v>11.007</v>
      </c>
      <c r="H24" s="10">
        <f>Goalie[[#This Row],[GP]]*INDEX(Table27[],MATCH(Goalie[[#This Row],[player]],Table27[player],0),8)</f>
        <v>2.8560000000000003</v>
      </c>
      <c r="I24" s="10">
        <f>Goalie[[#This Row],[GP]]*INDEX(Table27[],MATCH(Goalie[[#This Row],[player]],Table27[player],0),9)</f>
        <v>81.608999999999995</v>
      </c>
      <c r="J24" s="10">
        <f>Goalie[[#This Row],[GP]]*INDEX(Table27[],MATCH(Goalie[[#This Row],[player]],Table27[player],0),10)</f>
        <v>957.11400000000003</v>
      </c>
      <c r="K24" s="10">
        <f>ROUND(Goalie[[#This Row],[SA]]-Goalie[[#This Row],[GA]],0)</f>
        <v>876</v>
      </c>
      <c r="L24" s="69">
        <f>ROUND(Goalie[[#This Row],[SV]]/Goalie[[#This Row],[SA]],3)</f>
        <v>0.91500000000000004</v>
      </c>
      <c r="M24" s="9">
        <f>ROUND(Goalie[[#This Row],[GA]]/Goalie[[#This Row],[GP]],2)</f>
        <v>2.72</v>
      </c>
      <c r="N24" s="10">
        <f>Goalie[[#This Row],[GP]]*INDEX(Table27[],MATCH(Goalie[[#This Row],[player]],Table27[player],0),13)</f>
        <v>3.0540000000000003</v>
      </c>
      <c r="O24" s="10">
        <f>Goalie[[#This Row],[GP]]*INDEX(Table27[],MATCH(Goalie[[#This Row],[player]],Table27[player],0),14)</f>
        <v>17.91</v>
      </c>
      <c r="P24" s="10">
        <f>Goalie[[#This Row],[GP]]*INDEX(Table27[],MATCH(Goalie[[#This Row],[player]],Table27[player],0),15)</f>
        <v>3.129</v>
      </c>
      <c r="Q24" s="10">
        <f>INDEX(G_Std[],MATCH(Goalie[[#This Row],[player]],G_Std[player],0),17)</f>
        <v>55.80583606700641</v>
      </c>
      <c r="R24" s="10">
        <f>_xlfn.RANK.EQ(Goalie[[#This Row],[VOR]],Goalie[VOR])</f>
        <v>23</v>
      </c>
      <c r="S24" s="10">
        <f>E24*'League Inputs'!$K$25+F24*'League Inputs'!$K$23+G24*'League Inputs'!$K$24+I24*'League Inputs'!$K$27+J24*'League Inputs'!$K$28+K24*'League Inputs'!$K$29+N24*'League Inputs'!$K$30</f>
        <v>381.04300000000001</v>
      </c>
      <c r="T24" s="10"/>
      <c r="U24" s="10">
        <v>30</v>
      </c>
    </row>
    <row r="25" spans="1:21" x14ac:dyDescent="0.25">
      <c r="A25" t="s">
        <v>1084</v>
      </c>
      <c r="B25" t="s">
        <v>14</v>
      </c>
      <c r="C25">
        <v>24</v>
      </c>
      <c r="D25" t="s">
        <v>157</v>
      </c>
      <c r="E25">
        <v>38</v>
      </c>
      <c r="F25" s="10">
        <f>ROUND(Goalie[[#This Row],[GP]]*INDEX(Table27[],MATCH(Goalie[[#This Row],[player]],Table27[player],0),6),0)</f>
        <v>20</v>
      </c>
      <c r="G25" s="10">
        <f>Goalie[[#This Row],[GP]]*INDEX(Table27[],MATCH(Goalie[[#This Row],[player]],Table27[player],0),7)</f>
        <v>15.2494</v>
      </c>
      <c r="H25" s="10">
        <f>Goalie[[#This Row],[GP]]*INDEX(Table27[],MATCH(Goalie[[#This Row],[player]],Table27[player],0),8)</f>
        <v>2.7625999999999999</v>
      </c>
      <c r="I25" s="10">
        <f>Goalie[[#This Row],[GP]]*INDEX(Table27[],MATCH(Goalie[[#This Row],[player]],Table27[player],0),9)</f>
        <v>105.0206</v>
      </c>
      <c r="J25" s="10">
        <f>Goalie[[#This Row],[GP]]*INDEX(Table27[],MATCH(Goalie[[#This Row],[player]],Table27[player],0),10)</f>
        <v>1160.2426</v>
      </c>
      <c r="K25" s="10">
        <f>ROUND(Goalie[[#This Row],[SA]]-Goalie[[#This Row],[GA]],0)</f>
        <v>1055</v>
      </c>
      <c r="L25" s="69">
        <f>ROUND(Goalie[[#This Row],[SV]]/Goalie[[#This Row],[SA]],3)</f>
        <v>0.90900000000000003</v>
      </c>
      <c r="M25" s="9">
        <f>ROUND(Goalie[[#This Row],[GA]]/Goalie[[#This Row],[GP]],2)</f>
        <v>2.76</v>
      </c>
      <c r="N25" s="10">
        <f>Goalie[[#This Row],[GP]]*INDEX(Table27[],MATCH(Goalie[[#This Row],[player]],Table27[player],0),13)</f>
        <v>1.482</v>
      </c>
      <c r="O25" s="10">
        <f>Goalie[[#This Row],[GP]]*INDEX(Table27[],MATCH(Goalie[[#This Row],[player]],Table27[player],0),14)</f>
        <v>21.6068</v>
      </c>
      <c r="P25" s="10">
        <f>Goalie[[#This Row],[GP]]*INDEX(Table27[],MATCH(Goalie[[#This Row],[player]],Table27[player],0),15)</f>
        <v>6.1331999999999995</v>
      </c>
      <c r="Q25" s="10">
        <f>INDEX(G_Std[],MATCH(Goalie[[#This Row],[player]],G_Std[player],0),17)</f>
        <v>33.065449758496655</v>
      </c>
      <c r="R25" s="10">
        <f>_xlfn.RANK.EQ(Goalie[[#This Row],[VOR]],Goalie[VOR])</f>
        <v>24</v>
      </c>
      <c r="S25" s="10">
        <f>E25*'League Inputs'!$K$25+F25*'League Inputs'!$K$23+G25*'League Inputs'!$K$24+I25*'League Inputs'!$K$27+J25*'League Inputs'!$K$28+K25*'League Inputs'!$K$29+N25*'League Inputs'!$K$30</f>
        <v>425.34820000000002</v>
      </c>
      <c r="T25" s="10"/>
      <c r="U25">
        <v>38</v>
      </c>
    </row>
    <row r="26" spans="1:21" x14ac:dyDescent="0.25">
      <c r="A26" t="s">
        <v>199</v>
      </c>
      <c r="B26" t="s">
        <v>2</v>
      </c>
      <c r="C26">
        <v>37</v>
      </c>
      <c r="D26" t="s">
        <v>157</v>
      </c>
      <c r="E26">
        <v>35</v>
      </c>
      <c r="F26" s="10">
        <f>ROUND(Goalie[[#This Row],[GP]]*INDEX(Table27[],MATCH(Goalie[[#This Row],[player]],Table27[player],0),6),0)</f>
        <v>20</v>
      </c>
      <c r="G26" s="10">
        <f>Goalie[[#This Row],[GP]]*INDEX(Table27[],MATCH(Goalie[[#This Row],[player]],Table27[player],0),7)</f>
        <v>12.4495</v>
      </c>
      <c r="H26" s="10">
        <f>Goalie[[#This Row],[GP]]*INDEX(Table27[],MATCH(Goalie[[#This Row],[player]],Table27[player],0),8)</f>
        <v>3.3740000000000001</v>
      </c>
      <c r="I26" s="10">
        <f>Goalie[[#This Row],[GP]]*INDEX(Table27[],MATCH(Goalie[[#This Row],[player]],Table27[player],0),9)</f>
        <v>94.54549999999999</v>
      </c>
      <c r="J26" s="10">
        <f>Goalie[[#This Row],[GP]]*INDEX(Table27[],MATCH(Goalie[[#This Row],[player]],Table27[player],0),10)</f>
        <v>1038.4745</v>
      </c>
      <c r="K26" s="10">
        <f>ROUND(Goalie[[#This Row],[SA]]-Goalie[[#This Row],[GA]],0)</f>
        <v>944</v>
      </c>
      <c r="L26" s="69">
        <f>ROUND(Goalie[[#This Row],[SV]]/Goalie[[#This Row],[SA]],3)</f>
        <v>0.90900000000000003</v>
      </c>
      <c r="M26" s="9">
        <f>ROUND(Goalie[[#This Row],[GA]]/Goalie[[#This Row],[GP]],2)</f>
        <v>2.7</v>
      </c>
      <c r="N26" s="10">
        <f>Goalie[[#This Row],[GP]]*INDEX(Table27[],MATCH(Goalie[[#This Row],[player]],Table27[player],0),13)</f>
        <v>1.8865000000000001</v>
      </c>
      <c r="O26" s="10">
        <f>Goalie[[#This Row],[GP]]*INDEX(Table27[],MATCH(Goalie[[#This Row],[player]],Table27[player],0),14)</f>
        <v>21.126000000000001</v>
      </c>
      <c r="P26" s="10">
        <f>Goalie[[#This Row],[GP]]*INDEX(Table27[],MATCH(Goalie[[#This Row],[player]],Table27[player],0),15)</f>
        <v>5.8765000000000001</v>
      </c>
      <c r="Q26" s="10">
        <f>INDEX(G_Std[],MATCH(Goalie[[#This Row],[player]],G_Std[player],0),17)</f>
        <v>25.358796194546315</v>
      </c>
      <c r="R26" s="10">
        <f>_xlfn.RANK.EQ(Goalie[[#This Row],[VOR]],Goalie[VOR])</f>
        <v>25</v>
      </c>
      <c r="S26" s="10">
        <f>E26*'League Inputs'!$K$25+F26*'League Inputs'!$K$23+G26*'League Inputs'!$K$24+I26*'League Inputs'!$K$27+J26*'League Inputs'!$K$28+K26*'League Inputs'!$K$29+N26*'League Inputs'!$K$30</f>
        <v>392.19600000000003</v>
      </c>
      <c r="T26" s="10"/>
      <c r="U26">
        <v>35</v>
      </c>
    </row>
    <row r="27" spans="1:21" x14ac:dyDescent="0.25">
      <c r="A27" t="s">
        <v>201</v>
      </c>
      <c r="B27" t="s">
        <v>197</v>
      </c>
      <c r="C27">
        <v>34</v>
      </c>
      <c r="D27" t="s">
        <v>157</v>
      </c>
      <c r="E27">
        <v>40</v>
      </c>
      <c r="F27" s="10">
        <f>ROUND(Goalie[[#This Row],[GP]]*INDEX(Table27[],MATCH(Goalie[[#This Row],[player]],Table27[player],0),6),0)</f>
        <v>20</v>
      </c>
      <c r="G27" s="10">
        <f>Goalie[[#This Row],[GP]]*INDEX(Table27[],MATCH(Goalie[[#This Row],[player]],Table27[player],0),7)</f>
        <v>14.795999999999999</v>
      </c>
      <c r="H27" s="10">
        <f>Goalie[[#This Row],[GP]]*INDEX(Table27[],MATCH(Goalie[[#This Row],[player]],Table27[player],0),8)</f>
        <v>3.944</v>
      </c>
      <c r="I27" s="10">
        <f>Goalie[[#This Row],[GP]]*INDEX(Table27[],MATCH(Goalie[[#This Row],[player]],Table27[player],0),9)</f>
        <v>112.864</v>
      </c>
      <c r="J27" s="10">
        <f>Goalie[[#This Row],[GP]]*INDEX(Table27[],MATCH(Goalie[[#This Row],[player]],Table27[player],0),10)</f>
        <v>1224.98</v>
      </c>
      <c r="K27" s="10">
        <f>ROUND(Goalie[[#This Row],[SA]]-Goalie[[#This Row],[GA]],0)</f>
        <v>1112</v>
      </c>
      <c r="L27" s="69">
        <f>ROUND(Goalie[[#This Row],[SV]]/Goalie[[#This Row],[SA]],3)</f>
        <v>0.90800000000000003</v>
      </c>
      <c r="M27" s="9">
        <f>ROUND(Goalie[[#This Row],[GA]]/Goalie[[#This Row],[GP]],2)</f>
        <v>2.82</v>
      </c>
      <c r="N27" s="10">
        <f>Goalie[[#This Row],[GP]]*INDEX(Table27[],MATCH(Goalie[[#This Row],[player]],Table27[player],0),13)</f>
        <v>2.8239999999999998</v>
      </c>
      <c r="O27" s="10">
        <f>Goalie[[#This Row],[GP]]*INDEX(Table27[],MATCH(Goalie[[#This Row],[player]],Table27[player],0),14)</f>
        <v>20.72</v>
      </c>
      <c r="P27" s="10">
        <f>Goalie[[#This Row],[GP]]*INDEX(Table27[],MATCH(Goalie[[#This Row],[player]],Table27[player],0),15)</f>
        <v>7.2119999999999997</v>
      </c>
      <c r="Q27" s="10">
        <f>INDEX(G_Std[],MATCH(Goalie[[#This Row],[player]],G_Std[player],0),17)</f>
        <v>11.367729198945867</v>
      </c>
      <c r="R27" s="10">
        <f>_xlfn.RANK.EQ(Goalie[[#This Row],[VOR]],Goalie[VOR])</f>
        <v>26</v>
      </c>
      <c r="S27" s="10">
        <f>E27*'League Inputs'!$K$25+F27*'League Inputs'!$K$23+G27*'League Inputs'!$K$24+I27*'League Inputs'!$K$27+J27*'League Inputs'!$K$28+K27*'League Inputs'!$K$29+N27*'League Inputs'!$K$30</f>
        <v>442.72799999999995</v>
      </c>
      <c r="T27" s="10"/>
      <c r="U27">
        <v>40</v>
      </c>
    </row>
    <row r="28" spans="1:21" x14ac:dyDescent="0.25">
      <c r="A28" t="s">
        <v>1086</v>
      </c>
      <c r="B28" t="s">
        <v>30</v>
      </c>
      <c r="C28">
        <v>26</v>
      </c>
      <c r="D28" t="s">
        <v>157</v>
      </c>
      <c r="E28">
        <v>40</v>
      </c>
      <c r="F28" s="10">
        <f>ROUND(Goalie[[#This Row],[GP]]*INDEX(Table27[],MATCH(Goalie[[#This Row],[player]],Table27[player],0),6),0)</f>
        <v>22</v>
      </c>
      <c r="G28" s="10">
        <f>Goalie[[#This Row],[GP]]*INDEX(Table27[],MATCH(Goalie[[#This Row],[player]],Table27[player],0),7)</f>
        <v>16.36</v>
      </c>
      <c r="H28" s="10">
        <f>Goalie[[#This Row],[GP]]*INDEX(Table27[],MATCH(Goalie[[#This Row],[player]],Table27[player],0),8)</f>
        <v>2.524</v>
      </c>
      <c r="I28" s="10">
        <f>Goalie[[#This Row],[GP]]*INDEX(Table27[],MATCH(Goalie[[#This Row],[player]],Table27[player],0),9)</f>
        <v>117.66</v>
      </c>
      <c r="J28" s="10">
        <f>Goalie[[#This Row],[GP]]*INDEX(Table27[],MATCH(Goalie[[#This Row],[player]],Table27[player],0),10)</f>
        <v>1284.864</v>
      </c>
      <c r="K28" s="10">
        <f>ROUND(Goalie[[#This Row],[SA]]-Goalie[[#This Row],[GA]],0)</f>
        <v>1167</v>
      </c>
      <c r="L28" s="69">
        <f>ROUND(Goalie[[#This Row],[SV]]/Goalie[[#This Row],[SA]],3)</f>
        <v>0.90800000000000003</v>
      </c>
      <c r="M28" s="9">
        <f>ROUND(Goalie[[#This Row],[GA]]/Goalie[[#This Row],[GP]],2)</f>
        <v>2.94</v>
      </c>
      <c r="N28" s="10">
        <f>Goalie[[#This Row],[GP]]*INDEX(Table27[],MATCH(Goalie[[#This Row],[player]],Table27[player],0),13)</f>
        <v>0.77600000000000002</v>
      </c>
      <c r="O28" s="10">
        <f>Goalie[[#This Row],[GP]]*INDEX(Table27[],MATCH(Goalie[[#This Row],[player]],Table27[player],0),14)</f>
        <v>21.747999999999998</v>
      </c>
      <c r="P28" s="10">
        <f>Goalie[[#This Row],[GP]]*INDEX(Table27[],MATCH(Goalie[[#This Row],[player]],Table27[player],0),15)</f>
        <v>6.34</v>
      </c>
      <c r="Q28" s="10">
        <f>INDEX(G_Std[],MATCH(Goalie[[#This Row],[player]],G_Std[player],0),17)</f>
        <v>6.2482429340239918</v>
      </c>
      <c r="R28" s="10">
        <f>_xlfn.RANK.EQ(Goalie[[#This Row],[VOR]],Goalie[VOR])</f>
        <v>27</v>
      </c>
      <c r="S28" s="10">
        <f>E28*'League Inputs'!$K$25+F28*'League Inputs'!$K$23+G28*'League Inputs'!$K$24+I28*'League Inputs'!$K$27+J28*'League Inputs'!$K$28+K28*'League Inputs'!$K$29+N28*'League Inputs'!$K$30</f>
        <v>461.09999999999991</v>
      </c>
      <c r="T28" s="10"/>
      <c r="U28">
        <v>40</v>
      </c>
    </row>
    <row r="29" spans="1:21" x14ac:dyDescent="0.25">
      <c r="A29" t="s">
        <v>159</v>
      </c>
      <c r="B29" t="s">
        <v>29</v>
      </c>
      <c r="C29">
        <v>31</v>
      </c>
      <c r="D29" t="s">
        <v>157</v>
      </c>
      <c r="E29">
        <v>40</v>
      </c>
      <c r="F29" s="10">
        <f>ROUND(Goalie[[#This Row],[GP]]*INDEX(Table27[],MATCH(Goalie[[#This Row],[player]],Table27[player],0),6),0)</f>
        <v>21</v>
      </c>
      <c r="G29" s="10">
        <f>Goalie[[#This Row],[GP]]*INDEX(Table27[],MATCH(Goalie[[#This Row],[player]],Table27[player],0),7)</f>
        <v>14.536</v>
      </c>
      <c r="H29" s="10">
        <f>Goalie[[#This Row],[GP]]*INDEX(Table27[],MATCH(Goalie[[#This Row],[player]],Table27[player],0),8)</f>
        <v>5.2680000000000007</v>
      </c>
      <c r="I29" s="10">
        <f>Goalie[[#This Row],[GP]]*INDEX(Table27[],MATCH(Goalie[[#This Row],[player]],Table27[player],0),9)</f>
        <v>113.532</v>
      </c>
      <c r="J29" s="10">
        <f>Goalie[[#This Row],[GP]]*INDEX(Table27[],MATCH(Goalie[[#This Row],[player]],Table27[player],0),10)</f>
        <v>1222.3040000000001</v>
      </c>
      <c r="K29" s="10">
        <f>ROUND(Goalie[[#This Row],[SA]]-Goalie[[#This Row],[GA]],0)</f>
        <v>1109</v>
      </c>
      <c r="L29" s="69">
        <f>ROUND(Goalie[[#This Row],[SV]]/Goalie[[#This Row],[SA]],3)</f>
        <v>0.90700000000000003</v>
      </c>
      <c r="M29" s="9">
        <f>ROUND(Goalie[[#This Row],[GA]]/Goalie[[#This Row],[GP]],2)</f>
        <v>2.84</v>
      </c>
      <c r="N29" s="10">
        <f>Goalie[[#This Row],[GP]]*INDEX(Table27[],MATCH(Goalie[[#This Row],[player]],Table27[player],0),13)</f>
        <v>3.3479999999999999</v>
      </c>
      <c r="O29" s="10">
        <f>Goalie[[#This Row],[GP]]*INDEX(Table27[],MATCH(Goalie[[#This Row],[player]],Table27[player],0),14)</f>
        <v>23.14</v>
      </c>
      <c r="P29" s="10">
        <f>Goalie[[#This Row],[GP]]*INDEX(Table27[],MATCH(Goalie[[#This Row],[player]],Table27[player],0),15)</f>
        <v>5.7040000000000006</v>
      </c>
      <c r="Q29" s="10">
        <f>INDEX(G_Std[],MATCH(Goalie[[#This Row],[player]],G_Std[player],0),17)</f>
        <v>0</v>
      </c>
      <c r="R29" s="10">
        <f>_xlfn.RANK.EQ(Goalie[[#This Row],[VOR]],Goalie[VOR])</f>
        <v>28</v>
      </c>
      <c r="S29" s="10">
        <f>E29*'League Inputs'!$K$25+F29*'League Inputs'!$K$23+G29*'League Inputs'!$K$24+I29*'League Inputs'!$K$27+J29*'League Inputs'!$K$28+K29*'League Inputs'!$K$29+N29*'League Inputs'!$K$30</f>
        <v>446.54399999999998</v>
      </c>
      <c r="T29" s="10"/>
      <c r="U29">
        <v>40</v>
      </c>
    </row>
    <row r="30" spans="1:21" x14ac:dyDescent="0.25">
      <c r="A30" t="s">
        <v>1081</v>
      </c>
      <c r="B30" t="s">
        <v>13</v>
      </c>
      <c r="C30">
        <v>27</v>
      </c>
      <c r="D30" t="s">
        <v>157</v>
      </c>
      <c r="E30">
        <v>45</v>
      </c>
      <c r="F30" s="10">
        <f>ROUND(Goalie[[#This Row],[GP]]*INDEX(Table27[],MATCH(Goalie[[#This Row],[player]],Table27[player],0),6),0)</f>
        <v>19</v>
      </c>
      <c r="G30" s="10">
        <f>Goalie[[#This Row],[GP]]*INDEX(Table27[],MATCH(Goalie[[#This Row],[player]],Table27[player],0),7)</f>
        <v>19.826999999999998</v>
      </c>
      <c r="H30" s="10">
        <f>Goalie[[#This Row],[GP]]*INDEX(Table27[],MATCH(Goalie[[#This Row],[player]],Table27[player],0),8)</f>
        <v>5.5575000000000001</v>
      </c>
      <c r="I30" s="10">
        <f>Goalie[[#This Row],[GP]]*INDEX(Table27[],MATCH(Goalie[[#This Row],[player]],Table27[player],0),9)</f>
        <v>133.75800000000001</v>
      </c>
      <c r="J30" s="10">
        <f>Goalie[[#This Row],[GP]]*INDEX(Table27[],MATCH(Goalie[[#This Row],[player]],Table27[player],0),10)</f>
        <v>1430.703</v>
      </c>
      <c r="K30" s="10">
        <f>ROUND(Goalie[[#This Row],[SA]]-Goalie[[#This Row],[GA]],0)</f>
        <v>1297</v>
      </c>
      <c r="L30" s="69">
        <f>ROUND(Goalie[[#This Row],[SV]]/Goalie[[#This Row],[SA]],3)</f>
        <v>0.90700000000000003</v>
      </c>
      <c r="M30" s="9">
        <f>ROUND(Goalie[[#This Row],[GA]]/Goalie[[#This Row],[GP]],2)</f>
        <v>2.97</v>
      </c>
      <c r="N30" s="10">
        <f>Goalie[[#This Row],[GP]]*INDEX(Table27[],MATCH(Goalie[[#This Row],[player]],Table27[player],0),13)</f>
        <v>4.1310000000000002</v>
      </c>
      <c r="O30" s="10">
        <f>Goalie[[#This Row],[GP]]*INDEX(Table27[],MATCH(Goalie[[#This Row],[player]],Table27[player],0),14)</f>
        <v>25.299000000000003</v>
      </c>
      <c r="P30" s="10">
        <f>Goalie[[#This Row],[GP]]*INDEX(Table27[],MATCH(Goalie[[#This Row],[player]],Table27[player],0),15)</f>
        <v>9.1620000000000008</v>
      </c>
      <c r="Q30" s="10">
        <f>INDEX(G_Std[],MATCH(Goalie[[#This Row],[player]],G_Std[player],0),17)</f>
        <v>-20.70430320193266</v>
      </c>
      <c r="R30" s="10">
        <f>_xlfn.RANK.EQ(Goalie[[#This Row],[VOR]],Goalie[VOR])</f>
        <v>29</v>
      </c>
      <c r="S30" s="10">
        <f>E30*'League Inputs'!$K$25+F30*'League Inputs'!$K$23+G30*'League Inputs'!$K$24+I30*'League Inputs'!$K$27+J30*'League Inputs'!$K$28+K30*'League Inputs'!$K$29+N30*'League Inputs'!$K$30</f>
        <v>492.5809999999999</v>
      </c>
      <c r="T30" s="10"/>
      <c r="U30">
        <v>45</v>
      </c>
    </row>
    <row r="31" spans="1:21" x14ac:dyDescent="0.25">
      <c r="A31" t="s">
        <v>160</v>
      </c>
      <c r="B31" t="s">
        <v>4</v>
      </c>
      <c r="C31">
        <v>25</v>
      </c>
      <c r="D31" t="s">
        <v>157</v>
      </c>
      <c r="E31">
        <v>42</v>
      </c>
      <c r="F31" s="10">
        <f>ROUND(Goalie[[#This Row],[GP]]*INDEX(Table27[],MATCH(Goalie[[#This Row],[player]],Table27[player],0),6),0)</f>
        <v>21</v>
      </c>
      <c r="G31" s="10">
        <f>Goalie[[#This Row],[GP]]*INDEX(Table27[],MATCH(Goalie[[#This Row],[player]],Table27[player],0),7)</f>
        <v>17.303999999999998</v>
      </c>
      <c r="H31" s="10">
        <f>Goalie[[#This Row],[GP]]*INDEX(Table27[],MATCH(Goalie[[#This Row],[player]],Table27[player],0),8)</f>
        <v>4.3638000000000003</v>
      </c>
      <c r="I31" s="10">
        <f>Goalie[[#This Row],[GP]]*INDEX(Table27[],MATCH(Goalie[[#This Row],[player]],Table27[player],0),9)</f>
        <v>120.20400000000001</v>
      </c>
      <c r="J31" s="10">
        <f>Goalie[[#This Row],[GP]]*INDEX(Table27[],MATCH(Goalie[[#This Row],[player]],Table27[player],0),10)</f>
        <v>1267.9548</v>
      </c>
      <c r="K31" s="10">
        <f>ROUND(Goalie[[#This Row],[SA]]-Goalie[[#This Row],[GA]],0)</f>
        <v>1148</v>
      </c>
      <c r="L31" s="69">
        <f>ROUND(Goalie[[#This Row],[SV]]/Goalie[[#This Row],[SA]],3)</f>
        <v>0.90500000000000003</v>
      </c>
      <c r="M31" s="9">
        <f>ROUND(Goalie[[#This Row],[GA]]/Goalie[[#This Row],[GP]],2)</f>
        <v>2.86</v>
      </c>
      <c r="N31" s="10">
        <f>Goalie[[#This Row],[GP]]*INDEX(Table27[],MATCH(Goalie[[#This Row],[player]],Table27[player],0),13)</f>
        <v>2.5830000000000002</v>
      </c>
      <c r="O31" s="10">
        <f>Goalie[[#This Row],[GP]]*INDEX(Table27[],MATCH(Goalie[[#This Row],[player]],Table27[player],0),14)</f>
        <v>24.326400000000003</v>
      </c>
      <c r="P31" s="10">
        <f>Goalie[[#This Row],[GP]]*INDEX(Table27[],MATCH(Goalie[[#This Row],[player]],Table27[player],0),15)</f>
        <v>6.2747999999999999</v>
      </c>
      <c r="Q31" s="10">
        <f>INDEX(G_Std[],MATCH(Goalie[[#This Row],[player]],G_Std[player],0),17)</f>
        <v>-27.206455715824205</v>
      </c>
      <c r="R31" s="10">
        <f>_xlfn.RANK.EQ(Goalie[[#This Row],[VOR]],Goalie[VOR])</f>
        <v>30</v>
      </c>
      <c r="S31" s="10">
        <f>E31*'League Inputs'!$K$25+F31*'League Inputs'!$K$23+G31*'League Inputs'!$K$24+I31*'League Inputs'!$K$27+J31*'League Inputs'!$K$28+K31*'League Inputs'!$K$29+N31*'League Inputs'!$K$30</f>
        <v>446.10299999999995</v>
      </c>
      <c r="T31" s="10"/>
      <c r="U31">
        <v>42</v>
      </c>
    </row>
    <row r="32" spans="1:21" x14ac:dyDescent="0.25">
      <c r="A32" t="s">
        <v>193</v>
      </c>
      <c r="B32" t="s">
        <v>20</v>
      </c>
      <c r="C32">
        <v>36</v>
      </c>
      <c r="D32" t="s">
        <v>157</v>
      </c>
      <c r="E32">
        <v>30</v>
      </c>
      <c r="F32" s="10">
        <f>ROUND(Goalie[[#This Row],[GP]]*INDEX(Table27[],MATCH(Goalie[[#This Row],[player]],Table27[player],0),6),0)</f>
        <v>14</v>
      </c>
      <c r="G32" s="10">
        <f>Goalie[[#This Row],[GP]]*INDEX(Table27[],MATCH(Goalie[[#This Row],[player]],Table27[player],0),7)</f>
        <v>12.381</v>
      </c>
      <c r="H32" s="10">
        <f>Goalie[[#This Row],[GP]]*INDEX(Table27[],MATCH(Goalie[[#This Row],[player]],Table27[player],0),8)</f>
        <v>3.2429999999999999</v>
      </c>
      <c r="I32" s="10">
        <f>Goalie[[#This Row],[GP]]*INDEX(Table27[],MATCH(Goalie[[#This Row],[player]],Table27[player],0),9)</f>
        <v>83.238</v>
      </c>
      <c r="J32" s="10">
        <f>Goalie[[#This Row],[GP]]*INDEX(Table27[],MATCH(Goalie[[#This Row],[player]],Table27[player],0),10)</f>
        <v>951.17100000000005</v>
      </c>
      <c r="K32" s="10">
        <f>ROUND(Goalie[[#This Row],[SA]]-Goalie[[#This Row],[GA]],0)</f>
        <v>868</v>
      </c>
      <c r="L32" s="69">
        <f>ROUND(Goalie[[#This Row],[SV]]/Goalie[[#This Row],[SA]],3)</f>
        <v>0.91300000000000003</v>
      </c>
      <c r="M32" s="9">
        <f>ROUND(Goalie[[#This Row],[GA]]/Goalie[[#This Row],[GP]],2)</f>
        <v>2.77</v>
      </c>
      <c r="N32" s="10">
        <f>Goalie[[#This Row],[GP]]*INDEX(Table27[],MATCH(Goalie[[#This Row],[player]],Table27[player],0),13)</f>
        <v>2.5169999999999999</v>
      </c>
      <c r="O32" s="10">
        <f>Goalie[[#This Row],[GP]]*INDEX(Table27[],MATCH(Goalie[[#This Row],[player]],Table27[player],0),14)</f>
        <v>18.128999999999998</v>
      </c>
      <c r="P32" s="10">
        <f>Goalie[[#This Row],[GP]]*INDEX(Table27[],MATCH(Goalie[[#This Row],[player]],Table27[player],0),15)</f>
        <v>3.2969999999999997</v>
      </c>
      <c r="Q32" s="10">
        <f>INDEX(G_Std[],MATCH(Goalie[[#This Row],[player]],G_Std[player],0),17)</f>
        <v>-29.918948481981317</v>
      </c>
      <c r="R32" s="10">
        <f>_xlfn.RANK.EQ(Goalie[[#This Row],[VOR]],Goalie[VOR])</f>
        <v>31</v>
      </c>
      <c r="S32" s="10">
        <f>E32*'League Inputs'!$K$25+F32*'League Inputs'!$K$23+G32*'League Inputs'!$K$24+I32*'League Inputs'!$K$27+J32*'League Inputs'!$K$28+K32*'League Inputs'!$K$29+N32*'League Inputs'!$K$30</f>
        <v>353.67099999999994</v>
      </c>
      <c r="T32" s="10"/>
      <c r="U32">
        <v>30</v>
      </c>
    </row>
    <row r="33" spans="1:21" x14ac:dyDescent="0.25">
      <c r="A33" t="s">
        <v>1243</v>
      </c>
      <c r="B33" t="s">
        <v>18</v>
      </c>
      <c r="C33">
        <v>40</v>
      </c>
      <c r="D33" t="s">
        <v>157</v>
      </c>
      <c r="E33">
        <v>44</v>
      </c>
      <c r="F33" s="10">
        <f>ROUND(Goalie[[#This Row],[GP]]*INDEX(Table27[],MATCH(Goalie[[#This Row],[player]],Table27[player],0),6),0)</f>
        <v>22</v>
      </c>
      <c r="G33" s="10">
        <f>Goalie[[#This Row],[GP]]*INDEX(Table27[],MATCH(Goalie[[#This Row],[player]],Table27[player],0),7)</f>
        <v>17.397599999999997</v>
      </c>
      <c r="H33" s="10">
        <f>Goalie[[#This Row],[GP]]*INDEX(Table27[],MATCH(Goalie[[#This Row],[player]],Table27[player],0),8)</f>
        <v>4.6728000000000005</v>
      </c>
      <c r="I33" s="10">
        <f>Goalie[[#This Row],[GP]]*INDEX(Table27[],MATCH(Goalie[[#This Row],[player]],Table27[player],0),9)</f>
        <v>127.89920000000001</v>
      </c>
      <c r="J33" s="10">
        <f>Goalie[[#This Row],[GP]]*INDEX(Table27[],MATCH(Goalie[[#This Row],[player]],Table27[player],0),10)</f>
        <v>1332.7071999999998</v>
      </c>
      <c r="K33" s="10">
        <f>ROUND(Goalie[[#This Row],[SA]]-Goalie[[#This Row],[GA]],0)</f>
        <v>1205</v>
      </c>
      <c r="L33" s="69">
        <f>ROUND(Goalie[[#This Row],[SV]]/Goalie[[#This Row],[SA]],3)</f>
        <v>0.90400000000000003</v>
      </c>
      <c r="M33" s="9">
        <f>ROUND(Goalie[[#This Row],[GA]]/Goalie[[#This Row],[GP]],2)</f>
        <v>2.91</v>
      </c>
      <c r="N33" s="10">
        <f>Goalie[[#This Row],[GP]]*INDEX(Table27[],MATCH(Goalie[[#This Row],[player]],Table27[player],0),13)</f>
        <v>2.5431999999999997</v>
      </c>
      <c r="O33" s="10">
        <f>Goalie[[#This Row],[GP]]*INDEX(Table27[],MATCH(Goalie[[#This Row],[player]],Table27[player],0),14)</f>
        <v>23.077999999999999</v>
      </c>
      <c r="P33" s="10">
        <f>Goalie[[#This Row],[GP]]*INDEX(Table27[],MATCH(Goalie[[#This Row],[player]],Table27[player],0),15)</f>
        <v>10.032</v>
      </c>
      <c r="Q33" s="10">
        <f>INDEX(G_Std[],MATCH(Goalie[[#This Row],[player]],G_Std[player],0),17)</f>
        <v>-33.533127805118895</v>
      </c>
      <c r="R33" s="10">
        <f>_xlfn.RANK.EQ(Goalie[[#This Row],[VOR]],Goalie[VOR])</f>
        <v>32</v>
      </c>
      <c r="S33" s="10">
        <f>E33*'League Inputs'!$K$25+F33*'League Inputs'!$K$23+G33*'League Inputs'!$K$24+I33*'League Inputs'!$K$27+J33*'League Inputs'!$K$28+K33*'League Inputs'!$K$29+N33*'League Inputs'!$K$30</f>
        <v>462.01839999999999</v>
      </c>
      <c r="T33" s="10"/>
      <c r="U33">
        <v>44</v>
      </c>
    </row>
    <row r="34" spans="1:21" x14ac:dyDescent="0.25">
      <c r="A34" t="s">
        <v>1245</v>
      </c>
      <c r="B34" t="s">
        <v>1091</v>
      </c>
      <c r="C34">
        <v>29</v>
      </c>
      <c r="D34" t="s">
        <v>157</v>
      </c>
      <c r="E34">
        <v>40</v>
      </c>
      <c r="F34" s="10">
        <f>ROUND(Goalie[[#This Row],[GP]]*INDEX(Table27[],MATCH(Goalie[[#This Row],[player]],Table27[player],0),6),0)</f>
        <v>23</v>
      </c>
      <c r="G34" s="10">
        <f>Goalie[[#This Row],[GP]]*INDEX(Table27[],MATCH(Goalie[[#This Row],[player]],Table27[player],0),7)</f>
        <v>11.868</v>
      </c>
      <c r="H34" s="10">
        <f>Goalie[[#This Row],[GP]]*INDEX(Table27[],MATCH(Goalie[[#This Row],[player]],Table27[player],0),8)</f>
        <v>4.468</v>
      </c>
      <c r="I34" s="10">
        <f>Goalie[[#This Row],[GP]]*INDEX(Table27[],MATCH(Goalie[[#This Row],[player]],Table27[player],0),9)</f>
        <v>112.148</v>
      </c>
      <c r="J34" s="10">
        <f>Goalie[[#This Row],[GP]]*INDEX(Table27[],MATCH(Goalie[[#This Row],[player]],Table27[player],0),10)</f>
        <v>1159.396</v>
      </c>
      <c r="K34" s="10">
        <f>ROUND(Goalie[[#This Row],[SA]]-Goalie[[#This Row],[GA]],0)</f>
        <v>1047</v>
      </c>
      <c r="L34" s="69">
        <f>ROUND(Goalie[[#This Row],[SV]]/Goalie[[#This Row],[SA]],3)</f>
        <v>0.90300000000000002</v>
      </c>
      <c r="M34" s="9">
        <f>ROUND(Goalie[[#This Row],[GA]]/Goalie[[#This Row],[GP]],2)</f>
        <v>2.8</v>
      </c>
      <c r="N34" s="10">
        <f>Goalie[[#This Row],[GP]]*INDEX(Table27[],MATCH(Goalie[[#This Row],[player]],Table27[player],0),13)</f>
        <v>2.1879999999999997</v>
      </c>
      <c r="O34" s="10">
        <f>Goalie[[#This Row],[GP]]*INDEX(Table27[],MATCH(Goalie[[#This Row],[player]],Table27[player],0),14)</f>
        <v>20.916</v>
      </c>
      <c r="P34" s="10">
        <f>Goalie[[#This Row],[GP]]*INDEX(Table27[],MATCH(Goalie[[#This Row],[player]],Table27[player],0),15)</f>
        <v>7.7359999999999998</v>
      </c>
      <c r="Q34" s="10">
        <f>INDEX(G_Std[],MATCH(Goalie[[#This Row],[player]],G_Std[player],0),17)</f>
        <v>-39.031730166776882</v>
      </c>
      <c r="R34" s="10">
        <f>_xlfn.RANK.EQ(Goalie[[#This Row],[VOR]],Goalie[VOR])</f>
        <v>33</v>
      </c>
      <c r="S34" s="10">
        <f>E34*'League Inputs'!$K$25+F34*'League Inputs'!$K$23+G34*'League Inputs'!$K$24+I34*'League Inputs'!$K$27+J34*'League Inputs'!$K$28+K34*'League Inputs'!$K$29+N34*'League Inputs'!$K$30</f>
        <v>417.69599999999997</v>
      </c>
      <c r="T34" s="10"/>
      <c r="U34">
        <v>40</v>
      </c>
    </row>
    <row r="35" spans="1:21" x14ac:dyDescent="0.25">
      <c r="A35" t="s">
        <v>166</v>
      </c>
      <c r="B35" t="s">
        <v>18</v>
      </c>
      <c r="C35">
        <v>26</v>
      </c>
      <c r="D35" t="s">
        <v>157</v>
      </c>
      <c r="E35">
        <v>36</v>
      </c>
      <c r="F35" s="10">
        <f>ROUND(Goalie[[#This Row],[GP]]*INDEX(Table27[],MATCH(Goalie[[#This Row],[player]],Table27[player],0),6),0)</f>
        <v>18</v>
      </c>
      <c r="G35" s="10">
        <f>Goalie[[#This Row],[GP]]*INDEX(Table27[],MATCH(Goalie[[#This Row],[player]],Table27[player],0),7)</f>
        <v>14.6844</v>
      </c>
      <c r="H35" s="10">
        <f>Goalie[[#This Row],[GP]]*INDEX(Table27[],MATCH(Goalie[[#This Row],[player]],Table27[player],0),8)</f>
        <v>4.1975999999999996</v>
      </c>
      <c r="I35" s="10">
        <f>Goalie[[#This Row],[GP]]*INDEX(Table27[],MATCH(Goalie[[#This Row],[player]],Table27[player],0),9)</f>
        <v>103.6224</v>
      </c>
      <c r="J35" s="10">
        <f>Goalie[[#This Row],[GP]]*INDEX(Table27[],MATCH(Goalie[[#This Row],[player]],Table27[player],0),10)</f>
        <v>1122.7788</v>
      </c>
      <c r="K35" s="10">
        <f>ROUND(Goalie[[#This Row],[SA]]-Goalie[[#This Row],[GA]],0)</f>
        <v>1019</v>
      </c>
      <c r="L35" s="69">
        <f>ROUND(Goalie[[#This Row],[SV]]/Goalie[[#This Row],[SA]],3)</f>
        <v>0.90800000000000003</v>
      </c>
      <c r="M35" s="9">
        <f>ROUND(Goalie[[#This Row],[GA]]/Goalie[[#This Row],[GP]],2)</f>
        <v>2.88</v>
      </c>
      <c r="N35" s="10">
        <f>Goalie[[#This Row],[GP]]*INDEX(Table27[],MATCH(Goalie[[#This Row],[player]],Table27[player],0),13)</f>
        <v>2.2031999999999998</v>
      </c>
      <c r="O35" s="10">
        <f>Goalie[[#This Row],[GP]]*INDEX(Table27[],MATCH(Goalie[[#This Row],[player]],Table27[player],0),14)</f>
        <v>18.799199999999999</v>
      </c>
      <c r="P35" s="10">
        <f>Goalie[[#This Row],[GP]]*INDEX(Table27[],MATCH(Goalie[[#This Row],[player]],Table27[player],0),15)</f>
        <v>6.8255999999999997</v>
      </c>
      <c r="Q35" s="10">
        <f>INDEX(G_Std[],MATCH(Goalie[[#This Row],[player]],G_Std[player],0),17)</f>
        <v>-58.314590859358233</v>
      </c>
      <c r="R35" s="10">
        <f>_xlfn.RANK.EQ(Goalie[[#This Row],[VOR]],Goalie[VOR])</f>
        <v>34</v>
      </c>
      <c r="S35" s="10">
        <f>E35*'League Inputs'!$K$25+F35*'League Inputs'!$K$23+G35*'League Inputs'!$K$24+I35*'League Inputs'!$K$27+J35*'League Inputs'!$K$28+K35*'League Inputs'!$K$29+N35*'League Inputs'!$K$30</f>
        <v>401.54879999999997</v>
      </c>
      <c r="T35" s="10"/>
      <c r="U35">
        <v>36</v>
      </c>
    </row>
    <row r="36" spans="1:21" x14ac:dyDescent="0.25">
      <c r="A36" t="s">
        <v>178</v>
      </c>
      <c r="B36" t="s">
        <v>197</v>
      </c>
      <c r="C36">
        <v>32</v>
      </c>
      <c r="D36" t="s">
        <v>157</v>
      </c>
      <c r="E36">
        <v>35</v>
      </c>
      <c r="F36" s="10">
        <f>ROUND(Goalie[[#This Row],[GP]]*INDEX(Table27[],MATCH(Goalie[[#This Row],[player]],Table27[player],0),6),0)</f>
        <v>19</v>
      </c>
      <c r="G36" s="10">
        <f>Goalie[[#This Row],[GP]]*INDEX(Table27[],MATCH(Goalie[[#This Row],[player]],Table27[player],0),7)</f>
        <v>11.7285</v>
      </c>
      <c r="H36" s="10">
        <f>Goalie[[#This Row],[GP]]*INDEX(Table27[],MATCH(Goalie[[#This Row],[player]],Table27[player],0),8)</f>
        <v>4.9420000000000002</v>
      </c>
      <c r="I36" s="10">
        <f>Goalie[[#This Row],[GP]]*INDEX(Table27[],MATCH(Goalie[[#This Row],[player]],Table27[player],0),9)</f>
        <v>97.888000000000005</v>
      </c>
      <c r="J36" s="10">
        <f>Goalie[[#This Row],[GP]]*INDEX(Table27[],MATCH(Goalie[[#This Row],[player]],Table27[player],0),10)</f>
        <v>1050.3675000000001</v>
      </c>
      <c r="K36" s="10">
        <f>ROUND(Goalie[[#This Row],[SA]]-Goalie[[#This Row],[GA]],0)</f>
        <v>952</v>
      </c>
      <c r="L36" s="69">
        <f>ROUND(Goalie[[#This Row],[SV]]/Goalie[[#This Row],[SA]],3)</f>
        <v>0.90600000000000003</v>
      </c>
      <c r="M36" s="9">
        <f>ROUND(Goalie[[#This Row],[GA]]/Goalie[[#This Row],[GP]],2)</f>
        <v>2.8</v>
      </c>
      <c r="N36" s="10">
        <f>Goalie[[#This Row],[GP]]*INDEX(Table27[],MATCH(Goalie[[#This Row],[player]],Table27[player],0),13)</f>
        <v>2.2854999999999999</v>
      </c>
      <c r="O36" s="10">
        <f>Goalie[[#This Row],[GP]]*INDEX(Table27[],MATCH(Goalie[[#This Row],[player]],Table27[player],0),14)</f>
        <v>18.423999999999999</v>
      </c>
      <c r="P36" s="10">
        <f>Goalie[[#This Row],[GP]]*INDEX(Table27[],MATCH(Goalie[[#This Row],[player]],Table27[player],0),15)</f>
        <v>3.5</v>
      </c>
      <c r="Q36" s="10">
        <f>INDEX(G_Std[],MATCH(Goalie[[#This Row],[player]],G_Std[player],0),17)</f>
        <v>-65.741604045428033</v>
      </c>
      <c r="R36" s="10">
        <f>_xlfn.RANK.EQ(Goalie[[#This Row],[VOR]],Goalie[VOR])</f>
        <v>35</v>
      </c>
      <c r="S36" s="10">
        <f>E36*'League Inputs'!$K$25+F36*'League Inputs'!$K$23+G36*'League Inputs'!$K$24+I36*'League Inputs'!$K$27+J36*'League Inputs'!$K$28+K36*'League Inputs'!$K$29+N36*'League Inputs'!$K$30</f>
        <v>383.96349999999995</v>
      </c>
      <c r="T36" s="10"/>
      <c r="U36">
        <v>35</v>
      </c>
    </row>
    <row r="37" spans="1:21" x14ac:dyDescent="0.25">
      <c r="A37" t="s">
        <v>1090</v>
      </c>
      <c r="B37" t="s">
        <v>32</v>
      </c>
      <c r="C37">
        <v>25</v>
      </c>
      <c r="D37" t="s">
        <v>157</v>
      </c>
      <c r="E37">
        <v>40</v>
      </c>
      <c r="F37" s="10">
        <f>ROUND(Goalie[[#This Row],[GP]]*INDEX(Table27[],MATCH(Goalie[[#This Row],[player]],Table27[player],0),6),0)</f>
        <v>20</v>
      </c>
      <c r="G37" s="10">
        <f>Goalie[[#This Row],[GP]]*INDEX(Table27[],MATCH(Goalie[[#This Row],[player]],Table27[player],0),7)</f>
        <v>15.187999999999999</v>
      </c>
      <c r="H37" s="10">
        <f>Goalie[[#This Row],[GP]]*INDEX(Table27[],MATCH(Goalie[[#This Row],[player]],Table27[player],0),8)</f>
        <v>4.8639999999999999</v>
      </c>
      <c r="I37" s="10">
        <f>Goalie[[#This Row],[GP]]*INDEX(Table27[],MATCH(Goalie[[#This Row],[player]],Table27[player],0),9)</f>
        <v>106.648</v>
      </c>
      <c r="J37" s="10">
        <f>Goalie[[#This Row],[GP]]*INDEX(Table27[],MATCH(Goalie[[#This Row],[player]],Table27[player],0),10)</f>
        <v>1066.2080000000001</v>
      </c>
      <c r="K37" s="10">
        <f>ROUND(Goalie[[#This Row],[SA]]-Goalie[[#This Row],[GA]],0)</f>
        <v>960</v>
      </c>
      <c r="L37" s="69">
        <f>ROUND(Goalie[[#This Row],[SV]]/Goalie[[#This Row],[SA]],3)</f>
        <v>0.9</v>
      </c>
      <c r="M37" s="9">
        <f>ROUND(Goalie[[#This Row],[GA]]/Goalie[[#This Row],[GP]],2)</f>
        <v>2.67</v>
      </c>
      <c r="N37" s="10">
        <f>Goalie[[#This Row],[GP]]*INDEX(Table27[],MATCH(Goalie[[#This Row],[player]],Table27[player],0),13)</f>
        <v>3.056</v>
      </c>
      <c r="O37" s="10">
        <f>Goalie[[#This Row],[GP]]*INDEX(Table27[],MATCH(Goalie[[#This Row],[player]],Table27[player],0),14)</f>
        <v>21.808</v>
      </c>
      <c r="P37" s="10">
        <f>Goalie[[#This Row],[GP]]*INDEX(Table27[],MATCH(Goalie[[#This Row],[player]],Table27[player],0),15)</f>
        <v>9.6</v>
      </c>
      <c r="Q37" s="10">
        <f>INDEX(G_Std[],MATCH(Goalie[[#This Row],[player]],G_Std[player],0),17)</f>
        <v>-95.987307103505543</v>
      </c>
      <c r="R37" s="10">
        <f>_xlfn.RANK.EQ(Goalie[[#This Row],[VOR]],Goalie[VOR])</f>
        <v>36</v>
      </c>
      <c r="S37" s="10">
        <f>E37*'League Inputs'!$K$25+F37*'League Inputs'!$K$23+G37*'League Inputs'!$K$24+I37*'League Inputs'!$K$27+J37*'League Inputs'!$K$28+K37*'League Inputs'!$K$29+N37*'League Inputs'!$K$30</f>
        <v>371.33600000000001</v>
      </c>
      <c r="T37" s="10"/>
      <c r="U37">
        <v>40</v>
      </c>
    </row>
    <row r="38" spans="1:21" x14ac:dyDescent="0.25">
      <c r="A38" t="s">
        <v>1253</v>
      </c>
      <c r="B38" t="s">
        <v>32</v>
      </c>
      <c r="C38">
        <v>28</v>
      </c>
      <c r="D38" t="s">
        <v>157</v>
      </c>
      <c r="E38" s="10">
        <v>37</v>
      </c>
      <c r="F38" s="10">
        <f>ROUND(Goalie[[#This Row],[GP]]*INDEX(Table27[],MATCH(Goalie[[#This Row],[player]],Table27[player],0),6),0)</f>
        <v>18</v>
      </c>
      <c r="G38" s="10">
        <f>Goalie[[#This Row],[GP]]*INDEX(Table27[],MATCH(Goalie[[#This Row],[player]],Table27[player],0),7)</f>
        <v>14.621096590909092</v>
      </c>
      <c r="H38" s="10">
        <f>Goalie[[#This Row],[GP]]*INDEX(Table27[],MATCH(Goalie[[#This Row],[player]],Table27[player],0),8)</f>
        <v>4.0664261363636358</v>
      </c>
      <c r="I38" s="10">
        <f>Goalie[[#This Row],[GP]]*INDEX(Table27[],MATCH(Goalie[[#This Row],[player]],Table27[player],0),9)</f>
        <v>109.57888359618183</v>
      </c>
      <c r="J38" s="10">
        <f>Goalie[[#This Row],[GP]]*INDEX(Table27[],MATCH(Goalie[[#This Row],[player]],Table27[player],0),10)</f>
        <v>1141.1667818181818</v>
      </c>
      <c r="K38" s="10">
        <f>ROUND(Goalie[[#This Row],[SA]]-Goalie[[#This Row],[GA]],0)</f>
        <v>1032</v>
      </c>
      <c r="L38" s="69">
        <f>ROUND(Goalie[[#This Row],[SV]]/Goalie[[#This Row],[SA]],3)</f>
        <v>0.90400000000000003</v>
      </c>
      <c r="M38" s="9">
        <f>ROUND(Goalie[[#This Row],[GA]]/Goalie[[#This Row],[GP]],2)</f>
        <v>2.96</v>
      </c>
      <c r="N38" s="10">
        <f>Goalie[[#This Row],[GP]]*INDEX(Table27[],MATCH(Goalie[[#This Row],[player]],Table27[player],0),13)</f>
        <v>1.8378488636363641</v>
      </c>
      <c r="O38" s="10">
        <f>Goalie[[#This Row],[GP]]*INDEX(Table27[],MATCH(Goalie[[#This Row],[player]],Table27[player],0),14)</f>
        <v>19.614877272727277</v>
      </c>
      <c r="P38" s="10">
        <f>Goalie[[#This Row],[GP]]*INDEX(Table27[],MATCH(Goalie[[#This Row],[player]],Table27[player],0),15)</f>
        <v>6.6980090909090917</v>
      </c>
      <c r="Q38" s="10">
        <f>INDEX(G_Std[],MATCH(Goalie[[#This Row],[player]],G_Std[player],0),17)</f>
        <v>-144.2774033699248</v>
      </c>
      <c r="R38" s="10">
        <f>_xlfn.RANK.EQ(Goalie[[#This Row],[VOR]],Goalie[VOR])</f>
        <v>37</v>
      </c>
      <c r="S38" s="10">
        <f>E38*'League Inputs'!$K$25+F38*'League Inputs'!$K$23+G38*'League Inputs'!$K$24+I38*'League Inputs'!$K$27+J38*'League Inputs'!$K$28+K38*'League Inputs'!$K$29+N38*'League Inputs'!$K$30</f>
        <v>389.65259352963625</v>
      </c>
      <c r="T38" s="10"/>
      <c r="U38">
        <v>37</v>
      </c>
    </row>
    <row r="39" spans="1:21" x14ac:dyDescent="0.25">
      <c r="A39" t="s">
        <v>185</v>
      </c>
      <c r="B39" t="s">
        <v>1089</v>
      </c>
      <c r="C39">
        <v>27</v>
      </c>
      <c r="D39" t="s">
        <v>157</v>
      </c>
      <c r="E39">
        <v>35</v>
      </c>
      <c r="F39" s="10">
        <f>ROUND(Goalie[[#This Row],[GP]]*INDEX(Table27[],MATCH(Goalie[[#This Row],[player]],Table27[player],0),6),0)</f>
        <v>21</v>
      </c>
      <c r="G39" s="10">
        <f>Goalie[[#This Row],[GP]]*INDEX(Table27[],MATCH(Goalie[[#This Row],[player]],Table27[player],0),7)</f>
        <v>9.0229999999999997</v>
      </c>
      <c r="H39" s="10">
        <f>Goalie[[#This Row],[GP]]*INDEX(Table27[],MATCH(Goalie[[#This Row],[player]],Table27[player],0),8)</f>
        <v>5.2535000000000007</v>
      </c>
      <c r="I39" s="10">
        <f>Goalie[[#This Row],[GP]]*INDEX(Table27[],MATCH(Goalie[[#This Row],[player]],Table27[player],0),9)</f>
        <v>99.847999999999999</v>
      </c>
      <c r="J39" s="10">
        <f>Goalie[[#This Row],[GP]]*INDEX(Table27[],MATCH(Goalie[[#This Row],[player]],Table27[player],0),10)</f>
        <v>1008.8155</v>
      </c>
      <c r="K39" s="10">
        <f>ROUND(Goalie[[#This Row],[SA]]-Goalie[[#This Row],[GA]],0)</f>
        <v>909</v>
      </c>
      <c r="L39" s="69">
        <f>ROUND(Goalie[[#This Row],[SV]]/Goalie[[#This Row],[SA]],3)</f>
        <v>0.90100000000000002</v>
      </c>
      <c r="M39" s="9">
        <f>ROUND(Goalie[[#This Row],[GA]]/Goalie[[#This Row],[GP]],2)</f>
        <v>2.85</v>
      </c>
      <c r="N39" s="10">
        <f>Goalie[[#This Row],[GP]]*INDEX(Table27[],MATCH(Goalie[[#This Row],[player]],Table27[player],0),13)</f>
        <v>2.7335000000000003</v>
      </c>
      <c r="O39" s="10">
        <f>Goalie[[#This Row],[GP]]*INDEX(Table27[],MATCH(Goalie[[#This Row],[player]],Table27[player],0),14)</f>
        <v>17.377500000000001</v>
      </c>
      <c r="P39" s="10">
        <f>Goalie[[#This Row],[GP]]*INDEX(Table27[],MATCH(Goalie[[#This Row],[player]],Table27[player],0),15)</f>
        <v>7.0105000000000004</v>
      </c>
      <c r="Q39" s="10">
        <f>INDEX(G_Std[],MATCH(Goalie[[#This Row],[player]],G_Std[player],0),17)</f>
        <v>-147.29612479816251</v>
      </c>
      <c r="R39" s="10">
        <f>_xlfn.RANK.EQ(Goalie[[#This Row],[VOR]],Goalie[VOR])</f>
        <v>38</v>
      </c>
      <c r="S39" s="10">
        <f>E39*'League Inputs'!$K$25+F39*'League Inputs'!$K$23+G39*'League Inputs'!$K$24+I39*'League Inputs'!$K$27+J39*'League Inputs'!$K$28+K39*'League Inputs'!$K$29+N39*'League Inputs'!$K$30</f>
        <v>364.52350000000001</v>
      </c>
      <c r="T39" s="10"/>
      <c r="U39">
        <v>35</v>
      </c>
    </row>
    <row r="40" spans="1:21" x14ac:dyDescent="0.25">
      <c r="A40" t="s">
        <v>1250</v>
      </c>
      <c r="B40" t="s">
        <v>16</v>
      </c>
      <c r="C40">
        <v>32</v>
      </c>
      <c r="D40" t="s">
        <v>157</v>
      </c>
      <c r="E40">
        <v>25</v>
      </c>
      <c r="F40" s="10">
        <f>ROUND(Goalie[[#This Row],[GP]]*INDEX(Table27[],MATCH(Goalie[[#This Row],[player]],Table27[player],0),6),0)</f>
        <v>14</v>
      </c>
      <c r="G40" s="10">
        <f>Goalie[[#This Row],[GP]]*INDEX(Table27[],MATCH(Goalie[[#This Row],[player]],Table27[player],0),7)</f>
        <v>9.2175000000000011</v>
      </c>
      <c r="H40" s="10">
        <f>Goalie[[#This Row],[GP]]*INDEX(Table27[],MATCH(Goalie[[#This Row],[player]],Table27[player],0),8)</f>
        <v>1.8624999999999998</v>
      </c>
      <c r="I40" s="10">
        <f>Goalie[[#This Row],[GP]]*INDEX(Table27[],MATCH(Goalie[[#This Row],[player]],Table27[player],0),9)</f>
        <v>68.849999999999994</v>
      </c>
      <c r="J40" s="10">
        <f>Goalie[[#This Row],[GP]]*INDEX(Table27[],MATCH(Goalie[[#This Row],[player]],Table27[player],0),10)</f>
        <v>737.4375</v>
      </c>
      <c r="K40" s="10">
        <f>ROUND(Goalie[[#This Row],[SA]]-Goalie[[#This Row],[GA]],0)</f>
        <v>669</v>
      </c>
      <c r="L40" s="69">
        <f>ROUND(Goalie[[#This Row],[SV]]/Goalie[[#This Row],[SA]],3)</f>
        <v>0.90700000000000003</v>
      </c>
      <c r="M40" s="9">
        <f>ROUND(Goalie[[#This Row],[GA]]/Goalie[[#This Row],[GP]],2)</f>
        <v>2.75</v>
      </c>
      <c r="N40" s="10">
        <f>Goalie[[#This Row],[GP]]*INDEX(Table27[],MATCH(Goalie[[#This Row],[player]],Table27[player],0),13)</f>
        <v>1.3074999999999999</v>
      </c>
      <c r="O40" s="10">
        <f>Goalie[[#This Row],[GP]]*INDEX(Table27[],MATCH(Goalie[[#This Row],[player]],Table27[player],0),14)</f>
        <v>13.032499999999999</v>
      </c>
      <c r="P40" s="10">
        <f>Goalie[[#This Row],[GP]]*INDEX(Table27[],MATCH(Goalie[[#This Row],[player]],Table27[player],0),15)</f>
        <v>4.7675000000000001</v>
      </c>
      <c r="Q40" s="10">
        <f>INDEX(G_Std[],MATCH(Goalie[[#This Row],[player]],G_Std[player],0),17)</f>
        <v>-166.15578594796298</v>
      </c>
      <c r="R40" s="10">
        <f>_xlfn.RANK.EQ(Goalie[[#This Row],[VOR]],Goalie[VOR])</f>
        <v>39</v>
      </c>
      <c r="S40" s="10">
        <f>E40*'League Inputs'!$K$25+F40*'League Inputs'!$K$23+G40*'League Inputs'!$K$24+I40*'League Inputs'!$K$27+J40*'League Inputs'!$K$28+K40*'League Inputs'!$K$29+N40*'League Inputs'!$K$30</f>
        <v>271.38750000000005</v>
      </c>
      <c r="T40" s="10"/>
      <c r="U40">
        <v>25</v>
      </c>
    </row>
    <row r="41" spans="1:21" x14ac:dyDescent="0.25">
      <c r="A41" t="s">
        <v>1244</v>
      </c>
      <c r="B41" t="s">
        <v>21</v>
      </c>
      <c r="C41">
        <v>32</v>
      </c>
      <c r="D41" t="s">
        <v>157</v>
      </c>
      <c r="E41">
        <v>45</v>
      </c>
      <c r="F41" s="10">
        <f>ROUND(Goalie[[#This Row],[GP]]*INDEX(Table27[],MATCH(Goalie[[#This Row],[player]],Table27[player],0),6),0)</f>
        <v>17</v>
      </c>
      <c r="G41" s="10">
        <f>Goalie[[#This Row],[GP]]*INDEX(Table27[],MATCH(Goalie[[#This Row],[player]],Table27[player],0),7)</f>
        <v>23.481000000000002</v>
      </c>
      <c r="H41" s="10">
        <f>Goalie[[#This Row],[GP]]*INDEX(Table27[],MATCH(Goalie[[#This Row],[player]],Table27[player],0),8)</f>
        <v>3.2444999999999999</v>
      </c>
      <c r="I41" s="10">
        <f>Goalie[[#This Row],[GP]]*INDEX(Table27[],MATCH(Goalie[[#This Row],[player]],Table27[player],0),9)</f>
        <v>140.82300000000001</v>
      </c>
      <c r="J41" s="10">
        <f>Goalie[[#This Row],[GP]]*INDEX(Table27[],MATCH(Goalie[[#This Row],[player]],Table27[player],0),10)</f>
        <v>1433.8890000000001</v>
      </c>
      <c r="K41" s="10">
        <f>ROUND(Goalie[[#This Row],[SA]]-Goalie[[#This Row],[GA]],0)</f>
        <v>1293</v>
      </c>
      <c r="L41" s="69">
        <f>ROUND(Goalie[[#This Row],[SV]]/Goalie[[#This Row],[SA]],3)</f>
        <v>0.90200000000000002</v>
      </c>
      <c r="M41" s="9">
        <f>ROUND(Goalie[[#This Row],[GA]]/Goalie[[#This Row],[GP]],2)</f>
        <v>3.13</v>
      </c>
      <c r="N41" s="10">
        <f>Goalie[[#This Row],[GP]]*INDEX(Table27[],MATCH(Goalie[[#This Row],[player]],Table27[player],0),13)</f>
        <v>0.78299999999999992</v>
      </c>
      <c r="O41" s="10">
        <f>Goalie[[#This Row],[GP]]*INDEX(Table27[],MATCH(Goalie[[#This Row],[player]],Table27[player],0),14)</f>
        <v>22.918499999999998</v>
      </c>
      <c r="P41" s="10">
        <f>Goalie[[#This Row],[GP]]*INDEX(Table27[],MATCH(Goalie[[#This Row],[player]],Table27[player],0),15)</f>
        <v>7.2719999999999994</v>
      </c>
      <c r="Q41" s="10">
        <f>INDEX(G_Std[],MATCH(Goalie[[#This Row],[player]],G_Std[player],0),17)</f>
        <v>-178.63849860101405</v>
      </c>
      <c r="R41" s="10">
        <f>_xlfn.RANK.EQ(Goalie[[#This Row],[VOR]],Goalie[VOR])</f>
        <v>40</v>
      </c>
      <c r="S41" s="10">
        <f>E41*'League Inputs'!$K$25+F41*'League Inputs'!$K$23+G41*'League Inputs'!$K$24+I41*'League Inputs'!$K$27+J41*'League Inputs'!$K$28+K41*'League Inputs'!$K$29+N41*'League Inputs'!$K$30</f>
        <v>442.24599999999992</v>
      </c>
      <c r="T41" s="10"/>
      <c r="U41">
        <v>45</v>
      </c>
    </row>
    <row r="42" spans="1:21" x14ac:dyDescent="0.25">
      <c r="A42" t="s">
        <v>1078</v>
      </c>
      <c r="B42" t="s">
        <v>2</v>
      </c>
      <c r="C42">
        <v>32</v>
      </c>
      <c r="D42" t="s">
        <v>157</v>
      </c>
      <c r="E42">
        <v>30</v>
      </c>
      <c r="F42" s="10">
        <f>ROUND(Goalie[[#This Row],[GP]]*INDEX(Table27[],MATCH(Goalie[[#This Row],[player]],Table27[player],0),6),0)</f>
        <v>15</v>
      </c>
      <c r="G42" s="10">
        <f>Goalie[[#This Row],[GP]]*INDEX(Table27[],MATCH(Goalie[[#This Row],[player]],Table27[player],0),7)</f>
        <v>11.795999999999999</v>
      </c>
      <c r="H42" s="10">
        <f>Goalie[[#This Row],[GP]]*INDEX(Table27[],MATCH(Goalie[[#This Row],[player]],Table27[player],0),8)</f>
        <v>3.5340000000000003</v>
      </c>
      <c r="I42" s="10">
        <f>Goalie[[#This Row],[GP]]*INDEX(Table27[],MATCH(Goalie[[#This Row],[player]],Table27[player],0),9)</f>
        <v>88.727999999999994</v>
      </c>
      <c r="J42" s="10">
        <f>Goalie[[#This Row],[GP]]*INDEX(Table27[],MATCH(Goalie[[#This Row],[player]],Table27[player],0),10)</f>
        <v>937.56</v>
      </c>
      <c r="K42" s="10">
        <f>ROUND(Goalie[[#This Row],[SA]]-Goalie[[#This Row],[GA]],0)</f>
        <v>849</v>
      </c>
      <c r="L42" s="69">
        <f>ROUND(Goalie[[#This Row],[SV]]/Goalie[[#This Row],[SA]],3)</f>
        <v>0.90600000000000003</v>
      </c>
      <c r="M42" s="9">
        <f>ROUND(Goalie[[#This Row],[GA]]/Goalie[[#This Row],[GP]],2)</f>
        <v>2.96</v>
      </c>
      <c r="N42" s="10">
        <f>Goalie[[#This Row],[GP]]*INDEX(Table27[],MATCH(Goalie[[#This Row],[player]],Table27[player],0),13)</f>
        <v>1.5329999999999999</v>
      </c>
      <c r="O42" s="10">
        <f>Goalie[[#This Row],[GP]]*INDEX(Table27[],MATCH(Goalie[[#This Row],[player]],Table27[player],0),14)</f>
        <v>16.422000000000001</v>
      </c>
      <c r="P42" s="10">
        <f>Goalie[[#This Row],[GP]]*INDEX(Table27[],MATCH(Goalie[[#This Row],[player]],Table27[player],0),15)</f>
        <v>5.3730000000000002</v>
      </c>
      <c r="Q42" s="10">
        <f>INDEX(G_Std[],MATCH(Goalie[[#This Row],[player]],G_Std[player],0),17)</f>
        <v>-197.59301446405053</v>
      </c>
      <c r="R42" s="10">
        <f>_xlfn.RANK.EQ(Goalie[[#This Row],[VOR]],Goalie[VOR])</f>
        <v>41</v>
      </c>
      <c r="S42" s="10">
        <f>E42*'League Inputs'!$K$25+F42*'League Inputs'!$K$23+G42*'League Inputs'!$K$24+I42*'League Inputs'!$K$27+J42*'League Inputs'!$K$28+K42*'League Inputs'!$K$29+N42*'League Inputs'!$K$30</f>
        <v>325.88100000000003</v>
      </c>
      <c r="T42" s="10"/>
      <c r="U42">
        <v>30</v>
      </c>
    </row>
    <row r="43" spans="1:21" x14ac:dyDescent="0.25">
      <c r="A43" t="s">
        <v>177</v>
      </c>
      <c r="B43" t="s">
        <v>15</v>
      </c>
      <c r="C43">
        <v>32</v>
      </c>
      <c r="D43" t="s">
        <v>157</v>
      </c>
      <c r="E43">
        <v>30</v>
      </c>
      <c r="F43" s="10">
        <f>ROUND(Goalie[[#This Row],[GP]]*INDEX(Table27[],MATCH(Goalie[[#This Row],[player]],Table27[player],0),6),0)</f>
        <v>15</v>
      </c>
      <c r="G43" s="10">
        <f>Goalie[[#This Row],[GP]]*INDEX(Table27[],MATCH(Goalie[[#This Row],[player]],Table27[player],0),7)</f>
        <v>12.239999999999998</v>
      </c>
      <c r="H43" s="10">
        <f>Goalie[[#This Row],[GP]]*INDEX(Table27[],MATCH(Goalie[[#This Row],[player]],Table27[player],0),8)</f>
        <v>1.944</v>
      </c>
      <c r="I43" s="10">
        <f>Goalie[[#This Row],[GP]]*INDEX(Table27[],MATCH(Goalie[[#This Row],[player]],Table27[player],0),9)</f>
        <v>87.867000000000004</v>
      </c>
      <c r="J43" s="10">
        <f>Goalie[[#This Row],[GP]]*INDEX(Table27[],MATCH(Goalie[[#This Row],[player]],Table27[player],0),10)</f>
        <v>925.74599999999998</v>
      </c>
      <c r="K43" s="10">
        <f>ROUND(Goalie[[#This Row],[SA]]-Goalie[[#This Row],[GA]],0)</f>
        <v>838</v>
      </c>
      <c r="L43" s="69">
        <f>ROUND(Goalie[[#This Row],[SV]]/Goalie[[#This Row],[SA]],3)</f>
        <v>0.90500000000000003</v>
      </c>
      <c r="M43" s="9">
        <f>ROUND(Goalie[[#This Row],[GA]]/Goalie[[#This Row],[GP]],2)</f>
        <v>2.93</v>
      </c>
      <c r="N43" s="10">
        <f>Goalie[[#This Row],[GP]]*INDEX(Table27[],MATCH(Goalie[[#This Row],[player]],Table27[player],0),13)</f>
        <v>1.5870000000000002</v>
      </c>
      <c r="O43" s="10">
        <f>Goalie[[#This Row],[GP]]*INDEX(Table27[],MATCH(Goalie[[#This Row],[player]],Table27[player],0),14)</f>
        <v>16.760999999999999</v>
      </c>
      <c r="P43" s="10">
        <f>Goalie[[#This Row],[GP]]*INDEX(Table27[],MATCH(Goalie[[#This Row],[player]],Table27[player],0),15)</f>
        <v>6.5880000000000001</v>
      </c>
      <c r="Q43" s="10">
        <f>INDEX(G_Std[],MATCH(Goalie[[#This Row],[player]],G_Std[player],0),17)</f>
        <v>-204.85261819706025</v>
      </c>
      <c r="R43" s="10">
        <f>_xlfn.RANK.EQ(Goalie[[#This Row],[VOR]],Goalie[VOR])</f>
        <v>42</v>
      </c>
      <c r="S43" s="10">
        <f>E43*'League Inputs'!$K$25+F43*'League Inputs'!$K$23+G43*'League Inputs'!$K$24+I43*'League Inputs'!$K$27+J43*'League Inputs'!$K$28+K43*'League Inputs'!$K$29+N43*'League Inputs'!$K$30</f>
        <v>322.13399999999996</v>
      </c>
      <c r="T43" s="10"/>
      <c r="U43">
        <v>30</v>
      </c>
    </row>
    <row r="44" spans="1:21" x14ac:dyDescent="0.25">
      <c r="A44" t="s">
        <v>179</v>
      </c>
      <c r="B44" t="s">
        <v>1101</v>
      </c>
      <c r="C44">
        <v>35</v>
      </c>
      <c r="D44" t="s">
        <v>157</v>
      </c>
      <c r="E44">
        <v>28</v>
      </c>
      <c r="F44" s="10">
        <f>ROUND(Goalie[[#This Row],[GP]]*INDEX(Table27[],MATCH(Goalie[[#This Row],[player]],Table27[player],0),6),0)</f>
        <v>17</v>
      </c>
      <c r="G44" s="10">
        <f>Goalie[[#This Row],[GP]]*INDEX(Table27[],MATCH(Goalie[[#This Row],[player]],Table27[player],0),7)</f>
        <v>7.305200000000001</v>
      </c>
      <c r="H44" s="10">
        <f>Goalie[[#This Row],[GP]]*INDEX(Table27[],MATCH(Goalie[[#This Row],[player]],Table27[player],0),8)</f>
        <v>3.3460000000000001</v>
      </c>
      <c r="I44" s="10">
        <f>Goalie[[#This Row],[GP]]*INDEX(Table27[],MATCH(Goalie[[#This Row],[player]],Table27[player],0),9)</f>
        <v>74.8048</v>
      </c>
      <c r="J44" s="10">
        <f>Goalie[[#This Row],[GP]]*INDEX(Table27[],MATCH(Goalie[[#This Row],[player]],Table27[player],0),10)</f>
        <v>747.40120000000002</v>
      </c>
      <c r="K44" s="10">
        <f>ROUND(Goalie[[#This Row],[SA]]-Goalie[[#This Row],[GA]],0)</f>
        <v>673</v>
      </c>
      <c r="L44" s="69">
        <f>ROUND(Goalie[[#This Row],[SV]]/Goalie[[#This Row],[SA]],3)</f>
        <v>0.9</v>
      </c>
      <c r="M44" s="9">
        <f>ROUND(Goalie[[#This Row],[GA]]/Goalie[[#This Row],[GP]],2)</f>
        <v>2.67</v>
      </c>
      <c r="N44" s="10">
        <f>Goalie[[#This Row],[GP]]*INDEX(Table27[],MATCH(Goalie[[#This Row],[player]],Table27[player],0),13)</f>
        <v>2.3043999999999998</v>
      </c>
      <c r="O44" s="10">
        <f>Goalie[[#This Row],[GP]]*INDEX(Table27[],MATCH(Goalie[[#This Row],[player]],Table27[player],0),14)</f>
        <v>14.064399999999999</v>
      </c>
      <c r="P44" s="10">
        <f>Goalie[[#This Row],[GP]]*INDEX(Table27[],MATCH(Goalie[[#This Row],[player]],Table27[player],0),15)</f>
        <v>5.7316000000000003</v>
      </c>
      <c r="Q44" s="10">
        <f>INDEX(G_Std[],MATCH(Goalie[[#This Row],[player]],G_Std[player],0),17)</f>
        <v>-207.0559061533655</v>
      </c>
      <c r="R44" s="10">
        <f>_xlfn.RANK.EQ(Goalie[[#This Row],[VOR]],Goalie[VOR])</f>
        <v>43</v>
      </c>
      <c r="S44" s="10">
        <f>E44*'League Inputs'!$K$25+F44*'League Inputs'!$K$23+G44*'League Inputs'!$K$24+I44*'League Inputs'!$K$27+J44*'League Inputs'!$K$28+K44*'League Inputs'!$K$29+N44*'League Inputs'!$K$30</f>
        <v>275.9076</v>
      </c>
      <c r="T44" s="10"/>
      <c r="U44">
        <v>28</v>
      </c>
    </row>
    <row r="45" spans="1:21" x14ac:dyDescent="0.25">
      <c r="A45" t="s">
        <v>176</v>
      </c>
      <c r="B45" t="s">
        <v>2</v>
      </c>
      <c r="C45">
        <v>29</v>
      </c>
      <c r="D45" t="s">
        <v>157</v>
      </c>
      <c r="E45">
        <v>30</v>
      </c>
      <c r="F45" s="10">
        <f>ROUND(Goalie[[#This Row],[GP]]*INDEX(Table27[],MATCH(Goalie[[#This Row],[player]],Table27[player],0),6),0)</f>
        <v>16</v>
      </c>
      <c r="G45" s="10">
        <f>Goalie[[#This Row],[GP]]*INDEX(Table27[],MATCH(Goalie[[#This Row],[player]],Table27[player],0),7)</f>
        <v>9.3719999999999999</v>
      </c>
      <c r="H45" s="10">
        <f>Goalie[[#This Row],[GP]]*INDEX(Table27[],MATCH(Goalie[[#This Row],[player]],Table27[player],0),8)</f>
        <v>3.8639999999999999</v>
      </c>
      <c r="I45" s="10">
        <f>Goalie[[#This Row],[GP]]*INDEX(Table27[],MATCH(Goalie[[#This Row],[player]],Table27[player],0),9)</f>
        <v>87.942000000000007</v>
      </c>
      <c r="J45" s="10">
        <f>Goalie[[#This Row],[GP]]*INDEX(Table27[],MATCH(Goalie[[#This Row],[player]],Table27[player],0),10)</f>
        <v>913.60199999999998</v>
      </c>
      <c r="K45" s="10">
        <f>ROUND(Goalie[[#This Row],[SA]]-Goalie[[#This Row],[GA]],0)</f>
        <v>826</v>
      </c>
      <c r="L45" s="69">
        <f>ROUND(Goalie[[#This Row],[SV]]/Goalie[[#This Row],[SA]],3)</f>
        <v>0.90400000000000003</v>
      </c>
      <c r="M45" s="9">
        <f>ROUND(Goalie[[#This Row],[GA]]/Goalie[[#This Row],[GP]],2)</f>
        <v>2.93</v>
      </c>
      <c r="N45" s="10">
        <f>Goalie[[#This Row],[GP]]*INDEX(Table27[],MATCH(Goalie[[#This Row],[player]],Table27[player],0),13)</f>
        <v>1.506</v>
      </c>
      <c r="O45" s="10">
        <f>Goalie[[#This Row],[GP]]*INDEX(Table27[],MATCH(Goalie[[#This Row],[player]],Table27[player],0),14)</f>
        <v>14.787000000000001</v>
      </c>
      <c r="P45" s="10">
        <f>Goalie[[#This Row],[GP]]*INDEX(Table27[],MATCH(Goalie[[#This Row],[player]],Table27[player],0),15)</f>
        <v>6.4349999999999996</v>
      </c>
      <c r="Q45" s="10">
        <f>INDEX(G_Std[],MATCH(Goalie[[#This Row],[player]],G_Std[player],0),17)</f>
        <v>-211.3989098784491</v>
      </c>
      <c r="R45" s="10">
        <f>_xlfn.RANK.EQ(Goalie[[#This Row],[VOR]],Goalie[VOR])</f>
        <v>44</v>
      </c>
      <c r="S45" s="10">
        <f>E45*'League Inputs'!$K$25+F45*'League Inputs'!$K$23+G45*'League Inputs'!$K$24+I45*'League Inputs'!$K$27+J45*'League Inputs'!$K$28+K45*'League Inputs'!$K$29+N45*'League Inputs'!$K$30</f>
        <v>319.30399999999992</v>
      </c>
      <c r="T45" s="10"/>
      <c r="U45">
        <v>30</v>
      </c>
    </row>
    <row r="46" spans="1:21" x14ac:dyDescent="0.25">
      <c r="A46" t="s">
        <v>1083</v>
      </c>
      <c r="B46" t="s">
        <v>4</v>
      </c>
      <c r="C46">
        <v>23</v>
      </c>
      <c r="D46" t="s">
        <v>157</v>
      </c>
      <c r="E46">
        <v>35</v>
      </c>
      <c r="F46" s="10">
        <f>ROUND(Goalie[[#This Row],[GP]]*INDEX(Table27[],MATCH(Goalie[[#This Row],[player]],Table27[player],0),6),0)</f>
        <v>18</v>
      </c>
      <c r="G46" s="10">
        <f>Goalie[[#This Row],[GP]]*INDEX(Table27[],MATCH(Goalie[[#This Row],[player]],Table27[player],0),7)</f>
        <v>13.061999999999999</v>
      </c>
      <c r="H46" s="10">
        <f>Goalie[[#This Row],[GP]]*INDEX(Table27[],MATCH(Goalie[[#This Row],[player]],Table27[player],0),8)</f>
        <v>3.1395</v>
      </c>
      <c r="I46" s="10">
        <f>Goalie[[#This Row],[GP]]*INDEX(Table27[],MATCH(Goalie[[#This Row],[player]],Table27[player],0),9)</f>
        <v>106.988</v>
      </c>
      <c r="J46" s="10">
        <f>Goalie[[#This Row],[GP]]*INDEX(Table27[],MATCH(Goalie[[#This Row],[player]],Table27[player],0),10)</f>
        <v>1091.3875</v>
      </c>
      <c r="K46" s="10">
        <f>ROUND(Goalie[[#This Row],[SA]]-Goalie[[#This Row],[GA]],0)</f>
        <v>984</v>
      </c>
      <c r="L46" s="69">
        <f>ROUND(Goalie[[#This Row],[SV]]/Goalie[[#This Row],[SA]],3)</f>
        <v>0.90200000000000002</v>
      </c>
      <c r="M46" s="9">
        <f>ROUND(Goalie[[#This Row],[GA]]/Goalie[[#This Row],[GP]],2)</f>
        <v>3.06</v>
      </c>
      <c r="N46" s="10">
        <f>Goalie[[#This Row],[GP]]*INDEX(Table27[],MATCH(Goalie[[#This Row],[player]],Table27[player],0),13)</f>
        <v>0.71049999999999991</v>
      </c>
      <c r="O46" s="10">
        <f>Goalie[[#This Row],[GP]]*INDEX(Table27[],MATCH(Goalie[[#This Row],[player]],Table27[player],0),14)</f>
        <v>18.55</v>
      </c>
      <c r="P46" s="10">
        <f>Goalie[[#This Row],[GP]]*INDEX(Table27[],MATCH(Goalie[[#This Row],[player]],Table27[player],0),15)</f>
        <v>6.3594999999999997</v>
      </c>
      <c r="Q46" s="10">
        <f>INDEX(G_Std[],MATCH(Goalie[[#This Row],[player]],G_Std[player],0),17)</f>
        <v>-223.23423811245777</v>
      </c>
      <c r="R46" s="10">
        <f>_xlfn.RANK.EQ(Goalie[[#This Row],[VOR]],Goalie[VOR])</f>
        <v>45</v>
      </c>
      <c r="S46" s="10">
        <f>E46*'League Inputs'!$K$25+F46*'League Inputs'!$K$23+G46*'League Inputs'!$K$24+I46*'League Inputs'!$K$27+J46*'League Inputs'!$K$28+K46*'League Inputs'!$K$29+N46*'League Inputs'!$K$30</f>
        <v>362.98849999999999</v>
      </c>
      <c r="T46" s="10"/>
      <c r="U46">
        <v>35</v>
      </c>
    </row>
    <row r="47" spans="1:21" x14ac:dyDescent="0.25">
      <c r="A47" t="s">
        <v>1092</v>
      </c>
      <c r="B47" t="s">
        <v>22</v>
      </c>
      <c r="C47">
        <v>23</v>
      </c>
      <c r="D47" t="s">
        <v>157</v>
      </c>
      <c r="E47">
        <v>42</v>
      </c>
      <c r="F47" s="10">
        <f>ROUND(Goalie[[#This Row],[GP]]*INDEX(Table27[],MATCH(Goalie[[#This Row],[player]],Table27[player],0),6),0)</f>
        <v>20</v>
      </c>
      <c r="G47" s="10">
        <f>Goalie[[#This Row],[GP]]*INDEX(Table27[],MATCH(Goalie[[#This Row],[player]],Table27[player],0),7)</f>
        <v>17.9298</v>
      </c>
      <c r="H47" s="10">
        <f>Goalie[[#This Row],[GP]]*INDEX(Table27[],MATCH(Goalie[[#This Row],[player]],Table27[player],0),8)</f>
        <v>3.6204000000000001</v>
      </c>
      <c r="I47" s="10">
        <f>Goalie[[#This Row],[GP]]*INDEX(Table27[],MATCH(Goalie[[#This Row],[player]],Table27[player],0),9)</f>
        <v>129.9522</v>
      </c>
      <c r="J47" s="10">
        <f>Goalie[[#This Row],[GP]]*INDEX(Table27[],MATCH(Goalie[[#This Row],[player]],Table27[player],0),10)</f>
        <v>1283.3142</v>
      </c>
      <c r="K47" s="10">
        <f>ROUND(Goalie[[#This Row],[SA]]-Goalie[[#This Row],[GA]],0)</f>
        <v>1153</v>
      </c>
      <c r="L47" s="69">
        <f>ROUND(Goalie[[#This Row],[SV]]/Goalie[[#This Row],[SA]],3)</f>
        <v>0.89800000000000002</v>
      </c>
      <c r="M47" s="9">
        <f>ROUND(Goalie[[#This Row],[GA]]/Goalie[[#This Row],[GP]],2)</f>
        <v>3.09</v>
      </c>
      <c r="N47" s="10">
        <f>Goalie[[#This Row],[GP]]*INDEX(Table27[],MATCH(Goalie[[#This Row],[player]],Table27[player],0),13)</f>
        <v>1.218</v>
      </c>
      <c r="O47" s="10">
        <f>Goalie[[#This Row],[GP]]*INDEX(Table27[],MATCH(Goalie[[#This Row],[player]],Table27[player],0),14)</f>
        <v>21.373799999999999</v>
      </c>
      <c r="P47" s="10">
        <f>Goalie[[#This Row],[GP]]*INDEX(Table27[],MATCH(Goalie[[#This Row],[player]],Table27[player],0),15)</f>
        <v>6.6191999999999993</v>
      </c>
      <c r="Q47" s="10">
        <f>INDEX(G_Std[],MATCH(Goalie[[#This Row],[player]],G_Std[player],0),17)</f>
        <v>-226.48495506370895</v>
      </c>
      <c r="R47" s="10">
        <f>_xlfn.RANK.EQ(Goalie[[#This Row],[VOR]],Goalie[VOR])</f>
        <v>46</v>
      </c>
      <c r="S47" s="10">
        <f>E47*'League Inputs'!$K$25+F47*'League Inputs'!$K$23+G47*'League Inputs'!$K$24+I47*'League Inputs'!$K$27+J47*'League Inputs'!$K$28+K47*'League Inputs'!$K$29+N47*'League Inputs'!$K$30</f>
        <v>408.03339999999992</v>
      </c>
      <c r="T47" s="10"/>
      <c r="U47">
        <v>42</v>
      </c>
    </row>
    <row r="48" spans="1:21" x14ac:dyDescent="0.25">
      <c r="A48" t="s">
        <v>198</v>
      </c>
      <c r="B48" t="s">
        <v>10</v>
      </c>
      <c r="C48">
        <v>39</v>
      </c>
      <c r="D48" t="s">
        <v>157</v>
      </c>
      <c r="E48">
        <v>28</v>
      </c>
      <c r="F48" s="10">
        <f>ROUND(Goalie[[#This Row],[GP]]*INDEX(Table27[],MATCH(Goalie[[#This Row],[player]],Table27[player],0),6),0)</f>
        <v>15</v>
      </c>
      <c r="G48" s="10">
        <f>Goalie[[#This Row],[GP]]*INDEX(Table27[],MATCH(Goalie[[#This Row],[player]],Table27[player],0),7)</f>
        <v>8.9039999999999999</v>
      </c>
      <c r="H48" s="10">
        <f>Goalie[[#This Row],[GP]]*INDEX(Table27[],MATCH(Goalie[[#This Row],[player]],Table27[player],0),8)</f>
        <v>4.0152000000000001</v>
      </c>
      <c r="I48" s="10">
        <f>Goalie[[#This Row],[GP]]*INDEX(Table27[],MATCH(Goalie[[#This Row],[player]],Table27[player],0),9)</f>
        <v>79.990399999999994</v>
      </c>
      <c r="J48" s="10">
        <f>Goalie[[#This Row],[GP]]*INDEX(Table27[],MATCH(Goalie[[#This Row],[player]],Table27[player],0),10)</f>
        <v>820.75279999999998</v>
      </c>
      <c r="K48" s="10">
        <f>ROUND(Goalie[[#This Row],[SA]]-Goalie[[#This Row],[GA]],0)</f>
        <v>741</v>
      </c>
      <c r="L48" s="69">
        <f>ROUND(Goalie[[#This Row],[SV]]/Goalie[[#This Row],[SA]],3)</f>
        <v>0.90300000000000002</v>
      </c>
      <c r="M48" s="9">
        <f>ROUND(Goalie[[#This Row],[GA]]/Goalie[[#This Row],[GP]],2)</f>
        <v>2.86</v>
      </c>
      <c r="N48" s="10">
        <f>Goalie[[#This Row],[GP]]*INDEX(Table27[],MATCH(Goalie[[#This Row],[player]],Table27[player],0),13)</f>
        <v>1.5848</v>
      </c>
      <c r="O48" s="10">
        <f>Goalie[[#This Row],[GP]]*INDEX(Table27[],MATCH(Goalie[[#This Row],[player]],Table27[player],0),14)</f>
        <v>13.3756</v>
      </c>
      <c r="P48" s="10">
        <f>Goalie[[#This Row],[GP]]*INDEX(Table27[],MATCH(Goalie[[#This Row],[player]],Table27[player],0),15)</f>
        <v>4.9308000000000005</v>
      </c>
      <c r="Q48" s="10">
        <f>INDEX(G_Std[],MATCH(Goalie[[#This Row],[player]],G_Std[player],0),17)</f>
        <v>-235.56888203789362</v>
      </c>
      <c r="R48" s="10">
        <f>_xlfn.RANK.EQ(Goalie[[#This Row],[VOR]],Goalie[VOR])</f>
        <v>47</v>
      </c>
      <c r="S48" s="10">
        <f>E48*'League Inputs'!$K$25+F48*'League Inputs'!$K$23+G48*'League Inputs'!$K$24+I48*'League Inputs'!$K$27+J48*'League Inputs'!$K$28+K48*'League Inputs'!$K$29+N48*'League Inputs'!$K$30</f>
        <v>287.55279999999993</v>
      </c>
      <c r="T48" s="10"/>
      <c r="U48">
        <v>28</v>
      </c>
    </row>
    <row r="49" spans="1:21" x14ac:dyDescent="0.25">
      <c r="A49" t="s">
        <v>1249</v>
      </c>
      <c r="B49" t="s">
        <v>6</v>
      </c>
      <c r="C49">
        <v>25</v>
      </c>
      <c r="D49" t="s">
        <v>157</v>
      </c>
      <c r="E49">
        <v>33</v>
      </c>
      <c r="F49" s="10">
        <f>ROUND(Goalie[[#This Row],[GP]]*INDEX(Table27[],MATCH(Goalie[[#This Row],[player]],Table27[player],0),6),0)</f>
        <v>13</v>
      </c>
      <c r="G49" s="10">
        <f>Goalie[[#This Row],[GP]]*INDEX(Table27[],MATCH(Goalie[[#This Row],[player]],Table27[player],0),7)</f>
        <v>15.302099999999999</v>
      </c>
      <c r="H49" s="10">
        <f>Goalie[[#This Row],[GP]]*INDEX(Table27[],MATCH(Goalie[[#This Row],[player]],Table27[player],0),8)</f>
        <v>4.8444000000000003</v>
      </c>
      <c r="I49" s="10">
        <f>Goalie[[#This Row],[GP]]*INDEX(Table27[],MATCH(Goalie[[#This Row],[player]],Table27[player],0),9)</f>
        <v>103.09356657599992</v>
      </c>
      <c r="J49" s="10">
        <f>Goalie[[#This Row],[GP]]*INDEX(Table27[],MATCH(Goalie[[#This Row],[player]],Table27[player],0),10)</f>
        <v>1089.3234</v>
      </c>
      <c r="K49" s="10">
        <f>ROUND(Goalie[[#This Row],[SA]]-Goalie[[#This Row],[GA]],0)</f>
        <v>986</v>
      </c>
      <c r="L49" s="69">
        <f>ROUND(Goalie[[#This Row],[SV]]/Goalie[[#This Row],[SA]],3)</f>
        <v>0.90500000000000003</v>
      </c>
      <c r="M49" s="9">
        <f>ROUND(Goalie[[#This Row],[GA]]/Goalie[[#This Row],[GP]],2)</f>
        <v>3.12</v>
      </c>
      <c r="N49" s="10">
        <f>Goalie[[#This Row],[GP]]*INDEX(Table27[],MATCH(Goalie[[#This Row],[player]],Table27[player],0),13)</f>
        <v>2.1779999999999999</v>
      </c>
      <c r="O49" s="10">
        <f>Goalie[[#This Row],[GP]]*INDEX(Table27[],MATCH(Goalie[[#This Row],[player]],Table27[player],0),14)</f>
        <v>16.5627</v>
      </c>
      <c r="P49" s="10">
        <f>Goalie[[#This Row],[GP]]*INDEX(Table27[],MATCH(Goalie[[#This Row],[player]],Table27[player],0),15)</f>
        <v>7.6065000000000005</v>
      </c>
      <c r="Q49" s="10">
        <f>INDEX(G_Std[],MATCH(Goalie[[#This Row],[player]],G_Std[player],0),17)</f>
        <v>-257.70521883039714</v>
      </c>
      <c r="R49" s="10">
        <f>_xlfn.RANK.EQ(Goalie[[#This Row],[VOR]],Goalie[VOR])</f>
        <v>48</v>
      </c>
      <c r="S49" s="10">
        <f>E49*'League Inputs'!$K$25+F49*'League Inputs'!$K$23+G49*'League Inputs'!$K$24+I49*'League Inputs'!$K$27+J49*'League Inputs'!$K$28+K49*'League Inputs'!$K$29+N49*'League Inputs'!$K$30</f>
        <v>358.20930027200029</v>
      </c>
      <c r="T49" s="10"/>
      <c r="U49">
        <v>33</v>
      </c>
    </row>
    <row r="50" spans="1:21" x14ac:dyDescent="0.25">
      <c r="A50" t="s">
        <v>169</v>
      </c>
      <c r="B50" t="s">
        <v>6</v>
      </c>
      <c r="C50">
        <v>28</v>
      </c>
      <c r="D50" t="s">
        <v>157</v>
      </c>
      <c r="E50">
        <v>42</v>
      </c>
      <c r="F50" s="10">
        <f>ROUND(Goalie[[#This Row],[GP]]*INDEX(Table27[],MATCH(Goalie[[#This Row],[player]],Table27[player],0),6),0)</f>
        <v>16</v>
      </c>
      <c r="G50" s="10">
        <f>Goalie[[#This Row],[GP]]*INDEX(Table27[],MATCH(Goalie[[#This Row],[player]],Table27[player],0),7)</f>
        <v>18.963000000000001</v>
      </c>
      <c r="H50" s="10">
        <f>Goalie[[#This Row],[GP]]*INDEX(Table27[],MATCH(Goalie[[#This Row],[player]],Table27[player],0),8)</f>
        <v>6.9005999999999998</v>
      </c>
      <c r="I50" s="10">
        <f>Goalie[[#This Row],[GP]]*INDEX(Table27[],MATCH(Goalie[[#This Row],[player]],Table27[player],0),9)</f>
        <v>138.91646480476803</v>
      </c>
      <c r="J50" s="10">
        <f>Goalie[[#This Row],[GP]]*INDEX(Table27[],MATCH(Goalie[[#This Row],[player]],Table27[player],0),10)</f>
        <v>1419.7512000000002</v>
      </c>
      <c r="K50" s="10">
        <f>ROUND(Goalie[[#This Row],[SA]]-Goalie[[#This Row],[GA]],0)</f>
        <v>1281</v>
      </c>
      <c r="L50" s="69">
        <f>ROUND(Goalie[[#This Row],[SV]]/Goalie[[#This Row],[SA]],3)</f>
        <v>0.90200000000000002</v>
      </c>
      <c r="M50" s="9">
        <f>ROUND(Goalie[[#This Row],[GA]]/Goalie[[#This Row],[GP]],2)</f>
        <v>3.31</v>
      </c>
      <c r="N50" s="10">
        <f>Goalie[[#This Row],[GP]]*INDEX(Table27[],MATCH(Goalie[[#This Row],[player]],Table27[player],0),13)</f>
        <v>0.64680000000000004</v>
      </c>
      <c r="O50" s="10">
        <f>Goalie[[#This Row],[GP]]*INDEX(Table27[],MATCH(Goalie[[#This Row],[player]],Table27[player],0),14)</f>
        <v>23.717399999999998</v>
      </c>
      <c r="P50" s="10">
        <f>Goalie[[#This Row],[GP]]*INDEX(Table27[],MATCH(Goalie[[#This Row],[player]],Table27[player],0),15)</f>
        <v>7.7615999999999996</v>
      </c>
      <c r="Q50" s="10">
        <f>INDEX(G_Std[],MATCH(Goalie[[#This Row],[player]],G_Std[player],0),17)</f>
        <v>-258.35046241480165</v>
      </c>
      <c r="R50" s="10">
        <f>_xlfn.RANK.EQ(Goalie[[#This Row],[VOR]],Goalie[VOR])</f>
        <v>49</v>
      </c>
      <c r="S50" s="10">
        <f>E50*'League Inputs'!$K$25+F50*'League Inputs'!$K$23+G50*'League Inputs'!$K$24+I50*'League Inputs'!$K$27+J50*'League Inputs'!$K$28+K50*'League Inputs'!$K$29+N50*'League Inputs'!$K$30</f>
        <v>435.0846055856959</v>
      </c>
      <c r="T50" s="10"/>
      <c r="U50">
        <v>42</v>
      </c>
    </row>
    <row r="51" spans="1:21" x14ac:dyDescent="0.25">
      <c r="A51" t="s">
        <v>167</v>
      </c>
      <c r="B51" t="s">
        <v>31</v>
      </c>
      <c r="C51">
        <v>23</v>
      </c>
      <c r="D51" t="s">
        <v>157</v>
      </c>
      <c r="E51">
        <v>25</v>
      </c>
      <c r="F51" s="10">
        <f>ROUND(Goalie[[#This Row],[GP]]*INDEX(Table27[],MATCH(Goalie[[#This Row],[player]],Table27[player],0),6),0)</f>
        <v>14</v>
      </c>
      <c r="G51" s="10">
        <f>Goalie[[#This Row],[GP]]*INDEX(Table27[],MATCH(Goalie[[#This Row],[player]],Table27[player],0),7)</f>
        <v>9.2774999999999999</v>
      </c>
      <c r="H51" s="10">
        <f>Goalie[[#This Row],[GP]]*INDEX(Table27[],MATCH(Goalie[[#This Row],[player]],Table27[player],0),8)</f>
        <v>3.08</v>
      </c>
      <c r="I51" s="10">
        <f>Goalie[[#This Row],[GP]]*INDEX(Table27[],MATCH(Goalie[[#This Row],[player]],Table27[player],0),9)</f>
        <v>75.742500000000007</v>
      </c>
      <c r="J51" s="10">
        <f>Goalie[[#This Row],[GP]]*INDEX(Table27[],MATCH(Goalie[[#This Row],[player]],Table27[player],0),10)</f>
        <v>802.70749999999998</v>
      </c>
      <c r="K51" s="10">
        <f>ROUND(Goalie[[#This Row],[SA]]-Goalie[[#This Row],[GA]],0)</f>
        <v>727</v>
      </c>
      <c r="L51" s="69">
        <f>ROUND(Goalie[[#This Row],[SV]]/Goalie[[#This Row],[SA]],3)</f>
        <v>0.90600000000000003</v>
      </c>
      <c r="M51" s="9">
        <f>ROUND(Goalie[[#This Row],[GA]]/Goalie[[#This Row],[GP]],2)</f>
        <v>3.03</v>
      </c>
      <c r="N51" s="10">
        <f>Goalie[[#This Row],[GP]]*INDEX(Table27[],MATCH(Goalie[[#This Row],[player]],Table27[player],0),13)</f>
        <v>1.52</v>
      </c>
      <c r="O51" s="10">
        <f>Goalie[[#This Row],[GP]]*INDEX(Table27[],MATCH(Goalie[[#This Row],[player]],Table27[player],0),14)</f>
        <v>12.504999999999999</v>
      </c>
      <c r="P51" s="10">
        <f>Goalie[[#This Row],[GP]]*INDEX(Table27[],MATCH(Goalie[[#This Row],[player]],Table27[player],0),15)</f>
        <v>4.6825000000000001</v>
      </c>
      <c r="Q51" s="10">
        <f>INDEX(G_Std[],MATCH(Goalie[[#This Row],[player]],G_Std[player],0),17)</f>
        <v>-266.75544633669824</v>
      </c>
      <c r="R51" s="10">
        <f>_xlfn.RANK.EQ(Goalie[[#This Row],[VOR]],Goalie[VOR])</f>
        <v>50</v>
      </c>
      <c r="S51" s="10">
        <f>E51*'League Inputs'!$K$25+F51*'League Inputs'!$K$23+G51*'League Inputs'!$K$24+I51*'League Inputs'!$K$27+J51*'League Inputs'!$K$28+K51*'League Inputs'!$K$29+N51*'League Inputs'!$K$30</f>
        <v>286.57249999999999</v>
      </c>
      <c r="T51" s="10"/>
      <c r="U51">
        <v>25</v>
      </c>
    </row>
    <row r="52" spans="1:21" x14ac:dyDescent="0.25">
      <c r="A52" t="s">
        <v>170</v>
      </c>
      <c r="B52" t="s">
        <v>8</v>
      </c>
      <c r="C52">
        <v>33</v>
      </c>
      <c r="D52" t="s">
        <v>157</v>
      </c>
      <c r="E52">
        <v>28</v>
      </c>
      <c r="F52" s="10">
        <f>ROUND(Goalie[[#This Row],[GP]]*INDEX(Table27[],MATCH(Goalie[[#This Row],[player]],Table27[player],0),6),0)</f>
        <v>13</v>
      </c>
      <c r="G52" s="10">
        <f>Goalie[[#This Row],[GP]]*INDEX(Table27[],MATCH(Goalie[[#This Row],[player]],Table27[player],0),7)</f>
        <v>10.2424</v>
      </c>
      <c r="H52" s="10">
        <f>Goalie[[#This Row],[GP]]*INDEX(Table27[],MATCH(Goalie[[#This Row],[player]],Table27[player],0),8)</f>
        <v>4.7515999999999998</v>
      </c>
      <c r="I52" s="10">
        <f>Goalie[[#This Row],[GP]]*INDEX(Table27[],MATCH(Goalie[[#This Row],[player]],Table27[player],0),9)</f>
        <v>83.778800000000004</v>
      </c>
      <c r="J52" s="10">
        <f>Goalie[[#This Row],[GP]]*INDEX(Table27[],MATCH(Goalie[[#This Row],[player]],Table27[player],0),10)</f>
        <v>872.46879999999999</v>
      </c>
      <c r="K52" s="10">
        <f>ROUND(Goalie[[#This Row],[SA]]-Goalie[[#This Row],[GA]],0)</f>
        <v>789</v>
      </c>
      <c r="L52" s="69">
        <f>ROUND(Goalie[[#This Row],[SV]]/Goalie[[#This Row],[SA]],3)</f>
        <v>0.90400000000000003</v>
      </c>
      <c r="M52" s="9">
        <f>ROUND(Goalie[[#This Row],[GA]]/Goalie[[#This Row],[GP]],2)</f>
        <v>2.99</v>
      </c>
      <c r="N52" s="10">
        <f>Goalie[[#This Row],[GP]]*INDEX(Table27[],MATCH(Goalie[[#This Row],[player]],Table27[player],0),13)</f>
        <v>1.3720000000000001</v>
      </c>
      <c r="O52" s="10">
        <f>Goalie[[#This Row],[GP]]*INDEX(Table27[],MATCH(Goalie[[#This Row],[player]],Table27[player],0),14)</f>
        <v>14.627199999999998</v>
      </c>
      <c r="P52" s="10">
        <f>Goalie[[#This Row],[GP]]*INDEX(Table27[],MATCH(Goalie[[#This Row],[player]],Table27[player],0),15)</f>
        <v>6.2160000000000002</v>
      </c>
      <c r="Q52" s="10">
        <f>INDEX(G_Std[],MATCH(Goalie[[#This Row],[player]],G_Std[player],0),17)</f>
        <v>-278.07318524280737</v>
      </c>
      <c r="R52" s="10">
        <f>_xlfn.RANK.EQ(Goalie[[#This Row],[VOR]],Goalie[VOR])</f>
        <v>51</v>
      </c>
      <c r="S52" s="10">
        <f>E52*'League Inputs'!$K$25+F52*'League Inputs'!$K$23+G52*'League Inputs'!$K$24+I52*'League Inputs'!$K$27+J52*'League Inputs'!$K$28+K52*'League Inputs'!$K$29+N52*'League Inputs'!$K$30</f>
        <v>293.92359999999996</v>
      </c>
      <c r="T52" s="10"/>
      <c r="U52">
        <v>28</v>
      </c>
    </row>
    <row r="53" spans="1:21" x14ac:dyDescent="0.25">
      <c r="A53" t="s">
        <v>200</v>
      </c>
      <c r="B53" t="s">
        <v>23</v>
      </c>
      <c r="C53">
        <v>30</v>
      </c>
      <c r="D53" t="s">
        <v>157</v>
      </c>
      <c r="E53">
        <v>44</v>
      </c>
      <c r="F53" s="10">
        <f>ROUND(Goalie[[#This Row],[GP]]*INDEX(Table27[],MATCH(Goalie[[#This Row],[player]],Table27[player],0),6),0)</f>
        <v>17</v>
      </c>
      <c r="G53" s="10">
        <f>Goalie[[#This Row],[GP]]*INDEX(Table27[],MATCH(Goalie[[#This Row],[player]],Table27[player],0),7)</f>
        <v>19.8704</v>
      </c>
      <c r="H53" s="10">
        <f>Goalie[[#This Row],[GP]]*INDEX(Table27[],MATCH(Goalie[[#This Row],[player]],Table27[player],0),8)</f>
        <v>6.1863999999999999</v>
      </c>
      <c r="I53" s="10">
        <f>Goalie[[#This Row],[GP]]*INDEX(Table27[],MATCH(Goalie[[#This Row],[player]],Table27[player],0),9)</f>
        <v>145.2088</v>
      </c>
      <c r="J53" s="10">
        <f>Goalie[[#This Row],[GP]]*INDEX(Table27[],MATCH(Goalie[[#This Row],[player]],Table27[player],0),10)</f>
        <v>1435.9048</v>
      </c>
      <c r="K53" s="10">
        <f>ROUND(Goalie[[#This Row],[SA]]-Goalie[[#This Row],[GA]],0)</f>
        <v>1291</v>
      </c>
      <c r="L53" s="69">
        <f>ROUND(Goalie[[#This Row],[SV]]/Goalie[[#This Row],[SA]],3)</f>
        <v>0.89900000000000002</v>
      </c>
      <c r="M53" s="9">
        <f>ROUND(Goalie[[#This Row],[GA]]/Goalie[[#This Row],[GP]],2)</f>
        <v>3.3</v>
      </c>
      <c r="N53" s="10">
        <f>Goalie[[#This Row],[GP]]*INDEX(Table27[],MATCH(Goalie[[#This Row],[player]],Table27[player],0),13)</f>
        <v>1.2715999999999998</v>
      </c>
      <c r="O53" s="10">
        <f>Goalie[[#This Row],[GP]]*INDEX(Table27[],MATCH(Goalie[[#This Row],[player]],Table27[player],0),14)</f>
        <v>20.2136</v>
      </c>
      <c r="P53" s="10">
        <f>Goalie[[#This Row],[GP]]*INDEX(Table27[],MATCH(Goalie[[#This Row],[player]],Table27[player],0),15)</f>
        <v>6.2919999999999998</v>
      </c>
      <c r="Q53" s="10">
        <f>INDEX(G_Std[],MATCH(Goalie[[#This Row],[player]],G_Std[player],0),17)</f>
        <v>-285.79484379053844</v>
      </c>
      <c r="R53" s="10">
        <f>_xlfn.RANK.EQ(Goalie[[#This Row],[VOR]],Goalie[VOR])</f>
        <v>52</v>
      </c>
      <c r="S53" s="10">
        <f>E53*'League Inputs'!$K$25+F53*'League Inputs'!$K$23+G53*'League Inputs'!$K$24+I53*'League Inputs'!$K$27+J53*'League Inputs'!$K$28+K53*'League Inputs'!$K$29+N53*'League Inputs'!$K$30</f>
        <v>430.33160000000004</v>
      </c>
      <c r="T53" s="10"/>
      <c r="U53">
        <v>44</v>
      </c>
    </row>
    <row r="54" spans="1:21" x14ac:dyDescent="0.25">
      <c r="A54" t="s">
        <v>1082</v>
      </c>
      <c r="B54" t="s">
        <v>23</v>
      </c>
      <c r="C54">
        <v>25</v>
      </c>
      <c r="D54" t="s">
        <v>157</v>
      </c>
      <c r="E54">
        <v>35</v>
      </c>
      <c r="F54" s="10">
        <f>ROUND(Goalie[[#This Row],[GP]]*INDEX(Table27[],MATCH(Goalie[[#This Row],[player]],Table27[player],0),6),0)</f>
        <v>13</v>
      </c>
      <c r="G54" s="10">
        <f>Goalie[[#This Row],[GP]]*INDEX(Table27[],MATCH(Goalie[[#This Row],[player]],Table27[player],0),7)</f>
        <v>17.244500000000002</v>
      </c>
      <c r="H54" s="10">
        <f>Goalie[[#This Row],[GP]]*INDEX(Table27[],MATCH(Goalie[[#This Row],[player]],Table27[player],0),8)</f>
        <v>3.7974999999999999</v>
      </c>
      <c r="I54" s="10">
        <f>Goalie[[#This Row],[GP]]*INDEX(Table27[],MATCH(Goalie[[#This Row],[player]],Table27[player],0),9)</f>
        <v>110.845</v>
      </c>
      <c r="J54" s="10">
        <f>Goalie[[#This Row],[GP]]*INDEX(Table27[],MATCH(Goalie[[#This Row],[player]],Table27[player],0),10)</f>
        <v>1150.1734999999999</v>
      </c>
      <c r="K54" s="10">
        <f>ROUND(Goalie[[#This Row],[SA]]-Goalie[[#This Row],[GA]],0)</f>
        <v>1039</v>
      </c>
      <c r="L54" s="69">
        <f>ROUND(Goalie[[#This Row],[SV]]/Goalie[[#This Row],[SA]],3)</f>
        <v>0.90300000000000002</v>
      </c>
      <c r="M54" s="9">
        <f>ROUND(Goalie[[#This Row],[GA]]/Goalie[[#This Row],[GP]],2)</f>
        <v>3.17</v>
      </c>
      <c r="N54" s="10">
        <f>Goalie[[#This Row],[GP]]*INDEX(Table27[],MATCH(Goalie[[#This Row],[player]],Table27[player],0),13)</f>
        <v>0.59850000000000003</v>
      </c>
      <c r="O54" s="10">
        <f>Goalie[[#This Row],[GP]]*INDEX(Table27[],MATCH(Goalie[[#This Row],[player]],Table27[player],0),14)</f>
        <v>18.151</v>
      </c>
      <c r="P54" s="10">
        <f>Goalie[[#This Row],[GP]]*INDEX(Table27[],MATCH(Goalie[[#This Row],[player]],Table27[player],0),15)</f>
        <v>7.8995000000000006</v>
      </c>
      <c r="Q54" s="10">
        <f>INDEX(G_Std[],MATCH(Goalie[[#This Row],[player]],G_Std[player],0),17)</f>
        <v>-292.0118607861483</v>
      </c>
      <c r="R54" s="10">
        <f>_xlfn.RANK.EQ(Goalie[[#This Row],[VOR]],Goalie[VOR])</f>
        <v>53</v>
      </c>
      <c r="S54" s="10">
        <f>E54*'League Inputs'!$K$25+F54*'League Inputs'!$K$23+G54*'League Inputs'!$K$24+I54*'League Inputs'!$K$27+J54*'League Inputs'!$K$28+K54*'League Inputs'!$K$29+N54*'League Inputs'!$K$30</f>
        <v>358.85750000000002</v>
      </c>
      <c r="T54" s="10"/>
      <c r="U54">
        <v>35</v>
      </c>
    </row>
    <row r="55" spans="1:21" x14ac:dyDescent="0.25">
      <c r="A55" t="s">
        <v>207</v>
      </c>
      <c r="B55" t="s">
        <v>87</v>
      </c>
      <c r="C55">
        <v>33</v>
      </c>
      <c r="D55" t="s">
        <v>157</v>
      </c>
      <c r="E55">
        <v>36</v>
      </c>
      <c r="F55" s="10">
        <f>ROUND(Goalie[[#This Row],[GP]]*INDEX(Table27[],MATCH(Goalie[[#This Row],[player]],Table27[player],0),6),0)</f>
        <v>15</v>
      </c>
      <c r="G55" s="10">
        <f>Goalie[[#This Row],[GP]]*INDEX(Table27[],MATCH(Goalie[[#This Row],[player]],Table27[player],0),7)</f>
        <v>17.154</v>
      </c>
      <c r="H55" s="10">
        <f>Goalie[[#This Row],[GP]]*INDEX(Table27[],MATCH(Goalie[[#This Row],[player]],Table27[player],0),8)</f>
        <v>3.1932</v>
      </c>
      <c r="I55" s="10">
        <f>Goalie[[#This Row],[GP]]*INDEX(Table27[],MATCH(Goalie[[#This Row],[player]],Table27[player],0),9)</f>
        <v>103.5432</v>
      </c>
      <c r="J55" s="10">
        <f>Goalie[[#This Row],[GP]]*INDEX(Table27[],MATCH(Goalie[[#This Row],[player]],Table27[player],0),10)</f>
        <v>994.28399999999999</v>
      </c>
      <c r="K55" s="10">
        <f>ROUND(Goalie[[#This Row],[SA]]-Goalie[[#This Row],[GA]],0)</f>
        <v>891</v>
      </c>
      <c r="L55" s="69">
        <f>ROUND(Goalie[[#This Row],[SV]]/Goalie[[#This Row],[SA]],3)</f>
        <v>0.89600000000000002</v>
      </c>
      <c r="M55" s="9">
        <f>ROUND(Goalie[[#This Row],[GA]]/Goalie[[#This Row],[GP]],2)</f>
        <v>2.88</v>
      </c>
      <c r="N55" s="10">
        <f>Goalie[[#This Row],[GP]]*INDEX(Table27[],MATCH(Goalie[[#This Row],[player]],Table27[player],0),13)</f>
        <v>1.3679999999999999</v>
      </c>
      <c r="O55" s="10">
        <f>Goalie[[#This Row],[GP]]*INDEX(Table27[],MATCH(Goalie[[#This Row],[player]],Table27[player],0),14)</f>
        <v>16.354800000000001</v>
      </c>
      <c r="P55" s="10">
        <f>Goalie[[#This Row],[GP]]*INDEX(Table27[],MATCH(Goalie[[#This Row],[player]],Table27[player],0),15)</f>
        <v>7.4196</v>
      </c>
      <c r="Q55" s="10">
        <f>INDEX(G_Std[],MATCH(Goalie[[#This Row],[player]],G_Std[player],0),17)</f>
        <v>-309.23604062797693</v>
      </c>
      <c r="R55" s="10">
        <f>_xlfn.RANK.EQ(Goalie[[#This Row],[VOR]],Goalie[VOR])</f>
        <v>54</v>
      </c>
      <c r="S55" s="10">
        <f>E55*'League Inputs'!$K$25+F55*'League Inputs'!$K$23+G55*'League Inputs'!$K$24+I55*'League Inputs'!$K$27+J55*'League Inputs'!$K$28+K55*'League Inputs'!$K$29+N55*'League Inputs'!$K$30</f>
        <v>305.81040000000002</v>
      </c>
      <c r="T55" s="10"/>
      <c r="U55">
        <v>36</v>
      </c>
    </row>
    <row r="56" spans="1:21" x14ac:dyDescent="0.25">
      <c r="A56" t="s">
        <v>188</v>
      </c>
      <c r="B56" t="s">
        <v>25</v>
      </c>
      <c r="C56">
        <v>29</v>
      </c>
      <c r="D56" t="s">
        <v>157</v>
      </c>
      <c r="E56">
        <v>33</v>
      </c>
      <c r="F56" s="10">
        <f>ROUND(Goalie[[#This Row],[GP]]*INDEX(Table27[],MATCH(Goalie[[#This Row],[player]],Table27[player],0),6),0)</f>
        <v>15</v>
      </c>
      <c r="G56" s="10">
        <f>Goalie[[#This Row],[GP]]*INDEX(Table27[],MATCH(Goalie[[#This Row],[player]],Table27[player],0),7)</f>
        <v>12.1968</v>
      </c>
      <c r="H56" s="10">
        <f>Goalie[[#This Row],[GP]]*INDEX(Table27[],MATCH(Goalie[[#This Row],[player]],Table27[player],0),8)</f>
        <v>5.7254999999999994</v>
      </c>
      <c r="I56" s="10">
        <f>Goalie[[#This Row],[GP]]*INDEX(Table27[],MATCH(Goalie[[#This Row],[player]],Table27[player],0),9)</f>
        <v>107.1609</v>
      </c>
      <c r="J56" s="10">
        <f>Goalie[[#This Row],[GP]]*INDEX(Table27[],MATCH(Goalie[[#This Row],[player]],Table27[player],0),10)</f>
        <v>1086.7923000000001</v>
      </c>
      <c r="K56" s="10">
        <f>ROUND(Goalie[[#This Row],[SA]]-Goalie[[#This Row],[GA]],0)</f>
        <v>980</v>
      </c>
      <c r="L56" s="69">
        <f>ROUND(Goalie[[#This Row],[SV]]/Goalie[[#This Row],[SA]],3)</f>
        <v>0.90200000000000002</v>
      </c>
      <c r="M56" s="9">
        <f>ROUND(Goalie[[#This Row],[GA]]/Goalie[[#This Row],[GP]],2)</f>
        <v>3.25</v>
      </c>
      <c r="N56" s="10">
        <f>Goalie[[#This Row],[GP]]*INDEX(Table27[],MATCH(Goalie[[#This Row],[player]],Table27[player],0),13)</f>
        <v>1.6467000000000001</v>
      </c>
      <c r="O56" s="10">
        <f>Goalie[[#This Row],[GP]]*INDEX(Table27[],MATCH(Goalie[[#This Row],[player]],Table27[player],0),14)</f>
        <v>16.727700000000002</v>
      </c>
      <c r="P56" s="10">
        <f>Goalie[[#This Row],[GP]]*INDEX(Table27[],MATCH(Goalie[[#This Row],[player]],Table27[player],0),15)</f>
        <v>7.3721999999999994</v>
      </c>
      <c r="Q56" s="10">
        <f>INDEX(G_Std[],MATCH(Goalie[[#This Row],[player]],G_Std[player],0),17)</f>
        <v>-327.97832919776766</v>
      </c>
      <c r="R56" s="10">
        <f>_xlfn.RANK.EQ(Goalie[[#This Row],[VOR]],Goalie[VOR])</f>
        <v>55</v>
      </c>
      <c r="S56" s="10">
        <f>E56*'League Inputs'!$K$25+F56*'League Inputs'!$K$23+G56*'League Inputs'!$K$24+I56*'League Inputs'!$K$27+J56*'League Inputs'!$K$28+K56*'League Inputs'!$K$29+N56*'League Inputs'!$K$30</f>
        <v>349.75079999999997</v>
      </c>
      <c r="T56" s="10"/>
      <c r="U56">
        <v>33</v>
      </c>
    </row>
    <row r="57" spans="1:21" x14ac:dyDescent="0.25">
      <c r="A57" t="s">
        <v>1100</v>
      </c>
      <c r="B57" t="s">
        <v>5</v>
      </c>
      <c r="C57">
        <v>24</v>
      </c>
      <c r="D57" t="s">
        <v>157</v>
      </c>
      <c r="E57">
        <v>37</v>
      </c>
      <c r="F57" s="10">
        <f>ROUND(Goalie[[#This Row],[GP]]*INDEX(Table27[],MATCH(Goalie[[#This Row],[player]],Table27[player],0),6),0)</f>
        <v>14</v>
      </c>
      <c r="G57" s="10">
        <f>Goalie[[#This Row],[GP]]*INDEX(Table27[],MATCH(Goalie[[#This Row],[player]],Table27[player],0),7)</f>
        <v>20.253799999999998</v>
      </c>
      <c r="H57" s="10">
        <f>Goalie[[#This Row],[GP]]*INDEX(Table27[],MATCH(Goalie[[#This Row],[player]],Table27[player],0),8)</f>
        <v>3.8109999999999999</v>
      </c>
      <c r="I57" s="10">
        <f>Goalie[[#This Row],[GP]]*INDEX(Table27[],MATCH(Goalie[[#This Row],[player]],Table27[player],0),9)</f>
        <v>124.4939</v>
      </c>
      <c r="J57" s="10">
        <f>Goalie[[#This Row],[GP]]*INDEX(Table27[],MATCH(Goalie[[#This Row],[player]],Table27[player],0),10)</f>
        <v>1271.8602000000001</v>
      </c>
      <c r="K57" s="10">
        <f>ROUND(Goalie[[#This Row],[SA]]-Goalie[[#This Row],[GA]],0)</f>
        <v>1147</v>
      </c>
      <c r="L57" s="69">
        <f>ROUND(Goalie[[#This Row],[SV]]/Goalie[[#This Row],[SA]],3)</f>
        <v>0.90200000000000002</v>
      </c>
      <c r="M57" s="9">
        <f>ROUND(Goalie[[#This Row],[GA]]/Goalie[[#This Row],[GP]],2)</f>
        <v>3.36</v>
      </c>
      <c r="N57" s="10">
        <f>Goalie[[#This Row],[GP]]*INDEX(Table27[],MATCH(Goalie[[#This Row],[player]],Table27[player],0),13)</f>
        <v>1.0433999999999999</v>
      </c>
      <c r="O57" s="10">
        <f>Goalie[[#This Row],[GP]]*INDEX(Table27[],MATCH(Goalie[[#This Row],[player]],Table27[player],0),14)</f>
        <v>19.117900000000002</v>
      </c>
      <c r="P57" s="10">
        <f>Goalie[[#This Row],[GP]]*INDEX(Table27[],MATCH(Goalie[[#This Row],[player]],Table27[player],0),15)</f>
        <v>4.8729000000000005</v>
      </c>
      <c r="Q57" s="10">
        <f>INDEX(G_Std[],MATCH(Goalie[[#This Row],[player]],G_Std[player],0),17)</f>
        <v>-335.25587637214466</v>
      </c>
      <c r="R57" s="10">
        <f>_xlfn.RANK.EQ(Goalie[[#This Row],[VOR]],Goalie[VOR])</f>
        <v>56</v>
      </c>
      <c r="S57" s="10">
        <f>E57*'League Inputs'!$K$25+F57*'League Inputs'!$K$23+G57*'League Inputs'!$K$24+I57*'League Inputs'!$K$27+J57*'League Inputs'!$K$28+K57*'League Inputs'!$K$29+N57*'League Inputs'!$K$30</f>
        <v>389.93529999999993</v>
      </c>
      <c r="T57" s="10"/>
      <c r="U57">
        <v>37</v>
      </c>
    </row>
    <row r="58" spans="1:21" x14ac:dyDescent="0.25">
      <c r="A58" t="s">
        <v>163</v>
      </c>
      <c r="B58" t="s">
        <v>22</v>
      </c>
      <c r="C58">
        <v>27</v>
      </c>
      <c r="D58" t="s">
        <v>157</v>
      </c>
      <c r="E58">
        <v>35</v>
      </c>
      <c r="F58" s="10">
        <f>ROUND(Goalie[[#This Row],[GP]]*INDEX(Table27[],MATCH(Goalie[[#This Row],[player]],Table27[player],0),6),0)</f>
        <v>19</v>
      </c>
      <c r="G58" s="10">
        <f>Goalie[[#This Row],[GP]]*INDEX(Table27[],MATCH(Goalie[[#This Row],[player]],Table27[player],0),7)</f>
        <v>12.824</v>
      </c>
      <c r="H58" s="10">
        <f>Goalie[[#This Row],[GP]]*INDEX(Table27[],MATCH(Goalie[[#This Row],[player]],Table27[player],0),8)</f>
        <v>4.6375000000000002</v>
      </c>
      <c r="I58" s="10">
        <f>Goalie[[#This Row],[GP]]*INDEX(Table27[],MATCH(Goalie[[#This Row],[player]],Table27[player],0),9)</f>
        <v>110.607</v>
      </c>
      <c r="J58" s="10">
        <f>Goalie[[#This Row],[GP]]*INDEX(Table27[],MATCH(Goalie[[#This Row],[player]],Table27[player],0),10)</f>
        <v>1064.4515000000001</v>
      </c>
      <c r="K58" s="10">
        <f>ROUND(Goalie[[#This Row],[SA]]-Goalie[[#This Row],[GA]],0)</f>
        <v>954</v>
      </c>
      <c r="L58" s="69">
        <f>ROUND(Goalie[[#This Row],[SV]]/Goalie[[#This Row],[SA]],3)</f>
        <v>0.89600000000000002</v>
      </c>
      <c r="M58" s="9">
        <f>ROUND(Goalie[[#This Row],[GA]]/Goalie[[#This Row],[GP]],2)</f>
        <v>3.16</v>
      </c>
      <c r="N58" s="10">
        <f>Goalie[[#This Row],[GP]]*INDEX(Table27[],MATCH(Goalie[[#This Row],[player]],Table27[player],0),13)</f>
        <v>1.2635000000000001</v>
      </c>
      <c r="O58" s="10">
        <f>Goalie[[#This Row],[GP]]*INDEX(Table27[],MATCH(Goalie[[#This Row],[player]],Table27[player],0),14)</f>
        <v>17.122</v>
      </c>
      <c r="P58" s="10">
        <f>Goalie[[#This Row],[GP]]*INDEX(Table27[],MATCH(Goalie[[#This Row],[player]],Table27[player],0),15)</f>
        <v>7.8049999999999997</v>
      </c>
      <c r="Q58" s="10">
        <f>INDEX(G_Std[],MATCH(Goalie[[#This Row],[player]],G_Std[player],0),17)</f>
        <v>-346.27399292603423</v>
      </c>
      <c r="R58" s="10">
        <f>_xlfn.RANK.EQ(Goalie[[#This Row],[VOR]],Goalie[VOR])</f>
        <v>57</v>
      </c>
      <c r="S58" s="10">
        <f>E58*'League Inputs'!$K$25+F58*'League Inputs'!$K$23+G58*'League Inputs'!$K$24+I58*'League Inputs'!$K$27+J58*'League Inputs'!$K$28+K58*'League Inputs'!$K$29+N58*'League Inputs'!$K$30</f>
        <v>341.89649999999995</v>
      </c>
      <c r="T58" s="10"/>
      <c r="U58">
        <v>35</v>
      </c>
    </row>
    <row r="59" spans="1:21" x14ac:dyDescent="0.25">
      <c r="A59" t="s">
        <v>172</v>
      </c>
      <c r="B59" t="s">
        <v>7</v>
      </c>
      <c r="C59">
        <v>32</v>
      </c>
      <c r="D59" t="s">
        <v>157</v>
      </c>
      <c r="E59">
        <v>20</v>
      </c>
      <c r="F59" s="10">
        <f>ROUND(Goalie[[#This Row],[GP]]*INDEX(Table27[],MATCH(Goalie[[#This Row],[player]],Table27[player],0),6),0)</f>
        <v>10</v>
      </c>
      <c r="G59" s="10">
        <f>Goalie[[#This Row],[GP]]*INDEX(Table27[],MATCH(Goalie[[#This Row],[player]],Table27[player],0),7)</f>
        <v>7.4180000000000001</v>
      </c>
      <c r="H59" s="10">
        <f>Goalie[[#This Row],[GP]]*INDEX(Table27[],MATCH(Goalie[[#This Row],[player]],Table27[player],0),8)</f>
        <v>3.2940000000000005</v>
      </c>
      <c r="I59" s="10">
        <f>Goalie[[#This Row],[GP]]*INDEX(Table27[],MATCH(Goalie[[#This Row],[player]],Table27[player],0),9)</f>
        <v>61.826000000000001</v>
      </c>
      <c r="J59" s="10">
        <f>Goalie[[#This Row],[GP]]*INDEX(Table27[],MATCH(Goalie[[#This Row],[player]],Table27[player],0),10)</f>
        <v>661.22799999999995</v>
      </c>
      <c r="K59" s="10">
        <f>ROUND(Goalie[[#This Row],[SA]]-Goalie[[#This Row],[GA]],0)</f>
        <v>599</v>
      </c>
      <c r="L59" s="69">
        <f>ROUND(Goalie[[#This Row],[SV]]/Goalie[[#This Row],[SA]],3)</f>
        <v>0.90600000000000003</v>
      </c>
      <c r="M59" s="9">
        <f>ROUND(Goalie[[#This Row],[GA]]/Goalie[[#This Row],[GP]],2)</f>
        <v>3.09</v>
      </c>
      <c r="N59" s="10">
        <f>Goalie[[#This Row],[GP]]*INDEX(Table27[],MATCH(Goalie[[#This Row],[player]],Table27[player],0),13)</f>
        <v>0.57000000000000006</v>
      </c>
      <c r="O59" s="10">
        <f>Goalie[[#This Row],[GP]]*INDEX(Table27[],MATCH(Goalie[[#This Row],[player]],Table27[player],0),14)</f>
        <v>10.225999999999999</v>
      </c>
      <c r="P59" s="10">
        <f>Goalie[[#This Row],[GP]]*INDEX(Table27[],MATCH(Goalie[[#This Row],[player]],Table27[player],0),15)</f>
        <v>2.0680000000000001</v>
      </c>
      <c r="Q59" s="10">
        <f>INDEX(G_Std[],MATCH(Goalie[[#This Row],[player]],G_Std[player],0),17)</f>
        <v>-369.22086771119751</v>
      </c>
      <c r="R59" s="10">
        <f>_xlfn.RANK.EQ(Goalie[[#This Row],[VOR]],Goalie[VOR])</f>
        <v>58</v>
      </c>
      <c r="S59" s="10">
        <f>E59*'League Inputs'!$K$25+F59*'League Inputs'!$K$23+G59*'League Inputs'!$K$24+I59*'League Inputs'!$K$27+J59*'League Inputs'!$K$28+K59*'League Inputs'!$K$29+N59*'League Inputs'!$K$30</f>
        <v>226.77199999999996</v>
      </c>
      <c r="T59" s="10"/>
      <c r="U59">
        <v>20</v>
      </c>
    </row>
    <row r="60" spans="1:21" x14ac:dyDescent="0.25">
      <c r="A60" t="s">
        <v>209</v>
      </c>
      <c r="B60" t="s">
        <v>5</v>
      </c>
      <c r="C60">
        <v>31</v>
      </c>
      <c r="D60" t="s">
        <v>157</v>
      </c>
      <c r="E60">
        <v>42</v>
      </c>
      <c r="F60" s="10">
        <f>ROUND(Goalie[[#This Row],[GP]]*INDEX(Table27[],MATCH(Goalie[[#This Row],[player]],Table27[player],0),6),0)</f>
        <v>14</v>
      </c>
      <c r="G60" s="10">
        <f>Goalie[[#This Row],[GP]]*INDEX(Table27[],MATCH(Goalie[[#This Row],[player]],Table27[player],0),7)</f>
        <v>22.516200000000001</v>
      </c>
      <c r="H60" s="10">
        <f>Goalie[[#This Row],[GP]]*INDEX(Table27[],MATCH(Goalie[[#This Row],[player]],Table27[player],0),8)</f>
        <v>5.2961999999999998</v>
      </c>
      <c r="I60" s="10">
        <f>Goalie[[#This Row],[GP]]*INDEX(Table27[],MATCH(Goalie[[#This Row],[player]],Table27[player],0),9)</f>
        <v>141.19560000000001</v>
      </c>
      <c r="J60" s="10">
        <f>Goalie[[#This Row],[GP]]*INDEX(Table27[],MATCH(Goalie[[#This Row],[player]],Table27[player],0),10)</f>
        <v>1381.7244000000001</v>
      </c>
      <c r="K60" s="10">
        <f>ROUND(Goalie[[#This Row],[SA]]-Goalie[[#This Row],[GA]],0)</f>
        <v>1241</v>
      </c>
      <c r="L60" s="69">
        <f>ROUND(Goalie[[#This Row],[SV]]/Goalie[[#This Row],[SA]],3)</f>
        <v>0.89800000000000002</v>
      </c>
      <c r="M60" s="9">
        <f>ROUND(Goalie[[#This Row],[GA]]/Goalie[[#This Row],[GP]],2)</f>
        <v>3.36</v>
      </c>
      <c r="N60" s="10">
        <f>Goalie[[#This Row],[GP]]*INDEX(Table27[],MATCH(Goalie[[#This Row],[player]],Table27[player],0),13)</f>
        <v>0.70140000000000002</v>
      </c>
      <c r="O60" s="10">
        <f>Goalie[[#This Row],[GP]]*INDEX(Table27[],MATCH(Goalie[[#This Row],[player]],Table27[player],0),14)</f>
        <v>20.701799999999999</v>
      </c>
      <c r="P60" s="10">
        <f>Goalie[[#This Row],[GP]]*INDEX(Table27[],MATCH(Goalie[[#This Row],[player]],Table27[player],0),15)</f>
        <v>9.4290000000000003</v>
      </c>
      <c r="Q60" s="10">
        <f>INDEX(G_Std[],MATCH(Goalie[[#This Row],[player]],G_Std[player],0),17)</f>
        <v>-371.051950292904</v>
      </c>
      <c r="R60" s="10">
        <f>_xlfn.RANK.EQ(Goalie[[#This Row],[VOR]],Goalie[VOR])</f>
        <v>59</v>
      </c>
      <c r="S60" s="10">
        <f>E60*'League Inputs'!$K$25+F60*'League Inputs'!$K$23+G60*'League Inputs'!$K$24+I60*'League Inputs'!$K$27+J60*'League Inputs'!$K$28+K60*'League Inputs'!$K$29+N60*'League Inputs'!$K$30</f>
        <v>394.52019999999999</v>
      </c>
      <c r="T60" s="10"/>
      <c r="U60">
        <v>42</v>
      </c>
    </row>
    <row r="61" spans="1:21" x14ac:dyDescent="0.25">
      <c r="A61" t="s">
        <v>181</v>
      </c>
      <c r="B61" t="s">
        <v>1101</v>
      </c>
      <c r="C61">
        <v>29</v>
      </c>
      <c r="D61" t="s">
        <v>157</v>
      </c>
      <c r="E61">
        <v>26</v>
      </c>
      <c r="F61" s="10">
        <f>ROUND(Goalie[[#This Row],[GP]]*INDEX(Table27[],MATCH(Goalie[[#This Row],[player]],Table27[player],0),6),0)</f>
        <v>12</v>
      </c>
      <c r="G61" s="10">
        <f>Goalie[[#This Row],[GP]]*INDEX(Table27[],MATCH(Goalie[[#This Row],[player]],Table27[player],0),7)</f>
        <v>11.156599999999999</v>
      </c>
      <c r="H61" s="10">
        <f>Goalie[[#This Row],[GP]]*INDEX(Table27[],MATCH(Goalie[[#This Row],[player]],Table27[player],0),8)</f>
        <v>2.6675999999999997</v>
      </c>
      <c r="I61" s="10">
        <f>Goalie[[#This Row],[GP]]*INDEX(Table27[],MATCH(Goalie[[#This Row],[player]],Table27[player],0),9)</f>
        <v>83.301400000000001</v>
      </c>
      <c r="J61" s="10">
        <f>Goalie[[#This Row],[GP]]*INDEX(Table27[],MATCH(Goalie[[#This Row],[player]],Table27[player],0),10)</f>
        <v>863.32220000000007</v>
      </c>
      <c r="K61" s="10">
        <f>ROUND(Goalie[[#This Row],[SA]]-Goalie[[#This Row],[GA]],0)</f>
        <v>780</v>
      </c>
      <c r="L61" s="69">
        <f>ROUND(Goalie[[#This Row],[SV]]/Goalie[[#This Row],[SA]],3)</f>
        <v>0.90300000000000002</v>
      </c>
      <c r="M61" s="9">
        <f>ROUND(Goalie[[#This Row],[GA]]/Goalie[[#This Row],[GP]],2)</f>
        <v>3.2</v>
      </c>
      <c r="N61" s="10">
        <f>Goalie[[#This Row],[GP]]*INDEX(Table27[],MATCH(Goalie[[#This Row],[player]],Table27[player],0),13)</f>
        <v>0.73060000000000003</v>
      </c>
      <c r="O61" s="10">
        <f>Goalie[[#This Row],[GP]]*INDEX(Table27[],MATCH(Goalie[[#This Row],[player]],Table27[player],0),14)</f>
        <v>13.273</v>
      </c>
      <c r="P61" s="10">
        <f>Goalie[[#This Row],[GP]]*INDEX(Table27[],MATCH(Goalie[[#This Row],[player]],Table27[player],0),15)</f>
        <v>4.7709999999999999</v>
      </c>
      <c r="Q61" s="10">
        <f>INDEX(G_Std[],MATCH(Goalie[[#This Row],[player]],G_Std[player],0),17)</f>
        <v>-382.94028628889538</v>
      </c>
      <c r="R61" s="10">
        <f>_xlfn.RANK.EQ(Goalie[[#This Row],[VOR]],Goalie[VOR])</f>
        <v>60</v>
      </c>
      <c r="S61" s="10">
        <f>E61*'League Inputs'!$K$25+F61*'League Inputs'!$K$23+G61*'League Inputs'!$K$24+I61*'League Inputs'!$K$27+J61*'League Inputs'!$K$28+K61*'League Inputs'!$K$29+N61*'League Inputs'!$K$30</f>
        <v>281.74880000000002</v>
      </c>
      <c r="T61" s="10"/>
      <c r="U61">
        <v>26</v>
      </c>
    </row>
    <row r="62" spans="1:21" x14ac:dyDescent="0.25">
      <c r="A62" t="s">
        <v>1246</v>
      </c>
      <c r="B62" t="s">
        <v>1091</v>
      </c>
      <c r="C62">
        <v>28</v>
      </c>
      <c r="D62" t="s">
        <v>157</v>
      </c>
      <c r="E62">
        <v>37</v>
      </c>
      <c r="F62" s="10">
        <f>ROUND(Goalie[[#This Row],[GP]]*INDEX(Table27[],MATCH(Goalie[[#This Row],[player]],Table27[player],0),6),0)</f>
        <v>12</v>
      </c>
      <c r="G62" s="10">
        <f>Goalie[[#This Row],[GP]]*INDEX(Table27[],MATCH(Goalie[[#This Row],[player]],Table27[player],0),7)</f>
        <v>20.276000000000003</v>
      </c>
      <c r="H62" s="10">
        <f>Goalie[[#This Row],[GP]]*INDEX(Table27[],MATCH(Goalie[[#This Row],[player]],Table27[player],0),8)</f>
        <v>4.6583000000000006</v>
      </c>
      <c r="I62" s="10">
        <f>Goalie[[#This Row],[GP]]*INDEX(Table27[],MATCH(Goalie[[#This Row],[player]],Table27[player],0),9)</f>
        <v>121.0196</v>
      </c>
      <c r="J62" s="10">
        <f>Goalie[[#This Row],[GP]]*INDEX(Table27[],MATCH(Goalie[[#This Row],[player]],Table27[player],0),10)</f>
        <v>1197.7639999999999</v>
      </c>
      <c r="K62" s="10">
        <f>ROUND(Goalie[[#This Row],[SA]]-Goalie[[#This Row],[GA]],0)</f>
        <v>1077</v>
      </c>
      <c r="L62" s="69">
        <f>ROUND(Goalie[[#This Row],[SV]]/Goalie[[#This Row],[SA]],3)</f>
        <v>0.89900000000000002</v>
      </c>
      <c r="M62" s="9">
        <f>ROUND(Goalie[[#This Row],[GA]]/Goalie[[#This Row],[GP]],2)</f>
        <v>3.27</v>
      </c>
      <c r="N62" s="10">
        <f>Goalie[[#This Row],[GP]]*INDEX(Table27[],MATCH(Goalie[[#This Row],[player]],Table27[player],0),13)</f>
        <v>0.95829999999999993</v>
      </c>
      <c r="O62" s="10">
        <f>Goalie[[#This Row],[GP]]*INDEX(Table27[],MATCH(Goalie[[#This Row],[player]],Table27[player],0),14)</f>
        <v>18.962499999999999</v>
      </c>
      <c r="P62" s="10">
        <f>Goalie[[#This Row],[GP]]*INDEX(Table27[],MATCH(Goalie[[#This Row],[player]],Table27[player],0),15)</f>
        <v>8.3694000000000006</v>
      </c>
      <c r="Q62" s="10">
        <f>INDEX(G_Std[],MATCH(Goalie[[#This Row],[player]],G_Std[player],0),17)</f>
        <v>-390.34566903300271</v>
      </c>
      <c r="R62" s="10">
        <f>_xlfn.RANK.EQ(Goalie[[#This Row],[VOR]],Goalie[VOR])</f>
        <v>61</v>
      </c>
      <c r="S62" s="10">
        <f>E62*'League Inputs'!$K$25+F62*'League Inputs'!$K$23+G62*'League Inputs'!$K$24+I62*'League Inputs'!$K$27+J62*'League Inputs'!$K$28+K62*'League Inputs'!$K$29+N62*'League Inputs'!$K$30</f>
        <v>347.9326999999999</v>
      </c>
      <c r="T62" s="10"/>
      <c r="U62">
        <v>37</v>
      </c>
    </row>
    <row r="63" spans="1:21" x14ac:dyDescent="0.25">
      <c r="A63" t="s">
        <v>191</v>
      </c>
      <c r="B63" t="s">
        <v>1091</v>
      </c>
      <c r="C63">
        <v>28</v>
      </c>
      <c r="D63" t="s">
        <v>157</v>
      </c>
      <c r="E63">
        <v>34</v>
      </c>
      <c r="F63" s="10">
        <f>ROUND(Goalie[[#This Row],[GP]]*INDEX(Table27[],MATCH(Goalie[[#This Row],[player]],Table27[player],0),6),0)</f>
        <v>12</v>
      </c>
      <c r="G63" s="10">
        <f>Goalie[[#This Row],[GP]]*INDEX(Table27[],MATCH(Goalie[[#This Row],[player]],Table27[player],0),7)</f>
        <v>16.3948</v>
      </c>
      <c r="H63" s="10">
        <f>Goalie[[#This Row],[GP]]*INDEX(Table27[],MATCH(Goalie[[#This Row],[player]],Table27[player],0),8)</f>
        <v>3.8624000000000001</v>
      </c>
      <c r="I63" s="10">
        <f>Goalie[[#This Row],[GP]]*INDEX(Table27[],MATCH(Goalie[[#This Row],[player]],Table27[player],0),9)</f>
        <v>109.75200000000001</v>
      </c>
      <c r="J63" s="10">
        <f>Goalie[[#This Row],[GP]]*INDEX(Table27[],MATCH(Goalie[[#This Row],[player]],Table27[player],0),10)</f>
        <v>1076.3142</v>
      </c>
      <c r="K63" s="10">
        <f>ROUND(Goalie[[#This Row],[SA]]-Goalie[[#This Row],[GA]],0)</f>
        <v>967</v>
      </c>
      <c r="L63" s="69">
        <f>ROUND(Goalie[[#This Row],[SV]]/Goalie[[#This Row],[SA]],3)</f>
        <v>0.89800000000000002</v>
      </c>
      <c r="M63" s="9">
        <f>ROUND(Goalie[[#This Row],[GA]]/Goalie[[#This Row],[GP]],2)</f>
        <v>3.23</v>
      </c>
      <c r="N63" s="10">
        <f>Goalie[[#This Row],[GP]]*INDEX(Table27[],MATCH(Goalie[[#This Row],[player]],Table27[player],0),13)</f>
        <v>1.6694</v>
      </c>
      <c r="O63" s="10">
        <f>Goalie[[#This Row],[GP]]*INDEX(Table27[],MATCH(Goalie[[#This Row],[player]],Table27[player],0),14)</f>
        <v>18.026800000000001</v>
      </c>
      <c r="P63" s="10">
        <f>Goalie[[#This Row],[GP]]*INDEX(Table27[],MATCH(Goalie[[#This Row],[player]],Table27[player],0),15)</f>
        <v>6.7864000000000004</v>
      </c>
      <c r="Q63" s="10">
        <f>INDEX(G_Std[],MATCH(Goalie[[#This Row],[player]],G_Std[player],0),17)</f>
        <v>-420.13689088843256</v>
      </c>
      <c r="R63" s="10">
        <f>_xlfn.RANK.EQ(Goalie[[#This Row],[VOR]],Goalie[VOR])</f>
        <v>62</v>
      </c>
      <c r="S63" s="10">
        <f>E63*'League Inputs'!$K$25+F63*'League Inputs'!$K$23+G63*'League Inputs'!$K$24+I63*'League Inputs'!$K$27+J63*'League Inputs'!$K$28+K63*'League Inputs'!$K$29+N63*'League Inputs'!$K$30</f>
        <v>319.29099999999988</v>
      </c>
      <c r="T63" s="10"/>
      <c r="U63">
        <v>34</v>
      </c>
    </row>
    <row r="64" spans="1:21" x14ac:dyDescent="0.25">
      <c r="A64" t="s">
        <v>173</v>
      </c>
      <c r="B64" t="s">
        <v>13</v>
      </c>
      <c r="C64">
        <v>28</v>
      </c>
      <c r="D64" t="s">
        <v>157</v>
      </c>
      <c r="E64">
        <v>35</v>
      </c>
      <c r="F64" s="10">
        <f>ROUND(Goalie[[#This Row],[GP]]*INDEX(Table27[],MATCH(Goalie[[#This Row],[player]],Table27[player],0),6),0)</f>
        <v>13</v>
      </c>
      <c r="G64" s="10">
        <f>Goalie[[#This Row],[GP]]*INDEX(Table27[],MATCH(Goalie[[#This Row],[player]],Table27[player],0),7)</f>
        <v>19.193999999999999</v>
      </c>
      <c r="H64" s="10">
        <f>Goalie[[#This Row],[GP]]*INDEX(Table27[],MATCH(Goalie[[#This Row],[player]],Table27[player],0),8)</f>
        <v>2.9609999999999999</v>
      </c>
      <c r="I64" s="10">
        <f>Goalie[[#This Row],[GP]]*INDEX(Table27[],MATCH(Goalie[[#This Row],[player]],Table27[player],0),9)</f>
        <v>117.999</v>
      </c>
      <c r="J64" s="10">
        <f>Goalie[[#This Row],[GP]]*INDEX(Table27[],MATCH(Goalie[[#This Row],[player]],Table27[player],0),10)</f>
        <v>1164.9820000000002</v>
      </c>
      <c r="K64" s="10">
        <f>ROUND(Goalie[[#This Row],[SA]]-Goalie[[#This Row],[GA]],0)</f>
        <v>1047</v>
      </c>
      <c r="L64" s="69">
        <f>ROUND(Goalie[[#This Row],[SV]]/Goalie[[#This Row],[SA]],3)</f>
        <v>0.89900000000000002</v>
      </c>
      <c r="M64" s="9">
        <f>ROUND(Goalie[[#This Row],[GA]]/Goalie[[#This Row],[GP]],2)</f>
        <v>3.37</v>
      </c>
      <c r="N64" s="10">
        <f>Goalie[[#This Row],[GP]]*INDEX(Table27[],MATCH(Goalie[[#This Row],[player]],Table27[player],0),13)</f>
        <v>1.365</v>
      </c>
      <c r="O64" s="10">
        <f>Goalie[[#This Row],[GP]]*INDEX(Table27[],MATCH(Goalie[[#This Row],[player]],Table27[player],0),14)</f>
        <v>15.932</v>
      </c>
      <c r="P64" s="10">
        <f>Goalie[[#This Row],[GP]]*INDEX(Table27[],MATCH(Goalie[[#This Row],[player]],Table27[player],0),15)</f>
        <v>8.2319999999999993</v>
      </c>
      <c r="Q64" s="10">
        <f>INDEX(G_Std[],MATCH(Goalie[[#This Row],[player]],G_Std[player],0),17)</f>
        <v>-422.47576269825481</v>
      </c>
      <c r="R64" s="10">
        <f>_xlfn.RANK.EQ(Goalie[[#This Row],[VOR]],Goalie[VOR])</f>
        <v>63</v>
      </c>
      <c r="S64" s="10">
        <f>E64*'League Inputs'!$K$25+F64*'League Inputs'!$K$23+G64*'League Inputs'!$K$24+I64*'League Inputs'!$K$27+J64*'League Inputs'!$K$28+K64*'League Inputs'!$K$29+N64*'League Inputs'!$K$30</f>
        <v>346.02799999999996</v>
      </c>
      <c r="T64" s="10"/>
      <c r="U64">
        <v>35</v>
      </c>
    </row>
    <row r="65" spans="1:21" x14ac:dyDescent="0.25">
      <c r="A65" t="s">
        <v>1077</v>
      </c>
      <c r="B65" t="s">
        <v>1089</v>
      </c>
      <c r="C65">
        <v>24</v>
      </c>
      <c r="D65" t="s">
        <v>157</v>
      </c>
      <c r="E65">
        <v>10</v>
      </c>
      <c r="F65" s="10">
        <f>ROUND(Goalie[[#This Row],[GP]]*INDEX(Table27[],MATCH(Goalie[[#This Row],[player]],Table27[player],0),6),0)</f>
        <v>5</v>
      </c>
      <c r="G65" s="10">
        <f>Goalie[[#This Row],[GP]]*INDEX(Table27[],MATCH(Goalie[[#This Row],[player]],Table27[player],0),7)</f>
        <v>4.585</v>
      </c>
      <c r="H65" s="10">
        <f>Goalie[[#This Row],[GP]]*INDEX(Table27[],MATCH(Goalie[[#This Row],[player]],Table27[player],0),8)</f>
        <v>1.0069999999999999</v>
      </c>
      <c r="I65" s="10">
        <f>Goalie[[#This Row],[GP]]*INDEX(Table27[],MATCH(Goalie[[#This Row],[player]],Table27[player],0),9)</f>
        <v>28.717000000000002</v>
      </c>
      <c r="J65" s="10">
        <f>Goalie[[#This Row],[GP]]*INDEX(Table27[],MATCH(Goalie[[#This Row],[player]],Table27[player],0),10)</f>
        <v>301.23399999999998</v>
      </c>
      <c r="K65" s="10">
        <f>ROUND(Goalie[[#This Row],[SA]]-Goalie[[#This Row],[GA]],0)</f>
        <v>273</v>
      </c>
      <c r="L65" s="69">
        <f>ROUND(Goalie[[#This Row],[SV]]/Goalie[[#This Row],[SA]],3)</f>
        <v>0.90600000000000003</v>
      </c>
      <c r="M65" s="9">
        <f>ROUND(Goalie[[#This Row],[GA]]/Goalie[[#This Row],[GP]],2)</f>
        <v>2.87</v>
      </c>
      <c r="N65" s="10">
        <f>Goalie[[#This Row],[GP]]*INDEX(Table27[],MATCH(Goalie[[#This Row],[player]],Table27[player],0),13)</f>
        <v>0.372</v>
      </c>
      <c r="O65" s="10">
        <f>Goalie[[#This Row],[GP]]*INDEX(Table27[],MATCH(Goalie[[#This Row],[player]],Table27[player],0),14)</f>
        <v>4.9030000000000005</v>
      </c>
      <c r="P65" s="10">
        <f>Goalie[[#This Row],[GP]]*INDEX(Table27[],MATCH(Goalie[[#This Row],[player]],Table27[player],0),15)</f>
        <v>2.0390000000000001</v>
      </c>
      <c r="Q65" s="10">
        <f>INDEX(G_Std[],MATCH(Goalie[[#This Row],[player]],G_Std[player],0),17)</f>
        <v>-434.96244846651894</v>
      </c>
      <c r="R65" s="10">
        <f>_xlfn.RANK.EQ(Goalie[[#This Row],[VOR]],Goalie[VOR])</f>
        <v>64</v>
      </c>
      <c r="S65" s="10">
        <f>E65*'League Inputs'!$K$25+F65*'League Inputs'!$K$23+G65*'League Inputs'!$K$24+I65*'League Inputs'!$K$27+J65*'League Inputs'!$K$28+K65*'League Inputs'!$K$29+N65*'League Inputs'!$K$30</f>
        <v>104.50899999999997</v>
      </c>
      <c r="T65" s="10"/>
      <c r="U65">
        <v>10</v>
      </c>
    </row>
    <row r="66" spans="1:21" x14ac:dyDescent="0.25">
      <c r="A66" t="s">
        <v>183</v>
      </c>
      <c r="B66" t="s">
        <v>12</v>
      </c>
      <c r="C66">
        <v>30</v>
      </c>
      <c r="D66" t="s">
        <v>157</v>
      </c>
      <c r="E66">
        <v>30</v>
      </c>
      <c r="F66" s="10">
        <f>ROUND(Goalie[[#This Row],[GP]]*INDEX(Table27[],MATCH(Goalie[[#This Row],[player]],Table27[player],0),6),0)</f>
        <v>14</v>
      </c>
      <c r="G66" s="10">
        <f>Goalie[[#This Row],[GP]]*INDEX(Table27[],MATCH(Goalie[[#This Row],[player]],Table27[player],0),7)</f>
        <v>14.529</v>
      </c>
      <c r="H66" s="10">
        <f>Goalie[[#This Row],[GP]]*INDEX(Table27[],MATCH(Goalie[[#This Row],[player]],Table27[player],0),8)</f>
        <v>2.472</v>
      </c>
      <c r="I66" s="10">
        <f>Goalie[[#This Row],[GP]]*INDEX(Table27[],MATCH(Goalie[[#This Row],[player]],Table27[player],0),9)</f>
        <v>99.971999999999994</v>
      </c>
      <c r="J66" s="10">
        <f>Goalie[[#This Row],[GP]]*INDEX(Table27[],MATCH(Goalie[[#This Row],[player]],Table27[player],0),10)</f>
        <v>963.66</v>
      </c>
      <c r="K66" s="10">
        <f>ROUND(Goalie[[#This Row],[SA]]-Goalie[[#This Row],[GA]],0)</f>
        <v>864</v>
      </c>
      <c r="L66" s="69">
        <f>ROUND(Goalie[[#This Row],[SV]]/Goalie[[#This Row],[SA]],3)</f>
        <v>0.89700000000000002</v>
      </c>
      <c r="M66" s="9">
        <f>ROUND(Goalie[[#This Row],[GA]]/Goalie[[#This Row],[GP]],2)</f>
        <v>3.33</v>
      </c>
      <c r="N66" s="10">
        <f>Goalie[[#This Row],[GP]]*INDEX(Table27[],MATCH(Goalie[[#This Row],[player]],Table27[player],0),13)</f>
        <v>0.45300000000000001</v>
      </c>
      <c r="O66" s="10">
        <f>Goalie[[#This Row],[GP]]*INDEX(Table27[],MATCH(Goalie[[#This Row],[player]],Table27[player],0),14)</f>
        <v>14.796000000000001</v>
      </c>
      <c r="P66" s="10">
        <f>Goalie[[#This Row],[GP]]*INDEX(Table27[],MATCH(Goalie[[#This Row],[player]],Table27[player],0),15)</f>
        <v>5.9190000000000005</v>
      </c>
      <c r="Q66" s="10">
        <f>INDEX(G_Std[],MATCH(Goalie[[#This Row],[player]],G_Std[player],0),17)</f>
        <v>-474.91362067690557</v>
      </c>
      <c r="R66" s="10">
        <f>_xlfn.RANK.EQ(Goalie[[#This Row],[VOR]],Goalie[VOR])</f>
        <v>65</v>
      </c>
      <c r="S66" s="10">
        <f>E66*'League Inputs'!$K$25+F66*'League Inputs'!$K$23+G66*'League Inputs'!$K$24+I66*'League Inputs'!$K$27+J66*'League Inputs'!$K$28+K66*'League Inputs'!$K$29+N66*'League Inputs'!$K$30</f>
        <v>290.74899999999997</v>
      </c>
      <c r="T66" s="10"/>
      <c r="U66">
        <v>30</v>
      </c>
    </row>
    <row r="67" spans="1:21" x14ac:dyDescent="0.25">
      <c r="A67" t="s">
        <v>162</v>
      </c>
      <c r="B67" t="s">
        <v>9</v>
      </c>
      <c r="C67">
        <v>29</v>
      </c>
      <c r="D67" t="s">
        <v>157</v>
      </c>
      <c r="E67">
        <v>20</v>
      </c>
      <c r="F67" s="10">
        <f>ROUND(Goalie[[#This Row],[GP]]*INDEX(Table27[],MATCH(Goalie[[#This Row],[player]],Table27[player],0),6),0)</f>
        <v>9</v>
      </c>
      <c r="G67" s="10">
        <f>Goalie[[#This Row],[GP]]*INDEX(Table27[],MATCH(Goalie[[#This Row],[player]],Table27[player],0),7)</f>
        <v>9.032</v>
      </c>
      <c r="H67" s="10">
        <f>Goalie[[#This Row],[GP]]*INDEX(Table27[],MATCH(Goalie[[#This Row],[player]],Table27[player],0),8)</f>
        <v>1.254</v>
      </c>
      <c r="I67" s="10">
        <f>Goalie[[#This Row],[GP]]*INDEX(Table27[],MATCH(Goalie[[#This Row],[player]],Table27[player],0),9)</f>
        <v>61.752000000000002</v>
      </c>
      <c r="J67" s="10">
        <f>Goalie[[#This Row],[GP]]*INDEX(Table27[],MATCH(Goalie[[#This Row],[player]],Table27[player],0),10)</f>
        <v>612.36599999999999</v>
      </c>
      <c r="K67" s="10">
        <f>ROUND(Goalie[[#This Row],[SA]]-Goalie[[#This Row],[GA]],0)</f>
        <v>551</v>
      </c>
      <c r="L67" s="69">
        <f>ROUND(Goalie[[#This Row],[SV]]/Goalie[[#This Row],[SA]],3)</f>
        <v>0.9</v>
      </c>
      <c r="M67" s="9">
        <f>ROUND(Goalie[[#This Row],[GA]]/Goalie[[#This Row],[GP]],2)</f>
        <v>3.09</v>
      </c>
      <c r="N67" s="10">
        <f>Goalie[[#This Row],[GP]]*INDEX(Table27[],MATCH(Goalie[[#This Row],[player]],Table27[player],0),13)</f>
        <v>0.89399999999999991</v>
      </c>
      <c r="O67" s="10">
        <f>Goalie[[#This Row],[GP]]*INDEX(Table27[],MATCH(Goalie[[#This Row],[player]],Table27[player],0),14)</f>
        <v>9.6719999999999988</v>
      </c>
      <c r="P67" s="10">
        <f>Goalie[[#This Row],[GP]]*INDEX(Table27[],MATCH(Goalie[[#This Row],[player]],Table27[player],0),15)</f>
        <v>4.6800000000000006</v>
      </c>
      <c r="Q67" s="10">
        <f>INDEX(G_Std[],MATCH(Goalie[[#This Row],[player]],G_Std[player],0),17)</f>
        <v>-484.57225173853544</v>
      </c>
      <c r="R67" s="10">
        <f>_xlfn.RANK.EQ(Goalie[[#This Row],[VOR]],Goalie[VOR])</f>
        <v>66</v>
      </c>
      <c r="S67" s="10">
        <f>E67*'League Inputs'!$K$25+F67*'League Inputs'!$K$23+G67*'League Inputs'!$K$24+I67*'League Inputs'!$K$27+J67*'League Inputs'!$K$28+K67*'League Inputs'!$K$29+N67*'League Inputs'!$K$30</f>
        <v>194.81399999999996</v>
      </c>
      <c r="T67" s="10"/>
      <c r="U67">
        <v>20</v>
      </c>
    </row>
    <row r="68" spans="1:21" x14ac:dyDescent="0.25">
      <c r="A68" t="s">
        <v>1087</v>
      </c>
      <c r="B68" t="s">
        <v>197</v>
      </c>
      <c r="C68">
        <v>33</v>
      </c>
      <c r="D68" t="s">
        <v>157</v>
      </c>
      <c r="E68">
        <v>10</v>
      </c>
      <c r="F68" s="10">
        <f>ROUND(Goalie[[#This Row],[GP]]*INDEX(Table27[],MATCH(Goalie[[#This Row],[player]],Table27[player],0),6),0)</f>
        <v>6</v>
      </c>
      <c r="G68" s="10">
        <f>Goalie[[#This Row],[GP]]*INDEX(Table27[],MATCH(Goalie[[#This Row],[player]],Table27[player],0),7)</f>
        <v>2.3879999999999999</v>
      </c>
      <c r="H68" s="10">
        <f>Goalie[[#This Row],[GP]]*INDEX(Table27[],MATCH(Goalie[[#This Row],[player]],Table27[player],0),8)</f>
        <v>1.208</v>
      </c>
      <c r="I68" s="10">
        <f>Goalie[[#This Row],[GP]]*INDEX(Table27[],MATCH(Goalie[[#This Row],[player]],Table27[player],0),9)</f>
        <v>27.654</v>
      </c>
      <c r="J68" s="10">
        <f>Goalie[[#This Row],[GP]]*INDEX(Table27[],MATCH(Goalie[[#This Row],[player]],Table27[player],0),10)</f>
        <v>273.83100000000002</v>
      </c>
      <c r="K68" s="10">
        <f>ROUND(Goalie[[#This Row],[SA]]-Goalie[[#This Row],[GA]],0)</f>
        <v>246</v>
      </c>
      <c r="L68" s="69">
        <f>ROUND(Goalie[[#This Row],[SV]]/Goalie[[#This Row],[SA]],3)</f>
        <v>0.89800000000000002</v>
      </c>
      <c r="M68" s="9">
        <f>ROUND(Goalie[[#This Row],[GA]]/Goalie[[#This Row],[GP]],2)</f>
        <v>2.77</v>
      </c>
      <c r="N68" s="10">
        <f>Goalie[[#This Row],[GP]]*INDEX(Table27[],MATCH(Goalie[[#This Row],[player]],Table27[player],0),13)</f>
        <v>0.52600000000000002</v>
      </c>
      <c r="O68" s="10">
        <f>Goalie[[#This Row],[GP]]*INDEX(Table27[],MATCH(Goalie[[#This Row],[player]],Table27[player],0),14)</f>
        <v>5.23</v>
      </c>
      <c r="P68" s="10">
        <f>Goalie[[#This Row],[GP]]*INDEX(Table27[],MATCH(Goalie[[#This Row],[player]],Table27[player],0),15)</f>
        <v>2.367</v>
      </c>
      <c r="Q68" s="10">
        <f>INDEX(G_Std[],MATCH(Goalie[[#This Row],[player]],G_Std[player],0),17)</f>
        <v>-515.54462171532703</v>
      </c>
      <c r="R68" s="10">
        <f>_xlfn.RANK.EQ(Goalie[[#This Row],[VOR]],Goalie[VOR])</f>
        <v>67</v>
      </c>
      <c r="S68" s="10">
        <f>E68*'League Inputs'!$K$25+F68*'League Inputs'!$K$23+G68*'League Inputs'!$K$24+I68*'League Inputs'!$K$27+J68*'League Inputs'!$K$28+K68*'League Inputs'!$K$29+N68*'League Inputs'!$K$30</f>
        <v>97.267999999999986</v>
      </c>
      <c r="T68" s="10"/>
      <c r="U68">
        <v>10</v>
      </c>
    </row>
    <row r="69" spans="1:21" x14ac:dyDescent="0.25">
      <c r="A69" t="s">
        <v>195</v>
      </c>
      <c r="B69" t="s">
        <v>1101</v>
      </c>
      <c r="C69">
        <v>35</v>
      </c>
      <c r="D69" t="s">
        <v>157</v>
      </c>
      <c r="E69">
        <v>20</v>
      </c>
      <c r="F69" s="10">
        <f>ROUND(Goalie[[#This Row],[GP]]*INDEX(Table27[],MATCH(Goalie[[#This Row],[player]],Table27[player],0),6),0)</f>
        <v>11</v>
      </c>
      <c r="G69" s="10">
        <f>Goalie[[#This Row],[GP]]*INDEX(Table27[],MATCH(Goalie[[#This Row],[player]],Table27[player],0),7)</f>
        <v>8.2520000000000007</v>
      </c>
      <c r="H69" s="10">
        <f>Goalie[[#This Row],[GP]]*INDEX(Table27[],MATCH(Goalie[[#This Row],[player]],Table27[player],0),8)</f>
        <v>1.5939999999999999</v>
      </c>
      <c r="I69" s="10">
        <f>Goalie[[#This Row],[GP]]*INDEX(Table27[],MATCH(Goalie[[#This Row],[player]],Table27[player],0),9)</f>
        <v>62.591999999999999</v>
      </c>
      <c r="J69" s="10">
        <f>Goalie[[#This Row],[GP]]*INDEX(Table27[],MATCH(Goalie[[#This Row],[player]],Table27[player],0),10)</f>
        <v>610.976</v>
      </c>
      <c r="K69" s="10">
        <f>ROUND(Goalie[[#This Row],[SA]]-Goalie[[#This Row],[GA]],0)</f>
        <v>548</v>
      </c>
      <c r="L69" s="69">
        <f>ROUND(Goalie[[#This Row],[SV]]/Goalie[[#This Row],[SA]],3)</f>
        <v>0.89700000000000002</v>
      </c>
      <c r="M69" s="9">
        <f>ROUND(Goalie[[#This Row],[GA]]/Goalie[[#This Row],[GP]],2)</f>
        <v>3.13</v>
      </c>
      <c r="N69" s="10">
        <f>Goalie[[#This Row],[GP]]*INDEX(Table27[],MATCH(Goalie[[#This Row],[player]],Table27[player],0),13)</f>
        <v>1.1119999999999999</v>
      </c>
      <c r="O69" s="10">
        <f>Goalie[[#This Row],[GP]]*INDEX(Table27[],MATCH(Goalie[[#This Row],[player]],Table27[player],0),14)</f>
        <v>9.8719999999999999</v>
      </c>
      <c r="P69" s="10">
        <f>Goalie[[#This Row],[GP]]*INDEX(Table27[],MATCH(Goalie[[#This Row],[player]],Table27[player],0),15)</f>
        <v>3.7380000000000004</v>
      </c>
      <c r="Q69" s="10">
        <f>INDEX(G_Std[],MATCH(Goalie[[#This Row],[player]],G_Std[player],0),17)</f>
        <v>-521.66750010936369</v>
      </c>
      <c r="R69" s="10">
        <f>_xlfn.RANK.EQ(Goalie[[#This Row],[VOR]],Goalie[VOR])</f>
        <v>68</v>
      </c>
      <c r="S69" s="10">
        <f>E69*'League Inputs'!$K$25+F69*'League Inputs'!$K$23+G69*'League Inputs'!$K$24+I69*'League Inputs'!$K$27+J69*'League Inputs'!$K$28+K69*'League Inputs'!$K$29+N69*'League Inputs'!$K$30</f>
        <v>201.584</v>
      </c>
      <c r="T69" s="10"/>
      <c r="U69">
        <v>20</v>
      </c>
    </row>
    <row r="70" spans="1:21" x14ac:dyDescent="0.25">
      <c r="A70" t="s">
        <v>192</v>
      </c>
      <c r="B70" t="s">
        <v>4</v>
      </c>
      <c r="C70">
        <v>36</v>
      </c>
      <c r="D70" t="s">
        <v>157</v>
      </c>
      <c r="E70">
        <v>15</v>
      </c>
      <c r="F70" s="10">
        <f>ROUND(Goalie[[#This Row],[GP]]*INDEX(Table27[],MATCH(Goalie[[#This Row],[player]],Table27[player],0),6),0)</f>
        <v>6</v>
      </c>
      <c r="G70" s="10">
        <f>Goalie[[#This Row],[GP]]*INDEX(Table27[],MATCH(Goalie[[#This Row],[player]],Table27[player],0),7)</f>
        <v>6.2715000000000005</v>
      </c>
      <c r="H70" s="10">
        <f>Goalie[[#This Row],[GP]]*INDEX(Table27[],MATCH(Goalie[[#This Row],[player]],Table27[player],0),8)</f>
        <v>2.5275000000000003</v>
      </c>
      <c r="I70" s="10">
        <f>Goalie[[#This Row],[GP]]*INDEX(Table27[],MATCH(Goalie[[#This Row],[player]],Table27[player],0),9)</f>
        <v>47.683500000000002</v>
      </c>
      <c r="J70" s="10">
        <f>Goalie[[#This Row],[GP]]*INDEX(Table27[],MATCH(Goalie[[#This Row],[player]],Table27[player],0),10)</f>
        <v>489.70650000000001</v>
      </c>
      <c r="K70" s="10">
        <f>ROUND(Goalie[[#This Row],[SA]]-Goalie[[#This Row],[GA]],0)</f>
        <v>442</v>
      </c>
      <c r="L70" s="69">
        <f>ROUND(Goalie[[#This Row],[SV]]/Goalie[[#This Row],[SA]],3)</f>
        <v>0.90300000000000002</v>
      </c>
      <c r="M70" s="9">
        <f>ROUND(Goalie[[#This Row],[GA]]/Goalie[[#This Row],[GP]],2)</f>
        <v>3.18</v>
      </c>
      <c r="N70" s="10">
        <f>Goalie[[#This Row],[GP]]*INDEX(Table27[],MATCH(Goalie[[#This Row],[player]],Table27[player],0),13)</f>
        <v>0.86250000000000004</v>
      </c>
      <c r="O70" s="10">
        <f>Goalie[[#This Row],[GP]]*INDEX(Table27[],MATCH(Goalie[[#This Row],[player]],Table27[player],0),14)</f>
        <v>7.9844999999999997</v>
      </c>
      <c r="P70" s="10">
        <f>Goalie[[#This Row],[GP]]*INDEX(Table27[],MATCH(Goalie[[#This Row],[player]],Table27[player],0),15)</f>
        <v>2.7344999999999997</v>
      </c>
      <c r="Q70" s="10">
        <f>INDEX(G_Std[],MATCH(Goalie[[#This Row],[player]],G_Std[player],0),17)</f>
        <v>-535.59072903091351</v>
      </c>
      <c r="R70" s="10">
        <f>_xlfn.RANK.EQ(Goalie[[#This Row],[VOR]],Goalie[VOR])</f>
        <v>69</v>
      </c>
      <c r="S70" s="10">
        <f>E70*'League Inputs'!$K$25+F70*'League Inputs'!$K$23+G70*'League Inputs'!$K$24+I70*'League Inputs'!$K$27+J70*'League Inputs'!$K$28+K70*'League Inputs'!$K$29+N70*'League Inputs'!$K$30</f>
        <v>156.46199999999999</v>
      </c>
      <c r="T70" s="10"/>
      <c r="U70">
        <v>15</v>
      </c>
    </row>
    <row r="71" spans="1:21" x14ac:dyDescent="0.25">
      <c r="A71" t="s">
        <v>189</v>
      </c>
      <c r="B71" t="s">
        <v>1085</v>
      </c>
      <c r="C71">
        <v>34</v>
      </c>
      <c r="D71" t="s">
        <v>157</v>
      </c>
      <c r="E71">
        <v>25</v>
      </c>
      <c r="F71" s="10">
        <f>ROUND(Goalie[[#This Row],[GP]]*INDEX(Table27[],MATCH(Goalie[[#This Row],[player]],Table27[player],0),6),0)</f>
        <v>9</v>
      </c>
      <c r="G71" s="10">
        <f>Goalie[[#This Row],[GP]]*INDEX(Table27[],MATCH(Goalie[[#This Row],[player]],Table27[player],0),7)</f>
        <v>13.407500000000001</v>
      </c>
      <c r="H71" s="10">
        <f>Goalie[[#This Row],[GP]]*INDEX(Table27[],MATCH(Goalie[[#This Row],[player]],Table27[player],0),8)</f>
        <v>2.6149999999999998</v>
      </c>
      <c r="I71" s="10">
        <f>Goalie[[#This Row],[GP]]*INDEX(Table27[],MATCH(Goalie[[#This Row],[player]],Table27[player],0),9)</f>
        <v>82.112499999999997</v>
      </c>
      <c r="J71" s="10">
        <f>Goalie[[#This Row],[GP]]*INDEX(Table27[],MATCH(Goalie[[#This Row],[player]],Table27[player],0),10)</f>
        <v>806.21500000000003</v>
      </c>
      <c r="K71" s="10">
        <f>ROUND(Goalie[[#This Row],[SA]]-Goalie[[#This Row],[GA]],0)</f>
        <v>724</v>
      </c>
      <c r="L71" s="69">
        <f>ROUND(Goalie[[#This Row],[SV]]/Goalie[[#This Row],[SA]],3)</f>
        <v>0.89800000000000002</v>
      </c>
      <c r="M71" s="9">
        <f>ROUND(Goalie[[#This Row],[GA]]/Goalie[[#This Row],[GP]],2)</f>
        <v>3.28</v>
      </c>
      <c r="N71" s="10">
        <f>Goalie[[#This Row],[GP]]*INDEX(Table27[],MATCH(Goalie[[#This Row],[player]],Table27[player],0),13)</f>
        <v>0.73250000000000004</v>
      </c>
      <c r="O71" s="10">
        <f>Goalie[[#This Row],[GP]]*INDEX(Table27[],MATCH(Goalie[[#This Row],[player]],Table27[player],0),14)</f>
        <v>12.3125</v>
      </c>
      <c r="P71" s="10">
        <f>Goalie[[#This Row],[GP]]*INDEX(Table27[],MATCH(Goalie[[#This Row],[player]],Table27[player],0),15)</f>
        <v>5.7024999999999997</v>
      </c>
      <c r="Q71" s="10">
        <f>INDEX(G_Std[],MATCH(Goalie[[#This Row],[player]],G_Std[player],0),17)</f>
        <v>-537.58437216662105</v>
      </c>
      <c r="R71" s="10">
        <f>_xlfn.RANK.EQ(Goalie[[#This Row],[VOR]],Goalie[VOR])</f>
        <v>70</v>
      </c>
      <c r="S71" s="10">
        <f>E71*'League Inputs'!$K$25+F71*'League Inputs'!$K$23+G71*'League Inputs'!$K$24+I71*'League Inputs'!$K$27+J71*'League Inputs'!$K$28+K71*'League Inputs'!$K$29+N71*'League Inputs'!$K$30</f>
        <v>236.72499999999999</v>
      </c>
      <c r="T71" s="10"/>
      <c r="U71">
        <v>25</v>
      </c>
    </row>
    <row r="72" spans="1:21" x14ac:dyDescent="0.25">
      <c r="A72" t="s">
        <v>164</v>
      </c>
      <c r="B72" t="s">
        <v>1085</v>
      </c>
      <c r="C72">
        <v>24</v>
      </c>
      <c r="D72" t="s">
        <v>157</v>
      </c>
      <c r="E72">
        <v>10</v>
      </c>
      <c r="F72" s="10">
        <f>ROUND(Goalie[[#This Row],[GP]]*INDEX(Table27[],MATCH(Goalie[[#This Row],[player]],Table27[player],0),6),0)</f>
        <v>5</v>
      </c>
      <c r="G72" s="10">
        <f>Goalie[[#This Row],[GP]]*INDEX(Table27[],MATCH(Goalie[[#This Row],[player]],Table27[player],0),7)</f>
        <v>4.7560000000000002</v>
      </c>
      <c r="H72" s="10">
        <f>Goalie[[#This Row],[GP]]*INDEX(Table27[],MATCH(Goalie[[#This Row],[player]],Table27[player],0),8)</f>
        <v>0.46699999999999997</v>
      </c>
      <c r="I72" s="10">
        <f>Goalie[[#This Row],[GP]]*INDEX(Table27[],MATCH(Goalie[[#This Row],[player]],Table27[player],0),9)</f>
        <v>29.16</v>
      </c>
      <c r="J72" s="10">
        <f>Goalie[[#This Row],[GP]]*INDEX(Table27[],MATCH(Goalie[[#This Row],[player]],Table27[player],0),10)</f>
        <v>285.67</v>
      </c>
      <c r="K72" s="10">
        <f>ROUND(Goalie[[#This Row],[SA]]-Goalie[[#This Row],[GA]],0)</f>
        <v>257</v>
      </c>
      <c r="L72" s="69">
        <f>ROUND(Goalie[[#This Row],[SV]]/Goalie[[#This Row],[SA]],3)</f>
        <v>0.9</v>
      </c>
      <c r="M72" s="9">
        <f>ROUND(Goalie[[#This Row],[GA]]/Goalie[[#This Row],[GP]],2)</f>
        <v>2.92</v>
      </c>
      <c r="N72" s="10">
        <f>Goalie[[#This Row],[GP]]*INDEX(Table27[],MATCH(Goalie[[#This Row],[player]],Table27[player],0),13)</f>
        <v>0.17199999999999999</v>
      </c>
      <c r="O72" s="10">
        <f>Goalie[[#This Row],[GP]]*INDEX(Table27[],MATCH(Goalie[[#This Row],[player]],Table27[player],0),14)</f>
        <v>4.5119999999999996</v>
      </c>
      <c r="P72" s="10">
        <f>Goalie[[#This Row],[GP]]*INDEX(Table27[],MATCH(Goalie[[#This Row],[player]],Table27[player],0),15)</f>
        <v>2.6040000000000001</v>
      </c>
      <c r="Q72" s="10">
        <f>INDEX(G_Std[],MATCH(Goalie[[#This Row],[player]],G_Std[player],0),17)</f>
        <v>-548.08739621218695</v>
      </c>
      <c r="R72" s="10">
        <f>_xlfn.RANK.EQ(Goalie[[#This Row],[VOR]],Goalie[VOR])</f>
        <v>71</v>
      </c>
      <c r="S72" s="10">
        <f>E72*'League Inputs'!$K$25+F72*'League Inputs'!$K$23+G72*'League Inputs'!$K$24+I72*'League Inputs'!$K$27+J72*'League Inputs'!$K$28+K72*'League Inputs'!$K$29+N72*'League Inputs'!$K$30</f>
        <v>92.579999999999984</v>
      </c>
      <c r="T72" s="10"/>
      <c r="U72">
        <v>10</v>
      </c>
    </row>
    <row r="73" spans="1:21" x14ac:dyDescent="0.25">
      <c r="A73" t="s">
        <v>1080</v>
      </c>
      <c r="B73" t="s">
        <v>16</v>
      </c>
      <c r="C73">
        <v>30</v>
      </c>
      <c r="D73" t="s">
        <v>157</v>
      </c>
      <c r="E73">
        <v>10</v>
      </c>
      <c r="F73" s="10">
        <f>ROUND(Goalie[[#This Row],[GP]]*INDEX(Table27[],MATCH(Goalie[[#This Row],[player]],Table27[player],0),6),0)</f>
        <v>5</v>
      </c>
      <c r="G73" s="10">
        <f>Goalie[[#This Row],[GP]]*INDEX(Table27[],MATCH(Goalie[[#This Row],[player]],Table27[player],0),7)</f>
        <v>4.0019999999999998</v>
      </c>
      <c r="H73" s="10">
        <f>Goalie[[#This Row],[GP]]*INDEX(Table27[],MATCH(Goalie[[#This Row],[player]],Table27[player],0),8)</f>
        <v>1.1850000000000001</v>
      </c>
      <c r="I73" s="10">
        <f>Goalie[[#This Row],[GP]]*INDEX(Table27[],MATCH(Goalie[[#This Row],[player]],Table27[player],0),9)</f>
        <v>31.932000000000002</v>
      </c>
      <c r="J73" s="10">
        <f>Goalie[[#This Row],[GP]]*INDEX(Table27[],MATCH(Goalie[[#This Row],[player]],Table27[player],0),10)</f>
        <v>310.79500000000002</v>
      </c>
      <c r="K73" s="10">
        <f>ROUND(Goalie[[#This Row],[SA]]-Goalie[[#This Row],[GA]],0)</f>
        <v>279</v>
      </c>
      <c r="L73" s="69">
        <f>ROUND(Goalie[[#This Row],[SV]]/Goalie[[#This Row],[SA]],3)</f>
        <v>0.89800000000000002</v>
      </c>
      <c r="M73" s="9">
        <f>ROUND(Goalie[[#This Row],[GA]]/Goalie[[#This Row],[GP]],2)</f>
        <v>3.19</v>
      </c>
      <c r="N73" s="10">
        <f>Goalie[[#This Row],[GP]]*INDEX(Table27[],MATCH(Goalie[[#This Row],[player]],Table27[player],0),13)</f>
        <v>0.25800000000000001</v>
      </c>
      <c r="O73" s="10">
        <f>Goalie[[#This Row],[GP]]*INDEX(Table27[],MATCH(Goalie[[#This Row],[player]],Table27[player],0),14)</f>
        <v>4.9930000000000003</v>
      </c>
      <c r="P73" s="10">
        <f>Goalie[[#This Row],[GP]]*INDEX(Table27[],MATCH(Goalie[[#This Row],[player]],Table27[player],0),15)</f>
        <v>1.8759999999999999</v>
      </c>
      <c r="Q73" s="10">
        <f>INDEX(G_Std[],MATCH(Goalie[[#This Row],[player]],G_Std[player],0),17)</f>
        <v>-669.74206032726397</v>
      </c>
      <c r="R73" s="10">
        <f>_xlfn.RANK.EQ(Goalie[[#This Row],[VOR]],Goalie[VOR])</f>
        <v>72</v>
      </c>
      <c r="S73" s="10">
        <f>E73*'League Inputs'!$K$25+F73*'League Inputs'!$K$23+G73*'League Inputs'!$K$24+I73*'League Inputs'!$K$27+J73*'League Inputs'!$K$28+K73*'League Inputs'!$K$29+N73*'League Inputs'!$K$30</f>
        <v>97.894000000000005</v>
      </c>
      <c r="T73" s="10"/>
      <c r="U73">
        <v>10</v>
      </c>
    </row>
    <row r="74" spans="1:21" x14ac:dyDescent="0.25">
      <c r="A74" t="s">
        <v>187</v>
      </c>
      <c r="B74" t="s">
        <v>32</v>
      </c>
      <c r="C74">
        <v>30</v>
      </c>
      <c r="D74" t="s">
        <v>157</v>
      </c>
      <c r="E74">
        <v>8</v>
      </c>
      <c r="F74" s="10">
        <f>ROUND(Goalie[[#This Row],[GP]]*INDEX(Table27[],MATCH(Goalie[[#This Row],[player]],Table27[player],0),6),0)</f>
        <v>4</v>
      </c>
      <c r="G74" s="10">
        <f>Goalie[[#This Row],[GP]]*INDEX(Table27[],MATCH(Goalie[[#This Row],[player]],Table27[player],0),7)</f>
        <v>3.0728</v>
      </c>
      <c r="H74" s="10">
        <f>Goalie[[#This Row],[GP]]*INDEX(Table27[],MATCH(Goalie[[#This Row],[player]],Table27[player],0),8)</f>
        <v>0.77039999999999997</v>
      </c>
      <c r="I74" s="10">
        <f>Goalie[[#This Row],[GP]]*INDEX(Table27[],MATCH(Goalie[[#This Row],[player]],Table27[player],0),9)</f>
        <v>24.462399999999999</v>
      </c>
      <c r="J74" s="10">
        <f>Goalie[[#This Row],[GP]]*INDEX(Table27[],MATCH(Goalie[[#This Row],[player]],Table27[player],0),10)</f>
        <v>235.59200000000001</v>
      </c>
      <c r="K74" s="10">
        <f>ROUND(Goalie[[#This Row],[SA]]-Goalie[[#This Row],[GA]],0)</f>
        <v>211</v>
      </c>
      <c r="L74" s="69">
        <f>ROUND(Goalie[[#This Row],[SV]]/Goalie[[#This Row],[SA]],3)</f>
        <v>0.89600000000000002</v>
      </c>
      <c r="M74" s="9">
        <f>ROUND(Goalie[[#This Row],[GA]]/Goalie[[#This Row],[GP]],2)</f>
        <v>3.06</v>
      </c>
      <c r="N74" s="10">
        <f>Goalie[[#This Row],[GP]]*INDEX(Table27[],MATCH(Goalie[[#This Row],[player]],Table27[player],0),13)</f>
        <v>0.50560000000000005</v>
      </c>
      <c r="O74" s="10">
        <f>Goalie[[#This Row],[GP]]*INDEX(Table27[],MATCH(Goalie[[#This Row],[player]],Table27[player],0),14)</f>
        <v>4.2439999999999998</v>
      </c>
      <c r="P74" s="10">
        <f>Goalie[[#This Row],[GP]]*INDEX(Table27[],MATCH(Goalie[[#This Row],[player]],Table27[player],0),15)</f>
        <v>1.6448</v>
      </c>
      <c r="Q74" s="10">
        <f>INDEX(G_Std[],MATCH(Goalie[[#This Row],[player]],G_Std[player],0),17)</f>
        <v>-682.98596692148078</v>
      </c>
      <c r="R74" s="10">
        <f>_xlfn.RANK.EQ(Goalie[[#This Row],[VOR]],Goalie[VOR])</f>
        <v>73</v>
      </c>
      <c r="S74" s="10">
        <f>E74*'League Inputs'!$K$25+F74*'League Inputs'!$K$23+G74*'League Inputs'!$K$24+I74*'League Inputs'!$K$27+J74*'League Inputs'!$K$28+K74*'League Inputs'!$K$29+N74*'League Inputs'!$K$30</f>
        <v>75.740800000000007</v>
      </c>
      <c r="T74" s="10"/>
      <c r="U74">
        <v>8</v>
      </c>
    </row>
    <row r="75" spans="1:21" x14ac:dyDescent="0.25">
      <c r="A75" t="s">
        <v>1102</v>
      </c>
      <c r="B75" t="s">
        <v>165</v>
      </c>
      <c r="C75">
        <v>29</v>
      </c>
      <c r="D75" t="s">
        <v>157</v>
      </c>
      <c r="E75">
        <v>18</v>
      </c>
      <c r="F75" s="10">
        <f>ROUND(Goalie[[#This Row],[GP]]*INDEX(Table27[],MATCH(Goalie[[#This Row],[player]],Table27[player],0),6),0)</f>
        <v>9</v>
      </c>
      <c r="G75" s="10">
        <f>Goalie[[#This Row],[GP]]*INDEX(Table27[],MATCH(Goalie[[#This Row],[player]],Table27[player],0),7)</f>
        <v>6.3162000000000003</v>
      </c>
      <c r="H75" s="10">
        <f>Goalie[[#This Row],[GP]]*INDEX(Table27[],MATCH(Goalie[[#This Row],[player]],Table27[player],0),8)</f>
        <v>2.9016000000000002</v>
      </c>
      <c r="I75" s="10">
        <f>Goalie[[#This Row],[GP]]*INDEX(Table27[],MATCH(Goalie[[#This Row],[player]],Table27[player],0),9)</f>
        <v>61.615799999999993</v>
      </c>
      <c r="J75" s="10">
        <f>Goalie[[#This Row],[GP]]*INDEX(Table27[],MATCH(Goalie[[#This Row],[player]],Table27[player],0),10)</f>
        <v>562.572</v>
      </c>
      <c r="K75" s="10">
        <f>ROUND(Goalie[[#This Row],[SA]]-Goalie[[#This Row],[GA]],0)</f>
        <v>501</v>
      </c>
      <c r="L75" s="69">
        <f>ROUND(Goalie[[#This Row],[SV]]/Goalie[[#This Row],[SA]],3)</f>
        <v>0.89100000000000001</v>
      </c>
      <c r="M75" s="9">
        <f>ROUND(Goalie[[#This Row],[GA]]/Goalie[[#This Row],[GP]],2)</f>
        <v>3.42</v>
      </c>
      <c r="N75" s="10">
        <f>Goalie[[#This Row],[GP]]*INDEX(Table27[],MATCH(Goalie[[#This Row],[player]],Table27[player],0),13)</f>
        <v>1.1303999999999998</v>
      </c>
      <c r="O75" s="10">
        <f>Goalie[[#This Row],[GP]]*INDEX(Table27[],MATCH(Goalie[[#This Row],[player]],Table27[player],0),14)</f>
        <v>8.5931999999999995</v>
      </c>
      <c r="P75" s="10">
        <f>Goalie[[#This Row],[GP]]*INDEX(Table27[],MATCH(Goalie[[#This Row],[player]],Table27[player],0),15)</f>
        <v>3.3803999999999998</v>
      </c>
      <c r="Q75" s="10">
        <f>INDEX(G_Std[],MATCH(Goalie[[#This Row],[player]],G_Std[player],0),17)</f>
        <v>-752.88256695487007</v>
      </c>
      <c r="R75" s="10">
        <f>_xlfn.RANK.EQ(Goalie[[#This Row],[VOR]],Goalie[VOR])</f>
        <v>74</v>
      </c>
      <c r="S75" s="10">
        <f>E75*'League Inputs'!$K$25+F75*'League Inputs'!$K$23+G75*'League Inputs'!$K$24+I75*'League Inputs'!$K$27+J75*'League Inputs'!$K$28+K75*'League Inputs'!$K$29+N75*'League Inputs'!$K$30</f>
        <v>166.40459999999996</v>
      </c>
      <c r="T75" s="10"/>
      <c r="U75">
        <v>18</v>
      </c>
    </row>
    <row r="76" spans="1:21" x14ac:dyDescent="0.25">
      <c r="A76" t="s">
        <v>158</v>
      </c>
      <c r="B76" t="s">
        <v>34</v>
      </c>
      <c r="C76">
        <v>29</v>
      </c>
      <c r="D76" t="s">
        <v>157</v>
      </c>
      <c r="E76">
        <v>10</v>
      </c>
      <c r="F76" s="10">
        <f>ROUND(Goalie[[#This Row],[GP]]*INDEX(Table27[],MATCH(Goalie[[#This Row],[player]],Table27[player],0),6),0)</f>
        <v>5</v>
      </c>
      <c r="G76" s="10">
        <f>Goalie[[#This Row],[GP]]*INDEX(Table27[],MATCH(Goalie[[#This Row],[player]],Table27[player],0),7)</f>
        <v>4.6120000000000001</v>
      </c>
      <c r="H76" s="10">
        <f>Goalie[[#This Row],[GP]]*INDEX(Table27[],MATCH(Goalie[[#This Row],[player]],Table27[player],0),8)</f>
        <v>1.2110000000000001</v>
      </c>
      <c r="I76" s="10">
        <f>Goalie[[#This Row],[GP]]*INDEX(Table27[],MATCH(Goalie[[#This Row],[player]],Table27[player],0),9)</f>
        <v>33.864000000000004</v>
      </c>
      <c r="J76" s="10">
        <f>Goalie[[#This Row],[GP]]*INDEX(Table27[],MATCH(Goalie[[#This Row],[player]],Table27[player],0),10)</f>
        <v>318.97300000000001</v>
      </c>
      <c r="K76" s="10">
        <f>ROUND(Goalie[[#This Row],[SA]]-Goalie[[#This Row],[GA]],0)</f>
        <v>285</v>
      </c>
      <c r="L76" s="69">
        <f>ROUND(Goalie[[#This Row],[SV]]/Goalie[[#This Row],[SA]],3)</f>
        <v>0.89300000000000002</v>
      </c>
      <c r="M76" s="9">
        <f>ROUND(Goalie[[#This Row],[GA]]/Goalie[[#This Row],[GP]],2)</f>
        <v>3.39</v>
      </c>
      <c r="N76" s="10">
        <f>Goalie[[#This Row],[GP]]*INDEX(Table27[],MATCH(Goalie[[#This Row],[player]],Table27[player],0),13)</f>
        <v>0.16</v>
      </c>
      <c r="O76" s="10">
        <f>Goalie[[#This Row],[GP]]*INDEX(Table27[],MATCH(Goalie[[#This Row],[player]],Table27[player],0),14)</f>
        <v>4.6790000000000003</v>
      </c>
      <c r="P76" s="10">
        <f>Goalie[[#This Row],[GP]]*INDEX(Table27[],MATCH(Goalie[[#This Row],[player]],Table27[player],0),15)</f>
        <v>2.5209999999999999</v>
      </c>
      <c r="Q76" s="10">
        <f>INDEX(G_Std[],MATCH(Goalie[[#This Row],[player]],G_Std[player],0),17)</f>
        <v>-815.88545257639191</v>
      </c>
      <c r="R76" s="10">
        <f>_xlfn.RANK.EQ(Goalie[[#This Row],[VOR]],Goalie[VOR])</f>
        <v>75</v>
      </c>
      <c r="S76" s="10">
        <f>E76*'League Inputs'!$K$25+F76*'League Inputs'!$K$23+G76*'League Inputs'!$K$24+I76*'League Inputs'!$K$27+J76*'League Inputs'!$K$28+K76*'League Inputs'!$K$29+N76*'League Inputs'!$K$30</f>
        <v>95.207999999999984</v>
      </c>
      <c r="T76" s="10"/>
      <c r="U76">
        <v>10</v>
      </c>
    </row>
    <row r="77" spans="1:21" x14ac:dyDescent="0.25">
      <c r="A77" t="s">
        <v>1252</v>
      </c>
      <c r="B77" t="s">
        <v>32</v>
      </c>
      <c r="C77">
        <v>28</v>
      </c>
      <c r="D77" t="s">
        <v>157</v>
      </c>
      <c r="E77">
        <v>6</v>
      </c>
      <c r="F77" s="10">
        <f>ROUND(Goalie[[#This Row],[GP]]*INDEX(Table27[],MATCH(Goalie[[#This Row],[player]],Table27[player],0),6),0)</f>
        <v>2</v>
      </c>
      <c r="G77" s="10">
        <f>Goalie[[#This Row],[GP]]*INDEX(Table27[],MATCH(Goalie[[#This Row],[player]],Table27[player],0),7)</f>
        <v>3.0096000000000003</v>
      </c>
      <c r="H77" s="10">
        <f>Goalie[[#This Row],[GP]]*INDEX(Table27[],MATCH(Goalie[[#This Row],[player]],Table27[player],0),8)</f>
        <v>0.81600000000000006</v>
      </c>
      <c r="I77" s="10">
        <f>Goalie[[#This Row],[GP]]*INDEX(Table27[],MATCH(Goalie[[#This Row],[player]],Table27[player],0),9)</f>
        <v>19.896000000000001</v>
      </c>
      <c r="J77" s="10">
        <f>Goalie[[#This Row],[GP]]*INDEX(Table27[],MATCH(Goalie[[#This Row],[player]],Table27[player],0),10)</f>
        <v>187.917</v>
      </c>
      <c r="K77" s="10">
        <f>ROUND(Goalie[[#This Row],[SA]]-Goalie[[#This Row],[GA]],0)</f>
        <v>168</v>
      </c>
      <c r="L77" s="69">
        <f>ROUND(Goalie[[#This Row],[SV]]/Goalie[[#This Row],[SA]],3)</f>
        <v>0.89400000000000002</v>
      </c>
      <c r="M77" s="9">
        <f>ROUND(Goalie[[#This Row],[GA]]/Goalie[[#This Row],[GP]],2)</f>
        <v>3.32</v>
      </c>
      <c r="N77" s="10">
        <f>Goalie[[#This Row],[GP]]*INDEX(Table27[],MATCH(Goalie[[#This Row],[player]],Table27[player],0),13)</f>
        <v>0.16139999999999999</v>
      </c>
      <c r="O77" s="10">
        <f>Goalie[[#This Row],[GP]]*INDEX(Table27[],MATCH(Goalie[[#This Row],[player]],Table27[player],0),14)</f>
        <v>2.5985999999999998</v>
      </c>
      <c r="P77" s="10">
        <f>Goalie[[#This Row],[GP]]*INDEX(Table27[],MATCH(Goalie[[#This Row],[player]],Table27[player],0),15)</f>
        <v>1.2036</v>
      </c>
      <c r="Q77" s="10">
        <f>INDEX(G_Std[],MATCH(Goalie[[#This Row],[player]],G_Std[player],0),17)</f>
        <v>-841.74348545080613</v>
      </c>
      <c r="R77" s="10">
        <f>_xlfn.RANK.EQ(Goalie[[#This Row],[VOR]],Goalie[VOR])</f>
        <v>76</v>
      </c>
      <c r="S77" s="10">
        <f>E77*'League Inputs'!$K$25+F77*'League Inputs'!$K$23+G77*'League Inputs'!$K$24+I77*'League Inputs'!$K$27+J77*'League Inputs'!$K$28+K77*'League Inputs'!$K$29+N77*'League Inputs'!$K$30</f>
        <v>51.918999999999997</v>
      </c>
      <c r="T77" s="10"/>
      <c r="U77">
        <v>6</v>
      </c>
    </row>
    <row r="78" spans="1:21" x14ac:dyDescent="0.25">
      <c r="A78" t="s">
        <v>1248</v>
      </c>
      <c r="B78" t="s">
        <v>21</v>
      </c>
      <c r="C78">
        <v>25</v>
      </c>
      <c r="D78" t="s">
        <v>157</v>
      </c>
      <c r="E78">
        <v>7</v>
      </c>
      <c r="F78" s="10">
        <f>ROUND(Goalie[[#This Row],[GP]]*INDEX(Table27[],MATCH(Goalie[[#This Row],[player]],Table27[player],0),6),0)</f>
        <v>2</v>
      </c>
      <c r="G78" s="10">
        <f>Goalie[[#This Row],[GP]]*INDEX(Table27[],MATCH(Goalie[[#This Row],[player]],Table27[player],0),7)</f>
        <v>4.5261999999999993</v>
      </c>
      <c r="H78" s="10">
        <f>Goalie[[#This Row],[GP]]*INDEX(Table27[],MATCH(Goalie[[#This Row],[player]],Table27[player],0),8)</f>
        <v>0.66079999999999994</v>
      </c>
      <c r="I78" s="10">
        <f>Goalie[[#This Row],[GP]]*INDEX(Table27[],MATCH(Goalie[[#This Row],[player]],Table27[player],0),9)</f>
        <v>25.045999999999999</v>
      </c>
      <c r="J78" s="10">
        <f>Goalie[[#This Row],[GP]]*INDEX(Table27[],MATCH(Goalie[[#This Row],[player]],Table27[player],0),10)</f>
        <v>225.46720000000002</v>
      </c>
      <c r="K78" s="10">
        <f>ROUND(Goalie[[#This Row],[SA]]-Goalie[[#This Row],[GA]],0)</f>
        <v>200</v>
      </c>
      <c r="L78" s="69">
        <f>ROUND(Goalie[[#This Row],[SV]]/Goalie[[#This Row],[SA]],3)</f>
        <v>0.88700000000000001</v>
      </c>
      <c r="M78" s="9">
        <f>ROUND(Goalie[[#This Row],[GA]]/Goalie[[#This Row],[GP]],2)</f>
        <v>3.58</v>
      </c>
      <c r="N78" s="10">
        <f>Goalie[[#This Row],[GP]]*INDEX(Table27[],MATCH(Goalie[[#This Row],[player]],Table27[player],0),13)</f>
        <v>0.1106</v>
      </c>
      <c r="O78" s="10">
        <f>Goalie[[#This Row],[GP]]*INDEX(Table27[],MATCH(Goalie[[#This Row],[player]],Table27[player],0),14)</f>
        <v>2.9763999999999999</v>
      </c>
      <c r="P78" s="10">
        <f>Goalie[[#This Row],[GP]]*INDEX(Table27[],MATCH(Goalie[[#This Row],[player]],Table27[player],0),15)</f>
        <v>1.3349</v>
      </c>
      <c r="Q78" s="10">
        <f>INDEX(G_Std[],MATCH(Goalie[[#This Row],[player]],G_Std[player],0),17)</f>
        <v>-1032.9183507081964</v>
      </c>
      <c r="R78" s="10">
        <f>_xlfn.RANK.EQ(Goalie[[#This Row],[VOR]],Goalie[VOR])</f>
        <v>77</v>
      </c>
      <c r="S78" s="10">
        <f>E78*'League Inputs'!$K$25+F78*'League Inputs'!$K$23+G78*'League Inputs'!$K$24+I78*'League Inputs'!$K$27+J78*'League Inputs'!$K$28+K78*'League Inputs'!$K$29+N78*'League Inputs'!$K$30</f>
        <v>55.414999999999992</v>
      </c>
      <c r="T78" s="10"/>
      <c r="U78">
        <v>7</v>
      </c>
    </row>
    <row r="81" spans="6:6" x14ac:dyDescent="0.25">
      <c r="F81" s="10"/>
    </row>
  </sheetData>
  <pageMargins left="0.7" right="0.7" top="0.75" bottom="0.75" header="0.3" footer="0.3"/>
  <pageSetup orientation="portrait"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0DD77-287A-4B77-972E-D93A7FA9574E}">
  <sheetPr codeName="Sheet15"/>
  <dimension ref="A1:I838"/>
  <sheetViews>
    <sheetView workbookViewId="0">
      <selection activeCell="I2" sqref="I2"/>
    </sheetView>
  </sheetViews>
  <sheetFormatPr defaultRowHeight="15" x14ac:dyDescent="0.25"/>
  <cols>
    <col min="1" max="1" width="24.42578125" bestFit="1" customWidth="1"/>
    <col min="2" max="2" width="0" hidden="1" customWidth="1"/>
    <col min="3" max="3" width="6.28515625" customWidth="1"/>
    <col min="5" max="5" width="11.5703125" customWidth="1"/>
    <col min="6" max="6" width="7.42578125" hidden="1" customWidth="1"/>
    <col min="7" max="7" width="11.42578125" customWidth="1"/>
    <col min="8" max="8" width="11.5703125" customWidth="1"/>
    <col min="9" max="9" width="15.42578125" bestFit="1" customWidth="1"/>
  </cols>
  <sheetData>
    <row r="1" spans="1:9" x14ac:dyDescent="0.25">
      <c r="A1" t="s">
        <v>0</v>
      </c>
      <c r="B1" t="s">
        <v>55</v>
      </c>
      <c r="C1" t="s">
        <v>1260</v>
      </c>
      <c r="D1" t="s">
        <v>149</v>
      </c>
      <c r="E1" t="s">
        <v>1262</v>
      </c>
      <c r="F1" t="s">
        <v>1261</v>
      </c>
      <c r="G1" t="s">
        <v>1259</v>
      </c>
      <c r="H1" t="s">
        <v>127</v>
      </c>
      <c r="I1" t="s">
        <v>72</v>
      </c>
    </row>
    <row r="2" spans="1:9" x14ac:dyDescent="0.25">
      <c r="A2" t="s">
        <v>906</v>
      </c>
      <c r="B2" s="2" t="s">
        <v>74</v>
      </c>
      <c r="C2" t="str">
        <f t="shared" ref="C2:C65" si="0">SUBSTITUTE(SUBSTITUTE(B2,"C,",""),"LW,","")</f>
        <v>C</v>
      </c>
      <c r="D2" s="10">
        <f>MAX(_xlfn.IFNA(INDEX(Proj[],MATCH(Table16[[#This Row],[Player]],Proj[Player],0),27),-5000), _xlfn.IFNA(INDEX(Goalie[],MATCH(Table16[[#This Row],[Player]],Goalie[player],0),17),-5000))</f>
        <v>1483.246805398049</v>
      </c>
      <c r="E2">
        <f>_xlfn.RANK.EQ(Table16[[#This Row],[VOR]],Table16[VOR])</f>
        <v>1</v>
      </c>
      <c r="F2" cm="1">
        <f t="array" ref="F2">_xlfn.IFS(C2 = "C",INDEX('C'!$A$2:$L$254,MATCH($A2,'C'!$A$2:$A$254,0),10),C2 = "LW",INDEX(LW!$A$2:$K$180,MATCH($A2,LW!$A$2:$A$180,0),10),C2 = "RW",INDEX('RW'!$A$2:$L$164,MATCH($A2,'RW'!$A$2:$A$164,0),10), C2 = "D",INDEX(D!$A$2:$L$268,MATCH($A2,D!$A$2:$A$268,0),10),C2="G",INDEX(G!$A$2:$Q$78,MATCH($A2,G!$A$2:$A$78,0),16),C2="F",INDEX(F!$A$2:$K$494,MATCH($A2,F!$A$2:$A$494,0),10))</f>
        <v>1</v>
      </c>
      <c r="G2" t="str">
        <f>_xlfn.CONCAT(C2,Table16[[#This Row],[Pos Rank2]])</f>
        <v>C1</v>
      </c>
      <c r="H2" s="10">
        <f>MAX(_xlfn.IFNA(INDEX(Proj[],MATCH(Table16[[#This Row],[Player]],Proj[Player],0),29),-5000), _xlfn.IFNA(INDEX(Goalie[],MATCH(Table16[[#This Row],[Player]],Goalie[player],0),19),-5000))</f>
        <v>2217.8806597083476</v>
      </c>
      <c r="I2" t="str">
        <f>IF(_xlfn.IFNA(INDEX(Proj[],MATCH(Table16[[#This Row],[Player]],Proj[Player],0),31),INDEX(Goalie[],MATCH(Table16[[#This Row],[Player]],Goalie[player],0),20)) = 0, "",_xlfn.IFNA(INDEX(Proj[],MATCH(Table16[[#This Row],[Player]],Proj[Player],0),31),INDEX(Goalie[],MATCH(Table16[[#This Row],[Player]],Goalie[player],0),20)))</f>
        <v/>
      </c>
    </row>
    <row r="3" spans="1:9" x14ac:dyDescent="0.25">
      <c r="A3" t="s">
        <v>238</v>
      </c>
      <c r="B3" s="2" t="s">
        <v>101</v>
      </c>
      <c r="C3" t="str">
        <f t="shared" si="0"/>
        <v>LW</v>
      </c>
      <c r="D3" s="10">
        <f>MAX(_xlfn.IFNA(INDEX(Proj[],MATCH(Table16[[#This Row],[Player]],Proj[Player],0),27),-5000), _xlfn.IFNA(INDEX(Goalie[],MATCH(Table16[[#This Row],[Player]],Goalie[player],0),17),-5000))</f>
        <v>1409.531174379501</v>
      </c>
      <c r="E3">
        <f>_xlfn.RANK.EQ(Table16[[#This Row],[VOR]],Table16[VOR])</f>
        <v>2</v>
      </c>
      <c r="F3" cm="1">
        <f t="array" ref="F3">_xlfn.IFS(C3 = "C",INDEX('C'!$A$2:$L$254,MATCH($A3,'C'!$A$2:$A$254,0),10),C3 = "LW",INDEX(LW!$A$2:$K$180,MATCH($A3,LW!$A$2:$A$180,0),10),C3 = "RW",INDEX('RW'!$A$2:$L$164,MATCH($A3,'RW'!$A$2:$A$164,0),10), C3 = "D",INDEX(D!$A$2:$L$268,MATCH($A3,D!$A$2:$A$268,0),10),C3="G",INDEX(G!$A$2:$Q$78,MATCH($A3,G!$A$2:$A$78,0),16),C3="F",INDEX(F!$A$2:$K$494,MATCH($A3,F!$A$2:$A$494,0),10))</f>
        <v>1</v>
      </c>
      <c r="G3" t="str">
        <f>_xlfn.CONCAT(C3,Table16[[#This Row],[Pos Rank2]])</f>
        <v>LW1</v>
      </c>
      <c r="H3" s="10">
        <f>MAX(_xlfn.IFNA(INDEX(Proj[],MATCH(Table16[[#This Row],[Player]],Proj[Player],0),29),-5000), _xlfn.IFNA(INDEX(Goalie[],MATCH(Table16[[#This Row],[Player]],Goalie[player],0),19),-5000))</f>
        <v>1881.0758987697498</v>
      </c>
      <c r="I3" t="str">
        <f>IF(_xlfn.IFNA(INDEX(Proj[],MATCH(Table16[[#This Row],[Player]],Proj[Player],0),31),INDEX(Goalie[],MATCH(Table16[[#This Row],[Player]],Goalie[player],0),20)) = 0, "",_xlfn.IFNA(INDEX(Proj[],MATCH(Table16[[#This Row],[Player]],Proj[Player],0),31),INDEX(Goalie[],MATCH(Table16[[#This Row],[Player]],Goalie[player],0),20)))</f>
        <v/>
      </c>
    </row>
    <row r="4" spans="1:9" x14ac:dyDescent="0.25">
      <c r="A4" t="s">
        <v>993</v>
      </c>
      <c r="B4" s="2" t="s">
        <v>74</v>
      </c>
      <c r="C4" t="str">
        <f t="shared" si="0"/>
        <v>C</v>
      </c>
      <c r="D4" s="10">
        <f>MAX(_xlfn.IFNA(INDEX(Proj[],MATCH(Table16[[#This Row],[Player]],Proj[Player],0),27),-5000), _xlfn.IFNA(INDEX(Goalie[],MATCH(Table16[[#This Row],[Player]],Goalie[player],0),17),-5000))</f>
        <v>1331.5929614355412</v>
      </c>
      <c r="E4">
        <f>_xlfn.RANK.EQ(Table16[[#This Row],[VOR]],Table16[VOR])</f>
        <v>5</v>
      </c>
      <c r="F4" cm="1">
        <f t="array" ref="F4">_xlfn.IFS(C4 = "C",INDEX('C'!$A$2:$L$254,MATCH($A4,'C'!$A$2:$A$254,0),10),C4 = "LW",INDEX(LW!$A$2:$K$180,MATCH($A4,LW!$A$2:$A$180,0),10),C4 = "RW",INDEX('RW'!$A$2:$L$164,MATCH($A4,'RW'!$A$2:$A$164,0),10), C4 = "D",INDEX(D!$A$2:$L$268,MATCH($A4,D!$A$2:$A$268,0),10),C4="G",INDEX(G!$A$2:$Q$78,MATCH($A4,G!$A$2:$A$78,0),16),C4="F",INDEX(F!$A$2:$K$494,MATCH($A4,F!$A$2:$A$494,0),10))</f>
        <v>2</v>
      </c>
      <c r="G4" t="str">
        <f>_xlfn.CONCAT(C4,Table16[[#This Row],[Pos Rank2]])</f>
        <v>C2</v>
      </c>
      <c r="H4" s="10">
        <f>MAX(_xlfn.IFNA(INDEX(Proj[],MATCH(Table16[[#This Row],[Player]],Proj[Player],0),29),-5000), _xlfn.IFNA(INDEX(Goalie[],MATCH(Table16[[#This Row],[Player]],Goalie[player],0),19),-5000))</f>
        <v>2066.2268157458398</v>
      </c>
      <c r="I4" t="str">
        <f>IF(_xlfn.IFNA(INDEX(Proj[],MATCH(Table16[[#This Row],[Player]],Proj[Player],0),31),INDEX(Goalie[],MATCH(Table16[[#This Row],[Player]],Goalie[player],0),20)) = 0, "",_xlfn.IFNA(INDEX(Proj[],MATCH(Table16[[#This Row],[Player]],Proj[Player],0),31),INDEX(Goalie[],MATCH(Table16[[#This Row],[Player]],Goalie[player],0),20)))</f>
        <v/>
      </c>
    </row>
    <row r="5" spans="1:9" x14ac:dyDescent="0.25">
      <c r="A5" t="s">
        <v>242</v>
      </c>
      <c r="B5" s="2" t="s">
        <v>104</v>
      </c>
      <c r="C5" t="str">
        <f t="shared" si="0"/>
        <v>RW</v>
      </c>
      <c r="D5" s="10">
        <f>MAX(_xlfn.IFNA(INDEX(Proj[],MATCH(Table16[[#This Row],[Player]],Proj[Player],0),27),-5000), _xlfn.IFNA(INDEX(Goalie[],MATCH(Table16[[#This Row],[Player]],Goalie[player],0),17),-5000))</f>
        <v>1152.0873571563445</v>
      </c>
      <c r="E5">
        <f>_xlfn.RANK.EQ(Table16[[#This Row],[VOR]],Table16[VOR])</f>
        <v>7</v>
      </c>
      <c r="F5" cm="1">
        <f t="array" ref="F5">_xlfn.IFS(C5 = "C",INDEX('C'!$A$2:$L$254,MATCH($A5,'C'!$A$2:$A$254,0),10),C5 = "LW",INDEX(LW!$A$2:$K$180,MATCH($A5,LW!$A$2:$A$180,0),10),C5 = "RW",INDEX('RW'!$A$2:$L$164,MATCH($A5,'RW'!$A$2:$A$164,0),10), C5 = "D",INDEX(D!$A$2:$L$268,MATCH($A5,D!$A$2:$A$268,0),10),C5="G",INDEX(G!$A$2:$Q$78,MATCH($A5,G!$A$2:$A$78,0),16),C5="F",INDEX(F!$A$2:$K$494,MATCH($A5,F!$A$2:$A$494,0),10))</f>
        <v>2</v>
      </c>
      <c r="G5" t="str">
        <f>_xlfn.CONCAT(C5,Table16[[#This Row],[Pos Rank2]])</f>
        <v>RW2</v>
      </c>
      <c r="H5" s="10">
        <f>MAX(_xlfn.IFNA(INDEX(Proj[],MATCH(Table16[[#This Row],[Player]],Proj[Player],0),29),-5000), _xlfn.IFNA(INDEX(Goalie[],MATCH(Table16[[#This Row],[Player]],Goalie[player],0),19),-5000))</f>
        <v>1598.6320815465933</v>
      </c>
      <c r="I5" t="str">
        <f>IF(_xlfn.IFNA(INDEX(Proj[],MATCH(Table16[[#This Row],[Player]],Proj[Player],0),31),INDEX(Goalie[],MATCH(Table16[[#This Row],[Player]],Goalie[player],0),20)) = 0, "",_xlfn.IFNA(INDEX(Proj[],MATCH(Table16[[#This Row],[Player]],Proj[Player],0),31),INDEX(Goalie[],MATCH(Table16[[#This Row],[Player]],Goalie[player],0),20)))</f>
        <v/>
      </c>
    </row>
    <row r="6" spans="1:9" x14ac:dyDescent="0.25">
      <c r="A6" t="s">
        <v>243</v>
      </c>
      <c r="B6" s="2" t="s">
        <v>103</v>
      </c>
      <c r="C6" t="str">
        <f t="shared" si="0"/>
        <v>RW</v>
      </c>
      <c r="D6" s="10">
        <f>MAX(_xlfn.IFNA(INDEX(Proj[],MATCH(Table16[[#This Row],[Player]],Proj[Player],0),27),-5000), _xlfn.IFNA(INDEX(Goalie[],MATCH(Table16[[#This Row],[Player]],Goalie[player],0),17),-5000))</f>
        <v>1129.4448692338308</v>
      </c>
      <c r="E6">
        <f>_xlfn.RANK.EQ(Table16[[#This Row],[VOR]],Table16[VOR])</f>
        <v>9</v>
      </c>
      <c r="F6" cm="1">
        <f t="array" ref="F6">_xlfn.IFS(C6 = "C",INDEX('C'!$A$2:$L$254,MATCH($A6,'C'!$A$2:$A$254,0),10),C6 = "LW",INDEX(LW!$A$2:$K$180,MATCH($A6,LW!$A$2:$A$180,0),10),C6 = "RW",INDEX('RW'!$A$2:$L$164,MATCH($A6,'RW'!$A$2:$A$164,0),10), C6 = "D",INDEX(D!$A$2:$L$268,MATCH($A6,D!$A$2:$A$268,0),10),C6="G",INDEX(G!$A$2:$Q$78,MATCH($A6,G!$A$2:$A$78,0),16),C6="F",INDEX(F!$A$2:$K$494,MATCH($A6,F!$A$2:$A$494,0),10))</f>
        <v>4</v>
      </c>
      <c r="G6" t="str">
        <f>_xlfn.CONCAT(C6,Table16[[#This Row],[Pos Rank2]])</f>
        <v>RW4</v>
      </c>
      <c r="H6" s="10">
        <f>MAX(_xlfn.IFNA(INDEX(Proj[],MATCH(Table16[[#This Row],[Player]],Proj[Player],0),29),-5000), _xlfn.IFNA(INDEX(Goalie[],MATCH(Table16[[#This Row],[Player]],Goalie[player],0),19),-5000))</f>
        <v>1575.9895936240796</v>
      </c>
      <c r="I6" t="str">
        <f>IF(_xlfn.IFNA(INDEX(Proj[],MATCH(Table16[[#This Row],[Player]],Proj[Player],0),31),INDEX(Goalie[],MATCH(Table16[[#This Row],[Player]],Goalie[player],0),20)) = 0, "",_xlfn.IFNA(INDEX(Proj[],MATCH(Table16[[#This Row],[Player]],Proj[Player],0),31),INDEX(Goalie[],MATCH(Table16[[#This Row],[Player]],Goalie[player],0),20)))</f>
        <v/>
      </c>
    </row>
    <row r="7" spans="1:9" x14ac:dyDescent="0.25">
      <c r="A7" t="s">
        <v>268</v>
      </c>
      <c r="B7" s="2" t="s">
        <v>102</v>
      </c>
      <c r="C7" t="str">
        <f t="shared" si="0"/>
        <v>LW</v>
      </c>
      <c r="D7" s="10">
        <f>MAX(_xlfn.IFNA(INDEX(Proj[],MATCH(Table16[[#This Row],[Player]],Proj[Player],0),27),-5000), _xlfn.IFNA(INDEX(Goalie[],MATCH(Table16[[#This Row],[Player]],Goalie[player],0),17),-5000))</f>
        <v>1068.2591777462303</v>
      </c>
      <c r="E7">
        <f>_xlfn.RANK.EQ(Table16[[#This Row],[VOR]],Table16[VOR])</f>
        <v>11</v>
      </c>
      <c r="F7" cm="1">
        <f t="array" ref="F7">_xlfn.IFS(C7 = "C",INDEX('C'!$A$2:$L$254,MATCH($A7,'C'!$A$2:$A$254,0),10),C7 = "LW",INDEX(LW!$A$2:$K$180,MATCH($A7,LW!$A$2:$A$180,0),10),C7 = "RW",INDEX('RW'!$A$2:$L$164,MATCH($A7,'RW'!$A$2:$A$164,0),10), C7 = "D",INDEX(D!$A$2:$L$268,MATCH($A7,D!$A$2:$A$268,0),10),C7="G",INDEX(G!$A$2:$Q$78,MATCH($A7,G!$A$2:$A$78,0),16),C7="F",INDEX(F!$A$2:$K$494,MATCH($A7,F!$A$2:$A$494,0),10))</f>
        <v>4</v>
      </c>
      <c r="G7" t="str">
        <f>_xlfn.CONCAT(C7,Table16[[#This Row],[Pos Rank2]])</f>
        <v>LW4</v>
      </c>
      <c r="H7" s="10">
        <f>MAX(_xlfn.IFNA(INDEX(Proj[],MATCH(Table16[[#This Row],[Player]],Proj[Player],0),29),-5000), _xlfn.IFNA(INDEX(Goalie[],MATCH(Table16[[#This Row],[Player]],Goalie[player],0),19),-5000))</f>
        <v>1539.8039021364791</v>
      </c>
      <c r="I7" t="str">
        <f>IF(_xlfn.IFNA(INDEX(Proj[],MATCH(Table16[[#This Row],[Player]],Proj[Player],0),31),INDEX(Goalie[],MATCH(Table16[[#This Row],[Player]],Goalie[player],0),20)) = 0, "",_xlfn.IFNA(INDEX(Proj[],MATCH(Table16[[#This Row],[Player]],Proj[Player],0),31),INDEX(Goalie[],MATCH(Table16[[#This Row],[Player]],Goalie[player],0),20)))</f>
        <v/>
      </c>
    </row>
    <row r="8" spans="1:9" x14ac:dyDescent="0.25">
      <c r="A8" t="s">
        <v>245</v>
      </c>
      <c r="B8" s="2" t="s">
        <v>103</v>
      </c>
      <c r="C8" t="str">
        <f t="shared" si="0"/>
        <v>RW</v>
      </c>
      <c r="D8" s="10">
        <f>MAX(_xlfn.IFNA(INDEX(Proj[],MATCH(Table16[[#This Row],[Player]],Proj[Player],0),27),-5000), _xlfn.IFNA(INDEX(Goalie[],MATCH(Table16[[#This Row],[Player]],Goalie[player],0),17),-5000))</f>
        <v>1148.4762354759816</v>
      </c>
      <c r="E8">
        <f>_xlfn.RANK.EQ(Table16[[#This Row],[VOR]],Table16[VOR])</f>
        <v>8</v>
      </c>
      <c r="F8" cm="1">
        <f t="array" ref="F8">_xlfn.IFS(C8 = "C",INDEX('C'!$A$2:$L$254,MATCH($A8,'C'!$A$2:$A$254,0),10),C8 = "LW",INDEX(LW!$A$2:$K$180,MATCH($A8,LW!$A$2:$A$180,0),10),C8 = "RW",INDEX('RW'!$A$2:$L$164,MATCH($A8,'RW'!$A$2:$A$164,0),10), C8 = "D",INDEX(D!$A$2:$L$268,MATCH($A8,D!$A$2:$A$268,0),10),C8="G",INDEX(G!$A$2:$Q$78,MATCH($A8,G!$A$2:$A$78,0),16),C8="F",INDEX(F!$A$2:$K$494,MATCH($A8,F!$A$2:$A$494,0),10))</f>
        <v>3</v>
      </c>
      <c r="G8" t="str">
        <f>_xlfn.CONCAT(C8,Table16[[#This Row],[Pos Rank2]])</f>
        <v>RW3</v>
      </c>
      <c r="H8" s="10">
        <f>MAX(_xlfn.IFNA(INDEX(Proj[],MATCH(Table16[[#This Row],[Player]],Proj[Player],0),29),-5000), _xlfn.IFNA(INDEX(Goalie[],MATCH(Table16[[#This Row],[Player]],Goalie[player],0),19),-5000))</f>
        <v>1595.0209598662304</v>
      </c>
      <c r="I8" t="str">
        <f>IF(_xlfn.IFNA(INDEX(Proj[],MATCH(Table16[[#This Row],[Player]],Proj[Player],0),31),INDEX(Goalie[],MATCH(Table16[[#This Row],[Player]],Goalie[player],0),20)) = 0, "",_xlfn.IFNA(INDEX(Proj[],MATCH(Table16[[#This Row],[Player]],Proj[Player],0),31),INDEX(Goalie[],MATCH(Table16[[#This Row],[Player]],Goalie[player],0),20)))</f>
        <v/>
      </c>
    </row>
    <row r="9" spans="1:9" x14ac:dyDescent="0.25">
      <c r="A9" t="s">
        <v>247</v>
      </c>
      <c r="B9" s="2" t="s">
        <v>74</v>
      </c>
      <c r="C9" t="str">
        <f t="shared" si="0"/>
        <v>C</v>
      </c>
      <c r="D9" s="10">
        <f>MAX(_xlfn.IFNA(INDEX(Proj[],MATCH(Table16[[#This Row],[Player]],Proj[Player],0),27),-5000), _xlfn.IFNA(INDEX(Goalie[],MATCH(Table16[[#This Row],[Player]],Goalie[player],0),17),-5000))</f>
        <v>1168.860952614674</v>
      </c>
      <c r="E9">
        <f>_xlfn.RANK.EQ(Table16[[#This Row],[VOR]],Table16[VOR])</f>
        <v>6</v>
      </c>
      <c r="F9" cm="1">
        <f t="array" ref="F9">_xlfn.IFS(C9 = "C",INDEX('C'!$A$2:$L$254,MATCH($A9,'C'!$A$2:$A$254,0),10),C9 = "LW",INDEX(LW!$A$2:$K$180,MATCH($A9,LW!$A$2:$A$180,0),10),C9 = "RW",INDEX('RW'!$A$2:$L$164,MATCH($A9,'RW'!$A$2:$A$164,0),10), C9 = "D",INDEX(D!$A$2:$L$268,MATCH($A9,D!$A$2:$A$268,0),10),C9="G",INDEX(G!$A$2:$Q$78,MATCH($A9,G!$A$2:$A$78,0),16),C9="F",INDEX(F!$A$2:$K$494,MATCH($A9,F!$A$2:$A$494,0),10))</f>
        <v>3</v>
      </c>
      <c r="G9" t="str">
        <f>_xlfn.CONCAT(C9,Table16[[#This Row],[Pos Rank2]])</f>
        <v>C3</v>
      </c>
      <c r="H9" s="10">
        <f>MAX(_xlfn.IFNA(INDEX(Proj[],MATCH(Table16[[#This Row],[Player]],Proj[Player],0),29),-5000), _xlfn.IFNA(INDEX(Goalie[],MATCH(Table16[[#This Row],[Player]],Goalie[player],0),19),-5000))</f>
        <v>1903.4948069249726</v>
      </c>
      <c r="I9" t="str">
        <f>IF(_xlfn.IFNA(INDEX(Proj[],MATCH(Table16[[#This Row],[Player]],Proj[Player],0),31),INDEX(Goalie[],MATCH(Table16[[#This Row],[Player]],Goalie[player],0),20)) = 0, "",_xlfn.IFNA(INDEX(Proj[],MATCH(Table16[[#This Row],[Player]],Proj[Player],0),31),INDEX(Goalie[],MATCH(Table16[[#This Row],[Player]],Goalie[player],0),20)))</f>
        <v/>
      </c>
    </row>
    <row r="10" spans="1:9" x14ac:dyDescent="0.25">
      <c r="A10" t="s">
        <v>240</v>
      </c>
      <c r="B10" s="2" t="s">
        <v>3</v>
      </c>
      <c r="C10" t="str">
        <f t="shared" si="0"/>
        <v>D</v>
      </c>
      <c r="D10" s="10">
        <f>MAX(_xlfn.IFNA(INDEX(Proj[],MATCH(Table16[[#This Row],[Player]],Proj[Player],0),27),-5000), _xlfn.IFNA(INDEX(Goalie[],MATCH(Table16[[#This Row],[Player]],Goalie[player],0),17),-5000))</f>
        <v>1079.7299961467847</v>
      </c>
      <c r="E10">
        <f>_xlfn.RANK.EQ(Table16[[#This Row],[VOR]],Table16[VOR])</f>
        <v>10</v>
      </c>
      <c r="F10" cm="1">
        <f t="array" ref="F10">_xlfn.IFS(C10 = "C",INDEX('C'!$A$2:$L$254,MATCH($A10,'C'!$A$2:$A$254,0),10),C10 = "LW",INDEX(LW!$A$2:$K$180,MATCH($A10,LW!$A$2:$A$180,0),10),C10 = "RW",INDEX('RW'!$A$2:$L$164,MATCH($A10,'RW'!$A$2:$A$164,0),10), C10 = "D",INDEX(D!$A$2:$L$268,MATCH($A10,D!$A$2:$A$268,0),10),C10="G",INDEX(G!$A$2:$Q$78,MATCH($A10,G!$A$2:$A$78,0),16),C10="F",INDEX(F!$A$2:$K$494,MATCH($A10,F!$A$2:$A$494,0),10))</f>
        <v>1</v>
      </c>
      <c r="G10" t="str">
        <f>_xlfn.CONCAT(C10,Table16[[#This Row],[Pos Rank2]])</f>
        <v>D1</v>
      </c>
      <c r="H10" s="10">
        <f>MAX(_xlfn.IFNA(INDEX(Proj[],MATCH(Table16[[#This Row],[Player]],Proj[Player],0),29),-5000), _xlfn.IFNA(INDEX(Goalie[],MATCH(Table16[[#This Row],[Player]],Goalie[player],0),19),-5000))</f>
        <v>1187.0947638662492</v>
      </c>
      <c r="I10" t="str">
        <f>IF(_xlfn.IFNA(INDEX(Proj[],MATCH(Table16[[#This Row],[Player]],Proj[Player],0),31),INDEX(Goalie[],MATCH(Table16[[#This Row],[Player]],Goalie[player],0),20)) = 0, "",_xlfn.IFNA(INDEX(Proj[],MATCH(Table16[[#This Row],[Player]],Proj[Player],0),31),INDEX(Goalie[],MATCH(Table16[[#This Row],[Player]],Goalie[player],0),20)))</f>
        <v/>
      </c>
    </row>
    <row r="11" spans="1:9" x14ac:dyDescent="0.25">
      <c r="A11" t="s">
        <v>884</v>
      </c>
      <c r="B11" s="2" t="s">
        <v>105</v>
      </c>
      <c r="C11" t="str">
        <f t="shared" si="0"/>
        <v>RW</v>
      </c>
      <c r="D11" s="10">
        <f>MAX(_xlfn.IFNA(INDEX(Proj[],MATCH(Table16[[#This Row],[Player]],Proj[Player],0),27),-5000), _xlfn.IFNA(INDEX(Goalie[],MATCH(Table16[[#This Row],[Player]],Goalie[player],0),17),-5000))</f>
        <v>1390.3909223780315</v>
      </c>
      <c r="E11">
        <f>_xlfn.RANK.EQ(Table16[[#This Row],[VOR]],Table16[VOR])</f>
        <v>3</v>
      </c>
      <c r="F11" cm="1">
        <f t="array" ref="F11">_xlfn.IFS(C11 = "C",INDEX('C'!$A$2:$L$254,MATCH($A11,'C'!$A$2:$A$254,0),10),C11 = "LW",INDEX(LW!$A$2:$K$180,MATCH($A11,LW!$A$2:$A$180,0),10),C11 = "RW",INDEX('RW'!$A$2:$L$164,MATCH($A11,'RW'!$A$2:$A$164,0),10), C11 = "D",INDEX(D!$A$2:$L$268,MATCH($A11,D!$A$2:$A$268,0),10),C11="G",INDEX(G!$A$2:$Q$78,MATCH($A11,G!$A$2:$A$78,0),16),C11="F",INDEX(F!$A$2:$K$494,MATCH($A11,F!$A$2:$A$494,0),10))</f>
        <v>1</v>
      </c>
      <c r="G11" t="str">
        <f>_xlfn.CONCAT(C11,Table16[[#This Row],[Pos Rank2]])</f>
        <v>RW1</v>
      </c>
      <c r="H11" s="10">
        <f>MAX(_xlfn.IFNA(INDEX(Proj[],MATCH(Table16[[#This Row],[Player]],Proj[Player],0),29),-5000), _xlfn.IFNA(INDEX(Goalie[],MATCH(Table16[[#This Row],[Player]],Goalie[player],0),19),-5000))</f>
        <v>1836.9356467682803</v>
      </c>
      <c r="I11" t="str">
        <f>IF(_xlfn.IFNA(INDEX(Proj[],MATCH(Table16[[#This Row],[Player]],Proj[Player],0),31),INDEX(Goalie[],MATCH(Table16[[#This Row],[Player]],Goalie[player],0),20)) = 0, "",_xlfn.IFNA(INDEX(Proj[],MATCH(Table16[[#This Row],[Player]],Proj[Player],0),31),INDEX(Goalie[],MATCH(Table16[[#This Row],[Player]],Goalie[player],0),20)))</f>
        <v/>
      </c>
    </row>
    <row r="12" spans="1:9" x14ac:dyDescent="0.25">
      <c r="A12" t="s">
        <v>249</v>
      </c>
      <c r="B12" s="2" t="s">
        <v>103</v>
      </c>
      <c r="C12" t="str">
        <f t="shared" si="0"/>
        <v>RW</v>
      </c>
      <c r="D12" s="10">
        <f>MAX(_xlfn.IFNA(INDEX(Proj[],MATCH(Table16[[#This Row],[Player]],Proj[Player],0),27),-5000), _xlfn.IFNA(INDEX(Goalie[],MATCH(Table16[[#This Row],[Player]],Goalie[player],0),17),-5000))</f>
        <v>990.29308190049051</v>
      </c>
      <c r="E12">
        <f>_xlfn.RANK.EQ(Table16[[#This Row],[VOR]],Table16[VOR])</f>
        <v>13</v>
      </c>
      <c r="F12" cm="1">
        <f t="array" ref="F12">_xlfn.IFS(C12 = "C",INDEX('C'!$A$2:$L$254,MATCH($A12,'C'!$A$2:$A$254,0),10),C12 = "LW",INDEX(LW!$A$2:$K$180,MATCH($A12,LW!$A$2:$A$180,0),10),C12 = "RW",INDEX('RW'!$A$2:$L$164,MATCH($A12,'RW'!$A$2:$A$164,0),10), C12 = "D",INDEX(D!$A$2:$L$268,MATCH($A12,D!$A$2:$A$268,0),10),C12="G",INDEX(G!$A$2:$Q$78,MATCH($A12,G!$A$2:$A$78,0),16),C12="F",INDEX(F!$A$2:$K$494,MATCH($A12,F!$A$2:$A$494,0),10))</f>
        <v>5</v>
      </c>
      <c r="G12" t="str">
        <f>_xlfn.CONCAT(C12,Table16[[#This Row],[Pos Rank2]])</f>
        <v>RW5</v>
      </c>
      <c r="H12" s="10">
        <f>MAX(_xlfn.IFNA(INDEX(Proj[],MATCH(Table16[[#This Row],[Player]],Proj[Player],0),29),-5000), _xlfn.IFNA(INDEX(Goalie[],MATCH(Table16[[#This Row],[Player]],Goalie[player],0),19),-5000))</f>
        <v>1436.8378062907393</v>
      </c>
      <c r="I12" t="str">
        <f>IF(_xlfn.IFNA(INDEX(Proj[],MATCH(Table16[[#This Row],[Player]],Proj[Player],0),31),INDEX(Goalie[],MATCH(Table16[[#This Row],[Player]],Goalie[player],0),20)) = 0, "",_xlfn.IFNA(INDEX(Proj[],MATCH(Table16[[#This Row],[Player]],Proj[Player],0),31),INDEX(Goalie[],MATCH(Table16[[#This Row],[Player]],Goalie[player],0),20)))</f>
        <v/>
      </c>
    </row>
    <row r="13" spans="1:9" x14ac:dyDescent="0.25">
      <c r="A13" t="s">
        <v>239</v>
      </c>
      <c r="B13" s="2" t="s">
        <v>101</v>
      </c>
      <c r="C13" t="str">
        <f t="shared" si="0"/>
        <v>LW</v>
      </c>
      <c r="D13" s="10">
        <f>MAX(_xlfn.IFNA(INDEX(Proj[],MATCH(Table16[[#This Row],[Player]],Proj[Player],0),27),-5000), _xlfn.IFNA(INDEX(Goalie[],MATCH(Table16[[#This Row],[Player]],Goalie[player],0),17),-5000))</f>
        <v>1380.5678646821236</v>
      </c>
      <c r="E13">
        <f>_xlfn.RANK.EQ(Table16[[#This Row],[VOR]],Table16[VOR])</f>
        <v>4</v>
      </c>
      <c r="F13" cm="1">
        <f t="array" ref="F13">_xlfn.IFS(C13 = "C",INDEX('C'!$A$2:$L$254,MATCH($A13,'C'!$A$2:$A$254,0),10),C13 = "LW",INDEX(LW!$A$2:$K$180,MATCH($A13,LW!$A$2:$A$180,0),10),C13 = "RW",INDEX('RW'!$A$2:$L$164,MATCH($A13,'RW'!$A$2:$A$164,0),10), C13 = "D",INDEX(D!$A$2:$L$268,MATCH($A13,D!$A$2:$A$268,0),10),C13="G",INDEX(G!$A$2:$Q$78,MATCH($A13,G!$A$2:$A$78,0),16),C13="F",INDEX(F!$A$2:$K$494,MATCH($A13,F!$A$2:$A$494,0),10))</f>
        <v>2</v>
      </c>
      <c r="G13" t="str">
        <f>_xlfn.CONCAT(C13,Table16[[#This Row],[Pos Rank2]])</f>
        <v>LW2</v>
      </c>
      <c r="H13" s="10">
        <f>MAX(_xlfn.IFNA(INDEX(Proj[],MATCH(Table16[[#This Row],[Player]],Proj[Player],0),29),-5000), _xlfn.IFNA(INDEX(Goalie[],MATCH(Table16[[#This Row],[Player]],Goalie[player],0),19),-5000))</f>
        <v>1852.1125890723724</v>
      </c>
      <c r="I13" t="str">
        <f>IF(_xlfn.IFNA(INDEX(Proj[],MATCH(Table16[[#This Row],[Player]],Proj[Player],0),31),INDEX(Goalie[],MATCH(Table16[[#This Row],[Player]],Goalie[player],0),20)) = 0, "",_xlfn.IFNA(INDEX(Proj[],MATCH(Table16[[#This Row],[Player]],Proj[Player],0),31),INDEX(Goalie[],MATCH(Table16[[#This Row],[Player]],Goalie[player],0),20)))</f>
        <v/>
      </c>
    </row>
    <row r="14" spans="1:9" x14ac:dyDescent="0.25">
      <c r="A14" t="s">
        <v>280</v>
      </c>
      <c r="B14" s="2" t="s">
        <v>3</v>
      </c>
      <c r="C14" t="str">
        <f t="shared" si="0"/>
        <v>D</v>
      </c>
      <c r="D14" s="10">
        <f>MAX(_xlfn.IFNA(INDEX(Proj[],MATCH(Table16[[#This Row],[Player]],Proj[Player],0),27),-5000), _xlfn.IFNA(INDEX(Goalie[],MATCH(Table16[[#This Row],[Player]],Goalie[player],0),17),-5000))</f>
        <v>988.92658928704986</v>
      </c>
      <c r="E14">
        <f>_xlfn.RANK.EQ(Table16[[#This Row],[VOR]],Table16[VOR])</f>
        <v>14</v>
      </c>
      <c r="F14" cm="1">
        <f t="array" ref="F14">_xlfn.IFS(C14 = "C",INDEX('C'!$A$2:$L$254,MATCH($A14,'C'!$A$2:$A$254,0),10),C14 = "LW",INDEX(LW!$A$2:$K$180,MATCH($A14,LW!$A$2:$A$180,0),10),C14 = "RW",INDEX('RW'!$A$2:$L$164,MATCH($A14,'RW'!$A$2:$A$164,0),10), C14 = "D",INDEX(D!$A$2:$L$268,MATCH($A14,D!$A$2:$A$268,0),10),C14="G",INDEX(G!$A$2:$Q$78,MATCH($A14,G!$A$2:$A$78,0),16),C14="F",INDEX(F!$A$2:$K$494,MATCH($A14,F!$A$2:$A$494,0),10))</f>
        <v>2</v>
      </c>
      <c r="G14" t="str">
        <f>_xlfn.CONCAT(C14,Table16[[#This Row],[Pos Rank2]])</f>
        <v>D2</v>
      </c>
      <c r="H14" s="10">
        <f>MAX(_xlfn.IFNA(INDEX(Proj[],MATCH(Table16[[#This Row],[Player]],Proj[Player],0),29),-5000), _xlfn.IFNA(INDEX(Goalie[],MATCH(Table16[[#This Row],[Player]],Goalie[player],0),19),-5000))</f>
        <v>1096.2913570065143</v>
      </c>
      <c r="I14" t="str">
        <f>IF(_xlfn.IFNA(INDEX(Proj[],MATCH(Table16[[#This Row],[Player]],Proj[Player],0),31),INDEX(Goalie[],MATCH(Table16[[#This Row],[Player]],Goalie[player],0),20)) = 0, "",_xlfn.IFNA(INDEX(Proj[],MATCH(Table16[[#This Row],[Player]],Proj[Player],0),31),INDEX(Goalie[],MATCH(Table16[[#This Row],[Player]],Goalie[player],0),20)))</f>
        <v/>
      </c>
    </row>
    <row r="15" spans="1:9" x14ac:dyDescent="0.25">
      <c r="A15" t="s">
        <v>279</v>
      </c>
      <c r="B15" s="2" t="s">
        <v>3</v>
      </c>
      <c r="C15" t="str">
        <f t="shared" si="0"/>
        <v>D</v>
      </c>
      <c r="D15" s="10">
        <f>MAX(_xlfn.IFNA(INDEX(Proj[],MATCH(Table16[[#This Row],[Player]],Proj[Player],0),27),-5000), _xlfn.IFNA(INDEX(Goalie[],MATCH(Table16[[#This Row],[Player]],Goalie[player],0),17),-5000))</f>
        <v>923.94658765532563</v>
      </c>
      <c r="E15">
        <f>_xlfn.RANK.EQ(Table16[[#This Row],[VOR]],Table16[VOR])</f>
        <v>15</v>
      </c>
      <c r="F15" cm="1">
        <f t="array" ref="F15">_xlfn.IFS(C15 = "C",INDEX('C'!$A$2:$L$254,MATCH($A15,'C'!$A$2:$A$254,0),10),C15 = "LW",INDEX(LW!$A$2:$K$180,MATCH($A15,LW!$A$2:$A$180,0),10),C15 = "RW",INDEX('RW'!$A$2:$L$164,MATCH($A15,'RW'!$A$2:$A$164,0),10), C15 = "D",INDEX(D!$A$2:$L$268,MATCH($A15,D!$A$2:$A$268,0),10),C15="G",INDEX(G!$A$2:$Q$78,MATCH($A15,G!$A$2:$A$78,0),16),C15="F",INDEX(F!$A$2:$K$494,MATCH($A15,F!$A$2:$A$494,0),10))</f>
        <v>3</v>
      </c>
      <c r="G15" t="str">
        <f>_xlfn.CONCAT(C15,Table16[[#This Row],[Pos Rank2]])</f>
        <v>D3</v>
      </c>
      <c r="H15" s="10">
        <f>MAX(_xlfn.IFNA(INDEX(Proj[],MATCH(Table16[[#This Row],[Player]],Proj[Player],0),29),-5000), _xlfn.IFNA(INDEX(Goalie[],MATCH(Table16[[#This Row],[Player]],Goalie[player],0),19),-5000))</f>
        <v>1031.3113553747901</v>
      </c>
      <c r="I15" t="str">
        <f>IF(_xlfn.IFNA(INDEX(Proj[],MATCH(Table16[[#This Row],[Player]],Proj[Player],0),31),INDEX(Goalie[],MATCH(Table16[[#This Row],[Player]],Goalie[player],0),20)) = 0, "",_xlfn.IFNA(INDEX(Proj[],MATCH(Table16[[#This Row],[Player]],Proj[Player],0),31),INDEX(Goalie[],MATCH(Table16[[#This Row],[Player]],Goalie[player],0),20)))</f>
        <v/>
      </c>
    </row>
    <row r="16" spans="1:9" x14ac:dyDescent="0.25">
      <c r="A16" t="s">
        <v>246</v>
      </c>
      <c r="B16" s="2" t="s">
        <v>3</v>
      </c>
      <c r="C16" t="str">
        <f t="shared" si="0"/>
        <v>D</v>
      </c>
      <c r="D16" s="10">
        <f>MAX(_xlfn.IFNA(INDEX(Proj[],MATCH(Table16[[#This Row],[Player]],Proj[Player],0),27),-5000), _xlfn.IFNA(INDEX(Goalie[],MATCH(Table16[[#This Row],[Player]],Goalie[player],0),17),-5000))</f>
        <v>893.02258213639072</v>
      </c>
      <c r="E16">
        <f>_xlfn.RANK.EQ(Table16[[#This Row],[VOR]],Table16[VOR])</f>
        <v>16</v>
      </c>
      <c r="F16" cm="1">
        <f t="array" ref="F16">_xlfn.IFS(C16 = "C",INDEX('C'!$A$2:$L$254,MATCH($A16,'C'!$A$2:$A$254,0),10),C16 = "LW",INDEX(LW!$A$2:$K$180,MATCH($A16,LW!$A$2:$A$180,0),10),C16 = "RW",INDEX('RW'!$A$2:$L$164,MATCH($A16,'RW'!$A$2:$A$164,0),10), C16 = "D",INDEX(D!$A$2:$L$268,MATCH($A16,D!$A$2:$A$268,0),10),C16="G",INDEX(G!$A$2:$Q$78,MATCH($A16,G!$A$2:$A$78,0),16),C16="F",INDEX(F!$A$2:$K$494,MATCH($A16,F!$A$2:$A$494,0),10))</f>
        <v>4</v>
      </c>
      <c r="G16" t="str">
        <f>_xlfn.CONCAT(C16,Table16[[#This Row],[Pos Rank2]])</f>
        <v>D4</v>
      </c>
      <c r="H16" s="10">
        <f>MAX(_xlfn.IFNA(INDEX(Proj[],MATCH(Table16[[#This Row],[Player]],Proj[Player],0),29),-5000), _xlfn.IFNA(INDEX(Goalie[],MATCH(Table16[[#This Row],[Player]],Goalie[player],0),19),-5000))</f>
        <v>1000.3873498558552</v>
      </c>
      <c r="I16" t="str">
        <f>IF(_xlfn.IFNA(INDEX(Proj[],MATCH(Table16[[#This Row],[Player]],Proj[Player],0),31),INDEX(Goalie[],MATCH(Table16[[#This Row],[Player]],Goalie[player],0),20)) = 0, "",_xlfn.IFNA(INDEX(Proj[],MATCH(Table16[[#This Row],[Player]],Proj[Player],0),31),INDEX(Goalie[],MATCH(Table16[[#This Row],[Player]],Goalie[player],0),20)))</f>
        <v/>
      </c>
    </row>
    <row r="17" spans="1:9" x14ac:dyDescent="0.25">
      <c r="A17" t="s">
        <v>285</v>
      </c>
      <c r="B17" s="2" t="s">
        <v>102</v>
      </c>
      <c r="C17" t="str">
        <f t="shared" si="0"/>
        <v>LW</v>
      </c>
      <c r="D17" s="10">
        <f>MAX(_xlfn.IFNA(INDEX(Proj[],MATCH(Table16[[#This Row],[Player]],Proj[Player],0),27),-5000), _xlfn.IFNA(INDEX(Goalie[],MATCH(Table16[[#This Row],[Player]],Goalie[player],0),17),-5000))</f>
        <v>740.39103995334904</v>
      </c>
      <c r="E17">
        <f>_xlfn.RANK.EQ(Table16[[#This Row],[VOR]],Table16[VOR])</f>
        <v>19</v>
      </c>
      <c r="F17" cm="1">
        <f t="array" ref="F17">_xlfn.IFS(C17 = "C",INDEX('C'!$A$2:$L$254,MATCH($A17,'C'!$A$2:$A$254,0),10),C17 = "LW",INDEX(LW!$A$2:$K$180,MATCH($A17,LW!$A$2:$A$180,0),10),C17 = "RW",INDEX('RW'!$A$2:$L$164,MATCH($A17,'RW'!$A$2:$A$164,0),10), C17 = "D",INDEX(D!$A$2:$L$268,MATCH($A17,D!$A$2:$A$268,0),10),C17="G",INDEX(G!$A$2:$Q$78,MATCH($A17,G!$A$2:$A$78,0),16),C17="F",INDEX(F!$A$2:$K$494,MATCH($A17,F!$A$2:$A$494,0),10))</f>
        <v>5</v>
      </c>
      <c r="G17" t="str">
        <f>_xlfn.CONCAT(C17,Table16[[#This Row],[Pos Rank2]])</f>
        <v>LW5</v>
      </c>
      <c r="H17" s="10">
        <f>MAX(_xlfn.IFNA(INDEX(Proj[],MATCH(Table16[[#This Row],[Player]],Proj[Player],0),29),-5000), _xlfn.IFNA(INDEX(Goalie[],MATCH(Table16[[#This Row],[Player]],Goalie[player],0),19),-5000))</f>
        <v>1211.9357643435978</v>
      </c>
      <c r="I17" t="str">
        <f>IF(_xlfn.IFNA(INDEX(Proj[],MATCH(Table16[[#This Row],[Player]],Proj[Player],0),31),INDEX(Goalie[],MATCH(Table16[[#This Row],[Player]],Goalie[player],0),20)) = 0, "",_xlfn.IFNA(INDEX(Proj[],MATCH(Table16[[#This Row],[Player]],Proj[Player],0),31),INDEX(Goalie[],MATCH(Table16[[#This Row],[Player]],Goalie[player],0),20)))</f>
        <v/>
      </c>
    </row>
    <row r="18" spans="1:9" x14ac:dyDescent="0.25">
      <c r="A18" t="s">
        <v>273</v>
      </c>
      <c r="B18" s="2" t="s">
        <v>74</v>
      </c>
      <c r="C18" t="str">
        <f t="shared" si="0"/>
        <v>C</v>
      </c>
      <c r="D18" s="10">
        <f>MAX(_xlfn.IFNA(INDEX(Proj[],MATCH(Table16[[#This Row],[Player]],Proj[Player],0),27),-5000), _xlfn.IFNA(INDEX(Goalie[],MATCH(Table16[[#This Row],[Player]],Goalie[player],0),17),-5000))</f>
        <v>1032.1512699421037</v>
      </c>
      <c r="E18">
        <f>_xlfn.RANK.EQ(Table16[[#This Row],[VOR]],Table16[VOR])</f>
        <v>12</v>
      </c>
      <c r="F18" cm="1">
        <f t="array" ref="F18">_xlfn.IFS(C18 = "C",INDEX('C'!$A$2:$L$254,MATCH($A18,'C'!$A$2:$A$254,0),10),C18 = "LW",INDEX(LW!$A$2:$K$180,MATCH($A18,LW!$A$2:$A$180,0),10),C18 = "RW",INDEX('RW'!$A$2:$L$164,MATCH($A18,'RW'!$A$2:$A$164,0),10), C18 = "D",INDEX(D!$A$2:$L$268,MATCH($A18,D!$A$2:$A$268,0),10),C18="G",INDEX(G!$A$2:$Q$78,MATCH($A18,G!$A$2:$A$78,0),16),C18="F",INDEX(F!$A$2:$K$494,MATCH($A18,F!$A$2:$A$494,0),10))</f>
        <v>7</v>
      </c>
      <c r="G18" t="str">
        <f>_xlfn.CONCAT(C18,Table16[[#This Row],[Pos Rank2]])</f>
        <v>C7</v>
      </c>
      <c r="H18" s="10">
        <f>MAX(_xlfn.IFNA(INDEX(Proj[],MATCH(Table16[[#This Row],[Player]],Proj[Player],0),29),-5000), _xlfn.IFNA(INDEX(Goalie[],MATCH(Table16[[#This Row],[Player]],Goalie[player],0),19),-5000))</f>
        <v>1766.7851242524023</v>
      </c>
      <c r="I18" t="str">
        <f>IF(_xlfn.IFNA(INDEX(Proj[],MATCH(Table16[[#This Row],[Player]],Proj[Player],0),31),INDEX(Goalie[],MATCH(Table16[[#This Row],[Player]],Goalie[player],0),20)) = 0, "",_xlfn.IFNA(INDEX(Proj[],MATCH(Table16[[#This Row],[Player]],Proj[Player],0),31),INDEX(Goalie[],MATCH(Table16[[#This Row],[Player]],Goalie[player],0),20)))</f>
        <v/>
      </c>
    </row>
    <row r="19" spans="1:9" x14ac:dyDescent="0.25">
      <c r="A19" t="s">
        <v>269</v>
      </c>
      <c r="B19" s="2" t="s">
        <v>102</v>
      </c>
      <c r="C19" t="str">
        <f t="shared" si="0"/>
        <v>LW</v>
      </c>
      <c r="D19" s="10">
        <f>MAX(_xlfn.IFNA(INDEX(Proj[],MATCH(Table16[[#This Row],[Player]],Proj[Player],0),27),-5000), _xlfn.IFNA(INDEX(Goalie[],MATCH(Table16[[#This Row],[Player]],Goalie[player],0),17),-5000))</f>
        <v>689.80084237759911</v>
      </c>
      <c r="E19">
        <f>_xlfn.RANK.EQ(Table16[[#This Row],[VOR]],Table16[VOR])</f>
        <v>25</v>
      </c>
      <c r="F19" cm="1">
        <f t="array" ref="F19">_xlfn.IFS(C19 = "C",INDEX('C'!$A$2:$L$254,MATCH($A19,'C'!$A$2:$A$254,0),10),C19 = "LW",INDEX(LW!$A$2:$K$180,MATCH($A19,LW!$A$2:$A$180,0),10),C19 = "RW",INDEX('RW'!$A$2:$L$164,MATCH($A19,'RW'!$A$2:$A$164,0),10), C19 = "D",INDEX(D!$A$2:$L$268,MATCH($A19,D!$A$2:$A$268,0),10),C19="G",INDEX(G!$A$2:$Q$78,MATCH($A19,G!$A$2:$A$78,0),16),C19="F",INDEX(F!$A$2:$K$494,MATCH($A19,F!$A$2:$A$494,0),10))</f>
        <v>8</v>
      </c>
      <c r="G19" t="str">
        <f>_xlfn.CONCAT(C19,Table16[[#This Row],[Pos Rank2]])</f>
        <v>LW8</v>
      </c>
      <c r="H19" s="10">
        <f>MAX(_xlfn.IFNA(INDEX(Proj[],MATCH(Table16[[#This Row],[Player]],Proj[Player],0),29),-5000), _xlfn.IFNA(INDEX(Goalie[],MATCH(Table16[[#This Row],[Player]],Goalie[player],0),19),-5000))</f>
        <v>1161.3455667678479</v>
      </c>
      <c r="I19" t="str">
        <f>IF(_xlfn.IFNA(INDEX(Proj[],MATCH(Table16[[#This Row],[Player]],Proj[Player],0),31),INDEX(Goalie[],MATCH(Table16[[#This Row],[Player]],Goalie[player],0),20)) = 0, "",_xlfn.IFNA(INDEX(Proj[],MATCH(Table16[[#This Row],[Player]],Proj[Player],0),31),INDEX(Goalie[],MATCH(Table16[[#This Row],[Player]],Goalie[player],0),20)))</f>
        <v/>
      </c>
    </row>
    <row r="20" spans="1:9" x14ac:dyDescent="0.25">
      <c r="A20" t="s">
        <v>294</v>
      </c>
      <c r="B20" s="2" t="s">
        <v>3</v>
      </c>
      <c r="C20" t="str">
        <f t="shared" si="0"/>
        <v>D</v>
      </c>
      <c r="D20" s="10">
        <f>MAX(_xlfn.IFNA(INDEX(Proj[],MATCH(Table16[[#This Row],[Player]],Proj[Player],0),27),-5000), _xlfn.IFNA(INDEX(Goalie[],MATCH(Table16[[#This Row],[Player]],Goalie[player],0),17),-5000))</f>
        <v>757.88220161008144</v>
      </c>
      <c r="E20">
        <f>_xlfn.RANK.EQ(Table16[[#This Row],[VOR]],Table16[VOR])</f>
        <v>17</v>
      </c>
      <c r="F20" cm="1">
        <f t="array" ref="F20">_xlfn.IFS(C20 = "C",INDEX('C'!$A$2:$L$254,MATCH($A20,'C'!$A$2:$A$254,0),10),C20 = "LW",INDEX(LW!$A$2:$K$180,MATCH($A20,LW!$A$2:$A$180,0),10),C20 = "RW",INDEX('RW'!$A$2:$L$164,MATCH($A20,'RW'!$A$2:$A$164,0),10), C20 = "D",INDEX(D!$A$2:$L$268,MATCH($A20,D!$A$2:$A$268,0),10),C20="G",INDEX(G!$A$2:$Q$78,MATCH($A20,G!$A$2:$A$78,0),16),C20="F",INDEX(F!$A$2:$K$494,MATCH($A20,F!$A$2:$A$494,0),10))</f>
        <v>5</v>
      </c>
      <c r="G20" t="str">
        <f>_xlfn.CONCAT(C20,Table16[[#This Row],[Pos Rank2]])</f>
        <v>D5</v>
      </c>
      <c r="H20" s="10">
        <f>MAX(_xlfn.IFNA(INDEX(Proj[],MATCH(Table16[[#This Row],[Player]],Proj[Player],0),29),-5000), _xlfn.IFNA(INDEX(Goalie[],MATCH(Table16[[#This Row],[Player]],Goalie[player],0),19),-5000))</f>
        <v>865.24696932954589</v>
      </c>
      <c r="I20" t="str">
        <f>IF(_xlfn.IFNA(INDEX(Proj[],MATCH(Table16[[#This Row],[Player]],Proj[Player],0),31),INDEX(Goalie[],MATCH(Table16[[#This Row],[Player]],Goalie[player],0),20)) = 0, "",_xlfn.IFNA(INDEX(Proj[],MATCH(Table16[[#This Row],[Player]],Proj[Player],0),31),INDEX(Goalie[],MATCH(Table16[[#This Row],[Player]],Goalie[player],0),20)))</f>
        <v/>
      </c>
    </row>
    <row r="21" spans="1:9" x14ac:dyDescent="0.25">
      <c r="A21" t="s">
        <v>289</v>
      </c>
      <c r="B21" s="2" t="s">
        <v>3</v>
      </c>
      <c r="C21" t="str">
        <f t="shared" si="0"/>
        <v>D</v>
      </c>
      <c r="D21" s="10">
        <f>MAX(_xlfn.IFNA(INDEX(Proj[],MATCH(Table16[[#This Row],[Player]],Proj[Player],0),27),-5000), _xlfn.IFNA(INDEX(Goalie[],MATCH(Table16[[#This Row],[Player]],Goalie[player],0),17),-5000))</f>
        <v>745.60770573295406</v>
      </c>
      <c r="E21">
        <f>_xlfn.RANK.EQ(Table16[[#This Row],[VOR]],Table16[VOR])</f>
        <v>18</v>
      </c>
      <c r="F21" cm="1">
        <f t="array" ref="F21">_xlfn.IFS(C21 = "C",INDEX('C'!$A$2:$L$254,MATCH($A21,'C'!$A$2:$A$254,0),10),C21 = "LW",INDEX(LW!$A$2:$K$180,MATCH($A21,LW!$A$2:$A$180,0),10),C21 = "RW",INDEX('RW'!$A$2:$L$164,MATCH($A21,'RW'!$A$2:$A$164,0),10), C21 = "D",INDEX(D!$A$2:$L$268,MATCH($A21,D!$A$2:$A$268,0),10),C21="G",INDEX(G!$A$2:$Q$78,MATCH($A21,G!$A$2:$A$78,0),16),C21="F",INDEX(F!$A$2:$K$494,MATCH($A21,F!$A$2:$A$494,0),10))</f>
        <v>6</v>
      </c>
      <c r="G21" t="str">
        <f>_xlfn.CONCAT(C21,Table16[[#This Row],[Pos Rank2]])</f>
        <v>D6</v>
      </c>
      <c r="H21" s="10">
        <f>MAX(_xlfn.IFNA(INDEX(Proj[],MATCH(Table16[[#This Row],[Player]],Proj[Player],0),29),-5000), _xlfn.IFNA(INDEX(Goalie[],MATCH(Table16[[#This Row],[Player]],Goalie[player],0),19),-5000))</f>
        <v>852.97247345241851</v>
      </c>
      <c r="I21" t="str">
        <f>IF(_xlfn.IFNA(INDEX(Proj[],MATCH(Table16[[#This Row],[Player]],Proj[Player],0),31),INDEX(Goalie[],MATCH(Table16[[#This Row],[Player]],Goalie[player],0),20)) = 0, "",_xlfn.IFNA(INDEX(Proj[],MATCH(Table16[[#This Row],[Player]],Proj[Player],0),31),INDEX(Goalie[],MATCH(Table16[[#This Row],[Player]],Goalie[player],0),20)))</f>
        <v/>
      </c>
    </row>
    <row r="22" spans="1:9" x14ac:dyDescent="0.25">
      <c r="A22" t="s">
        <v>259</v>
      </c>
      <c r="B22" s="2" t="s">
        <v>3</v>
      </c>
      <c r="C22" t="str">
        <f t="shared" si="0"/>
        <v>D</v>
      </c>
      <c r="D22" s="10">
        <f>MAX(_xlfn.IFNA(INDEX(Proj[],MATCH(Table16[[#This Row],[Player]],Proj[Player],0),27),-5000), _xlfn.IFNA(INDEX(Goalie[],MATCH(Table16[[#This Row],[Player]],Goalie[player],0),17),-5000))</f>
        <v>733.58802607728376</v>
      </c>
      <c r="E22">
        <f>_xlfn.RANK.EQ(Table16[[#This Row],[VOR]],Table16[VOR])</f>
        <v>20</v>
      </c>
      <c r="F22" cm="1">
        <f t="array" ref="F22">_xlfn.IFS(C22 = "C",INDEX('C'!$A$2:$L$254,MATCH($A22,'C'!$A$2:$A$254,0),10),C22 = "LW",INDEX(LW!$A$2:$K$180,MATCH($A22,LW!$A$2:$A$180,0),10),C22 = "RW",INDEX('RW'!$A$2:$L$164,MATCH($A22,'RW'!$A$2:$A$164,0),10), C22 = "D",INDEX(D!$A$2:$L$268,MATCH($A22,D!$A$2:$A$268,0),10),C22="G",INDEX(G!$A$2:$Q$78,MATCH($A22,G!$A$2:$A$78,0),16),C22="F",INDEX(F!$A$2:$K$494,MATCH($A22,F!$A$2:$A$494,0),10))</f>
        <v>7</v>
      </c>
      <c r="G22" t="str">
        <f>_xlfn.CONCAT(C22,Table16[[#This Row],[Pos Rank2]])</f>
        <v>D7</v>
      </c>
      <c r="H22" s="10">
        <f>MAX(_xlfn.IFNA(INDEX(Proj[],MATCH(Table16[[#This Row],[Player]],Proj[Player],0),29),-5000), _xlfn.IFNA(INDEX(Goalie[],MATCH(Table16[[#This Row],[Player]],Goalie[player],0),19),-5000))</f>
        <v>840.95279379674821</v>
      </c>
      <c r="I22" t="str">
        <f>IF(_xlfn.IFNA(INDEX(Proj[],MATCH(Table16[[#This Row],[Player]],Proj[Player],0),31),INDEX(Goalie[],MATCH(Table16[[#This Row],[Player]],Goalie[player],0),20)) = 0, "",_xlfn.IFNA(INDEX(Proj[],MATCH(Table16[[#This Row],[Player]],Proj[Player],0),31),INDEX(Goalie[],MATCH(Table16[[#This Row],[Player]],Goalie[player],0),20)))</f>
        <v/>
      </c>
    </row>
    <row r="23" spans="1:9" x14ac:dyDescent="0.25">
      <c r="A23" t="s">
        <v>875</v>
      </c>
      <c r="B23" s="2" t="s">
        <v>3</v>
      </c>
      <c r="C23" t="str">
        <f t="shared" si="0"/>
        <v>D</v>
      </c>
      <c r="D23" s="10">
        <f>MAX(_xlfn.IFNA(INDEX(Proj[],MATCH(Table16[[#This Row],[Player]],Proj[Player],0),27),-5000), _xlfn.IFNA(INDEX(Goalie[],MATCH(Table16[[#This Row],[Player]],Goalie[player],0),17),-5000))</f>
        <v>716.25966113709887</v>
      </c>
      <c r="E23">
        <f>_xlfn.RANK.EQ(Table16[[#This Row],[VOR]],Table16[VOR])</f>
        <v>23</v>
      </c>
      <c r="F23" cm="1">
        <f t="array" ref="F23">_xlfn.IFS(C23 = "C",INDEX('C'!$A$2:$L$254,MATCH($A23,'C'!$A$2:$A$254,0),10),C23 = "LW",INDEX(LW!$A$2:$K$180,MATCH($A23,LW!$A$2:$A$180,0),10),C23 = "RW",INDEX('RW'!$A$2:$L$164,MATCH($A23,'RW'!$A$2:$A$164,0),10), C23 = "D",INDEX(D!$A$2:$L$268,MATCH($A23,D!$A$2:$A$268,0),10),C23="G",INDEX(G!$A$2:$Q$78,MATCH($A23,G!$A$2:$A$78,0),16),C23="F",INDEX(F!$A$2:$K$494,MATCH($A23,F!$A$2:$A$494,0),10))</f>
        <v>8</v>
      </c>
      <c r="G23" t="str">
        <f>_xlfn.CONCAT(C23,Table16[[#This Row],[Pos Rank2]])</f>
        <v>D8</v>
      </c>
      <c r="H23" s="10">
        <f>MAX(_xlfn.IFNA(INDEX(Proj[],MATCH(Table16[[#This Row],[Player]],Proj[Player],0),29),-5000), _xlfn.IFNA(INDEX(Goalie[],MATCH(Table16[[#This Row],[Player]],Goalie[player],0),19),-5000))</f>
        <v>823.62442885656333</v>
      </c>
      <c r="I23" t="str">
        <f>IF(_xlfn.IFNA(INDEX(Proj[],MATCH(Table16[[#This Row],[Player]],Proj[Player],0),31),INDEX(Goalie[],MATCH(Table16[[#This Row],[Player]],Goalie[player],0),20)) = 0, "",_xlfn.IFNA(INDEX(Proj[],MATCH(Table16[[#This Row],[Player]],Proj[Player],0),31),INDEX(Goalie[],MATCH(Table16[[#This Row],[Player]],Goalie[player],0),20)))</f>
        <v/>
      </c>
    </row>
    <row r="24" spans="1:9" x14ac:dyDescent="0.25">
      <c r="A24" t="s">
        <v>422</v>
      </c>
      <c r="B24" s="2" t="s">
        <v>101</v>
      </c>
      <c r="C24" t="str">
        <f t="shared" si="0"/>
        <v>LW</v>
      </c>
      <c r="D24" s="10">
        <f>MAX(_xlfn.IFNA(INDEX(Proj[],MATCH(Table16[[#This Row],[Player]],Proj[Player],0),27),-5000), _xlfn.IFNA(INDEX(Goalie[],MATCH(Table16[[#This Row],[Player]],Goalie[player],0),17),-5000))</f>
        <v>717.80112454280038</v>
      </c>
      <c r="E24">
        <f>_xlfn.RANK.EQ(Table16[[#This Row],[VOR]],Table16[VOR])</f>
        <v>22</v>
      </c>
      <c r="F24" cm="1">
        <f t="array" ref="F24">_xlfn.IFS(C24 = "C",INDEX('C'!$A$2:$L$254,MATCH($A24,'C'!$A$2:$A$254,0),10),C24 = "LW",INDEX(LW!$A$2:$K$180,MATCH($A24,LW!$A$2:$A$180,0),10),C24 = "RW",INDEX('RW'!$A$2:$L$164,MATCH($A24,'RW'!$A$2:$A$164,0),10), C24 = "D",INDEX(D!$A$2:$L$268,MATCH($A24,D!$A$2:$A$268,0),10),C24="G",INDEX(G!$A$2:$Q$78,MATCH($A24,G!$A$2:$A$78,0),16),C24="F",INDEX(F!$A$2:$K$494,MATCH($A24,F!$A$2:$A$494,0),10))</f>
        <v>7</v>
      </c>
      <c r="G24" t="str">
        <f>_xlfn.CONCAT(C24,Table16[[#This Row],[Pos Rank2]])</f>
        <v>LW7</v>
      </c>
      <c r="H24" s="10">
        <f>MAX(_xlfn.IFNA(INDEX(Proj[],MATCH(Table16[[#This Row],[Player]],Proj[Player],0),29),-5000), _xlfn.IFNA(INDEX(Goalie[],MATCH(Table16[[#This Row],[Player]],Goalie[player],0),19),-5000))</f>
        <v>1189.3458489330492</v>
      </c>
      <c r="I24" t="str">
        <f>IF(_xlfn.IFNA(INDEX(Proj[],MATCH(Table16[[#This Row],[Player]],Proj[Player],0),31),INDEX(Goalie[],MATCH(Table16[[#This Row],[Player]],Goalie[player],0),20)) = 0, "",_xlfn.IFNA(INDEX(Proj[],MATCH(Table16[[#This Row],[Player]],Proj[Player],0),31),INDEX(Goalie[],MATCH(Table16[[#This Row],[Player]],Goalie[player],0),20)))</f>
        <v/>
      </c>
    </row>
    <row r="25" spans="1:9" x14ac:dyDescent="0.25">
      <c r="A25" t="s">
        <v>264</v>
      </c>
      <c r="B25" s="2" t="s">
        <v>102</v>
      </c>
      <c r="C25" t="str">
        <f t="shared" si="0"/>
        <v>LW</v>
      </c>
      <c r="D25" s="10">
        <f>MAX(_xlfn.IFNA(INDEX(Proj[],MATCH(Table16[[#This Row],[Player]],Proj[Player],0),27),-5000), _xlfn.IFNA(INDEX(Goalie[],MATCH(Table16[[#This Row],[Player]],Goalie[player],0),17),-5000))</f>
        <v>616.38232026069932</v>
      </c>
      <c r="E25">
        <f>_xlfn.RANK.EQ(Table16[[#This Row],[VOR]],Table16[VOR])</f>
        <v>31</v>
      </c>
      <c r="F25" cm="1">
        <f t="array" ref="F25">_xlfn.IFS(C25 = "C",INDEX('C'!$A$2:$L$254,MATCH($A25,'C'!$A$2:$A$254,0),10),C25 = "LW",INDEX(LW!$A$2:$K$180,MATCH($A25,LW!$A$2:$A$180,0),10),C25 = "RW",INDEX('RW'!$A$2:$L$164,MATCH($A25,'RW'!$A$2:$A$164,0),10), C25 = "D",INDEX(D!$A$2:$L$268,MATCH($A25,D!$A$2:$A$268,0),10),C25="G",INDEX(G!$A$2:$Q$78,MATCH($A25,G!$A$2:$A$78,0),16),C25="F",INDEX(F!$A$2:$K$494,MATCH($A25,F!$A$2:$A$494,0),10))</f>
        <v>10</v>
      </c>
      <c r="G25" t="str">
        <f>_xlfn.CONCAT(C25,Table16[[#This Row],[Pos Rank2]])</f>
        <v>LW10</v>
      </c>
      <c r="H25" s="10">
        <f>MAX(_xlfn.IFNA(INDEX(Proj[],MATCH(Table16[[#This Row],[Player]],Proj[Player],0),29),-5000), _xlfn.IFNA(INDEX(Goalie[],MATCH(Table16[[#This Row],[Player]],Goalie[player],0),19),-5000))</f>
        <v>1087.9270446509481</v>
      </c>
      <c r="I25" t="str">
        <f>IF(_xlfn.IFNA(INDEX(Proj[],MATCH(Table16[[#This Row],[Player]],Proj[Player],0),31),INDEX(Goalie[],MATCH(Table16[[#This Row],[Player]],Goalie[player],0),20)) = 0, "",_xlfn.IFNA(INDEX(Proj[],MATCH(Table16[[#This Row],[Player]],Proj[Player],0),31),INDEX(Goalie[],MATCH(Table16[[#This Row],[Player]],Goalie[player],0),20)))</f>
        <v/>
      </c>
    </row>
    <row r="26" spans="1:9" x14ac:dyDescent="0.25">
      <c r="A26" t="s">
        <v>263</v>
      </c>
      <c r="B26" s="2" t="s">
        <v>103</v>
      </c>
      <c r="C26" t="str">
        <f t="shared" si="0"/>
        <v>RW</v>
      </c>
      <c r="D26" s="10">
        <f>MAX(_xlfn.IFNA(INDEX(Proj[],MATCH(Table16[[#This Row],[Player]],Proj[Player],0),27),-5000), _xlfn.IFNA(INDEX(Goalie[],MATCH(Table16[[#This Row],[Player]],Goalie[player],0),17),-5000))</f>
        <v>600.74312245589954</v>
      </c>
      <c r="E26">
        <f>_xlfn.RANK.EQ(Table16[[#This Row],[VOR]],Table16[VOR])</f>
        <v>35</v>
      </c>
      <c r="F26" cm="1">
        <f t="array" ref="F26">_xlfn.IFS(C26 = "C",INDEX('C'!$A$2:$L$254,MATCH($A26,'C'!$A$2:$A$254,0),10),C26 = "LW",INDEX(LW!$A$2:$K$180,MATCH($A26,LW!$A$2:$A$180,0),10),C26 = "RW",INDEX('RW'!$A$2:$L$164,MATCH($A26,'RW'!$A$2:$A$164,0),10), C26 = "D",INDEX(D!$A$2:$L$268,MATCH($A26,D!$A$2:$A$268,0),10),C26="G",INDEX(G!$A$2:$Q$78,MATCH($A26,G!$A$2:$A$78,0),16),C26="F",INDEX(F!$A$2:$K$494,MATCH($A26,F!$A$2:$A$494,0),10))</f>
        <v>7</v>
      </c>
      <c r="G26" t="str">
        <f>_xlfn.CONCAT(C26,Table16[[#This Row],[Pos Rank2]])</f>
        <v>RW7</v>
      </c>
      <c r="H26" s="10">
        <f>MAX(_xlfn.IFNA(INDEX(Proj[],MATCH(Table16[[#This Row],[Player]],Proj[Player],0),29),-5000), _xlfn.IFNA(INDEX(Goalie[],MATCH(Table16[[#This Row],[Player]],Goalie[player],0),19),-5000))</f>
        <v>1047.2878468461483</v>
      </c>
      <c r="I26" t="str">
        <f>IF(_xlfn.IFNA(INDEX(Proj[],MATCH(Table16[[#This Row],[Player]],Proj[Player],0),31),INDEX(Goalie[],MATCH(Table16[[#This Row],[Player]],Goalie[player],0),20)) = 0, "",_xlfn.IFNA(INDEX(Proj[],MATCH(Table16[[#This Row],[Player]],Proj[Player],0),31),INDEX(Goalie[],MATCH(Table16[[#This Row],[Player]],Goalie[player],0),20)))</f>
        <v/>
      </c>
    </row>
    <row r="27" spans="1:9" x14ac:dyDescent="0.25">
      <c r="A27" t="s">
        <v>299</v>
      </c>
      <c r="B27" s="2" t="s">
        <v>3</v>
      </c>
      <c r="C27" t="str">
        <f t="shared" si="0"/>
        <v>D</v>
      </c>
      <c r="D27" s="10">
        <f>MAX(_xlfn.IFNA(INDEX(Proj[],MATCH(Table16[[#This Row],[Player]],Proj[Player],0),27),-5000), _xlfn.IFNA(INDEX(Goalie[],MATCH(Table16[[#This Row],[Player]],Goalie[player],0),17),-5000))</f>
        <v>654.70278083576272</v>
      </c>
      <c r="E27">
        <f>_xlfn.RANK.EQ(Table16[[#This Row],[VOR]],Table16[VOR])</f>
        <v>27</v>
      </c>
      <c r="F27" cm="1">
        <f t="array" ref="F27">_xlfn.IFS(C27 = "C",INDEX('C'!$A$2:$L$254,MATCH($A27,'C'!$A$2:$A$254,0),10),C27 = "LW",INDEX(LW!$A$2:$K$180,MATCH($A27,LW!$A$2:$A$180,0),10),C27 = "RW",INDEX('RW'!$A$2:$L$164,MATCH($A27,'RW'!$A$2:$A$164,0),10), C27 = "D",INDEX(D!$A$2:$L$268,MATCH($A27,D!$A$2:$A$268,0),10),C27="G",INDEX(G!$A$2:$Q$78,MATCH($A27,G!$A$2:$A$78,0),16),C27="F",INDEX(F!$A$2:$K$494,MATCH($A27,F!$A$2:$A$494,0),10))</f>
        <v>9</v>
      </c>
      <c r="G27" t="str">
        <f>_xlfn.CONCAT(C27,Table16[[#This Row],[Pos Rank2]])</f>
        <v>D9</v>
      </c>
      <c r="H27" s="10">
        <f>MAX(_xlfn.IFNA(INDEX(Proj[],MATCH(Table16[[#This Row],[Player]],Proj[Player],0),29),-5000), _xlfn.IFNA(INDEX(Goalie[],MATCH(Table16[[#This Row],[Player]],Goalie[player],0),19),-5000))</f>
        <v>762.06754855522718</v>
      </c>
      <c r="I27" t="str">
        <f>IF(_xlfn.IFNA(INDEX(Proj[],MATCH(Table16[[#This Row],[Player]],Proj[Player],0),31),INDEX(Goalie[],MATCH(Table16[[#This Row],[Player]],Goalie[player],0),20)) = 0, "",_xlfn.IFNA(INDEX(Proj[],MATCH(Table16[[#This Row],[Player]],Proj[Player],0),31),INDEX(Goalie[],MATCH(Table16[[#This Row],[Player]],Goalie[player],0),20)))</f>
        <v/>
      </c>
    </row>
    <row r="28" spans="1:9" x14ac:dyDescent="0.25">
      <c r="A28" t="s">
        <v>290</v>
      </c>
      <c r="B28" s="2" t="s">
        <v>103</v>
      </c>
      <c r="C28" t="str">
        <f t="shared" si="0"/>
        <v>RW</v>
      </c>
      <c r="D28" s="10">
        <f>MAX(_xlfn.IFNA(INDEX(Proj[],MATCH(Table16[[#This Row],[Player]],Proj[Player],0),27),-5000), _xlfn.IFNA(INDEX(Goalie[],MATCH(Table16[[#This Row],[Player]],Goalie[player],0),17),-5000))</f>
        <v>586.03271337678348</v>
      </c>
      <c r="E28">
        <f>_xlfn.RANK.EQ(Table16[[#This Row],[VOR]],Table16[VOR])</f>
        <v>37</v>
      </c>
      <c r="F28" cm="1">
        <f t="array" ref="F28">_xlfn.IFS(C28 = "C",INDEX('C'!$A$2:$L$254,MATCH($A28,'C'!$A$2:$A$254,0),10),C28 = "LW",INDEX(LW!$A$2:$K$180,MATCH($A28,LW!$A$2:$A$180,0),10),C28 = "RW",INDEX('RW'!$A$2:$L$164,MATCH($A28,'RW'!$A$2:$A$164,0),10), C28 = "D",INDEX(D!$A$2:$L$268,MATCH($A28,D!$A$2:$A$268,0),10),C28="G",INDEX(G!$A$2:$Q$78,MATCH($A28,G!$A$2:$A$78,0),16),C28="F",INDEX(F!$A$2:$K$494,MATCH($A28,F!$A$2:$A$494,0),10))</f>
        <v>8</v>
      </c>
      <c r="G28" t="str">
        <f>_xlfn.CONCAT(C28,Table16[[#This Row],[Pos Rank2]])</f>
        <v>RW8</v>
      </c>
      <c r="H28" s="10">
        <f>MAX(_xlfn.IFNA(INDEX(Proj[],MATCH(Table16[[#This Row],[Player]],Proj[Player],0),29),-5000), _xlfn.IFNA(INDEX(Goalie[],MATCH(Table16[[#This Row],[Player]],Goalie[player],0),19),-5000))</f>
        <v>1032.5774377670323</v>
      </c>
      <c r="I28" t="str">
        <f>IF(_xlfn.IFNA(INDEX(Proj[],MATCH(Table16[[#This Row],[Player]],Proj[Player],0),31),INDEX(Goalie[],MATCH(Table16[[#This Row],[Player]],Goalie[player],0),20)) = 0, "",_xlfn.IFNA(INDEX(Proj[],MATCH(Table16[[#This Row],[Player]],Proj[Player],0),31),INDEX(Goalie[],MATCH(Table16[[#This Row],[Player]],Goalie[player],0),20)))</f>
        <v/>
      </c>
    </row>
    <row r="29" spans="1:9" x14ac:dyDescent="0.25">
      <c r="A29" t="s">
        <v>256</v>
      </c>
      <c r="B29" s="2" t="s">
        <v>3</v>
      </c>
      <c r="C29" t="str">
        <f t="shared" si="0"/>
        <v>D</v>
      </c>
      <c r="D29" s="10">
        <f>MAX(_xlfn.IFNA(INDEX(Proj[],MATCH(Table16[[#This Row],[Player]],Proj[Player],0),27),-5000), _xlfn.IFNA(INDEX(Goalie[],MATCH(Table16[[#This Row],[Player]],Goalie[player],0),17),-5000))</f>
        <v>634.31637820939181</v>
      </c>
      <c r="E29">
        <f>_xlfn.RANK.EQ(Table16[[#This Row],[VOR]],Table16[VOR])</f>
        <v>28</v>
      </c>
      <c r="F29" cm="1">
        <f t="array" ref="F29">_xlfn.IFS(C29 = "C",INDEX('C'!$A$2:$L$254,MATCH($A29,'C'!$A$2:$A$254,0),10),C29 = "LW",INDEX(LW!$A$2:$K$180,MATCH($A29,LW!$A$2:$A$180,0),10),C29 = "RW",INDEX('RW'!$A$2:$L$164,MATCH($A29,'RW'!$A$2:$A$164,0),10), C29 = "D",INDEX(D!$A$2:$L$268,MATCH($A29,D!$A$2:$A$268,0),10),C29="G",INDEX(G!$A$2:$Q$78,MATCH($A29,G!$A$2:$A$78,0),16),C29="F",INDEX(F!$A$2:$K$494,MATCH($A29,F!$A$2:$A$494,0),10))</f>
        <v>10</v>
      </c>
      <c r="G29" t="str">
        <f>_xlfn.CONCAT(C29,Table16[[#This Row],[Pos Rank2]])</f>
        <v>D10</v>
      </c>
      <c r="H29" s="10">
        <f>MAX(_xlfn.IFNA(INDEX(Proj[],MATCH(Table16[[#This Row],[Player]],Proj[Player],0),29),-5000), _xlfn.IFNA(INDEX(Goalie[],MATCH(Table16[[#This Row],[Player]],Goalie[player],0),19),-5000))</f>
        <v>741.68114592885627</v>
      </c>
      <c r="I29" t="str">
        <f>IF(_xlfn.IFNA(INDEX(Proj[],MATCH(Table16[[#This Row],[Player]],Proj[Player],0),31),INDEX(Goalie[],MATCH(Table16[[#This Row],[Player]],Goalie[player],0),20)) = 0, "",_xlfn.IFNA(INDEX(Proj[],MATCH(Table16[[#This Row],[Player]],Proj[Player],0),31),INDEX(Goalie[],MATCH(Table16[[#This Row],[Player]],Goalie[player],0),20)))</f>
        <v/>
      </c>
    </row>
    <row r="30" spans="1:9" x14ac:dyDescent="0.25">
      <c r="A30" t="s">
        <v>196</v>
      </c>
      <c r="B30" s="2" t="s">
        <v>157</v>
      </c>
      <c r="C30" t="str">
        <f t="shared" si="0"/>
        <v>G</v>
      </c>
      <c r="D30" s="10">
        <f>MAX(_xlfn.IFNA(INDEX(Proj[],MATCH(Table16[[#This Row],[Player]],Proj[Player],0),27),-5000), _xlfn.IFNA(INDEX(Goalie[],MATCH(Table16[[#This Row],[Player]],Goalie[player],0),17),-5000))</f>
        <v>601.48071785019408</v>
      </c>
      <c r="E30">
        <f>_xlfn.RANK.EQ(Table16[[#This Row],[VOR]],Table16[VOR])</f>
        <v>34</v>
      </c>
      <c r="F30" cm="1">
        <f t="array" ref="F30">_xlfn.IFS(C30 = "C",INDEX('C'!$A$2:$L$254,MATCH($A30,'C'!$A$2:$A$254,0),10),C30 = "LW",INDEX(LW!$A$2:$K$180,MATCH($A30,LW!$A$2:$A$180,0),10),C30 = "RW",INDEX('RW'!$A$2:$L$164,MATCH($A30,'RW'!$A$2:$A$164,0),10), C30 = "D",INDEX(D!$A$2:$L$268,MATCH($A30,D!$A$2:$A$268,0),10),C30="G",INDEX(G!$A$2:$Q$78,MATCH($A30,G!$A$2:$A$78,0),16),C30="F",INDEX(F!$A$2:$K$494,MATCH($A30,F!$A$2:$A$494,0),10))</f>
        <v>1</v>
      </c>
      <c r="G30" t="str">
        <f>_xlfn.CONCAT(C30,Table16[[#This Row],[Pos Rank2]])</f>
        <v>G1</v>
      </c>
      <c r="H30" s="10">
        <f>MAX(_xlfn.IFNA(INDEX(Proj[],MATCH(Table16[[#This Row],[Player]],Proj[Player],0),29),-5000), _xlfn.IFNA(INDEX(Goalie[],MATCH(Table16[[#This Row],[Player]],Goalie[player],0),19),-5000))</f>
        <v>715.9215999999999</v>
      </c>
      <c r="I30" t="str">
        <f>IF(_xlfn.IFNA(INDEX(Proj[],MATCH(Table16[[#This Row],[Player]],Proj[Player],0),31),INDEX(Goalie[],MATCH(Table16[[#This Row],[Player]],Goalie[player],0),20)) = 0, "",_xlfn.IFNA(INDEX(Proj[],MATCH(Table16[[#This Row],[Player]],Proj[Player],0),31),INDEX(Goalie[],MATCH(Table16[[#This Row],[Player]],Goalie[player],0),20)))</f>
        <v/>
      </c>
    </row>
    <row r="31" spans="1:9" x14ac:dyDescent="0.25">
      <c r="A31" t="s">
        <v>395</v>
      </c>
      <c r="B31" s="2" t="s">
        <v>3</v>
      </c>
      <c r="C31" t="str">
        <f t="shared" si="0"/>
        <v>D</v>
      </c>
      <c r="D31" s="10">
        <f>MAX(_xlfn.IFNA(INDEX(Proj[],MATCH(Table16[[#This Row],[Player]],Proj[Player],0),27),-5000), _xlfn.IFNA(INDEX(Goalie[],MATCH(Table16[[#This Row],[Player]],Goalie[player],0),17),-5000))</f>
        <v>631.38920352881701</v>
      </c>
      <c r="E31">
        <f>_xlfn.RANK.EQ(Table16[[#This Row],[VOR]],Table16[VOR])</f>
        <v>29</v>
      </c>
      <c r="F31" cm="1">
        <f t="array" ref="F31">_xlfn.IFS(C31 = "C",INDEX('C'!$A$2:$L$254,MATCH($A31,'C'!$A$2:$A$254,0),10),C31 = "LW",INDEX(LW!$A$2:$K$180,MATCH($A31,LW!$A$2:$A$180,0),10),C31 = "RW",INDEX('RW'!$A$2:$L$164,MATCH($A31,'RW'!$A$2:$A$164,0),10), C31 = "D",INDEX(D!$A$2:$L$268,MATCH($A31,D!$A$2:$A$268,0),10),C31="G",INDEX(G!$A$2:$Q$78,MATCH($A31,G!$A$2:$A$78,0),16),C31="F",INDEX(F!$A$2:$K$494,MATCH($A31,F!$A$2:$A$494,0),10))</f>
        <v>11</v>
      </c>
      <c r="G31" t="str">
        <f>_xlfn.CONCAT(C31,Table16[[#This Row],[Pos Rank2]])</f>
        <v>D11</v>
      </c>
      <c r="H31" s="10">
        <f>MAX(_xlfn.IFNA(INDEX(Proj[],MATCH(Table16[[#This Row],[Player]],Proj[Player],0),29),-5000), _xlfn.IFNA(INDEX(Goalie[],MATCH(Table16[[#This Row],[Player]],Goalie[player],0),19),-5000))</f>
        <v>738.75397124828146</v>
      </c>
      <c r="I31" t="str">
        <f>IF(_xlfn.IFNA(INDEX(Proj[],MATCH(Table16[[#This Row],[Player]],Proj[Player],0),31),INDEX(Goalie[],MATCH(Table16[[#This Row],[Player]],Goalie[player],0),20)) = 0, "",_xlfn.IFNA(INDEX(Proj[],MATCH(Table16[[#This Row],[Player]],Proj[Player],0),31),INDEX(Goalie[],MATCH(Table16[[#This Row],[Player]],Goalie[player],0),20)))</f>
        <v/>
      </c>
    </row>
    <row r="32" spans="1:9" x14ac:dyDescent="0.25">
      <c r="A32" t="s">
        <v>190</v>
      </c>
      <c r="B32" s="2" t="s">
        <v>157</v>
      </c>
      <c r="C32" t="str">
        <f t="shared" si="0"/>
        <v>G</v>
      </c>
      <c r="D32" s="10">
        <f>MAX(_xlfn.IFNA(INDEX(Proj[],MATCH(Table16[[#This Row],[Player]],Proj[Player],0),27),-5000), _xlfn.IFNA(INDEX(Goalie[],MATCH(Table16[[#This Row],[Player]],Goalie[player],0),17),-5000))</f>
        <v>591.41709101193544</v>
      </c>
      <c r="E32">
        <f>_xlfn.RANK.EQ(Table16[[#This Row],[VOR]],Table16[VOR])</f>
        <v>36</v>
      </c>
      <c r="F32" cm="1">
        <f t="array" ref="F32">_xlfn.IFS(C32 = "C",INDEX('C'!$A$2:$L$254,MATCH($A32,'C'!$A$2:$A$254,0),10),C32 = "LW",INDEX(LW!$A$2:$K$180,MATCH($A32,LW!$A$2:$A$180,0),10),C32 = "RW",INDEX('RW'!$A$2:$L$164,MATCH($A32,'RW'!$A$2:$A$164,0),10), C32 = "D",INDEX(D!$A$2:$L$268,MATCH($A32,D!$A$2:$A$268,0),10),C32="G",INDEX(G!$A$2:$Q$78,MATCH($A32,G!$A$2:$A$78,0),16),C32="F",INDEX(F!$A$2:$K$494,MATCH($A32,F!$A$2:$A$494,0),10))</f>
        <v>2</v>
      </c>
      <c r="G32" t="str">
        <f>_xlfn.CONCAT(C32,Table16[[#This Row],[Pos Rank2]])</f>
        <v>G2</v>
      </c>
      <c r="H32" s="10">
        <f>MAX(_xlfn.IFNA(INDEX(Proj[],MATCH(Table16[[#This Row],[Player]],Proj[Player],0),29),-5000), _xlfn.IFNA(INDEX(Goalie[],MATCH(Table16[[#This Row],[Player]],Goalie[player],0),19),-5000))</f>
        <v>674.10919999999999</v>
      </c>
      <c r="I32" t="str">
        <f>IF(_xlfn.IFNA(INDEX(Proj[],MATCH(Table16[[#This Row],[Player]],Proj[Player],0),31),INDEX(Goalie[],MATCH(Table16[[#This Row],[Player]],Goalie[player],0),20)) = 0, "",_xlfn.IFNA(INDEX(Proj[],MATCH(Table16[[#This Row],[Player]],Proj[Player],0),31),INDEX(Goalie[],MATCH(Table16[[#This Row],[Player]],Goalie[player],0),20)))</f>
        <v/>
      </c>
    </row>
    <row r="33" spans="1:9" x14ac:dyDescent="0.25">
      <c r="A33" t="s">
        <v>329</v>
      </c>
      <c r="B33" s="2" t="s">
        <v>3</v>
      </c>
      <c r="C33" t="str">
        <f t="shared" si="0"/>
        <v>D</v>
      </c>
      <c r="D33" s="10">
        <f>MAX(_xlfn.IFNA(INDEX(Proj[],MATCH(Table16[[#This Row],[Player]],Proj[Player],0),27),-5000), _xlfn.IFNA(INDEX(Goalie[],MATCH(Table16[[#This Row],[Player]],Goalie[player],0),17),-5000))</f>
        <v>603.2865393873609</v>
      </c>
      <c r="E33">
        <f>_xlfn.RANK.EQ(Table16[[#This Row],[VOR]],Table16[VOR])</f>
        <v>33</v>
      </c>
      <c r="F33" cm="1">
        <f t="array" ref="F33">_xlfn.IFS(C33 = "C",INDEX('C'!$A$2:$L$254,MATCH($A33,'C'!$A$2:$A$254,0),10),C33 = "LW",INDEX(LW!$A$2:$K$180,MATCH($A33,LW!$A$2:$A$180,0),10),C33 = "RW",INDEX('RW'!$A$2:$L$164,MATCH($A33,'RW'!$A$2:$A$164,0),10), C33 = "D",INDEX(D!$A$2:$L$268,MATCH($A33,D!$A$2:$A$268,0),10),C33="G",INDEX(G!$A$2:$Q$78,MATCH($A33,G!$A$2:$A$78,0),16),C33="F",INDEX(F!$A$2:$K$494,MATCH($A33,F!$A$2:$A$494,0),10))</f>
        <v>12</v>
      </c>
      <c r="G33" t="str">
        <f>_xlfn.CONCAT(C33,Table16[[#This Row],[Pos Rank2]])</f>
        <v>D12</v>
      </c>
      <c r="H33" s="10">
        <f>MAX(_xlfn.IFNA(INDEX(Proj[],MATCH(Table16[[#This Row],[Player]],Proj[Player],0),29),-5000), _xlfn.IFNA(INDEX(Goalie[],MATCH(Table16[[#This Row],[Player]],Goalie[player],0),19),-5000))</f>
        <v>710.65130710682536</v>
      </c>
      <c r="I33" t="str">
        <f>IF(_xlfn.IFNA(INDEX(Proj[],MATCH(Table16[[#This Row],[Player]],Proj[Player],0),31),INDEX(Goalie[],MATCH(Table16[[#This Row],[Player]],Goalie[player],0),20)) = 0, "",_xlfn.IFNA(INDEX(Proj[],MATCH(Table16[[#This Row],[Player]],Proj[Player],0),31),INDEX(Goalie[],MATCH(Table16[[#This Row],[Player]],Goalie[player],0),20)))</f>
        <v/>
      </c>
    </row>
    <row r="34" spans="1:9" x14ac:dyDescent="0.25">
      <c r="A34" t="s">
        <v>341</v>
      </c>
      <c r="B34" s="2" t="s">
        <v>105</v>
      </c>
      <c r="C34" t="str">
        <f t="shared" si="0"/>
        <v>RW</v>
      </c>
      <c r="D34" s="10">
        <f>MAX(_xlfn.IFNA(INDEX(Proj[],MATCH(Table16[[#This Row],[Player]],Proj[Player],0),27),-5000), _xlfn.IFNA(INDEX(Goalie[],MATCH(Table16[[#This Row],[Player]],Goalie[player],0),17),-5000))</f>
        <v>630.33480604223882</v>
      </c>
      <c r="E34">
        <f>_xlfn.RANK.EQ(Table16[[#This Row],[VOR]],Table16[VOR])</f>
        <v>30</v>
      </c>
      <c r="F34" cm="1">
        <f t="array" ref="F34">_xlfn.IFS(C34 = "C",INDEX('C'!$A$2:$L$254,MATCH($A34,'C'!$A$2:$A$254,0),10),C34 = "LW",INDEX(LW!$A$2:$K$180,MATCH($A34,LW!$A$2:$A$180,0),10),C34 = "RW",INDEX('RW'!$A$2:$L$164,MATCH($A34,'RW'!$A$2:$A$164,0),10), C34 = "D",INDEX(D!$A$2:$L$268,MATCH($A34,D!$A$2:$A$268,0),10),C34="G",INDEX(G!$A$2:$Q$78,MATCH($A34,G!$A$2:$A$78,0),16),C34="F",INDEX(F!$A$2:$K$494,MATCH($A34,F!$A$2:$A$494,0),10))</f>
        <v>6</v>
      </c>
      <c r="G34" t="str">
        <f>_xlfn.CONCAT(C34,Table16[[#This Row],[Pos Rank2]])</f>
        <v>RW6</v>
      </c>
      <c r="H34" s="10">
        <f>MAX(_xlfn.IFNA(INDEX(Proj[],MATCH(Table16[[#This Row],[Player]],Proj[Player],0),29),-5000), _xlfn.IFNA(INDEX(Goalie[],MATCH(Table16[[#This Row],[Player]],Goalie[player],0),19),-5000))</f>
        <v>1076.8795304324876</v>
      </c>
      <c r="I34" t="str">
        <f>IF(_xlfn.IFNA(INDEX(Proj[],MATCH(Table16[[#This Row],[Player]],Proj[Player],0),31),INDEX(Goalie[],MATCH(Table16[[#This Row],[Player]],Goalie[player],0),20)) = 0, "",_xlfn.IFNA(INDEX(Proj[],MATCH(Table16[[#This Row],[Player]],Proj[Player],0),31),INDEX(Goalie[],MATCH(Table16[[#This Row],[Player]],Goalie[player],0),20)))</f>
        <v/>
      </c>
    </row>
    <row r="35" spans="1:9" x14ac:dyDescent="0.25">
      <c r="A35" t="s">
        <v>211</v>
      </c>
      <c r="B35" s="2" t="s">
        <v>157</v>
      </c>
      <c r="C35" t="str">
        <f t="shared" si="0"/>
        <v>G</v>
      </c>
      <c r="D35" s="10">
        <f>MAX(_xlfn.IFNA(INDEX(Proj[],MATCH(Table16[[#This Row],[Player]],Proj[Player],0),27),-5000), _xlfn.IFNA(INDEX(Goalie[],MATCH(Table16[[#This Row],[Player]],Goalie[player],0),17),-5000))</f>
        <v>554.98637122950413</v>
      </c>
      <c r="E35">
        <f>_xlfn.RANK.EQ(Table16[[#This Row],[VOR]],Table16[VOR])</f>
        <v>40</v>
      </c>
      <c r="F35" cm="1">
        <f t="array" ref="F35">_xlfn.IFS(C35 = "C",INDEX('C'!$A$2:$L$254,MATCH($A35,'C'!$A$2:$A$254,0),10),C35 = "LW",INDEX(LW!$A$2:$K$180,MATCH($A35,LW!$A$2:$A$180,0),10),C35 = "RW",INDEX('RW'!$A$2:$L$164,MATCH($A35,'RW'!$A$2:$A$164,0),10), C35 = "D",INDEX(D!$A$2:$L$268,MATCH($A35,D!$A$2:$A$268,0),10),C35="G",INDEX(G!$A$2:$Q$78,MATCH($A35,G!$A$2:$A$78,0),16),C35="F",INDEX(F!$A$2:$K$494,MATCH($A35,F!$A$2:$A$494,0),10))</f>
        <v>3</v>
      </c>
      <c r="G35" t="str">
        <f>_xlfn.CONCAT(C35,Table16[[#This Row],[Pos Rank2]])</f>
        <v>G3</v>
      </c>
      <c r="H35" s="10">
        <f>MAX(_xlfn.IFNA(INDEX(Proj[],MATCH(Table16[[#This Row],[Player]],Proj[Player],0),29),-5000), _xlfn.IFNA(INDEX(Goalie[],MATCH(Table16[[#This Row],[Player]],Goalie[player],0),19),-5000))</f>
        <v>772.79480000000001</v>
      </c>
      <c r="I35" t="str">
        <f>IF(_xlfn.IFNA(INDEX(Proj[],MATCH(Table16[[#This Row],[Player]],Proj[Player],0),31),INDEX(Goalie[],MATCH(Table16[[#This Row],[Player]],Goalie[player],0),20)) = 0, "",_xlfn.IFNA(INDEX(Proj[],MATCH(Table16[[#This Row],[Player]],Proj[Player],0),31),INDEX(Goalie[],MATCH(Table16[[#This Row],[Player]],Goalie[player],0),20)))</f>
        <v/>
      </c>
    </row>
    <row r="36" spans="1:9" x14ac:dyDescent="0.25">
      <c r="A36" t="s">
        <v>257</v>
      </c>
      <c r="B36" s="2" t="s">
        <v>101</v>
      </c>
      <c r="C36" t="str">
        <f t="shared" si="0"/>
        <v>LW</v>
      </c>
      <c r="D36" s="10">
        <f>MAX(_xlfn.IFNA(INDEX(Proj[],MATCH(Table16[[#This Row],[Player]],Proj[Player],0),27),-5000), _xlfn.IFNA(INDEX(Goalie[],MATCH(Table16[[#This Row],[Player]],Goalie[player],0),17),-5000))</f>
        <v>718.83233635625334</v>
      </c>
      <c r="E36">
        <f>_xlfn.RANK.EQ(Table16[[#This Row],[VOR]],Table16[VOR])</f>
        <v>21</v>
      </c>
      <c r="F36" cm="1">
        <f t="array" ref="F36">_xlfn.IFS(C36 = "C",INDEX('C'!$A$2:$L$254,MATCH($A36,'C'!$A$2:$A$254,0),10),C36 = "LW",INDEX(LW!$A$2:$K$180,MATCH($A36,LW!$A$2:$A$180,0),10),C36 = "RW",INDEX('RW'!$A$2:$L$164,MATCH($A36,'RW'!$A$2:$A$164,0),10), C36 = "D",INDEX(D!$A$2:$L$268,MATCH($A36,D!$A$2:$A$268,0),10),C36="G",INDEX(G!$A$2:$Q$78,MATCH($A36,G!$A$2:$A$78,0),16),C36="F",INDEX(F!$A$2:$K$494,MATCH($A36,F!$A$2:$A$494,0),10))</f>
        <v>6</v>
      </c>
      <c r="G36" t="str">
        <f>_xlfn.CONCAT(C36,Table16[[#This Row],[Pos Rank2]])</f>
        <v>LW6</v>
      </c>
      <c r="H36" s="10">
        <f>MAX(_xlfn.IFNA(INDEX(Proj[],MATCH(Table16[[#This Row],[Player]],Proj[Player],0),29),-5000), _xlfn.IFNA(INDEX(Goalie[],MATCH(Table16[[#This Row],[Player]],Goalie[player],0),19),-5000))</f>
        <v>1190.3770607465021</v>
      </c>
      <c r="I36" t="str">
        <f>IF(_xlfn.IFNA(INDEX(Proj[],MATCH(Table16[[#This Row],[Player]],Proj[Player],0),31),INDEX(Goalie[],MATCH(Table16[[#This Row],[Player]],Goalie[player],0),20)) = 0, "",_xlfn.IFNA(INDEX(Proj[],MATCH(Table16[[#This Row],[Player]],Proj[Player],0),31),INDEX(Goalie[],MATCH(Table16[[#This Row],[Player]],Goalie[player],0),20)))</f>
        <v/>
      </c>
    </row>
    <row r="37" spans="1:9" x14ac:dyDescent="0.25">
      <c r="A37" t="s">
        <v>885</v>
      </c>
      <c r="B37" s="2" t="s">
        <v>3</v>
      </c>
      <c r="C37" t="str">
        <f t="shared" si="0"/>
        <v>D</v>
      </c>
      <c r="D37" s="10">
        <f>MAX(_xlfn.IFNA(INDEX(Proj[],MATCH(Table16[[#This Row],[Player]],Proj[Player],0),27),-5000), _xlfn.IFNA(INDEX(Goalie[],MATCH(Table16[[#This Row],[Player]],Goalie[player],0),17),-5000))</f>
        <v>556.81498392519745</v>
      </c>
      <c r="E37">
        <f>_xlfn.RANK.EQ(Table16[[#This Row],[VOR]],Table16[VOR])</f>
        <v>39</v>
      </c>
      <c r="F37" cm="1">
        <f t="array" ref="F37">_xlfn.IFS(C37 = "C",INDEX('C'!$A$2:$L$254,MATCH($A37,'C'!$A$2:$A$254,0),10),C37 = "LW",INDEX(LW!$A$2:$K$180,MATCH($A37,LW!$A$2:$A$180,0),10),C37 = "RW",INDEX('RW'!$A$2:$L$164,MATCH($A37,'RW'!$A$2:$A$164,0),10), C37 = "D",INDEX(D!$A$2:$L$268,MATCH($A37,D!$A$2:$A$268,0),10),C37="G",INDEX(G!$A$2:$Q$78,MATCH($A37,G!$A$2:$A$78,0),16),C37="F",INDEX(F!$A$2:$K$494,MATCH($A37,F!$A$2:$A$494,0),10))</f>
        <v>14</v>
      </c>
      <c r="G37" t="str">
        <f>_xlfn.CONCAT(C37,Table16[[#This Row],[Pos Rank2]])</f>
        <v>D14</v>
      </c>
      <c r="H37" s="10">
        <f>MAX(_xlfn.IFNA(INDEX(Proj[],MATCH(Table16[[#This Row],[Player]],Proj[Player],0),29),-5000), _xlfn.IFNA(INDEX(Goalie[],MATCH(Table16[[#This Row],[Player]],Goalie[player],0),19),-5000))</f>
        <v>664.17975164466191</v>
      </c>
      <c r="I37" t="str">
        <f>IF(_xlfn.IFNA(INDEX(Proj[],MATCH(Table16[[#This Row],[Player]],Proj[Player],0),31),INDEX(Goalie[],MATCH(Table16[[#This Row],[Player]],Goalie[player],0),20)) = 0, "",_xlfn.IFNA(INDEX(Proj[],MATCH(Table16[[#This Row],[Player]],Proj[Player],0),31),INDEX(Goalie[],MATCH(Table16[[#This Row],[Player]],Goalie[player],0),20)))</f>
        <v/>
      </c>
    </row>
    <row r="38" spans="1:9" x14ac:dyDescent="0.25">
      <c r="A38" t="s">
        <v>302</v>
      </c>
      <c r="B38" s="2" t="s">
        <v>74</v>
      </c>
      <c r="C38" t="str">
        <f t="shared" si="0"/>
        <v>C</v>
      </c>
      <c r="D38" s="10">
        <f>MAX(_xlfn.IFNA(INDEX(Proj[],MATCH(Table16[[#This Row],[Player]],Proj[Player],0),27),-5000), _xlfn.IFNA(INDEX(Goalie[],MATCH(Table16[[#This Row],[Player]],Goalie[player],0),17),-5000))</f>
        <v>711.41916696909993</v>
      </c>
      <c r="E38">
        <f>_xlfn.RANK.EQ(Table16[[#This Row],[VOR]],Table16[VOR])</f>
        <v>24</v>
      </c>
      <c r="F38" cm="1">
        <f t="array" ref="F38">_xlfn.IFS(C38 = "C",INDEX('C'!$A$2:$L$254,MATCH($A38,'C'!$A$2:$A$254,0),10),C38 = "LW",INDEX(LW!$A$2:$K$180,MATCH($A38,LW!$A$2:$A$180,0),10),C38 = "RW",INDEX('RW'!$A$2:$L$164,MATCH($A38,'RW'!$A$2:$A$164,0),10), C38 = "D",INDEX(D!$A$2:$L$268,MATCH($A38,D!$A$2:$A$268,0),10),C38="G",INDEX(G!$A$2:$Q$78,MATCH($A38,G!$A$2:$A$78,0),16),C38="F",INDEX(F!$A$2:$K$494,MATCH($A38,F!$A$2:$A$494,0),10))</f>
        <v>8</v>
      </c>
      <c r="G38" t="str">
        <f>_xlfn.CONCAT(C38,Table16[[#This Row],[Pos Rank2]])</f>
        <v>C8</v>
      </c>
      <c r="H38" s="10">
        <f>MAX(_xlfn.IFNA(INDEX(Proj[],MATCH(Table16[[#This Row],[Player]],Proj[Player],0),29),-5000), _xlfn.IFNA(INDEX(Goalie[],MATCH(Table16[[#This Row],[Player]],Goalie[player],0),19),-5000))</f>
        <v>1446.0530212793985</v>
      </c>
      <c r="I38" t="str">
        <f>IF(_xlfn.IFNA(INDEX(Proj[],MATCH(Table16[[#This Row],[Player]],Proj[Player],0),31),INDEX(Goalie[],MATCH(Table16[[#This Row],[Player]],Goalie[player],0),20)) = 0, "",_xlfn.IFNA(INDEX(Proj[],MATCH(Table16[[#This Row],[Player]],Proj[Player],0),31),INDEX(Goalie[],MATCH(Table16[[#This Row],[Player]],Goalie[player],0),20)))</f>
        <v/>
      </c>
    </row>
    <row r="39" spans="1:9" x14ac:dyDescent="0.25">
      <c r="A39" t="s">
        <v>252</v>
      </c>
      <c r="B39" s="2" t="s">
        <v>102</v>
      </c>
      <c r="C39" t="str">
        <f t="shared" si="0"/>
        <v>LW</v>
      </c>
      <c r="D39" s="10">
        <f>MAX(_xlfn.IFNA(INDEX(Proj[],MATCH(Table16[[#This Row],[Player]],Proj[Player],0),27),-5000), _xlfn.IFNA(INDEX(Goalie[],MATCH(Table16[[#This Row],[Player]],Goalie[player],0),17),-5000))</f>
        <v>495.42371445437533</v>
      </c>
      <c r="E39">
        <f>_xlfn.RANK.EQ(Table16[[#This Row],[VOR]],Table16[VOR])</f>
        <v>46</v>
      </c>
      <c r="F39" cm="1">
        <f t="array" ref="F39">_xlfn.IFS(C39 = "C",INDEX('C'!$A$2:$L$254,MATCH($A39,'C'!$A$2:$A$254,0),10),C39 = "LW",INDEX(LW!$A$2:$K$180,MATCH($A39,LW!$A$2:$A$180,0),10),C39 = "RW",INDEX('RW'!$A$2:$L$164,MATCH($A39,'RW'!$A$2:$A$164,0),10), C39 = "D",INDEX(D!$A$2:$L$268,MATCH($A39,D!$A$2:$A$268,0),10),C39="G",INDEX(G!$A$2:$Q$78,MATCH($A39,G!$A$2:$A$78,0),16),C39="F",INDEX(F!$A$2:$K$494,MATCH($A39,F!$A$2:$A$494,0),10))</f>
        <v>11</v>
      </c>
      <c r="G39" t="str">
        <f>_xlfn.CONCAT(C39,Table16[[#This Row],[Pos Rank2]])</f>
        <v>LW11</v>
      </c>
      <c r="H39" s="10">
        <f>MAX(_xlfn.IFNA(INDEX(Proj[],MATCH(Table16[[#This Row],[Player]],Proj[Player],0),29),-5000), _xlfn.IFNA(INDEX(Goalie[],MATCH(Table16[[#This Row],[Player]],Goalie[player],0),19),-5000))</f>
        <v>966.96843884462419</v>
      </c>
      <c r="I39" t="str">
        <f>IF(_xlfn.IFNA(INDEX(Proj[],MATCH(Table16[[#This Row],[Player]],Proj[Player],0),31),INDEX(Goalie[],MATCH(Table16[[#This Row],[Player]],Goalie[player],0),20)) = 0, "",_xlfn.IFNA(INDEX(Proj[],MATCH(Table16[[#This Row],[Player]],Proj[Player],0),31),INDEX(Goalie[],MATCH(Table16[[#This Row],[Player]],Goalie[player],0),20)))</f>
        <v/>
      </c>
    </row>
    <row r="40" spans="1:9" x14ac:dyDescent="0.25">
      <c r="A40" t="s">
        <v>336</v>
      </c>
      <c r="B40" s="2" t="s">
        <v>102</v>
      </c>
      <c r="C40" t="str">
        <f t="shared" si="0"/>
        <v>LW</v>
      </c>
      <c r="D40" s="10">
        <f>MAX(_xlfn.IFNA(INDEX(Proj[],MATCH(Table16[[#This Row],[Player]],Proj[Player],0),27),-5000), _xlfn.IFNA(INDEX(Goalie[],MATCH(Table16[[#This Row],[Player]],Goalie[player],0),17),-5000))</f>
        <v>478.89435674277007</v>
      </c>
      <c r="E40">
        <f>_xlfn.RANK.EQ(Table16[[#This Row],[VOR]],Table16[VOR])</f>
        <v>50</v>
      </c>
      <c r="F40" cm="1">
        <f t="array" ref="F40">_xlfn.IFS(C40 = "C",INDEX('C'!$A$2:$L$254,MATCH($A40,'C'!$A$2:$A$254,0),10),C40 = "LW",INDEX(LW!$A$2:$K$180,MATCH($A40,LW!$A$2:$A$180,0),10),C40 = "RW",INDEX('RW'!$A$2:$L$164,MATCH($A40,'RW'!$A$2:$A$164,0),10), C40 = "D",INDEX(D!$A$2:$L$268,MATCH($A40,D!$A$2:$A$268,0),10),C40="G",INDEX(G!$A$2:$Q$78,MATCH($A40,G!$A$2:$A$78,0),16),C40="F",INDEX(F!$A$2:$K$494,MATCH($A40,F!$A$2:$A$494,0),10))</f>
        <v>12</v>
      </c>
      <c r="G40" t="str">
        <f>_xlfn.CONCAT(C40,Table16[[#This Row],[Pos Rank2]])</f>
        <v>LW12</v>
      </c>
      <c r="H40" s="10">
        <f>MAX(_xlfn.IFNA(INDEX(Proj[],MATCH(Table16[[#This Row],[Player]],Proj[Player],0),29),-5000), _xlfn.IFNA(INDEX(Goalie[],MATCH(Table16[[#This Row],[Player]],Goalie[player],0),19),-5000))</f>
        <v>950.43908113301893</v>
      </c>
      <c r="I40" t="str">
        <f>IF(_xlfn.IFNA(INDEX(Proj[],MATCH(Table16[[#This Row],[Player]],Proj[Player],0),31),INDEX(Goalie[],MATCH(Table16[[#This Row],[Player]],Goalie[player],0),20)) = 0, "",_xlfn.IFNA(INDEX(Proj[],MATCH(Table16[[#This Row],[Player]],Proj[Player],0),31),INDEX(Goalie[],MATCH(Table16[[#This Row],[Player]],Goalie[player],0),20)))</f>
        <v/>
      </c>
    </row>
    <row r="41" spans="1:9" x14ac:dyDescent="0.25">
      <c r="A41" t="s">
        <v>350</v>
      </c>
      <c r="B41" s="2" t="s">
        <v>3</v>
      </c>
      <c r="C41" t="str">
        <f t="shared" si="0"/>
        <v>D</v>
      </c>
      <c r="D41" s="10">
        <f>MAX(_xlfn.IFNA(INDEX(Proj[],MATCH(Table16[[#This Row],[Player]],Proj[Player],0),27),-5000), _xlfn.IFNA(INDEX(Goalie[],MATCH(Table16[[#This Row],[Player]],Goalie[player],0),17),-5000))</f>
        <v>556.91825077935857</v>
      </c>
      <c r="E41">
        <f>_xlfn.RANK.EQ(Table16[[#This Row],[VOR]],Table16[VOR])</f>
        <v>38</v>
      </c>
      <c r="F41" cm="1">
        <f t="array" ref="F41">_xlfn.IFS(C41 = "C",INDEX('C'!$A$2:$L$254,MATCH($A41,'C'!$A$2:$A$254,0),10),C41 = "LW",INDEX(LW!$A$2:$K$180,MATCH($A41,LW!$A$2:$A$180,0),10),C41 = "RW",INDEX('RW'!$A$2:$L$164,MATCH($A41,'RW'!$A$2:$A$164,0),10), C41 = "D",INDEX(D!$A$2:$L$268,MATCH($A41,D!$A$2:$A$268,0),10),C41="G",INDEX(G!$A$2:$Q$78,MATCH($A41,G!$A$2:$A$78,0),16),C41="F",INDEX(F!$A$2:$K$494,MATCH($A41,F!$A$2:$A$494,0),10))</f>
        <v>13</v>
      </c>
      <c r="G41" t="str">
        <f>_xlfn.CONCAT(C41,Table16[[#This Row],[Pos Rank2]])</f>
        <v>D13</v>
      </c>
      <c r="H41" s="10">
        <f>MAX(_xlfn.IFNA(INDEX(Proj[],MATCH(Table16[[#This Row],[Player]],Proj[Player],0),29),-5000), _xlfn.IFNA(INDEX(Goalie[],MATCH(Table16[[#This Row],[Player]],Goalie[player],0),19),-5000))</f>
        <v>664.28301849882303</v>
      </c>
      <c r="I41" t="str">
        <f>IF(_xlfn.IFNA(INDEX(Proj[],MATCH(Table16[[#This Row],[Player]],Proj[Player],0),31),INDEX(Goalie[],MATCH(Table16[[#This Row],[Player]],Goalie[player],0),20)) = 0, "",_xlfn.IFNA(INDEX(Proj[],MATCH(Table16[[#This Row],[Player]],Proj[Player],0),31),INDEX(Goalie[],MATCH(Table16[[#This Row],[Player]],Goalie[player],0),20)))</f>
        <v/>
      </c>
    </row>
    <row r="42" spans="1:9" x14ac:dyDescent="0.25">
      <c r="A42" t="s">
        <v>251</v>
      </c>
      <c r="B42" s="2" t="s">
        <v>3</v>
      </c>
      <c r="C42" t="str">
        <f t="shared" si="0"/>
        <v>D</v>
      </c>
      <c r="D42" s="10">
        <f>MAX(_xlfn.IFNA(INDEX(Proj[],MATCH(Table16[[#This Row],[Player]],Proj[Player],0),27),-5000), _xlfn.IFNA(INDEX(Goalie[],MATCH(Table16[[#This Row],[Player]],Goalie[player],0),17),-5000))</f>
        <v>554.75668702780013</v>
      </c>
      <c r="E42">
        <f>_xlfn.RANK.EQ(Table16[[#This Row],[VOR]],Table16[VOR])</f>
        <v>41</v>
      </c>
      <c r="F42" cm="1">
        <f t="array" ref="F42">_xlfn.IFS(C42 = "C",INDEX('C'!$A$2:$L$254,MATCH($A42,'C'!$A$2:$A$254,0),10),C42 = "LW",INDEX(LW!$A$2:$K$180,MATCH($A42,LW!$A$2:$A$180,0),10),C42 = "RW",INDEX('RW'!$A$2:$L$164,MATCH($A42,'RW'!$A$2:$A$164,0),10), C42 = "D",INDEX(D!$A$2:$L$268,MATCH($A42,D!$A$2:$A$268,0),10),C42="G",INDEX(G!$A$2:$Q$78,MATCH($A42,G!$A$2:$A$78,0),16),C42="F",INDEX(F!$A$2:$K$494,MATCH($A42,F!$A$2:$A$494,0),10))</f>
        <v>15</v>
      </c>
      <c r="G42" t="str">
        <f>_xlfn.CONCAT(C42,Table16[[#This Row],[Pos Rank2]])</f>
        <v>D15</v>
      </c>
      <c r="H42" s="10">
        <f>MAX(_xlfn.IFNA(INDEX(Proj[],MATCH(Table16[[#This Row],[Player]],Proj[Player],0),29),-5000), _xlfn.IFNA(INDEX(Goalie[],MATCH(Table16[[#This Row],[Player]],Goalie[player],0),19),-5000))</f>
        <v>662.12145474726458</v>
      </c>
      <c r="I42" t="str">
        <f>IF(_xlfn.IFNA(INDEX(Proj[],MATCH(Table16[[#This Row],[Player]],Proj[Player],0),31),INDEX(Goalie[],MATCH(Table16[[#This Row],[Player]],Goalie[player],0),20)) = 0, "",_xlfn.IFNA(INDEX(Proj[],MATCH(Table16[[#This Row],[Player]],Proj[Player],0),31),INDEX(Goalie[],MATCH(Table16[[#This Row],[Player]],Goalie[player],0),20)))</f>
        <v/>
      </c>
    </row>
    <row r="43" spans="1:9" x14ac:dyDescent="0.25">
      <c r="A43" t="s">
        <v>241</v>
      </c>
      <c r="B43" s="2" t="s">
        <v>3</v>
      </c>
      <c r="C43" t="str">
        <f t="shared" si="0"/>
        <v>D</v>
      </c>
      <c r="D43" s="10">
        <f>MAX(_xlfn.IFNA(INDEX(Proj[],MATCH(Table16[[#This Row],[Player]],Proj[Player],0),27),-5000), _xlfn.IFNA(INDEX(Goalie[],MATCH(Table16[[#This Row],[Player]],Goalie[player],0),17),-5000))</f>
        <v>548.12225407669712</v>
      </c>
      <c r="E43">
        <f>_xlfn.RANK.EQ(Table16[[#This Row],[VOR]],Table16[VOR])</f>
        <v>43</v>
      </c>
      <c r="F43" cm="1">
        <f t="array" ref="F43">_xlfn.IFS(C43 = "C",INDEX('C'!$A$2:$L$254,MATCH($A43,'C'!$A$2:$A$254,0),10),C43 = "LW",INDEX(LW!$A$2:$K$180,MATCH($A43,LW!$A$2:$A$180,0),10),C43 = "RW",INDEX('RW'!$A$2:$L$164,MATCH($A43,'RW'!$A$2:$A$164,0),10), C43 = "D",INDEX(D!$A$2:$L$268,MATCH($A43,D!$A$2:$A$268,0),10),C43="G",INDEX(G!$A$2:$Q$78,MATCH($A43,G!$A$2:$A$78,0),16),C43="F",INDEX(F!$A$2:$K$494,MATCH($A43,F!$A$2:$A$494,0),10))</f>
        <v>16</v>
      </c>
      <c r="G43" t="str">
        <f>_xlfn.CONCAT(C43,Table16[[#This Row],[Pos Rank2]])</f>
        <v>D16</v>
      </c>
      <c r="H43" s="10">
        <f>MAX(_xlfn.IFNA(INDEX(Proj[],MATCH(Table16[[#This Row],[Player]],Proj[Player],0),29),-5000), _xlfn.IFNA(INDEX(Goalie[],MATCH(Table16[[#This Row],[Player]],Goalie[player],0),19),-5000))</f>
        <v>655.48702179616157</v>
      </c>
      <c r="I43" t="str">
        <f>IF(_xlfn.IFNA(INDEX(Proj[],MATCH(Table16[[#This Row],[Player]],Proj[Player],0),31),INDEX(Goalie[],MATCH(Table16[[#This Row],[Player]],Goalie[player],0),20)) = 0, "",_xlfn.IFNA(INDEX(Proj[],MATCH(Table16[[#This Row],[Player]],Proj[Player],0),31),INDEX(Goalie[],MATCH(Table16[[#This Row],[Player]],Goalie[player],0),20)))</f>
        <v/>
      </c>
    </row>
    <row r="44" spans="1:9" x14ac:dyDescent="0.25">
      <c r="A44" t="s">
        <v>312</v>
      </c>
      <c r="B44" s="2" t="s">
        <v>101</v>
      </c>
      <c r="C44" t="str">
        <f t="shared" si="0"/>
        <v>LW</v>
      </c>
      <c r="D44" s="10">
        <f>MAX(_xlfn.IFNA(INDEX(Proj[],MATCH(Table16[[#This Row],[Player]],Proj[Player],0),27),-5000), _xlfn.IFNA(INDEX(Goalie[],MATCH(Table16[[#This Row],[Player]],Goalie[player],0),17),-5000))</f>
        <v>674.19880797201449</v>
      </c>
      <c r="E44">
        <f>_xlfn.RANK.EQ(Table16[[#This Row],[VOR]],Table16[VOR])</f>
        <v>26</v>
      </c>
      <c r="F44" cm="1">
        <f t="array" ref="F44">_xlfn.IFS(C44 = "C",INDEX('C'!$A$2:$L$254,MATCH($A44,'C'!$A$2:$A$254,0),10),C44 = "LW",INDEX(LW!$A$2:$K$180,MATCH($A44,LW!$A$2:$A$180,0),10),C44 = "RW",INDEX('RW'!$A$2:$L$164,MATCH($A44,'RW'!$A$2:$A$164,0),10), C44 = "D",INDEX(D!$A$2:$L$268,MATCH($A44,D!$A$2:$A$268,0),10),C44="G",INDEX(G!$A$2:$Q$78,MATCH($A44,G!$A$2:$A$78,0),16),C44="F",INDEX(F!$A$2:$K$494,MATCH($A44,F!$A$2:$A$494,0),10))</f>
        <v>9</v>
      </c>
      <c r="G44" t="str">
        <f>_xlfn.CONCAT(C44,Table16[[#This Row],[Pos Rank2]])</f>
        <v>LW9</v>
      </c>
      <c r="H44" s="10">
        <f>MAX(_xlfn.IFNA(INDEX(Proj[],MATCH(Table16[[#This Row],[Player]],Proj[Player],0),29),-5000), _xlfn.IFNA(INDEX(Goalie[],MATCH(Table16[[#This Row],[Player]],Goalie[player],0),19),-5000))</f>
        <v>1145.7435323622633</v>
      </c>
      <c r="I44" t="str">
        <f>IF(_xlfn.IFNA(INDEX(Proj[],MATCH(Table16[[#This Row],[Player]],Proj[Player],0),31),INDEX(Goalie[],MATCH(Table16[[#This Row],[Player]],Goalie[player],0),20)) = 0, "",_xlfn.IFNA(INDEX(Proj[],MATCH(Table16[[#This Row],[Player]],Proj[Player],0),31),INDEX(Goalie[],MATCH(Table16[[#This Row],[Player]],Goalie[player],0),20)))</f>
        <v/>
      </c>
    </row>
    <row r="45" spans="1:9" x14ac:dyDescent="0.25">
      <c r="A45" t="s">
        <v>255</v>
      </c>
      <c r="B45" s="2" t="s">
        <v>102</v>
      </c>
      <c r="C45" t="str">
        <f t="shared" si="0"/>
        <v>LW</v>
      </c>
      <c r="D45" s="10">
        <f>MAX(_xlfn.IFNA(INDEX(Proj[],MATCH(Table16[[#This Row],[Player]],Proj[Player],0),27),-5000), _xlfn.IFNA(INDEX(Goalie[],MATCH(Table16[[#This Row],[Player]],Goalie[player],0),17),-5000))</f>
        <v>465.33553446799198</v>
      </c>
      <c r="E45">
        <f>_xlfn.RANK.EQ(Table16[[#This Row],[VOR]],Table16[VOR])</f>
        <v>53</v>
      </c>
      <c r="F45" cm="1">
        <f t="array" ref="F45">_xlfn.IFS(C45 = "C",INDEX('C'!$A$2:$L$254,MATCH($A45,'C'!$A$2:$A$254,0),10),C45 = "LW",INDEX(LW!$A$2:$K$180,MATCH($A45,LW!$A$2:$A$180,0),10),C45 = "RW",INDEX('RW'!$A$2:$L$164,MATCH($A45,'RW'!$A$2:$A$164,0),10), C45 = "D",INDEX(D!$A$2:$L$268,MATCH($A45,D!$A$2:$A$268,0),10),C45="G",INDEX(G!$A$2:$Q$78,MATCH($A45,G!$A$2:$A$78,0),16),C45="F",INDEX(F!$A$2:$K$494,MATCH($A45,F!$A$2:$A$494,0),10))</f>
        <v>14</v>
      </c>
      <c r="G45" t="str">
        <f>_xlfn.CONCAT(C45,Table16[[#This Row],[Pos Rank2]])</f>
        <v>LW14</v>
      </c>
      <c r="H45" s="10">
        <f>MAX(_xlfn.IFNA(INDEX(Proj[],MATCH(Table16[[#This Row],[Player]],Proj[Player],0),29),-5000), _xlfn.IFNA(INDEX(Goalie[],MATCH(Table16[[#This Row],[Player]],Goalie[player],0),19),-5000))</f>
        <v>936.88025885824084</v>
      </c>
      <c r="I45" t="str">
        <f>IF(_xlfn.IFNA(INDEX(Proj[],MATCH(Table16[[#This Row],[Player]],Proj[Player],0),31),INDEX(Goalie[],MATCH(Table16[[#This Row],[Player]],Goalie[player],0),20)) = 0, "",_xlfn.IFNA(INDEX(Proj[],MATCH(Table16[[#This Row],[Player]],Proj[Player],0),31),INDEX(Goalie[],MATCH(Table16[[#This Row],[Player]],Goalie[player],0),20)))</f>
        <v/>
      </c>
    </row>
    <row r="46" spans="1:9" x14ac:dyDescent="0.25">
      <c r="A46" t="s">
        <v>208</v>
      </c>
      <c r="B46" s="2" t="s">
        <v>157</v>
      </c>
      <c r="C46" t="str">
        <f t="shared" si="0"/>
        <v>G</v>
      </c>
      <c r="D46" s="10">
        <f>MAX(_xlfn.IFNA(INDEX(Proj[],MATCH(Table16[[#This Row],[Player]],Proj[Player],0),27),-5000), _xlfn.IFNA(INDEX(Goalie[],MATCH(Table16[[#This Row],[Player]],Goalie[player],0),17),-5000))</f>
        <v>492.61325928048882</v>
      </c>
      <c r="E46">
        <f>_xlfn.RANK.EQ(Table16[[#This Row],[VOR]],Table16[VOR])</f>
        <v>47</v>
      </c>
      <c r="F46" cm="1">
        <f t="array" ref="F46">_xlfn.IFS(C46 = "C",INDEX('C'!$A$2:$L$254,MATCH($A46,'C'!$A$2:$A$254,0),10),C46 = "LW",INDEX(LW!$A$2:$K$180,MATCH($A46,LW!$A$2:$A$180,0),10),C46 = "RW",INDEX('RW'!$A$2:$L$164,MATCH($A46,'RW'!$A$2:$A$164,0),10), C46 = "D",INDEX(D!$A$2:$L$268,MATCH($A46,D!$A$2:$A$268,0),10),C46="G",INDEX(G!$A$2:$Q$78,MATCH($A46,G!$A$2:$A$78,0),16),C46="F",INDEX(F!$A$2:$K$494,MATCH($A46,F!$A$2:$A$494,0),10))</f>
        <v>4</v>
      </c>
      <c r="G46" t="str">
        <f>_xlfn.CONCAT(C46,Table16[[#This Row],[Pos Rank2]])</f>
        <v>G4</v>
      </c>
      <c r="H46" s="10">
        <f>MAX(_xlfn.IFNA(INDEX(Proj[],MATCH(Table16[[#This Row],[Player]],Proj[Player],0),29),-5000), _xlfn.IFNA(INDEX(Goalie[],MATCH(Table16[[#This Row],[Player]],Goalie[player],0),19),-5000))</f>
        <v>755.11840000000007</v>
      </c>
      <c r="I46" t="str">
        <f>IF(_xlfn.IFNA(INDEX(Proj[],MATCH(Table16[[#This Row],[Player]],Proj[Player],0),31),INDEX(Goalie[],MATCH(Table16[[#This Row],[Player]],Goalie[player],0),20)) = 0, "",_xlfn.IFNA(INDEX(Proj[],MATCH(Table16[[#This Row],[Player]],Proj[Player],0),31),INDEX(Goalie[],MATCH(Table16[[#This Row],[Player]],Goalie[player],0),20)))</f>
        <v/>
      </c>
    </row>
    <row r="47" spans="1:9" x14ac:dyDescent="0.25">
      <c r="A47" t="s">
        <v>371</v>
      </c>
      <c r="B47" s="2" t="s">
        <v>104</v>
      </c>
      <c r="C47" t="str">
        <f t="shared" si="0"/>
        <v>RW</v>
      </c>
      <c r="D47" s="10">
        <f>MAX(_xlfn.IFNA(INDEX(Proj[],MATCH(Table16[[#This Row],[Player]],Proj[Player],0),27),-5000), _xlfn.IFNA(INDEX(Goalie[],MATCH(Table16[[#This Row],[Player]],Goalie[player],0),17),-5000))</f>
        <v>449.20289239438506</v>
      </c>
      <c r="E47">
        <f>_xlfn.RANK.EQ(Table16[[#This Row],[VOR]],Table16[VOR])</f>
        <v>56</v>
      </c>
      <c r="F47" cm="1">
        <f t="array" ref="F47">_xlfn.IFS(C47 = "C",INDEX('C'!$A$2:$L$254,MATCH($A47,'C'!$A$2:$A$254,0),10),C47 = "LW",INDEX(LW!$A$2:$K$180,MATCH($A47,LW!$A$2:$A$180,0),10),C47 = "RW",INDEX('RW'!$A$2:$L$164,MATCH($A47,'RW'!$A$2:$A$164,0),10), C47 = "D",INDEX(D!$A$2:$L$268,MATCH($A47,D!$A$2:$A$268,0),10),C47="G",INDEX(G!$A$2:$Q$78,MATCH($A47,G!$A$2:$A$78,0),16),C47="F",INDEX(F!$A$2:$K$494,MATCH($A47,F!$A$2:$A$494,0),10))</f>
        <v>10</v>
      </c>
      <c r="G47" t="str">
        <f>_xlfn.CONCAT(C47,Table16[[#This Row],[Pos Rank2]])</f>
        <v>RW10</v>
      </c>
      <c r="H47" s="10">
        <f>MAX(_xlfn.IFNA(INDEX(Proj[],MATCH(Table16[[#This Row],[Player]],Proj[Player],0),29),-5000), _xlfn.IFNA(INDEX(Goalie[],MATCH(Table16[[#This Row],[Player]],Goalie[player],0),19),-5000))</f>
        <v>895.74761678463392</v>
      </c>
      <c r="I47" t="str">
        <f>IF(_xlfn.IFNA(INDEX(Proj[],MATCH(Table16[[#This Row],[Player]],Proj[Player],0),31),INDEX(Goalie[],MATCH(Table16[[#This Row],[Player]],Goalie[player],0),20)) = 0, "",_xlfn.IFNA(INDEX(Proj[],MATCH(Table16[[#This Row],[Player]],Proj[Player],0),31),INDEX(Goalie[],MATCH(Table16[[#This Row],[Player]],Goalie[player],0),20)))</f>
        <v/>
      </c>
    </row>
    <row r="48" spans="1:9" x14ac:dyDescent="0.25">
      <c r="A48" t="s">
        <v>274</v>
      </c>
      <c r="B48" s="2" t="s">
        <v>3</v>
      </c>
      <c r="C48" t="str">
        <f t="shared" si="0"/>
        <v>D</v>
      </c>
      <c r="D48" s="10">
        <f>MAX(_xlfn.IFNA(INDEX(Proj[],MATCH(Table16[[#This Row],[Player]],Proj[Player],0),27),-5000), _xlfn.IFNA(INDEX(Goalie[],MATCH(Table16[[#This Row],[Player]],Goalie[player],0),17),-5000))</f>
        <v>509.78720188851946</v>
      </c>
      <c r="E48">
        <f>_xlfn.RANK.EQ(Table16[[#This Row],[VOR]],Table16[VOR])</f>
        <v>44</v>
      </c>
      <c r="F48" cm="1">
        <f t="array" ref="F48">_xlfn.IFS(C48 = "C",INDEX('C'!$A$2:$L$254,MATCH($A48,'C'!$A$2:$A$254,0),10),C48 = "LW",INDEX(LW!$A$2:$K$180,MATCH($A48,LW!$A$2:$A$180,0),10),C48 = "RW",INDEX('RW'!$A$2:$L$164,MATCH($A48,'RW'!$A$2:$A$164,0),10), C48 = "D",INDEX(D!$A$2:$L$268,MATCH($A48,D!$A$2:$A$268,0),10),C48="G",INDEX(G!$A$2:$Q$78,MATCH($A48,G!$A$2:$A$78,0),16),C48="F",INDEX(F!$A$2:$K$494,MATCH($A48,F!$A$2:$A$494,0),10))</f>
        <v>17</v>
      </c>
      <c r="G48" t="str">
        <f>_xlfn.CONCAT(C48,Table16[[#This Row],[Pos Rank2]])</f>
        <v>D17</v>
      </c>
      <c r="H48" s="10">
        <f>MAX(_xlfn.IFNA(INDEX(Proj[],MATCH(Table16[[#This Row],[Player]],Proj[Player],0),29),-5000), _xlfn.IFNA(INDEX(Goalie[],MATCH(Table16[[#This Row],[Player]],Goalie[player],0),19),-5000))</f>
        <v>617.15196960798392</v>
      </c>
      <c r="I48" t="str">
        <f>IF(_xlfn.IFNA(INDEX(Proj[],MATCH(Table16[[#This Row],[Player]],Proj[Player],0),31),INDEX(Goalie[],MATCH(Table16[[#This Row],[Player]],Goalie[player],0),20)) = 0, "",_xlfn.IFNA(INDEX(Proj[],MATCH(Table16[[#This Row],[Player]],Proj[Player],0),31),INDEX(Goalie[],MATCH(Table16[[#This Row],[Player]],Goalie[player],0),20)))</f>
        <v/>
      </c>
    </row>
    <row r="49" spans="1:9" x14ac:dyDescent="0.25">
      <c r="A49" t="s">
        <v>291</v>
      </c>
      <c r="B49" s="2" t="s">
        <v>74</v>
      </c>
      <c r="C49" t="str">
        <f t="shared" si="0"/>
        <v>C</v>
      </c>
      <c r="D49" s="10">
        <f>MAX(_xlfn.IFNA(INDEX(Proj[],MATCH(Table16[[#This Row],[Player]],Proj[Player],0),27),-5000), _xlfn.IFNA(INDEX(Goalie[],MATCH(Table16[[#This Row],[Player]],Goalie[player],0),17),-5000))</f>
        <v>485.00213717263409</v>
      </c>
      <c r="E49">
        <f>_xlfn.RANK.EQ(Table16[[#This Row],[VOR]],Table16[VOR])</f>
        <v>48</v>
      </c>
      <c r="F49" cm="1">
        <f t="array" ref="F49">_xlfn.IFS(C49 = "C",INDEX('C'!$A$2:$L$254,MATCH($A49,'C'!$A$2:$A$254,0),10),C49 = "LW",INDEX(LW!$A$2:$K$180,MATCH($A49,LW!$A$2:$A$180,0),10),C49 = "RW",INDEX('RW'!$A$2:$L$164,MATCH($A49,'RW'!$A$2:$A$164,0),10), C49 = "D",INDEX(D!$A$2:$L$268,MATCH($A49,D!$A$2:$A$268,0),10),C49="G",INDEX(G!$A$2:$Q$78,MATCH($A49,G!$A$2:$A$78,0),16),C49="F",INDEX(F!$A$2:$K$494,MATCH($A49,F!$A$2:$A$494,0),10))</f>
        <v>11</v>
      </c>
      <c r="G49" t="str">
        <f>_xlfn.CONCAT(C49,Table16[[#This Row],[Pos Rank2]])</f>
        <v>C11</v>
      </c>
      <c r="H49" s="10">
        <f>MAX(_xlfn.IFNA(INDEX(Proj[],MATCH(Table16[[#This Row],[Player]],Proj[Player],0),29),-5000), _xlfn.IFNA(INDEX(Goalie[],MATCH(Table16[[#This Row],[Player]],Goalie[player],0),19),-5000))</f>
        <v>1219.6359914829327</v>
      </c>
      <c r="I49" t="str">
        <f>IF(_xlfn.IFNA(INDEX(Proj[],MATCH(Table16[[#This Row],[Player]],Proj[Player],0),31),INDEX(Goalie[],MATCH(Table16[[#This Row],[Player]],Goalie[player],0),20)) = 0, "",_xlfn.IFNA(INDEX(Proj[],MATCH(Table16[[#This Row],[Player]],Proj[Player],0),31),INDEX(Goalie[],MATCH(Table16[[#This Row],[Player]],Goalie[player],0),20)))</f>
        <v/>
      </c>
    </row>
    <row r="50" spans="1:9" x14ac:dyDescent="0.25">
      <c r="A50" t="s">
        <v>597</v>
      </c>
      <c r="B50" s="2" t="s">
        <v>103</v>
      </c>
      <c r="C50" t="str">
        <f t="shared" si="0"/>
        <v>RW</v>
      </c>
      <c r="D50" s="10">
        <f>MAX(_xlfn.IFNA(INDEX(Proj[],MATCH(Table16[[#This Row],[Player]],Proj[Player],0),27),-5000), _xlfn.IFNA(INDEX(Goalie[],MATCH(Table16[[#This Row],[Player]],Goalie[player],0),17),-5000))</f>
        <v>439.15313784404617</v>
      </c>
      <c r="E50">
        <f>_xlfn.RANK.EQ(Table16[[#This Row],[VOR]],Table16[VOR])</f>
        <v>60</v>
      </c>
      <c r="F50" cm="1">
        <f t="array" ref="F50">_xlfn.IFS(C50 = "C",INDEX('C'!$A$2:$L$254,MATCH($A50,'C'!$A$2:$A$254,0),10),C50 = "LW",INDEX(LW!$A$2:$K$180,MATCH($A50,LW!$A$2:$A$180,0),10),C50 = "RW",INDEX('RW'!$A$2:$L$164,MATCH($A50,'RW'!$A$2:$A$164,0),10), C50 = "D",INDEX(D!$A$2:$L$268,MATCH($A50,D!$A$2:$A$268,0),10),C50="G",INDEX(G!$A$2:$Q$78,MATCH($A50,G!$A$2:$A$78,0),16),C50="F",INDEX(F!$A$2:$K$494,MATCH($A50,F!$A$2:$A$494,0),10))</f>
        <v>12</v>
      </c>
      <c r="G50" t="str">
        <f>_xlfn.CONCAT(C50,Table16[[#This Row],[Pos Rank2]])</f>
        <v>RW12</v>
      </c>
      <c r="H50" s="10">
        <f>MAX(_xlfn.IFNA(INDEX(Proj[],MATCH(Table16[[#This Row],[Player]],Proj[Player],0),29),-5000), _xlfn.IFNA(INDEX(Goalie[],MATCH(Table16[[#This Row],[Player]],Goalie[player],0),19),-5000))</f>
        <v>885.69786223429503</v>
      </c>
      <c r="I50" t="str">
        <f>IF(_xlfn.IFNA(INDEX(Proj[],MATCH(Table16[[#This Row],[Player]],Proj[Player],0),31),INDEX(Goalie[],MATCH(Table16[[#This Row],[Player]],Goalie[player],0),20)) = 0, "",_xlfn.IFNA(INDEX(Proj[],MATCH(Table16[[#This Row],[Player]],Proj[Player],0),31),INDEX(Goalie[],MATCH(Table16[[#This Row],[Player]],Goalie[player],0),20)))</f>
        <v/>
      </c>
    </row>
    <row r="51" spans="1:9" x14ac:dyDescent="0.25">
      <c r="A51" t="s">
        <v>244</v>
      </c>
      <c r="B51" s="2" t="s">
        <v>3</v>
      </c>
      <c r="C51" t="str">
        <f t="shared" si="0"/>
        <v>D</v>
      </c>
      <c r="D51" s="10">
        <f>MAX(_xlfn.IFNA(INDEX(Proj[],MATCH(Table16[[#This Row],[Player]],Proj[Player],0),27),-5000), _xlfn.IFNA(INDEX(Goalie[],MATCH(Table16[[#This Row],[Player]],Goalie[player],0),17),-5000))</f>
        <v>506.09519021436358</v>
      </c>
      <c r="E51">
        <f>_xlfn.RANK.EQ(Table16[[#This Row],[VOR]],Table16[VOR])</f>
        <v>45</v>
      </c>
      <c r="F51" cm="1">
        <f t="array" ref="F51">_xlfn.IFS(C51 = "C",INDEX('C'!$A$2:$L$254,MATCH($A51,'C'!$A$2:$A$254,0),10),C51 = "LW",INDEX(LW!$A$2:$K$180,MATCH($A51,LW!$A$2:$A$180,0),10),C51 = "RW",INDEX('RW'!$A$2:$L$164,MATCH($A51,'RW'!$A$2:$A$164,0),10), C51 = "D",INDEX(D!$A$2:$L$268,MATCH($A51,D!$A$2:$A$268,0),10),C51="G",INDEX(G!$A$2:$Q$78,MATCH($A51,G!$A$2:$A$78,0),16),C51="F",INDEX(F!$A$2:$K$494,MATCH($A51,F!$A$2:$A$494,0),10))</f>
        <v>18</v>
      </c>
      <c r="G51" t="str">
        <f>_xlfn.CONCAT(C51,Table16[[#This Row],[Pos Rank2]])</f>
        <v>D18</v>
      </c>
      <c r="H51" s="10">
        <f>MAX(_xlfn.IFNA(INDEX(Proj[],MATCH(Table16[[#This Row],[Player]],Proj[Player],0),29),-5000), _xlfn.IFNA(INDEX(Goalie[],MATCH(Table16[[#This Row],[Player]],Goalie[player],0),19),-5000))</f>
        <v>613.45995793382804</v>
      </c>
      <c r="I51" t="str">
        <f>IF(_xlfn.IFNA(INDEX(Proj[],MATCH(Table16[[#This Row],[Player]],Proj[Player],0),31),INDEX(Goalie[],MATCH(Table16[[#This Row],[Player]],Goalie[player],0),20)) = 0, "",_xlfn.IFNA(INDEX(Proj[],MATCH(Table16[[#This Row],[Player]],Proj[Player],0),31),INDEX(Goalie[],MATCH(Table16[[#This Row],[Player]],Goalie[player],0),20)))</f>
        <v/>
      </c>
    </row>
    <row r="52" spans="1:9" x14ac:dyDescent="0.25">
      <c r="A52" t="s">
        <v>372</v>
      </c>
      <c r="B52" s="2" t="s">
        <v>104</v>
      </c>
      <c r="C52" t="str">
        <f t="shared" si="0"/>
        <v>RW</v>
      </c>
      <c r="D52" s="10">
        <f>MAX(_xlfn.IFNA(INDEX(Proj[],MATCH(Table16[[#This Row],[Player]],Proj[Player],0),27),-5000), _xlfn.IFNA(INDEX(Goalie[],MATCH(Table16[[#This Row],[Player]],Goalie[player],0),17),-5000))</f>
        <v>447.52060138021415</v>
      </c>
      <c r="E52">
        <f>_xlfn.RANK.EQ(Table16[[#This Row],[VOR]],Table16[VOR])</f>
        <v>58</v>
      </c>
      <c r="F52" cm="1">
        <f t="array" ref="F52">_xlfn.IFS(C52 = "C",INDEX('C'!$A$2:$L$254,MATCH($A52,'C'!$A$2:$A$254,0),10),C52 = "LW",INDEX(LW!$A$2:$K$180,MATCH($A52,LW!$A$2:$A$180,0),10),C52 = "RW",INDEX('RW'!$A$2:$L$164,MATCH($A52,'RW'!$A$2:$A$164,0),10), C52 = "D",INDEX(D!$A$2:$L$268,MATCH($A52,D!$A$2:$A$268,0),10),C52="G",INDEX(G!$A$2:$Q$78,MATCH($A52,G!$A$2:$A$78,0),16),C52="F",INDEX(F!$A$2:$K$494,MATCH($A52,F!$A$2:$A$494,0),10))</f>
        <v>11</v>
      </c>
      <c r="G52" t="str">
        <f>_xlfn.CONCAT(C52,Table16[[#This Row],[Pos Rank2]])</f>
        <v>RW11</v>
      </c>
      <c r="H52" s="10">
        <f>MAX(_xlfn.IFNA(INDEX(Proj[],MATCH(Table16[[#This Row],[Player]],Proj[Player],0),29),-5000), _xlfn.IFNA(INDEX(Goalie[],MATCH(Table16[[#This Row],[Player]],Goalie[player],0),19),-5000))</f>
        <v>894.06532577046301</v>
      </c>
      <c r="I52" t="str">
        <f>IF(_xlfn.IFNA(INDEX(Proj[],MATCH(Table16[[#This Row],[Player]],Proj[Player],0),31),INDEX(Goalie[],MATCH(Table16[[#This Row],[Player]],Goalie[player],0),20)) = 0, "",_xlfn.IFNA(INDEX(Proj[],MATCH(Table16[[#This Row],[Player]],Proj[Player],0),31),INDEX(Goalie[],MATCH(Table16[[#This Row],[Player]],Goalie[player],0),20)))</f>
        <v/>
      </c>
    </row>
    <row r="53" spans="1:9" x14ac:dyDescent="0.25">
      <c r="A53" t="s">
        <v>260</v>
      </c>
      <c r="B53" s="2" t="s">
        <v>104</v>
      </c>
      <c r="C53" t="str">
        <f t="shared" si="0"/>
        <v>RW</v>
      </c>
      <c r="D53" s="10">
        <f>MAX(_xlfn.IFNA(INDEX(Proj[],MATCH(Table16[[#This Row],[Player]],Proj[Player],0),27),-5000), _xlfn.IFNA(INDEX(Goalie[],MATCH(Table16[[#This Row],[Player]],Goalie[player],0),17),-5000))</f>
        <v>418.13929420686583</v>
      </c>
      <c r="E53">
        <f>_xlfn.RANK.EQ(Table16[[#This Row],[VOR]],Table16[VOR])</f>
        <v>65</v>
      </c>
      <c r="F53" cm="1">
        <f t="array" ref="F53">_xlfn.IFS(C53 = "C",INDEX('C'!$A$2:$L$254,MATCH($A53,'C'!$A$2:$A$254,0),10),C53 = "LW",INDEX(LW!$A$2:$K$180,MATCH($A53,LW!$A$2:$A$180,0),10),C53 = "RW",INDEX('RW'!$A$2:$L$164,MATCH($A53,'RW'!$A$2:$A$164,0),10), C53 = "D",INDEX(D!$A$2:$L$268,MATCH($A53,D!$A$2:$A$268,0),10),C53="G",INDEX(G!$A$2:$Q$78,MATCH($A53,G!$A$2:$A$78,0),16),C53="F",INDEX(F!$A$2:$K$494,MATCH($A53,F!$A$2:$A$494,0),10))</f>
        <v>15</v>
      </c>
      <c r="G53" t="str">
        <f>_xlfn.CONCAT(C53,Table16[[#This Row],[Pos Rank2]])</f>
        <v>RW15</v>
      </c>
      <c r="H53" s="10">
        <f>MAX(_xlfn.IFNA(INDEX(Proj[],MATCH(Table16[[#This Row],[Player]],Proj[Player],0),29),-5000), _xlfn.IFNA(INDEX(Goalie[],MATCH(Table16[[#This Row],[Player]],Goalie[player],0),19),-5000))</f>
        <v>864.68401859711469</v>
      </c>
      <c r="I53" t="str">
        <f>IF(_xlfn.IFNA(INDEX(Proj[],MATCH(Table16[[#This Row],[Player]],Proj[Player],0),31),INDEX(Goalie[],MATCH(Table16[[#This Row],[Player]],Goalie[player],0),20)) = 0, "",_xlfn.IFNA(INDEX(Proj[],MATCH(Table16[[#This Row],[Player]],Proj[Player],0),31),INDEX(Goalie[],MATCH(Table16[[#This Row],[Player]],Goalie[player],0),20)))</f>
        <v/>
      </c>
    </row>
    <row r="54" spans="1:9" x14ac:dyDescent="0.25">
      <c r="A54" t="s">
        <v>389</v>
      </c>
      <c r="B54" s="2" t="s">
        <v>74</v>
      </c>
      <c r="C54" t="str">
        <f t="shared" si="0"/>
        <v>C</v>
      </c>
      <c r="D54" s="10">
        <f>MAX(_xlfn.IFNA(INDEX(Proj[],MATCH(Table16[[#This Row],[Player]],Proj[Player],0),27),-5000), _xlfn.IFNA(INDEX(Goalie[],MATCH(Table16[[#This Row],[Player]],Goalie[player],0),17),-5000))</f>
        <v>605.95679006310206</v>
      </c>
      <c r="E54">
        <f>_xlfn.RANK.EQ(Table16[[#This Row],[VOR]],Table16[VOR])</f>
        <v>32</v>
      </c>
      <c r="F54" cm="1">
        <f t="array" ref="F54">_xlfn.IFS(C54 = "C",INDEX('C'!$A$2:$L$254,MATCH($A54,'C'!$A$2:$A$254,0),10),C54 = "LW",INDEX(LW!$A$2:$K$180,MATCH($A54,LW!$A$2:$A$180,0),10),C54 = "RW",INDEX('RW'!$A$2:$L$164,MATCH($A54,'RW'!$A$2:$A$164,0),10), C54 = "D",INDEX(D!$A$2:$L$268,MATCH($A54,D!$A$2:$A$268,0),10),C54="G",INDEX(G!$A$2:$Q$78,MATCH($A54,G!$A$2:$A$78,0),16),C54="F",INDEX(F!$A$2:$K$494,MATCH($A54,F!$A$2:$A$494,0),10))</f>
        <v>9</v>
      </c>
      <c r="G54" t="str">
        <f>_xlfn.CONCAT(C54,Table16[[#This Row],[Pos Rank2]])</f>
        <v>C9</v>
      </c>
      <c r="H54" s="10">
        <f>MAX(_xlfn.IFNA(INDEX(Proj[],MATCH(Table16[[#This Row],[Player]],Proj[Player],0),29),-5000), _xlfn.IFNA(INDEX(Goalie[],MATCH(Table16[[#This Row],[Player]],Goalie[player],0),19),-5000))</f>
        <v>1340.5906443734007</v>
      </c>
      <c r="I54" t="str">
        <f>IF(_xlfn.IFNA(INDEX(Proj[],MATCH(Table16[[#This Row],[Player]],Proj[Player],0),31),INDEX(Goalie[],MATCH(Table16[[#This Row],[Player]],Goalie[player],0),20)) = 0, "",_xlfn.IFNA(INDEX(Proj[],MATCH(Table16[[#This Row],[Player]],Proj[Player],0),31),INDEX(Goalie[],MATCH(Table16[[#This Row],[Player]],Goalie[player],0),20)))</f>
        <v/>
      </c>
    </row>
    <row r="55" spans="1:9" x14ac:dyDescent="0.25">
      <c r="A55" t="s">
        <v>393</v>
      </c>
      <c r="B55" s="2" t="s">
        <v>3</v>
      </c>
      <c r="C55" t="str">
        <f t="shared" si="0"/>
        <v>D</v>
      </c>
      <c r="D55" s="10">
        <f>MAX(_xlfn.IFNA(INDEX(Proj[],MATCH(Table16[[#This Row],[Player]],Proj[Player],0),27),-5000), _xlfn.IFNA(INDEX(Goalie[],MATCH(Table16[[#This Row],[Player]],Goalie[player],0),17),-5000))</f>
        <v>479.12918580398946</v>
      </c>
      <c r="E55">
        <f>_xlfn.RANK.EQ(Table16[[#This Row],[VOR]],Table16[VOR])</f>
        <v>49</v>
      </c>
      <c r="F55" cm="1">
        <f t="array" ref="F55">_xlfn.IFS(C55 = "C",INDEX('C'!$A$2:$L$254,MATCH($A55,'C'!$A$2:$A$254,0),10),C55 = "LW",INDEX(LW!$A$2:$K$180,MATCH($A55,LW!$A$2:$A$180,0),10),C55 = "RW",INDEX('RW'!$A$2:$L$164,MATCH($A55,'RW'!$A$2:$A$164,0),10), C55 = "D",INDEX(D!$A$2:$L$268,MATCH($A55,D!$A$2:$A$268,0),10),C55="G",INDEX(G!$A$2:$Q$78,MATCH($A55,G!$A$2:$A$78,0),16),C55="F",INDEX(F!$A$2:$K$494,MATCH($A55,F!$A$2:$A$494,0),10))</f>
        <v>19</v>
      </c>
      <c r="G55" t="str">
        <f>_xlfn.CONCAT(C55,Table16[[#This Row],[Pos Rank2]])</f>
        <v>D19</v>
      </c>
      <c r="H55" s="10">
        <f>MAX(_xlfn.IFNA(INDEX(Proj[],MATCH(Table16[[#This Row],[Player]],Proj[Player],0),29),-5000), _xlfn.IFNA(INDEX(Goalie[],MATCH(Table16[[#This Row],[Player]],Goalie[player],0),19),-5000))</f>
        <v>586.49395352345391</v>
      </c>
      <c r="I55" t="str">
        <f>IF(_xlfn.IFNA(INDEX(Proj[],MATCH(Table16[[#This Row],[Player]],Proj[Player],0),31),INDEX(Goalie[],MATCH(Table16[[#This Row],[Player]],Goalie[player],0),20)) = 0, "",_xlfn.IFNA(INDEX(Proj[],MATCH(Table16[[#This Row],[Player]],Proj[Player],0),31),INDEX(Goalie[],MATCH(Table16[[#This Row],[Player]],Goalie[player],0),20)))</f>
        <v/>
      </c>
    </row>
    <row r="56" spans="1:9" x14ac:dyDescent="0.25">
      <c r="A56" t="s">
        <v>398</v>
      </c>
      <c r="B56" s="2" t="s">
        <v>104</v>
      </c>
      <c r="C56" t="str">
        <f t="shared" si="0"/>
        <v>RW</v>
      </c>
      <c r="D56" s="10">
        <f>MAX(_xlfn.IFNA(INDEX(Proj[],MATCH(Table16[[#This Row],[Player]],Proj[Player],0),27),-5000), _xlfn.IFNA(INDEX(Goalie[],MATCH(Table16[[#This Row],[Player]],Goalie[player],0),17),-5000))</f>
        <v>420.28102668060029</v>
      </c>
      <c r="E56">
        <f>_xlfn.RANK.EQ(Table16[[#This Row],[VOR]],Table16[VOR])</f>
        <v>63</v>
      </c>
      <c r="F56" cm="1">
        <f t="array" ref="F56">_xlfn.IFS(C56 = "C",INDEX('C'!$A$2:$L$254,MATCH($A56,'C'!$A$2:$A$254,0),10),C56 = "LW",INDEX(LW!$A$2:$K$180,MATCH($A56,LW!$A$2:$A$180,0),10),C56 = "RW",INDEX('RW'!$A$2:$L$164,MATCH($A56,'RW'!$A$2:$A$164,0),10), C56 = "D",INDEX(D!$A$2:$L$268,MATCH($A56,D!$A$2:$A$268,0),10),C56="G",INDEX(G!$A$2:$Q$78,MATCH($A56,G!$A$2:$A$78,0),16),C56="F",INDEX(F!$A$2:$K$494,MATCH($A56,F!$A$2:$A$494,0),10))</f>
        <v>14</v>
      </c>
      <c r="G56" t="str">
        <f>_xlfn.CONCAT(C56,Table16[[#This Row],[Pos Rank2]])</f>
        <v>RW14</v>
      </c>
      <c r="H56" s="10">
        <f>MAX(_xlfn.IFNA(INDEX(Proj[],MATCH(Table16[[#This Row],[Player]],Proj[Player],0),29),-5000), _xlfn.IFNA(INDEX(Goalie[],MATCH(Table16[[#This Row],[Player]],Goalie[player],0),19),-5000))</f>
        <v>866.82575107084915</v>
      </c>
      <c r="I56" t="str">
        <f>IF(_xlfn.IFNA(INDEX(Proj[],MATCH(Table16[[#This Row],[Player]],Proj[Player],0),31),INDEX(Goalie[],MATCH(Table16[[#This Row],[Player]],Goalie[player],0),20)) = 0, "",_xlfn.IFNA(INDEX(Proj[],MATCH(Table16[[#This Row],[Player]],Proj[Player],0),31),INDEX(Goalie[],MATCH(Table16[[#This Row],[Player]],Goalie[player],0),20)))</f>
        <v/>
      </c>
    </row>
    <row r="57" spans="1:9" x14ac:dyDescent="0.25">
      <c r="A57" t="s">
        <v>335</v>
      </c>
      <c r="B57" s="2" t="s">
        <v>105</v>
      </c>
      <c r="C57" t="str">
        <f t="shared" si="0"/>
        <v>RW</v>
      </c>
      <c r="D57" s="10">
        <f>MAX(_xlfn.IFNA(INDEX(Proj[],MATCH(Table16[[#This Row],[Player]],Proj[Player],0),27),-5000), _xlfn.IFNA(INDEX(Goalie[],MATCH(Table16[[#This Row],[Player]],Goalie[player],0),17),-5000))</f>
        <v>398.8299915894267</v>
      </c>
      <c r="E57">
        <f>_xlfn.RANK.EQ(Table16[[#This Row],[VOR]],Table16[VOR])</f>
        <v>73</v>
      </c>
      <c r="F57" cm="1">
        <f t="array" ref="F57">_xlfn.IFS(C57 = "C",INDEX('C'!$A$2:$L$254,MATCH($A57,'C'!$A$2:$A$254,0),10),C57 = "LW",INDEX(LW!$A$2:$K$180,MATCH($A57,LW!$A$2:$A$180,0),10),C57 = "RW",INDEX('RW'!$A$2:$L$164,MATCH($A57,'RW'!$A$2:$A$164,0),10), C57 = "D",INDEX(D!$A$2:$L$268,MATCH($A57,D!$A$2:$A$268,0),10),C57="G",INDEX(G!$A$2:$Q$78,MATCH($A57,G!$A$2:$A$78,0),16),C57="F",INDEX(F!$A$2:$K$494,MATCH($A57,F!$A$2:$A$494,0),10))</f>
        <v>16</v>
      </c>
      <c r="G57" t="str">
        <f>_xlfn.CONCAT(C57,Table16[[#This Row],[Pos Rank2]])</f>
        <v>RW16</v>
      </c>
      <c r="H57" s="10">
        <f>MAX(_xlfn.IFNA(INDEX(Proj[],MATCH(Table16[[#This Row],[Player]],Proj[Player],0),29),-5000), _xlfn.IFNA(INDEX(Goalie[],MATCH(Table16[[#This Row],[Player]],Goalie[player],0),19),-5000))</f>
        <v>845.37471597967556</v>
      </c>
      <c r="I57" t="str">
        <f>IF(_xlfn.IFNA(INDEX(Proj[],MATCH(Table16[[#This Row],[Player]],Proj[Player],0),31),INDEX(Goalie[],MATCH(Table16[[#This Row],[Player]],Goalie[player],0),20)) = 0, "",_xlfn.IFNA(INDEX(Proj[],MATCH(Table16[[#This Row],[Player]],Proj[Player],0),31),INDEX(Goalie[],MATCH(Table16[[#This Row],[Player]],Goalie[player],0),20)))</f>
        <v/>
      </c>
    </row>
    <row r="58" spans="1:9" x14ac:dyDescent="0.25">
      <c r="A58" t="s">
        <v>276</v>
      </c>
      <c r="B58" s="2" t="s">
        <v>102</v>
      </c>
      <c r="C58" t="str">
        <f t="shared" si="0"/>
        <v>LW</v>
      </c>
      <c r="D58" s="10">
        <f>MAX(_xlfn.IFNA(INDEX(Proj[],MATCH(Table16[[#This Row],[Player]],Proj[Player],0),27),-5000), _xlfn.IFNA(INDEX(Goalie[],MATCH(Table16[[#This Row],[Player]],Goalie[player],0),17),-5000))</f>
        <v>409.38815586020445</v>
      </c>
      <c r="E58">
        <f>_xlfn.RANK.EQ(Table16[[#This Row],[VOR]],Table16[VOR])</f>
        <v>67</v>
      </c>
      <c r="F58" cm="1">
        <f t="array" ref="F58">_xlfn.IFS(C58 = "C",INDEX('C'!$A$2:$L$254,MATCH($A58,'C'!$A$2:$A$254,0),10),C58 = "LW",INDEX(LW!$A$2:$K$180,MATCH($A58,LW!$A$2:$A$180,0),10),C58 = "RW",INDEX('RW'!$A$2:$L$164,MATCH($A58,'RW'!$A$2:$A$164,0),10), C58 = "D",INDEX(D!$A$2:$L$268,MATCH($A58,D!$A$2:$A$268,0),10),C58="G",INDEX(G!$A$2:$Q$78,MATCH($A58,G!$A$2:$A$78,0),16),C58="F",INDEX(F!$A$2:$K$494,MATCH($A58,F!$A$2:$A$494,0),10))</f>
        <v>18</v>
      </c>
      <c r="G58" t="str">
        <f>_xlfn.CONCAT(C58,Table16[[#This Row],[Pos Rank2]])</f>
        <v>LW18</v>
      </c>
      <c r="H58" s="10">
        <f>MAX(_xlfn.IFNA(INDEX(Proj[],MATCH(Table16[[#This Row],[Player]],Proj[Player],0),29),-5000), _xlfn.IFNA(INDEX(Goalie[],MATCH(Table16[[#This Row],[Player]],Goalie[player],0),19),-5000))</f>
        <v>880.93288025045331</v>
      </c>
      <c r="I58" t="str">
        <f>IF(_xlfn.IFNA(INDEX(Proj[],MATCH(Table16[[#This Row],[Player]],Proj[Player],0),31),INDEX(Goalie[],MATCH(Table16[[#This Row],[Player]],Goalie[player],0),20)) = 0, "",_xlfn.IFNA(INDEX(Proj[],MATCH(Table16[[#This Row],[Player]],Proj[Player],0),31),INDEX(Goalie[],MATCH(Table16[[#This Row],[Player]],Goalie[player],0),20)))</f>
        <v/>
      </c>
    </row>
    <row r="59" spans="1:9" x14ac:dyDescent="0.25">
      <c r="A59" t="s">
        <v>297</v>
      </c>
      <c r="B59" s="2" t="s">
        <v>3</v>
      </c>
      <c r="C59" t="str">
        <f t="shared" si="0"/>
        <v>D</v>
      </c>
      <c r="D59" s="10">
        <f>MAX(_xlfn.IFNA(INDEX(Proj[],MATCH(Table16[[#This Row],[Player]],Proj[Player],0),27),-5000), _xlfn.IFNA(INDEX(Goalie[],MATCH(Table16[[#This Row],[Player]],Goalie[player],0),17),-5000))</f>
        <v>447.57862734657704</v>
      </c>
      <c r="E59">
        <f>_xlfn.RANK.EQ(Table16[[#This Row],[VOR]],Table16[VOR])</f>
        <v>57</v>
      </c>
      <c r="F59" cm="1">
        <f t="array" ref="F59">_xlfn.IFS(C59 = "C",INDEX('C'!$A$2:$L$254,MATCH($A59,'C'!$A$2:$A$254,0),10),C59 = "LW",INDEX(LW!$A$2:$K$180,MATCH($A59,LW!$A$2:$A$180,0),10),C59 = "RW",INDEX('RW'!$A$2:$L$164,MATCH($A59,'RW'!$A$2:$A$164,0),10), C59 = "D",INDEX(D!$A$2:$L$268,MATCH($A59,D!$A$2:$A$268,0),10),C59="G",INDEX(G!$A$2:$Q$78,MATCH($A59,G!$A$2:$A$78,0),16),C59="F",INDEX(F!$A$2:$K$494,MATCH($A59,F!$A$2:$A$494,0),10))</f>
        <v>21</v>
      </c>
      <c r="G59" t="str">
        <f>_xlfn.CONCAT(C59,Table16[[#This Row],[Pos Rank2]])</f>
        <v>D21</v>
      </c>
      <c r="H59" s="10">
        <f>MAX(_xlfn.IFNA(INDEX(Proj[],MATCH(Table16[[#This Row],[Player]],Proj[Player],0),29),-5000), _xlfn.IFNA(INDEX(Goalie[],MATCH(Table16[[#This Row],[Player]],Goalie[player],0),19),-5000))</f>
        <v>554.94339506604149</v>
      </c>
      <c r="I59" t="str">
        <f>IF(_xlfn.IFNA(INDEX(Proj[],MATCH(Table16[[#This Row],[Player]],Proj[Player],0),31),INDEX(Goalie[],MATCH(Table16[[#This Row],[Player]],Goalie[player],0),20)) = 0, "",_xlfn.IFNA(INDEX(Proj[],MATCH(Table16[[#This Row],[Player]],Proj[Player],0),31),INDEX(Goalie[],MATCH(Table16[[#This Row],[Player]],Goalie[player],0),20)))</f>
        <v/>
      </c>
    </row>
    <row r="60" spans="1:9" x14ac:dyDescent="0.25">
      <c r="A60" t="s">
        <v>202</v>
      </c>
      <c r="B60" s="2" t="s">
        <v>157</v>
      </c>
      <c r="C60" t="str">
        <f t="shared" si="0"/>
        <v>G</v>
      </c>
      <c r="D60" s="10">
        <f>MAX(_xlfn.IFNA(INDEX(Proj[],MATCH(Table16[[#This Row],[Player]],Proj[Player],0),27),-5000), _xlfn.IFNA(INDEX(Goalie[],MATCH(Table16[[#This Row],[Player]],Goalie[player],0),17),-5000))</f>
        <v>418.52697571384192</v>
      </c>
      <c r="E60">
        <f>_xlfn.RANK.EQ(Table16[[#This Row],[VOR]],Table16[VOR])</f>
        <v>64</v>
      </c>
      <c r="F60" cm="1">
        <f t="array" ref="F60">_xlfn.IFS(C60 = "C",INDEX('C'!$A$2:$L$254,MATCH($A60,'C'!$A$2:$A$254,0),10),C60 = "LW",INDEX(LW!$A$2:$K$180,MATCH($A60,LW!$A$2:$A$180,0),10),C60 = "RW",INDEX('RW'!$A$2:$L$164,MATCH($A60,'RW'!$A$2:$A$164,0),10), C60 = "D",INDEX(D!$A$2:$L$268,MATCH($A60,D!$A$2:$A$268,0),10),C60="G",INDEX(G!$A$2:$Q$78,MATCH($A60,G!$A$2:$A$78,0),16),C60="F",INDEX(F!$A$2:$K$494,MATCH($A60,F!$A$2:$A$494,0),10))</f>
        <v>5</v>
      </c>
      <c r="G60" t="str">
        <f>_xlfn.CONCAT(C60,Table16[[#This Row],[Pos Rank2]])</f>
        <v>G5</v>
      </c>
      <c r="H60" s="10">
        <f>MAX(_xlfn.IFNA(INDEX(Proj[],MATCH(Table16[[#This Row],[Player]],Proj[Player],0),29),-5000), _xlfn.IFNA(INDEX(Goalie[],MATCH(Table16[[#This Row],[Player]],Goalie[player],0),19),-5000))</f>
        <v>516.23770000000002</v>
      </c>
      <c r="I60" t="str">
        <f>IF(_xlfn.IFNA(INDEX(Proj[],MATCH(Table16[[#This Row],[Player]],Proj[Player],0),31),INDEX(Goalie[],MATCH(Table16[[#This Row],[Player]],Goalie[player],0),20)) = 0, "",_xlfn.IFNA(INDEX(Proj[],MATCH(Table16[[#This Row],[Player]],Proj[Player],0),31),INDEX(Goalie[],MATCH(Table16[[#This Row],[Player]],Goalie[player],0),20)))</f>
        <v/>
      </c>
    </row>
    <row r="61" spans="1:9" x14ac:dyDescent="0.25">
      <c r="A61" t="s">
        <v>270</v>
      </c>
      <c r="B61" s="2" t="s">
        <v>3</v>
      </c>
      <c r="C61" t="str">
        <f t="shared" si="0"/>
        <v>D</v>
      </c>
      <c r="D61" s="10">
        <f>MAX(_xlfn.IFNA(INDEX(Proj[],MATCH(Table16[[#This Row],[Player]],Proj[Player],0),27),-5000), _xlfn.IFNA(INDEX(Goalie[],MATCH(Table16[[#This Row],[Player]],Goalie[player],0),17),-5000))</f>
        <v>457.9078134165876</v>
      </c>
      <c r="E61">
        <f>_xlfn.RANK.EQ(Table16[[#This Row],[VOR]],Table16[VOR])</f>
        <v>54</v>
      </c>
      <c r="F61" cm="1">
        <f t="array" ref="F61">_xlfn.IFS(C61 = "C",INDEX('C'!$A$2:$L$254,MATCH($A61,'C'!$A$2:$A$254,0),10),C61 = "LW",INDEX(LW!$A$2:$K$180,MATCH($A61,LW!$A$2:$A$180,0),10),C61 = "RW",INDEX('RW'!$A$2:$L$164,MATCH($A61,'RW'!$A$2:$A$164,0),10), C61 = "D",INDEX(D!$A$2:$L$268,MATCH($A61,D!$A$2:$A$268,0),10),C61="G",INDEX(G!$A$2:$Q$78,MATCH($A61,G!$A$2:$A$78,0),16),C61="F",INDEX(F!$A$2:$K$494,MATCH($A61,F!$A$2:$A$494,0),10))</f>
        <v>20</v>
      </c>
      <c r="G61" t="str">
        <f>_xlfn.CONCAT(C61,Table16[[#This Row],[Pos Rank2]])</f>
        <v>D20</v>
      </c>
      <c r="H61" s="10">
        <f>MAX(_xlfn.IFNA(INDEX(Proj[],MATCH(Table16[[#This Row],[Player]],Proj[Player],0),29),-5000), _xlfn.IFNA(INDEX(Goalie[],MATCH(Table16[[#This Row],[Player]],Goalie[player],0),19),-5000))</f>
        <v>565.27258113605205</v>
      </c>
      <c r="I61" t="str">
        <f>IF(_xlfn.IFNA(INDEX(Proj[],MATCH(Table16[[#This Row],[Player]],Proj[Player],0),31),INDEX(Goalie[],MATCH(Table16[[#This Row],[Player]],Goalie[player],0),20)) = 0, "",_xlfn.IFNA(INDEX(Proj[],MATCH(Table16[[#This Row],[Player]],Proj[Player],0),31),INDEX(Goalie[],MATCH(Table16[[#This Row],[Player]],Goalie[player],0),20)))</f>
        <v/>
      </c>
    </row>
    <row r="62" spans="1:9" x14ac:dyDescent="0.25">
      <c r="A62" t="s">
        <v>175</v>
      </c>
      <c r="B62" s="2" t="s">
        <v>157</v>
      </c>
      <c r="C62" t="str">
        <f t="shared" si="0"/>
        <v>G</v>
      </c>
      <c r="D62" s="10">
        <f>MAX(_xlfn.IFNA(INDEX(Proj[],MATCH(Table16[[#This Row],[Player]],Proj[Player],0),27),-5000), _xlfn.IFNA(INDEX(Goalie[],MATCH(Table16[[#This Row],[Player]],Goalie[player],0),17),-5000))</f>
        <v>408.73283316874154</v>
      </c>
      <c r="E62">
        <f>_xlfn.RANK.EQ(Table16[[#This Row],[VOR]],Table16[VOR])</f>
        <v>68</v>
      </c>
      <c r="F62" cm="1">
        <f t="array" ref="F62">_xlfn.IFS(C62 = "C",INDEX('C'!$A$2:$L$254,MATCH($A62,'C'!$A$2:$A$254,0),10),C62 = "LW",INDEX(LW!$A$2:$K$180,MATCH($A62,LW!$A$2:$A$180,0),10),C62 = "RW",INDEX('RW'!$A$2:$L$164,MATCH($A62,'RW'!$A$2:$A$164,0),10), C62 = "D",INDEX(D!$A$2:$L$268,MATCH($A62,D!$A$2:$A$268,0),10),C62="G",INDEX(G!$A$2:$Q$78,MATCH($A62,G!$A$2:$A$78,0),16),C62="F",INDEX(F!$A$2:$K$494,MATCH($A62,F!$A$2:$A$494,0),10))</f>
        <v>6</v>
      </c>
      <c r="G62" t="str">
        <f>_xlfn.CONCAT(C62,Table16[[#This Row],[Pos Rank2]])</f>
        <v>G6</v>
      </c>
      <c r="H62" s="10">
        <f>MAX(_xlfn.IFNA(INDEX(Proj[],MATCH(Table16[[#This Row],[Player]],Proj[Player],0),29),-5000), _xlfn.IFNA(INDEX(Goalie[],MATCH(Table16[[#This Row],[Player]],Goalie[player],0),19),-5000))</f>
        <v>601.03</v>
      </c>
      <c r="I62" t="str">
        <f>IF(_xlfn.IFNA(INDEX(Proj[],MATCH(Table16[[#This Row],[Player]],Proj[Player],0),31),INDEX(Goalie[],MATCH(Table16[[#This Row],[Player]],Goalie[player],0),20)) = 0, "",_xlfn.IFNA(INDEX(Proj[],MATCH(Table16[[#This Row],[Player]],Proj[Player],0),31),INDEX(Goalie[],MATCH(Table16[[#This Row],[Player]],Goalie[player],0),20)))</f>
        <v/>
      </c>
    </row>
    <row r="63" spans="1:9" x14ac:dyDescent="0.25">
      <c r="A63" t="s">
        <v>437</v>
      </c>
      <c r="B63" s="2" t="s">
        <v>103</v>
      </c>
      <c r="C63" t="str">
        <f t="shared" si="0"/>
        <v>RW</v>
      </c>
      <c r="D63" s="10">
        <f>MAX(_xlfn.IFNA(INDEX(Proj[],MATCH(Table16[[#This Row],[Player]],Proj[Player],0),27),-5000), _xlfn.IFNA(INDEX(Goalie[],MATCH(Table16[[#This Row],[Player]],Goalie[player],0),17),-5000))</f>
        <v>368.37931489001545</v>
      </c>
      <c r="E63">
        <f>_xlfn.RANK.EQ(Table16[[#This Row],[VOR]],Table16[VOR])</f>
        <v>77</v>
      </c>
      <c r="F63" cm="1">
        <f t="array" ref="F63">_xlfn.IFS(C63 = "C",INDEX('C'!$A$2:$L$254,MATCH($A63,'C'!$A$2:$A$254,0),10),C63 = "LW",INDEX(LW!$A$2:$K$180,MATCH($A63,LW!$A$2:$A$180,0),10),C63 = "RW",INDEX('RW'!$A$2:$L$164,MATCH($A63,'RW'!$A$2:$A$164,0),10), C63 = "D",INDEX(D!$A$2:$L$268,MATCH($A63,D!$A$2:$A$268,0),10),C63="G",INDEX(G!$A$2:$Q$78,MATCH($A63,G!$A$2:$A$78,0),16),C63="F",INDEX(F!$A$2:$K$494,MATCH($A63,F!$A$2:$A$494,0),10))</f>
        <v>17</v>
      </c>
      <c r="G63" t="str">
        <f>_xlfn.CONCAT(C63,Table16[[#This Row],[Pos Rank2]])</f>
        <v>RW17</v>
      </c>
      <c r="H63" s="10">
        <f>MAX(_xlfn.IFNA(INDEX(Proj[],MATCH(Table16[[#This Row],[Player]],Proj[Player],0),29),-5000), _xlfn.IFNA(INDEX(Goalie[],MATCH(Table16[[#This Row],[Player]],Goalie[player],0),19),-5000))</f>
        <v>814.92403928026431</v>
      </c>
      <c r="I63" t="str">
        <f>IF(_xlfn.IFNA(INDEX(Proj[],MATCH(Table16[[#This Row],[Player]],Proj[Player],0),31),INDEX(Goalie[],MATCH(Table16[[#This Row],[Player]],Goalie[player],0),20)) = 0, "",_xlfn.IFNA(INDEX(Proj[],MATCH(Table16[[#This Row],[Player]],Proj[Player],0),31),INDEX(Goalie[],MATCH(Table16[[#This Row],[Player]],Goalie[player],0),20)))</f>
        <v/>
      </c>
    </row>
    <row r="64" spans="1:9" x14ac:dyDescent="0.25">
      <c r="A64" t="s">
        <v>339</v>
      </c>
      <c r="B64" s="2" t="s">
        <v>101</v>
      </c>
      <c r="C64" t="str">
        <f t="shared" si="0"/>
        <v>LW</v>
      </c>
      <c r="D64" s="10">
        <f>MAX(_xlfn.IFNA(INDEX(Proj[],MATCH(Table16[[#This Row],[Player]],Proj[Player],0),27),-5000), _xlfn.IFNA(INDEX(Goalie[],MATCH(Table16[[#This Row],[Player]],Goalie[player],0),17),-5000))</f>
        <v>475.78423728770593</v>
      </c>
      <c r="E64">
        <f>_xlfn.RANK.EQ(Table16[[#This Row],[VOR]],Table16[VOR])</f>
        <v>51</v>
      </c>
      <c r="F64" cm="1">
        <f t="array" ref="F64">_xlfn.IFS(C64 = "C",INDEX('C'!$A$2:$L$254,MATCH($A64,'C'!$A$2:$A$254,0),10),C64 = "LW",INDEX(LW!$A$2:$K$180,MATCH($A64,LW!$A$2:$A$180,0),10),C64 = "RW",INDEX('RW'!$A$2:$L$164,MATCH($A64,'RW'!$A$2:$A$164,0),10), C64 = "D",INDEX(D!$A$2:$L$268,MATCH($A64,D!$A$2:$A$268,0),10),C64="G",INDEX(G!$A$2:$Q$78,MATCH($A64,G!$A$2:$A$78,0),16),C64="F",INDEX(F!$A$2:$K$494,MATCH($A64,F!$A$2:$A$494,0),10))</f>
        <v>13</v>
      </c>
      <c r="G64" t="str">
        <f>_xlfn.CONCAT(C64,Table16[[#This Row],[Pos Rank2]])</f>
        <v>LW13</v>
      </c>
      <c r="H64" s="10">
        <f>MAX(_xlfn.IFNA(INDEX(Proj[],MATCH(Table16[[#This Row],[Player]],Proj[Player],0),29),-5000), _xlfn.IFNA(INDEX(Goalie[],MATCH(Table16[[#This Row],[Player]],Goalie[player],0),19),-5000))</f>
        <v>947.32896167795479</v>
      </c>
      <c r="I64" t="str">
        <f>IF(_xlfn.IFNA(INDEX(Proj[],MATCH(Table16[[#This Row],[Player]],Proj[Player],0),31),INDEX(Goalie[],MATCH(Table16[[#This Row],[Player]],Goalie[player],0),20)) = 0, "",_xlfn.IFNA(INDEX(Proj[],MATCH(Table16[[#This Row],[Player]],Proj[Player],0),31),INDEX(Goalie[],MATCH(Table16[[#This Row],[Player]],Goalie[player],0),20)))</f>
        <v/>
      </c>
    </row>
    <row r="65" spans="1:9" x14ac:dyDescent="0.25">
      <c r="A65" t="s">
        <v>184</v>
      </c>
      <c r="B65" s="2" t="s">
        <v>157</v>
      </c>
      <c r="C65" t="str">
        <f t="shared" si="0"/>
        <v>G</v>
      </c>
      <c r="D65" s="10">
        <f>MAX(_xlfn.IFNA(INDEX(Proj[],MATCH(Table16[[#This Row],[Player]],Proj[Player],0),27),-5000), _xlfn.IFNA(INDEX(Goalie[],MATCH(Table16[[#This Row],[Player]],Goalie[player],0),17),-5000))</f>
        <v>399.03485861694696</v>
      </c>
      <c r="E65">
        <f>_xlfn.RANK.EQ(Table16[[#This Row],[VOR]],Table16[VOR])</f>
        <v>72</v>
      </c>
      <c r="F65" cm="1">
        <f t="array" ref="F65">_xlfn.IFS(C65 = "C",INDEX('C'!$A$2:$L$254,MATCH($A65,'C'!$A$2:$A$254,0),10),C65 = "LW",INDEX(LW!$A$2:$K$180,MATCH($A65,LW!$A$2:$A$180,0),10),C65 = "RW",INDEX('RW'!$A$2:$L$164,MATCH($A65,'RW'!$A$2:$A$164,0),10), C65 = "D",INDEX(D!$A$2:$L$268,MATCH($A65,D!$A$2:$A$268,0),10),C65="G",INDEX(G!$A$2:$Q$78,MATCH($A65,G!$A$2:$A$78,0),16),C65="F",INDEX(F!$A$2:$K$494,MATCH($A65,F!$A$2:$A$494,0),10))</f>
        <v>7</v>
      </c>
      <c r="G65" t="str">
        <f>_xlfn.CONCAT(C65,Table16[[#This Row],[Pos Rank2]])</f>
        <v>G7</v>
      </c>
      <c r="H65" s="10">
        <f>MAX(_xlfn.IFNA(INDEX(Proj[],MATCH(Table16[[#This Row],[Player]],Proj[Player],0),29),-5000), _xlfn.IFNA(INDEX(Goalie[],MATCH(Table16[[#This Row],[Player]],Goalie[player],0),19),-5000))</f>
        <v>621.06380000000001</v>
      </c>
      <c r="I65" t="str">
        <f>IF(_xlfn.IFNA(INDEX(Proj[],MATCH(Table16[[#This Row],[Player]],Proj[Player],0),31),INDEX(Goalie[],MATCH(Table16[[#This Row],[Player]],Goalie[player],0),20)) = 0, "",_xlfn.IFNA(INDEX(Proj[],MATCH(Table16[[#This Row],[Player]],Proj[Player],0),31),INDEX(Goalie[],MATCH(Table16[[#This Row],[Player]],Goalie[player],0),20)))</f>
        <v/>
      </c>
    </row>
    <row r="66" spans="1:9" x14ac:dyDescent="0.25">
      <c r="A66" t="s">
        <v>306</v>
      </c>
      <c r="B66" s="2" t="s">
        <v>74</v>
      </c>
      <c r="C66" t="str">
        <f t="shared" ref="C66:C129" si="1">SUBSTITUTE(SUBSTITUTE(B66,"C,",""),"LW,","")</f>
        <v>C</v>
      </c>
      <c r="D66" s="10">
        <f>MAX(_xlfn.IFNA(INDEX(Proj[],MATCH(Table16[[#This Row],[Player]],Proj[Player],0),27),-5000), _xlfn.IFNA(INDEX(Goalie[],MATCH(Table16[[#This Row],[Player]],Goalie[player],0),17),-5000))</f>
        <v>552.51562639642566</v>
      </c>
      <c r="E66">
        <f>_xlfn.RANK.EQ(Table16[[#This Row],[VOR]],Table16[VOR])</f>
        <v>42</v>
      </c>
      <c r="F66" cm="1">
        <f t="array" ref="F66">_xlfn.IFS(C66 = "C",INDEX('C'!$A$2:$L$254,MATCH($A66,'C'!$A$2:$A$254,0),10),C66 = "LW",INDEX(LW!$A$2:$K$180,MATCH($A66,LW!$A$2:$A$180,0),10),C66 = "RW",INDEX('RW'!$A$2:$L$164,MATCH($A66,'RW'!$A$2:$A$164,0),10), C66 = "D",INDEX(D!$A$2:$L$268,MATCH($A66,D!$A$2:$A$268,0),10),C66="G",INDEX(G!$A$2:$Q$78,MATCH($A66,G!$A$2:$A$78,0),16),C66="F",INDEX(F!$A$2:$K$494,MATCH($A66,F!$A$2:$A$494,0),10))</f>
        <v>10</v>
      </c>
      <c r="G66" t="str">
        <f>_xlfn.CONCAT(C66,Table16[[#This Row],[Pos Rank2]])</f>
        <v>C10</v>
      </c>
      <c r="H66" s="10">
        <f>MAX(_xlfn.IFNA(INDEX(Proj[],MATCH(Table16[[#This Row],[Player]],Proj[Player],0),29),-5000), _xlfn.IFNA(INDEX(Goalie[],MATCH(Table16[[#This Row],[Player]],Goalie[player],0),19),-5000))</f>
        <v>1287.1494807067243</v>
      </c>
      <c r="I66" t="str">
        <f>IF(_xlfn.IFNA(INDEX(Proj[],MATCH(Table16[[#This Row],[Player]],Proj[Player],0),31),INDEX(Goalie[],MATCH(Table16[[#This Row],[Player]],Goalie[player],0),20)) = 0, "",_xlfn.IFNA(INDEX(Proj[],MATCH(Table16[[#This Row],[Player]],Proj[Player],0),31),INDEX(Goalie[],MATCH(Table16[[#This Row],[Player]],Goalie[player],0),20)))</f>
        <v/>
      </c>
    </row>
    <row r="67" spans="1:9" x14ac:dyDescent="0.25">
      <c r="A67" t="s">
        <v>275</v>
      </c>
      <c r="B67" s="2" t="s">
        <v>3</v>
      </c>
      <c r="C67" t="str">
        <f t="shared" si="1"/>
        <v>D</v>
      </c>
      <c r="D67" s="10">
        <f>MAX(_xlfn.IFNA(INDEX(Proj[],MATCH(Table16[[#This Row],[Player]],Proj[Player],0),27),-5000), _xlfn.IFNA(INDEX(Goalie[],MATCH(Table16[[#This Row],[Player]],Goalie[player],0),17),-5000))</f>
        <v>429.2264820348438</v>
      </c>
      <c r="E67">
        <f>_xlfn.RANK.EQ(Table16[[#This Row],[VOR]],Table16[VOR])</f>
        <v>62</v>
      </c>
      <c r="F67" cm="1">
        <f t="array" ref="F67">_xlfn.IFS(C67 = "C",INDEX('C'!$A$2:$L$254,MATCH($A67,'C'!$A$2:$A$254,0),10),C67 = "LW",INDEX(LW!$A$2:$K$180,MATCH($A67,LW!$A$2:$A$180,0),10),C67 = "RW",INDEX('RW'!$A$2:$L$164,MATCH($A67,'RW'!$A$2:$A$164,0),10), C67 = "D",INDEX(D!$A$2:$L$268,MATCH($A67,D!$A$2:$A$268,0),10),C67="G",INDEX(G!$A$2:$Q$78,MATCH($A67,G!$A$2:$A$78,0),16),C67="F",INDEX(F!$A$2:$K$494,MATCH($A67,F!$A$2:$A$494,0),10))</f>
        <v>22</v>
      </c>
      <c r="G67" t="str">
        <f>_xlfn.CONCAT(C67,Table16[[#This Row],[Pos Rank2]])</f>
        <v>D22</v>
      </c>
      <c r="H67" s="10">
        <f>MAX(_xlfn.IFNA(INDEX(Proj[],MATCH(Table16[[#This Row],[Player]],Proj[Player],0),29),-5000), _xlfn.IFNA(INDEX(Goalie[],MATCH(Table16[[#This Row],[Player]],Goalie[player],0),19),-5000))</f>
        <v>536.59124975430825</v>
      </c>
      <c r="I67" t="str">
        <f>IF(_xlfn.IFNA(INDEX(Proj[],MATCH(Table16[[#This Row],[Player]],Proj[Player],0),31),INDEX(Goalie[],MATCH(Table16[[#This Row],[Player]],Goalie[player],0),20)) = 0, "",_xlfn.IFNA(INDEX(Proj[],MATCH(Table16[[#This Row],[Player]],Proj[Player],0),31),INDEX(Goalie[],MATCH(Table16[[#This Row],[Player]],Goalie[player],0),20)))</f>
        <v/>
      </c>
    </row>
    <row r="68" spans="1:9" x14ac:dyDescent="0.25">
      <c r="A68" t="s">
        <v>309</v>
      </c>
      <c r="B68" s="2" t="s">
        <v>74</v>
      </c>
      <c r="C68" t="str">
        <f t="shared" si="1"/>
        <v>C</v>
      </c>
      <c r="D68" s="10">
        <f>MAX(_xlfn.IFNA(INDEX(Proj[],MATCH(Table16[[#This Row],[Player]],Proj[Player],0),27),-5000), _xlfn.IFNA(INDEX(Goalie[],MATCH(Table16[[#This Row],[Player]],Goalie[player],0),17),-5000))</f>
        <v>332.60850987613117</v>
      </c>
      <c r="E68">
        <f>_xlfn.RANK.EQ(Table16[[#This Row],[VOR]],Table16[VOR])</f>
        <v>84</v>
      </c>
      <c r="F68" cm="1">
        <f t="array" ref="F68">_xlfn.IFS(C68 = "C",INDEX('C'!$A$2:$L$254,MATCH($A68,'C'!$A$2:$A$254,0),10),C68 = "LW",INDEX(LW!$A$2:$K$180,MATCH($A68,LW!$A$2:$A$180,0),10),C68 = "RW",INDEX('RW'!$A$2:$L$164,MATCH($A68,'RW'!$A$2:$A$164,0),10), C68 = "D",INDEX(D!$A$2:$L$268,MATCH($A68,D!$A$2:$A$268,0),10),C68="G",INDEX(G!$A$2:$Q$78,MATCH($A68,G!$A$2:$A$78,0),16),C68="F",INDEX(F!$A$2:$K$494,MATCH($A68,F!$A$2:$A$494,0),10))</f>
        <v>21</v>
      </c>
      <c r="G68" t="str">
        <f>_xlfn.CONCAT(C68,Table16[[#This Row],[Pos Rank2]])</f>
        <v>C21</v>
      </c>
      <c r="H68" s="10">
        <f>MAX(_xlfn.IFNA(INDEX(Proj[],MATCH(Table16[[#This Row],[Player]],Proj[Player],0),29),-5000), _xlfn.IFNA(INDEX(Goalie[],MATCH(Table16[[#This Row],[Player]],Goalie[player],0),19),-5000))</f>
        <v>1067.2423641864298</v>
      </c>
      <c r="I68" t="str">
        <f>IF(_xlfn.IFNA(INDEX(Proj[],MATCH(Table16[[#This Row],[Player]],Proj[Player],0),31),INDEX(Goalie[],MATCH(Table16[[#This Row],[Player]],Goalie[player],0),20)) = 0, "",_xlfn.IFNA(INDEX(Proj[],MATCH(Table16[[#This Row],[Player]],Proj[Player],0),31),INDEX(Goalie[],MATCH(Table16[[#This Row],[Player]],Goalie[player],0),20)))</f>
        <v/>
      </c>
    </row>
    <row r="69" spans="1:9" x14ac:dyDescent="0.25">
      <c r="A69" t="s">
        <v>186</v>
      </c>
      <c r="B69" s="2" t="s">
        <v>157</v>
      </c>
      <c r="C69" t="str">
        <f t="shared" si="1"/>
        <v>G</v>
      </c>
      <c r="D69" s="10">
        <f>MAX(_xlfn.IFNA(INDEX(Proj[],MATCH(Table16[[#This Row],[Player]],Proj[Player],0),27),-5000), _xlfn.IFNA(INDEX(Goalie[],MATCH(Table16[[#This Row],[Player]],Goalie[player],0),17),-5000))</f>
        <v>343.45712896174871</v>
      </c>
      <c r="E69">
        <f>_xlfn.RANK.EQ(Table16[[#This Row],[VOR]],Table16[VOR])</f>
        <v>80</v>
      </c>
      <c r="F69" cm="1">
        <f t="array" ref="F69">_xlfn.IFS(C69 = "C",INDEX('C'!$A$2:$L$254,MATCH($A69,'C'!$A$2:$A$254,0),10),C69 = "LW",INDEX(LW!$A$2:$K$180,MATCH($A69,LW!$A$2:$A$180,0),10),C69 = "RW",INDEX('RW'!$A$2:$L$164,MATCH($A69,'RW'!$A$2:$A$164,0),10), C69 = "D",INDEX(D!$A$2:$L$268,MATCH($A69,D!$A$2:$A$268,0),10),C69="G",INDEX(G!$A$2:$Q$78,MATCH($A69,G!$A$2:$A$78,0),16),C69="F",INDEX(F!$A$2:$K$494,MATCH($A69,F!$A$2:$A$494,0),10))</f>
        <v>10</v>
      </c>
      <c r="G69" t="str">
        <f>_xlfn.CONCAT(C69,Table16[[#This Row],[Pos Rank2]])</f>
        <v>G10</v>
      </c>
      <c r="H69" s="10">
        <f>MAX(_xlfn.IFNA(INDEX(Proj[],MATCH(Table16[[#This Row],[Player]],Proj[Player],0),29),-5000), _xlfn.IFNA(INDEX(Goalie[],MATCH(Table16[[#This Row],[Player]],Goalie[player],0),19),-5000))</f>
        <v>615.09999999999991</v>
      </c>
      <c r="I69" t="str">
        <f>IF(_xlfn.IFNA(INDEX(Proj[],MATCH(Table16[[#This Row],[Player]],Proj[Player],0),31),INDEX(Goalie[],MATCH(Table16[[#This Row],[Player]],Goalie[player],0),20)) = 0, "",_xlfn.IFNA(INDEX(Proj[],MATCH(Table16[[#This Row],[Player]],Proj[Player],0),31),INDEX(Goalie[],MATCH(Table16[[#This Row],[Player]],Goalie[player],0),20)))</f>
        <v/>
      </c>
    </row>
    <row r="70" spans="1:9" x14ac:dyDescent="0.25">
      <c r="A70" t="s">
        <v>267</v>
      </c>
      <c r="B70" s="2" t="s">
        <v>3</v>
      </c>
      <c r="C70" t="str">
        <f t="shared" si="1"/>
        <v>D</v>
      </c>
      <c r="D70" s="10">
        <f>MAX(_xlfn.IFNA(INDEX(Proj[],MATCH(Table16[[#This Row],[Player]],Proj[Player],0),27),-5000), _xlfn.IFNA(INDEX(Goalie[],MATCH(Table16[[#This Row],[Player]],Goalie[player],0),17),-5000))</f>
        <v>412.13485073491324</v>
      </c>
      <c r="E70">
        <f>_xlfn.RANK.EQ(Table16[[#This Row],[VOR]],Table16[VOR])</f>
        <v>66</v>
      </c>
      <c r="F70" cm="1">
        <f t="array" ref="F70">_xlfn.IFS(C70 = "C",INDEX('C'!$A$2:$L$254,MATCH($A70,'C'!$A$2:$A$254,0),10),C70 = "LW",INDEX(LW!$A$2:$K$180,MATCH($A70,LW!$A$2:$A$180,0),10),C70 = "RW",INDEX('RW'!$A$2:$L$164,MATCH($A70,'RW'!$A$2:$A$164,0),10), C70 = "D",INDEX(D!$A$2:$L$268,MATCH($A70,D!$A$2:$A$268,0),10),C70="G",INDEX(G!$A$2:$Q$78,MATCH($A70,G!$A$2:$A$78,0),16),C70="F",INDEX(F!$A$2:$K$494,MATCH($A70,F!$A$2:$A$494,0),10))</f>
        <v>23</v>
      </c>
      <c r="G70" t="str">
        <f>_xlfn.CONCAT(C70,Table16[[#This Row],[Pos Rank2]])</f>
        <v>D23</v>
      </c>
      <c r="H70" s="10">
        <f>MAX(_xlfn.IFNA(INDEX(Proj[],MATCH(Table16[[#This Row],[Player]],Proj[Player],0),29),-5000), _xlfn.IFNA(INDEX(Goalie[],MATCH(Table16[[#This Row],[Player]],Goalie[player],0),19),-5000))</f>
        <v>519.4996184543777</v>
      </c>
      <c r="I70" t="str">
        <f>IF(_xlfn.IFNA(INDEX(Proj[],MATCH(Table16[[#This Row],[Player]],Proj[Player],0),31),INDEX(Goalie[],MATCH(Table16[[#This Row],[Player]],Goalie[player],0),20)) = 0, "",_xlfn.IFNA(INDEX(Proj[],MATCH(Table16[[#This Row],[Player]],Proj[Player],0),31),INDEX(Goalie[],MATCH(Table16[[#This Row],[Player]],Goalie[player],0),20)))</f>
        <v/>
      </c>
    </row>
    <row r="71" spans="1:9" x14ac:dyDescent="0.25">
      <c r="A71" t="s">
        <v>441</v>
      </c>
      <c r="B71" s="2" t="s">
        <v>3</v>
      </c>
      <c r="C71" t="str">
        <f t="shared" si="1"/>
        <v>D</v>
      </c>
      <c r="D71" s="10">
        <f>MAX(_xlfn.IFNA(INDEX(Proj[],MATCH(Table16[[#This Row],[Player]],Proj[Player],0),27),-5000), _xlfn.IFNA(INDEX(Goalie[],MATCH(Table16[[#This Row],[Player]],Goalie[player],0),17),-5000))</f>
        <v>408.1525647639445</v>
      </c>
      <c r="E71">
        <f>_xlfn.RANK.EQ(Table16[[#This Row],[VOR]],Table16[VOR])</f>
        <v>69</v>
      </c>
      <c r="F71" cm="1">
        <f t="array" ref="F71">_xlfn.IFS(C71 = "C",INDEX('C'!$A$2:$L$254,MATCH($A71,'C'!$A$2:$A$254,0),10),C71 = "LW",INDEX(LW!$A$2:$K$180,MATCH($A71,LW!$A$2:$A$180,0),10),C71 = "RW",INDEX('RW'!$A$2:$L$164,MATCH($A71,'RW'!$A$2:$A$164,0),10), C71 = "D",INDEX(D!$A$2:$L$268,MATCH($A71,D!$A$2:$A$268,0),10),C71="G",INDEX(G!$A$2:$Q$78,MATCH($A71,G!$A$2:$A$78,0),16),C71="F",INDEX(F!$A$2:$K$494,MATCH($A71,F!$A$2:$A$494,0),10))</f>
        <v>24</v>
      </c>
      <c r="G71" t="str">
        <f>_xlfn.CONCAT(C71,Table16[[#This Row],[Pos Rank2]])</f>
        <v>D24</v>
      </c>
      <c r="H71" s="10">
        <f>MAX(_xlfn.IFNA(INDEX(Proj[],MATCH(Table16[[#This Row],[Player]],Proj[Player],0),29),-5000), _xlfn.IFNA(INDEX(Goalie[],MATCH(Table16[[#This Row],[Player]],Goalie[player],0),19),-5000))</f>
        <v>515.51733248340895</v>
      </c>
      <c r="I71" t="str">
        <f>IF(_xlfn.IFNA(INDEX(Proj[],MATCH(Table16[[#This Row],[Player]],Proj[Player],0),31),INDEX(Goalie[],MATCH(Table16[[#This Row],[Player]],Goalie[player],0),20)) = 0, "",_xlfn.IFNA(INDEX(Proj[],MATCH(Table16[[#This Row],[Player]],Proj[Player],0),31),INDEX(Goalie[],MATCH(Table16[[#This Row],[Player]],Goalie[player],0),20)))</f>
        <v/>
      </c>
    </row>
    <row r="72" spans="1:9" x14ac:dyDescent="0.25">
      <c r="A72" t="s">
        <v>287</v>
      </c>
      <c r="B72" s="2" t="s">
        <v>3</v>
      </c>
      <c r="C72" t="str">
        <f t="shared" si="1"/>
        <v>D</v>
      </c>
      <c r="D72" s="10">
        <f>MAX(_xlfn.IFNA(INDEX(Proj[],MATCH(Table16[[#This Row],[Player]],Proj[Player],0),27),-5000), _xlfn.IFNA(INDEX(Goalie[],MATCH(Table16[[#This Row],[Player]],Goalie[player],0),17),-5000))</f>
        <v>399.91192970404506</v>
      </c>
      <c r="E72">
        <f>_xlfn.RANK.EQ(Table16[[#This Row],[VOR]],Table16[VOR])</f>
        <v>71</v>
      </c>
      <c r="F72" cm="1">
        <f t="array" ref="F72">_xlfn.IFS(C72 = "C",INDEX('C'!$A$2:$L$254,MATCH($A72,'C'!$A$2:$A$254,0),10),C72 = "LW",INDEX(LW!$A$2:$K$180,MATCH($A72,LW!$A$2:$A$180,0),10),C72 = "RW",INDEX('RW'!$A$2:$L$164,MATCH($A72,'RW'!$A$2:$A$164,0),10), C72 = "D",INDEX(D!$A$2:$L$268,MATCH($A72,D!$A$2:$A$268,0),10),C72="G",INDEX(G!$A$2:$Q$78,MATCH($A72,G!$A$2:$A$78,0),16),C72="F",INDEX(F!$A$2:$K$494,MATCH($A72,F!$A$2:$A$494,0),10))</f>
        <v>25</v>
      </c>
      <c r="G72" t="str">
        <f>_xlfn.CONCAT(C72,Table16[[#This Row],[Pos Rank2]])</f>
        <v>D25</v>
      </c>
      <c r="H72" s="10">
        <f>MAX(_xlfn.IFNA(INDEX(Proj[],MATCH(Table16[[#This Row],[Player]],Proj[Player],0),29),-5000), _xlfn.IFNA(INDEX(Goalie[],MATCH(Table16[[#This Row],[Player]],Goalie[player],0),19),-5000))</f>
        <v>507.27669742350957</v>
      </c>
      <c r="I72" t="str">
        <f>IF(_xlfn.IFNA(INDEX(Proj[],MATCH(Table16[[#This Row],[Player]],Proj[Player],0),31),INDEX(Goalie[],MATCH(Table16[[#This Row],[Player]],Goalie[player],0),20)) = 0, "",_xlfn.IFNA(INDEX(Proj[],MATCH(Table16[[#This Row],[Player]],Proj[Player],0),31),INDEX(Goalie[],MATCH(Table16[[#This Row],[Player]],Goalie[player],0),20)))</f>
        <v/>
      </c>
    </row>
    <row r="73" spans="1:9" x14ac:dyDescent="0.25">
      <c r="A73" t="s">
        <v>266</v>
      </c>
      <c r="B73" s="2" t="s">
        <v>74</v>
      </c>
      <c r="C73" t="str">
        <f t="shared" si="1"/>
        <v>C</v>
      </c>
      <c r="D73" s="10">
        <f>MAX(_xlfn.IFNA(INDEX(Proj[],MATCH(Table16[[#This Row],[Player]],Proj[Player],0),27),-5000), _xlfn.IFNA(INDEX(Goalie[],MATCH(Table16[[#This Row],[Player]],Goalie[player],0),17),-5000))</f>
        <v>404.91392817583915</v>
      </c>
      <c r="E73">
        <f>_xlfn.RANK.EQ(Table16[[#This Row],[VOR]],Table16[VOR])</f>
        <v>70</v>
      </c>
      <c r="F73" cm="1">
        <f t="array" ref="F73">_xlfn.IFS(C73 = "C",INDEX('C'!$A$2:$L$254,MATCH($A73,'C'!$A$2:$A$254,0),10),C73 = "LW",INDEX(LW!$A$2:$K$180,MATCH($A73,LW!$A$2:$A$180,0),10),C73 = "RW",INDEX('RW'!$A$2:$L$164,MATCH($A73,'RW'!$A$2:$A$164,0),10), C73 = "D",INDEX(D!$A$2:$L$268,MATCH($A73,D!$A$2:$A$268,0),10),C73="G",INDEX(G!$A$2:$Q$78,MATCH($A73,G!$A$2:$A$78,0),16),C73="F",INDEX(F!$A$2:$K$494,MATCH($A73,F!$A$2:$A$494,0),10))</f>
        <v>16</v>
      </c>
      <c r="G73" t="str">
        <f>_xlfn.CONCAT(C73,Table16[[#This Row],[Pos Rank2]])</f>
        <v>C16</v>
      </c>
      <c r="H73" s="10">
        <f>MAX(_xlfn.IFNA(INDEX(Proj[],MATCH(Table16[[#This Row],[Player]],Proj[Player],0),29),-5000), _xlfn.IFNA(INDEX(Goalie[],MATCH(Table16[[#This Row],[Player]],Goalie[player],0),19),-5000))</f>
        <v>1139.5477824861377</v>
      </c>
      <c r="I73" t="str">
        <f>IF(_xlfn.IFNA(INDEX(Proj[],MATCH(Table16[[#This Row],[Player]],Proj[Player],0),31),INDEX(Goalie[],MATCH(Table16[[#This Row],[Player]],Goalie[player],0),20)) = 0, "",_xlfn.IFNA(INDEX(Proj[],MATCH(Table16[[#This Row],[Player]],Proj[Player],0),31),INDEX(Goalie[],MATCH(Table16[[#This Row],[Player]],Goalie[player],0),20)))</f>
        <v/>
      </c>
    </row>
    <row r="74" spans="1:9" x14ac:dyDescent="0.25">
      <c r="A74" t="s">
        <v>205</v>
      </c>
      <c r="B74" s="2" t="s">
        <v>157</v>
      </c>
      <c r="C74" t="str">
        <f t="shared" si="1"/>
        <v>G</v>
      </c>
      <c r="D74" s="10">
        <f>MAX(_xlfn.IFNA(INDEX(Proj[],MATCH(Table16[[#This Row],[Player]],Proj[Player],0),27),-5000), _xlfn.IFNA(INDEX(Goalie[],MATCH(Table16[[#This Row],[Player]],Goalie[player],0),17),-5000))</f>
        <v>361.77266572117554</v>
      </c>
      <c r="E74">
        <f>_xlfn.RANK.EQ(Table16[[#This Row],[VOR]],Table16[VOR])</f>
        <v>78</v>
      </c>
      <c r="F74" cm="1">
        <f t="array" ref="F74">_xlfn.IFS(C74 = "C",INDEX('C'!$A$2:$L$254,MATCH($A74,'C'!$A$2:$A$254,0),10),C74 = "LW",INDEX(LW!$A$2:$K$180,MATCH($A74,LW!$A$2:$A$180,0),10),C74 = "RW",INDEX('RW'!$A$2:$L$164,MATCH($A74,'RW'!$A$2:$A$164,0),10), C74 = "D",INDEX(D!$A$2:$L$268,MATCH($A74,D!$A$2:$A$268,0),10),C74="G",INDEX(G!$A$2:$Q$78,MATCH($A74,G!$A$2:$A$78,0),16),C74="F",INDEX(F!$A$2:$K$494,MATCH($A74,F!$A$2:$A$494,0),10))</f>
        <v>8</v>
      </c>
      <c r="G74" t="str">
        <f>_xlfn.CONCAT(C74,Table16[[#This Row],[Pos Rank2]])</f>
        <v>G8</v>
      </c>
      <c r="H74" s="10">
        <f>MAX(_xlfn.IFNA(INDEX(Proj[],MATCH(Table16[[#This Row],[Player]],Proj[Player],0),29),-5000), _xlfn.IFNA(INDEX(Goalie[],MATCH(Table16[[#This Row],[Player]],Goalie[player],0),19),-5000))</f>
        <v>621.24349999999993</v>
      </c>
      <c r="I74" t="str">
        <f>IF(_xlfn.IFNA(INDEX(Proj[],MATCH(Table16[[#This Row],[Player]],Proj[Player],0),31),INDEX(Goalie[],MATCH(Table16[[#This Row],[Player]],Goalie[player],0),20)) = 0, "",_xlfn.IFNA(INDEX(Proj[],MATCH(Table16[[#This Row],[Player]],Proj[Player],0),31),INDEX(Goalie[],MATCH(Table16[[#This Row],[Player]],Goalie[player],0),20)))</f>
        <v/>
      </c>
    </row>
    <row r="75" spans="1:9" x14ac:dyDescent="0.25">
      <c r="A75" t="s">
        <v>210</v>
      </c>
      <c r="B75" s="2" t="s">
        <v>157</v>
      </c>
      <c r="C75" t="str">
        <f t="shared" si="1"/>
        <v>G</v>
      </c>
      <c r="D75" s="10">
        <f>MAX(_xlfn.IFNA(INDEX(Proj[],MATCH(Table16[[#This Row],[Player]],Proj[Player],0),27),-5000), _xlfn.IFNA(INDEX(Goalie[],MATCH(Table16[[#This Row],[Player]],Goalie[player],0),17),-5000))</f>
        <v>358.73618216479588</v>
      </c>
      <c r="E75">
        <f>_xlfn.RANK.EQ(Table16[[#This Row],[VOR]],Table16[VOR])</f>
        <v>79</v>
      </c>
      <c r="F75" cm="1">
        <f t="array" ref="F75">_xlfn.IFS(C75 = "C",INDEX('C'!$A$2:$L$254,MATCH($A75,'C'!$A$2:$A$254,0),10),C75 = "LW",INDEX(LW!$A$2:$K$180,MATCH($A75,LW!$A$2:$A$180,0),10),C75 = "RW",INDEX('RW'!$A$2:$L$164,MATCH($A75,'RW'!$A$2:$A$164,0),10), C75 = "D",INDEX(D!$A$2:$L$268,MATCH($A75,D!$A$2:$A$268,0),10),C75="G",INDEX(G!$A$2:$Q$78,MATCH($A75,G!$A$2:$A$78,0),16),C75="F",INDEX(F!$A$2:$K$494,MATCH($A75,F!$A$2:$A$494,0),10))</f>
        <v>9</v>
      </c>
      <c r="G75" t="str">
        <f>_xlfn.CONCAT(C75,Table16[[#This Row],[Pos Rank2]])</f>
        <v>G9</v>
      </c>
      <c r="H75" s="10">
        <f>MAX(_xlfn.IFNA(INDEX(Proj[],MATCH(Table16[[#This Row],[Player]],Proj[Player],0),29),-5000), _xlfn.IFNA(INDEX(Goalie[],MATCH(Table16[[#This Row],[Player]],Goalie[player],0),19),-5000))</f>
        <v>656.59879999999998</v>
      </c>
      <c r="I75" t="str">
        <f>IF(_xlfn.IFNA(INDEX(Proj[],MATCH(Table16[[#This Row],[Player]],Proj[Player],0),31),INDEX(Goalie[],MATCH(Table16[[#This Row],[Player]],Goalie[player],0),20)) = 0, "",_xlfn.IFNA(INDEX(Proj[],MATCH(Table16[[#This Row],[Player]],Proj[Player],0),31),INDEX(Goalie[],MATCH(Table16[[#This Row],[Player]],Goalie[player],0),20)))</f>
        <v/>
      </c>
    </row>
    <row r="76" spans="1:9" x14ac:dyDescent="0.25">
      <c r="A76" t="s">
        <v>278</v>
      </c>
      <c r="B76" s="2" t="s">
        <v>74</v>
      </c>
      <c r="C76" t="str">
        <f t="shared" si="1"/>
        <v>C</v>
      </c>
      <c r="D76" s="10">
        <f>MAX(_xlfn.IFNA(INDEX(Proj[],MATCH(Table16[[#This Row],[Player]],Proj[Player],0),27),-5000), _xlfn.IFNA(INDEX(Goalie[],MATCH(Table16[[#This Row],[Player]],Goalie[player],0),17),-5000))</f>
        <v>453.66771319396548</v>
      </c>
      <c r="E76">
        <f>_xlfn.RANK.EQ(Table16[[#This Row],[VOR]],Table16[VOR])</f>
        <v>55</v>
      </c>
      <c r="F76" cm="1">
        <f t="array" ref="F76">_xlfn.IFS(C76 = "C",INDEX('C'!$A$2:$L$254,MATCH($A76,'C'!$A$2:$A$254,0),10),C76 = "LW",INDEX(LW!$A$2:$K$180,MATCH($A76,LW!$A$2:$A$180,0),10),C76 = "RW",INDEX('RW'!$A$2:$L$164,MATCH($A76,'RW'!$A$2:$A$164,0),10), C76 = "D",INDEX(D!$A$2:$L$268,MATCH($A76,D!$A$2:$A$268,0),10),C76="G",INDEX(G!$A$2:$Q$78,MATCH($A76,G!$A$2:$A$78,0),16),C76="F",INDEX(F!$A$2:$K$494,MATCH($A76,F!$A$2:$A$494,0),10))</f>
        <v>14</v>
      </c>
      <c r="G76" t="str">
        <f>_xlfn.CONCAT(C76,Table16[[#This Row],[Pos Rank2]])</f>
        <v>C14</v>
      </c>
      <c r="H76" s="10">
        <f>MAX(_xlfn.IFNA(INDEX(Proj[],MATCH(Table16[[#This Row],[Player]],Proj[Player],0),29),-5000), _xlfn.IFNA(INDEX(Goalie[],MATCH(Table16[[#This Row],[Player]],Goalie[player],0),19),-5000))</f>
        <v>1188.3015675042641</v>
      </c>
      <c r="I76" t="str">
        <f>IF(_xlfn.IFNA(INDEX(Proj[],MATCH(Table16[[#This Row],[Player]],Proj[Player],0),31),INDEX(Goalie[],MATCH(Table16[[#This Row],[Player]],Goalie[player],0),20)) = 0, "",_xlfn.IFNA(INDEX(Proj[],MATCH(Table16[[#This Row],[Player]],Proj[Player],0),31),INDEX(Goalie[],MATCH(Table16[[#This Row],[Player]],Goalie[player],0),20)))</f>
        <v/>
      </c>
    </row>
    <row r="77" spans="1:9" x14ac:dyDescent="0.25">
      <c r="A77" t="s">
        <v>250</v>
      </c>
      <c r="B77" s="2" t="s">
        <v>104</v>
      </c>
      <c r="C77" t="str">
        <f t="shared" si="1"/>
        <v>RW</v>
      </c>
      <c r="D77" s="10">
        <f>MAX(_xlfn.IFNA(INDEX(Proj[],MATCH(Table16[[#This Row],[Player]],Proj[Player],0),27),-5000), _xlfn.IFNA(INDEX(Goalie[],MATCH(Table16[[#This Row],[Player]],Goalie[player],0),17),-5000))</f>
        <v>329.2325203325002</v>
      </c>
      <c r="E77">
        <f>_xlfn.RANK.EQ(Table16[[#This Row],[VOR]],Table16[VOR])</f>
        <v>86</v>
      </c>
      <c r="F77" cm="1">
        <f t="array" ref="F77">_xlfn.IFS(C77 = "C",INDEX('C'!$A$2:$L$254,MATCH($A77,'C'!$A$2:$A$254,0),10),C77 = "LW",INDEX(LW!$A$2:$K$180,MATCH($A77,LW!$A$2:$A$180,0),10),C77 = "RW",INDEX('RW'!$A$2:$L$164,MATCH($A77,'RW'!$A$2:$A$164,0),10), C77 = "D",INDEX(D!$A$2:$L$268,MATCH($A77,D!$A$2:$A$268,0),10),C77="G",INDEX(G!$A$2:$Q$78,MATCH($A77,G!$A$2:$A$78,0),16),C77="F",INDEX(F!$A$2:$K$494,MATCH($A77,F!$A$2:$A$494,0),10))</f>
        <v>18</v>
      </c>
      <c r="G77" t="str">
        <f>_xlfn.CONCAT(C77,Table16[[#This Row],[Pos Rank2]])</f>
        <v>RW18</v>
      </c>
      <c r="H77" s="10">
        <f>MAX(_xlfn.IFNA(INDEX(Proj[],MATCH(Table16[[#This Row],[Player]],Proj[Player],0),29),-5000), _xlfn.IFNA(INDEX(Goalie[],MATCH(Table16[[#This Row],[Player]],Goalie[player],0),19),-5000))</f>
        <v>775.77724472274906</v>
      </c>
      <c r="I77" t="str">
        <f>IF(_xlfn.IFNA(INDEX(Proj[],MATCH(Table16[[#This Row],[Player]],Proj[Player],0),31),INDEX(Goalie[],MATCH(Table16[[#This Row],[Player]],Goalie[player],0),20)) = 0, "",_xlfn.IFNA(INDEX(Proj[],MATCH(Table16[[#This Row],[Player]],Proj[Player],0),31),INDEX(Goalie[],MATCH(Table16[[#This Row],[Player]],Goalie[player],0),20)))</f>
        <v/>
      </c>
    </row>
    <row r="78" spans="1:9" x14ac:dyDescent="0.25">
      <c r="A78" t="s">
        <v>419</v>
      </c>
      <c r="B78" s="2" t="s">
        <v>104</v>
      </c>
      <c r="C78" t="str">
        <f t="shared" si="1"/>
        <v>RW</v>
      </c>
      <c r="D78" s="10">
        <f>MAX(_xlfn.IFNA(INDEX(Proj[],MATCH(Table16[[#This Row],[Player]],Proj[Player],0),27),-5000), _xlfn.IFNA(INDEX(Goalie[],MATCH(Table16[[#This Row],[Player]],Goalie[player],0),17),-5000))</f>
        <v>291.91595257700425</v>
      </c>
      <c r="E78">
        <f>_xlfn.RANK.EQ(Table16[[#This Row],[VOR]],Table16[VOR])</f>
        <v>92</v>
      </c>
      <c r="F78" cm="1">
        <f t="array" ref="F78">_xlfn.IFS(C78 = "C",INDEX('C'!$A$2:$L$254,MATCH($A78,'C'!$A$2:$A$254,0),10),C78 = "LW",INDEX(LW!$A$2:$K$180,MATCH($A78,LW!$A$2:$A$180,0),10),C78 = "RW",INDEX('RW'!$A$2:$L$164,MATCH($A78,'RW'!$A$2:$A$164,0),10), C78 = "D",INDEX(D!$A$2:$L$268,MATCH($A78,D!$A$2:$A$268,0),10),C78="G",INDEX(G!$A$2:$Q$78,MATCH($A78,G!$A$2:$A$78,0),16),C78="F",INDEX(F!$A$2:$K$494,MATCH($A78,F!$A$2:$A$494,0),10))</f>
        <v>20</v>
      </c>
      <c r="G78" t="str">
        <f>_xlfn.CONCAT(C78,Table16[[#This Row],[Pos Rank2]])</f>
        <v>RW20</v>
      </c>
      <c r="H78" s="10">
        <f>MAX(_xlfn.IFNA(INDEX(Proj[],MATCH(Table16[[#This Row],[Player]],Proj[Player],0),29),-5000), _xlfn.IFNA(INDEX(Goalie[],MATCH(Table16[[#This Row],[Player]],Goalie[player],0),19),-5000))</f>
        <v>738.46067696725311</v>
      </c>
      <c r="I78" t="str">
        <f>IF(_xlfn.IFNA(INDEX(Proj[],MATCH(Table16[[#This Row],[Player]],Proj[Player],0),31),INDEX(Goalie[],MATCH(Table16[[#This Row],[Player]],Goalie[player],0),20)) = 0, "",_xlfn.IFNA(INDEX(Proj[],MATCH(Table16[[#This Row],[Player]],Proj[Player],0),31),INDEX(Goalie[],MATCH(Table16[[#This Row],[Player]],Goalie[player],0),20)))</f>
        <v/>
      </c>
    </row>
    <row r="79" spans="1:9" x14ac:dyDescent="0.25">
      <c r="A79" t="s">
        <v>277</v>
      </c>
      <c r="B79" s="2" t="s">
        <v>74</v>
      </c>
      <c r="C79" t="str">
        <f t="shared" si="1"/>
        <v>C</v>
      </c>
      <c r="D79" s="10">
        <f>MAX(_xlfn.IFNA(INDEX(Proj[],MATCH(Table16[[#This Row],[Player]],Proj[Player],0),27),-5000), _xlfn.IFNA(INDEX(Goalie[],MATCH(Table16[[#This Row],[Player]],Goalie[player],0),17),-5000))</f>
        <v>379.98740328504459</v>
      </c>
      <c r="E79">
        <f>_xlfn.RANK.EQ(Table16[[#This Row],[VOR]],Table16[VOR])</f>
        <v>74</v>
      </c>
      <c r="F79" cm="1">
        <f t="array" ref="F79">_xlfn.IFS(C79 = "C",INDEX('C'!$A$2:$L$254,MATCH($A79,'C'!$A$2:$A$254,0),10),C79 = "LW",INDEX(LW!$A$2:$K$180,MATCH($A79,LW!$A$2:$A$180,0),10),C79 = "RW",INDEX('RW'!$A$2:$L$164,MATCH($A79,'RW'!$A$2:$A$164,0),10), C79 = "D",INDEX(D!$A$2:$L$268,MATCH($A79,D!$A$2:$A$268,0),10),C79="G",INDEX(G!$A$2:$Q$78,MATCH($A79,G!$A$2:$A$78,0),16),C79="F",INDEX(F!$A$2:$K$494,MATCH($A79,F!$A$2:$A$494,0),10))</f>
        <v>17</v>
      </c>
      <c r="G79" t="str">
        <f>_xlfn.CONCAT(C79,Table16[[#This Row],[Pos Rank2]])</f>
        <v>C17</v>
      </c>
      <c r="H79" s="10">
        <f>MAX(_xlfn.IFNA(INDEX(Proj[],MATCH(Table16[[#This Row],[Player]],Proj[Player],0),29),-5000), _xlfn.IFNA(INDEX(Goalie[],MATCH(Table16[[#This Row],[Player]],Goalie[player],0),19),-5000))</f>
        <v>1114.6212575953432</v>
      </c>
      <c r="I79" t="str">
        <f>IF(_xlfn.IFNA(INDEX(Proj[],MATCH(Table16[[#This Row],[Player]],Proj[Player],0),31),INDEX(Goalie[],MATCH(Table16[[#This Row],[Player]],Goalie[player],0),20)) = 0, "",_xlfn.IFNA(INDEX(Proj[],MATCH(Table16[[#This Row],[Player]],Proj[Player],0),31),INDEX(Goalie[],MATCH(Table16[[#This Row],[Player]],Goalie[player],0),20)))</f>
        <v/>
      </c>
    </row>
    <row r="80" spans="1:9" x14ac:dyDescent="0.25">
      <c r="A80" t="s">
        <v>281</v>
      </c>
      <c r="B80" s="2" t="s">
        <v>74</v>
      </c>
      <c r="C80" t="str">
        <f t="shared" si="1"/>
        <v>C</v>
      </c>
      <c r="D80" s="10">
        <f>MAX(_xlfn.IFNA(INDEX(Proj[],MATCH(Table16[[#This Row],[Player]],Proj[Player],0),27),-5000), _xlfn.IFNA(INDEX(Goalie[],MATCH(Table16[[#This Row],[Player]],Goalie[player],0),17),-5000))</f>
        <v>374.69298635741052</v>
      </c>
      <c r="E80">
        <f>_xlfn.RANK.EQ(Table16[[#This Row],[VOR]],Table16[VOR])</f>
        <v>76</v>
      </c>
      <c r="F80" cm="1">
        <f t="array" ref="F80">_xlfn.IFS(C80 = "C",INDEX('C'!$A$2:$L$254,MATCH($A80,'C'!$A$2:$A$254,0),10),C80 = "LW",INDEX(LW!$A$2:$K$180,MATCH($A80,LW!$A$2:$A$180,0),10),C80 = "RW",INDEX('RW'!$A$2:$L$164,MATCH($A80,'RW'!$A$2:$A$164,0),10), C80 = "D",INDEX(D!$A$2:$L$268,MATCH($A80,D!$A$2:$A$268,0),10),C80="G",INDEX(G!$A$2:$Q$78,MATCH($A80,G!$A$2:$A$78,0),16),C80="F",INDEX(F!$A$2:$K$494,MATCH($A80,F!$A$2:$A$494,0),10))</f>
        <v>18</v>
      </c>
      <c r="G80" t="str">
        <f>_xlfn.CONCAT(C80,Table16[[#This Row],[Pos Rank2]])</f>
        <v>C18</v>
      </c>
      <c r="H80" s="10">
        <f>MAX(_xlfn.IFNA(INDEX(Proj[],MATCH(Table16[[#This Row],[Player]],Proj[Player],0),29),-5000), _xlfn.IFNA(INDEX(Goalie[],MATCH(Table16[[#This Row],[Player]],Goalie[player],0),19),-5000))</f>
        <v>1109.3268406677091</v>
      </c>
      <c r="I80" t="str">
        <f>IF(_xlfn.IFNA(INDEX(Proj[],MATCH(Table16[[#This Row],[Player]],Proj[Player],0),31),INDEX(Goalie[],MATCH(Table16[[#This Row],[Player]],Goalie[player],0),20)) = 0, "",_xlfn.IFNA(INDEX(Proj[],MATCH(Table16[[#This Row],[Player]],Proj[Player],0),31),INDEX(Goalie[],MATCH(Table16[[#This Row],[Player]],Goalie[player],0),20)))</f>
        <v/>
      </c>
    </row>
    <row r="81" spans="1:9" x14ac:dyDescent="0.25">
      <c r="A81" t="s">
        <v>204</v>
      </c>
      <c r="B81" s="2" t="s">
        <v>157</v>
      </c>
      <c r="C81" t="str">
        <f t="shared" si="1"/>
        <v>G</v>
      </c>
      <c r="D81" s="10">
        <f>MAX(_xlfn.IFNA(INDEX(Proj[],MATCH(Table16[[#This Row],[Player]],Proj[Player],0),27),-5000), _xlfn.IFNA(INDEX(Goalie[],MATCH(Table16[[#This Row],[Player]],Goalie[player],0),17),-5000))</f>
        <v>316.92951399654646</v>
      </c>
      <c r="E81">
        <f>_xlfn.RANK.EQ(Table16[[#This Row],[VOR]],Table16[VOR])</f>
        <v>87</v>
      </c>
      <c r="F81" cm="1">
        <f t="array" ref="F81">_xlfn.IFS(C81 = "C",INDEX('C'!$A$2:$L$254,MATCH($A81,'C'!$A$2:$A$254,0),10),C81 = "LW",INDEX(LW!$A$2:$K$180,MATCH($A81,LW!$A$2:$A$180,0),10),C81 = "RW",INDEX('RW'!$A$2:$L$164,MATCH($A81,'RW'!$A$2:$A$164,0),10), C81 = "D",INDEX(D!$A$2:$L$268,MATCH($A81,D!$A$2:$A$268,0),10),C81="G",INDEX(G!$A$2:$Q$78,MATCH($A81,G!$A$2:$A$78,0),16),C81="F",INDEX(F!$A$2:$K$494,MATCH($A81,F!$A$2:$A$494,0),10))</f>
        <v>11</v>
      </c>
      <c r="G81" t="str">
        <f>_xlfn.CONCAT(C81,Table16[[#This Row],[Pos Rank2]])</f>
        <v>G11</v>
      </c>
      <c r="H81" s="10">
        <f>MAX(_xlfn.IFNA(INDEX(Proj[],MATCH(Table16[[#This Row],[Player]],Proj[Player],0),29),-5000), _xlfn.IFNA(INDEX(Goalie[],MATCH(Table16[[#This Row],[Player]],Goalie[player],0),19),-5000))</f>
        <v>596.93999999999994</v>
      </c>
      <c r="I81" t="str">
        <f>IF(_xlfn.IFNA(INDEX(Proj[],MATCH(Table16[[#This Row],[Player]],Proj[Player],0),31),INDEX(Goalie[],MATCH(Table16[[#This Row],[Player]],Goalie[player],0),20)) = 0, "",_xlfn.IFNA(INDEX(Proj[],MATCH(Table16[[#This Row],[Player]],Proj[Player],0),31),INDEX(Goalie[],MATCH(Table16[[#This Row],[Player]],Goalie[player],0),20)))</f>
        <v/>
      </c>
    </row>
    <row r="82" spans="1:9" x14ac:dyDescent="0.25">
      <c r="A82" t="s">
        <v>1076</v>
      </c>
      <c r="B82" s="2" t="s">
        <v>74</v>
      </c>
      <c r="C82" t="str">
        <f t="shared" si="1"/>
        <v>C</v>
      </c>
      <c r="D82" s="10">
        <f>MAX(_xlfn.IFNA(INDEX(Proj[],MATCH(Table16[[#This Row],[Player]],Proj[Player],0),27),-5000), _xlfn.IFNA(INDEX(Goalie[],MATCH(Table16[[#This Row],[Player]],Goalie[player],0),17),-5000))</f>
        <v>204.38560471718893</v>
      </c>
      <c r="E82">
        <f>_xlfn.RANK.EQ(Table16[[#This Row],[VOR]],Table16[VOR])</f>
        <v>118</v>
      </c>
      <c r="F82" cm="1">
        <f t="array" ref="F82">_xlfn.IFS(C82 = "C",INDEX('C'!$A$2:$L$254,MATCH($A82,'C'!$A$2:$A$254,0),10),C82 = "LW",INDEX(LW!$A$2:$K$180,MATCH($A82,LW!$A$2:$A$180,0),10),C82 = "RW",INDEX('RW'!$A$2:$L$164,MATCH($A82,'RW'!$A$2:$A$164,0),10), C82 = "D",INDEX(D!$A$2:$L$268,MATCH($A82,D!$A$2:$A$268,0),10),C82="G",INDEX(G!$A$2:$Q$78,MATCH($A82,G!$A$2:$A$78,0),16),C82="F",INDEX(F!$A$2:$K$494,MATCH($A82,F!$A$2:$A$494,0),10))</f>
        <v>26</v>
      </c>
      <c r="G82" t="str">
        <f>_xlfn.CONCAT(C82,Table16[[#This Row],[Pos Rank2]])</f>
        <v>C26</v>
      </c>
      <c r="H82" s="10">
        <f>MAX(_xlfn.IFNA(INDEX(Proj[],MATCH(Table16[[#This Row],[Player]],Proj[Player],0),29),-5000), _xlfn.IFNA(INDEX(Goalie[],MATCH(Table16[[#This Row],[Player]],Goalie[player],0),19),-5000))</f>
        <v>939.01945902748753</v>
      </c>
      <c r="I82" t="str">
        <f>IF(_xlfn.IFNA(INDEX(Proj[],MATCH(Table16[[#This Row],[Player]],Proj[Player],0),31),INDEX(Goalie[],MATCH(Table16[[#This Row],[Player]],Goalie[player],0),20)) = 0, "",_xlfn.IFNA(INDEX(Proj[],MATCH(Table16[[#This Row],[Player]],Proj[Player],0),31),INDEX(Goalie[],MATCH(Table16[[#This Row],[Player]],Goalie[player],0),20)))</f>
        <v/>
      </c>
    </row>
    <row r="83" spans="1:9" x14ac:dyDescent="0.25">
      <c r="A83" t="s">
        <v>326</v>
      </c>
      <c r="B83" s="2" t="s">
        <v>3</v>
      </c>
      <c r="C83" t="str">
        <f t="shared" si="1"/>
        <v>D</v>
      </c>
      <c r="D83" s="10">
        <f>MAX(_xlfn.IFNA(INDEX(Proj[],MATCH(Table16[[#This Row],[Player]],Proj[Player],0),27),-5000), _xlfn.IFNA(INDEX(Goalie[],MATCH(Table16[[#This Row],[Player]],Goalie[player],0),17),-5000))</f>
        <v>331.91730399572691</v>
      </c>
      <c r="E83">
        <f>_xlfn.RANK.EQ(Table16[[#This Row],[VOR]],Table16[VOR])</f>
        <v>85</v>
      </c>
      <c r="F83" cm="1">
        <f t="array" ref="F83">_xlfn.IFS(C83 = "C",INDEX('C'!$A$2:$L$254,MATCH($A83,'C'!$A$2:$A$254,0),10),C83 = "LW",INDEX(LW!$A$2:$K$180,MATCH($A83,LW!$A$2:$A$180,0),10),C83 = "RW",INDEX('RW'!$A$2:$L$164,MATCH($A83,'RW'!$A$2:$A$164,0),10), C83 = "D",INDEX(D!$A$2:$L$268,MATCH($A83,D!$A$2:$A$268,0),10),C83="G",INDEX(G!$A$2:$Q$78,MATCH($A83,G!$A$2:$A$78,0),16),C83="F",INDEX(F!$A$2:$K$494,MATCH($A83,F!$A$2:$A$494,0),10))</f>
        <v>28</v>
      </c>
      <c r="G83" t="str">
        <f>_xlfn.CONCAT(C83,Table16[[#This Row],[Pos Rank2]])</f>
        <v>D28</v>
      </c>
      <c r="H83" s="10">
        <f>MAX(_xlfn.IFNA(INDEX(Proj[],MATCH(Table16[[#This Row],[Player]],Proj[Player],0),29),-5000), _xlfn.IFNA(INDEX(Goalie[],MATCH(Table16[[#This Row],[Player]],Goalie[player],0),19),-5000))</f>
        <v>439.28207171519136</v>
      </c>
      <c r="I83" t="str">
        <f>IF(_xlfn.IFNA(INDEX(Proj[],MATCH(Table16[[#This Row],[Player]],Proj[Player],0),31),INDEX(Goalie[],MATCH(Table16[[#This Row],[Player]],Goalie[player],0),20)) = 0, "",_xlfn.IFNA(INDEX(Proj[],MATCH(Table16[[#This Row],[Player]],Proj[Player],0),31),INDEX(Goalie[],MATCH(Table16[[#This Row],[Player]],Goalie[player],0),20)))</f>
        <v/>
      </c>
    </row>
    <row r="84" spans="1:9" x14ac:dyDescent="0.25">
      <c r="A84" t="s">
        <v>319</v>
      </c>
      <c r="B84" s="2" t="s">
        <v>3</v>
      </c>
      <c r="C84" t="str">
        <f t="shared" si="1"/>
        <v>D</v>
      </c>
      <c r="D84" s="10">
        <f>MAX(_xlfn.IFNA(INDEX(Proj[],MATCH(Table16[[#This Row],[Player]],Proj[Player],0),27),-5000), _xlfn.IFNA(INDEX(Goalie[],MATCH(Table16[[#This Row],[Player]],Goalie[player],0),17),-5000))</f>
        <v>336.46958051446688</v>
      </c>
      <c r="E84">
        <f>_xlfn.RANK.EQ(Table16[[#This Row],[VOR]],Table16[VOR])</f>
        <v>82</v>
      </c>
      <c r="F84" cm="1">
        <f t="array" ref="F84">_xlfn.IFS(C84 = "C",INDEX('C'!$A$2:$L$254,MATCH($A84,'C'!$A$2:$A$254,0),10),C84 = "LW",INDEX(LW!$A$2:$K$180,MATCH($A84,LW!$A$2:$A$180,0),10),C84 = "RW",INDEX('RW'!$A$2:$L$164,MATCH($A84,'RW'!$A$2:$A$164,0),10), C84 = "D",INDEX(D!$A$2:$L$268,MATCH($A84,D!$A$2:$A$268,0),10),C84="G",INDEX(G!$A$2:$Q$78,MATCH($A84,G!$A$2:$A$78,0),16),C84="F",INDEX(F!$A$2:$K$494,MATCH($A84,F!$A$2:$A$494,0),10))</f>
        <v>27</v>
      </c>
      <c r="G84" t="str">
        <f>_xlfn.CONCAT(C84,Table16[[#This Row],[Pos Rank2]])</f>
        <v>D27</v>
      </c>
      <c r="H84" s="10">
        <f>MAX(_xlfn.IFNA(INDEX(Proj[],MATCH(Table16[[#This Row],[Player]],Proj[Player],0),29),-5000), _xlfn.IFNA(INDEX(Goalie[],MATCH(Table16[[#This Row],[Player]],Goalie[player],0),19),-5000))</f>
        <v>443.83434823393134</v>
      </c>
      <c r="I84" t="str">
        <f>IF(_xlfn.IFNA(INDEX(Proj[],MATCH(Table16[[#This Row],[Player]],Proj[Player],0),31),INDEX(Goalie[],MATCH(Table16[[#This Row],[Player]],Goalie[player],0),20)) = 0, "",_xlfn.IFNA(INDEX(Proj[],MATCH(Table16[[#This Row],[Player]],Proj[Player],0),31),INDEX(Goalie[],MATCH(Table16[[#This Row],[Player]],Goalie[player],0),20)))</f>
        <v/>
      </c>
    </row>
    <row r="85" spans="1:9" x14ac:dyDescent="0.25">
      <c r="A85" t="s">
        <v>272</v>
      </c>
      <c r="B85" s="2" t="s">
        <v>102</v>
      </c>
      <c r="C85" t="str">
        <f t="shared" si="1"/>
        <v>LW</v>
      </c>
      <c r="D85" s="10">
        <f>MAX(_xlfn.IFNA(INDEX(Proj[],MATCH(Table16[[#This Row],[Player]],Proj[Player],0),27),-5000), _xlfn.IFNA(INDEX(Goalie[],MATCH(Table16[[#This Row],[Player]],Goalie[player],0),17),-5000))</f>
        <v>272.64188665784815</v>
      </c>
      <c r="E85">
        <f>_xlfn.RANK.EQ(Table16[[#This Row],[VOR]],Table16[VOR])</f>
        <v>95</v>
      </c>
      <c r="F85" cm="1">
        <f t="array" ref="F85">_xlfn.IFS(C85 = "C",INDEX('C'!$A$2:$L$254,MATCH($A85,'C'!$A$2:$A$254,0),10),C85 = "LW",INDEX(LW!$A$2:$K$180,MATCH($A85,LW!$A$2:$A$180,0),10),C85 = "RW",INDEX('RW'!$A$2:$L$164,MATCH($A85,'RW'!$A$2:$A$164,0),10), C85 = "D",INDEX(D!$A$2:$L$268,MATCH($A85,D!$A$2:$A$268,0),10),C85="G",INDEX(G!$A$2:$Q$78,MATCH($A85,G!$A$2:$A$78,0),16),C85="F",INDEX(F!$A$2:$K$494,MATCH($A85,F!$A$2:$A$494,0),10))</f>
        <v>24</v>
      </c>
      <c r="G85" t="str">
        <f>_xlfn.CONCAT(C85,Table16[[#This Row],[Pos Rank2]])</f>
        <v>LW24</v>
      </c>
      <c r="H85" s="10">
        <f>MAX(_xlfn.IFNA(INDEX(Proj[],MATCH(Table16[[#This Row],[Player]],Proj[Player],0),29),-5000), _xlfn.IFNA(INDEX(Goalie[],MATCH(Table16[[#This Row],[Player]],Goalie[player],0),19),-5000))</f>
        <v>744.18661104809701</v>
      </c>
      <c r="I85" t="str">
        <f>IF(_xlfn.IFNA(INDEX(Proj[],MATCH(Table16[[#This Row],[Player]],Proj[Player],0),31),INDEX(Goalie[],MATCH(Table16[[#This Row],[Player]],Goalie[player],0),20)) = 0, "",_xlfn.IFNA(INDEX(Proj[],MATCH(Table16[[#This Row],[Player]],Proj[Player],0),31),INDEX(Goalie[],MATCH(Table16[[#This Row],[Player]],Goalie[player],0),20)))</f>
        <v/>
      </c>
    </row>
    <row r="86" spans="1:9" x14ac:dyDescent="0.25">
      <c r="A86" t="s">
        <v>862</v>
      </c>
      <c r="B86" s="2" t="s">
        <v>102</v>
      </c>
      <c r="C86" t="str">
        <f t="shared" si="1"/>
        <v>LW</v>
      </c>
      <c r="D86" s="10">
        <f>MAX(_xlfn.IFNA(INDEX(Proj[],MATCH(Table16[[#This Row],[Player]],Proj[Player],0),27),-5000), _xlfn.IFNA(INDEX(Goalie[],MATCH(Table16[[#This Row],[Player]],Goalie[player],0),17),-5000))</f>
        <v>252.18366174906618</v>
      </c>
      <c r="E86">
        <f>_xlfn.RANK.EQ(Table16[[#This Row],[VOR]],Table16[VOR])</f>
        <v>102</v>
      </c>
      <c r="F86" cm="1">
        <f t="array" ref="F86">_xlfn.IFS(C86 = "C",INDEX('C'!$A$2:$L$254,MATCH($A86,'C'!$A$2:$A$254,0),10),C86 = "LW",INDEX(LW!$A$2:$K$180,MATCH($A86,LW!$A$2:$A$180,0),10),C86 = "RW",INDEX('RW'!$A$2:$L$164,MATCH($A86,'RW'!$A$2:$A$164,0),10), C86 = "D",INDEX(D!$A$2:$L$268,MATCH($A86,D!$A$2:$A$268,0),10),C86="G",INDEX(G!$A$2:$Q$78,MATCH($A86,G!$A$2:$A$78,0),16),C86="F",INDEX(F!$A$2:$K$494,MATCH($A86,F!$A$2:$A$494,0),10))</f>
        <v>27</v>
      </c>
      <c r="G86" t="str">
        <f>_xlfn.CONCAT(C86,Table16[[#This Row],[Pos Rank2]])</f>
        <v>LW27</v>
      </c>
      <c r="H86" s="10">
        <f>MAX(_xlfn.IFNA(INDEX(Proj[],MATCH(Table16[[#This Row],[Player]],Proj[Player],0),29),-5000), _xlfn.IFNA(INDEX(Goalie[],MATCH(Table16[[#This Row],[Player]],Goalie[player],0),19),-5000))</f>
        <v>723.72838613931503</v>
      </c>
      <c r="I86" t="str">
        <f>IF(_xlfn.IFNA(INDEX(Proj[],MATCH(Table16[[#This Row],[Player]],Proj[Player],0),31),INDEX(Goalie[],MATCH(Table16[[#This Row],[Player]],Goalie[player],0),20)) = 0, "",_xlfn.IFNA(INDEX(Proj[],MATCH(Table16[[#This Row],[Player]],Proj[Player],0),31),INDEX(Goalie[],MATCH(Table16[[#This Row],[Player]],Goalie[player],0),20)))</f>
        <v/>
      </c>
    </row>
    <row r="87" spans="1:9" x14ac:dyDescent="0.25">
      <c r="A87" t="s">
        <v>397</v>
      </c>
      <c r="B87" s="2" t="s">
        <v>105</v>
      </c>
      <c r="C87" t="str">
        <f t="shared" si="1"/>
        <v>RW</v>
      </c>
      <c r="D87" s="10">
        <f>MAX(_xlfn.IFNA(INDEX(Proj[],MATCH(Table16[[#This Row],[Player]],Proj[Player],0),27),-5000), _xlfn.IFNA(INDEX(Goalie[],MATCH(Table16[[#This Row],[Player]],Goalie[player],0),17),-5000))</f>
        <v>294.58038707027032</v>
      </c>
      <c r="E87">
        <f>_xlfn.RANK.EQ(Table16[[#This Row],[VOR]],Table16[VOR])</f>
        <v>90</v>
      </c>
      <c r="F87" cm="1">
        <f t="array" ref="F87">_xlfn.IFS(C87 = "C",INDEX('C'!$A$2:$L$254,MATCH($A87,'C'!$A$2:$A$254,0),10),C87 = "LW",INDEX(LW!$A$2:$K$180,MATCH($A87,LW!$A$2:$A$180,0),10),C87 = "RW",INDEX('RW'!$A$2:$L$164,MATCH($A87,'RW'!$A$2:$A$164,0),10), C87 = "D",INDEX(D!$A$2:$L$268,MATCH($A87,D!$A$2:$A$268,0),10),C87="G",INDEX(G!$A$2:$Q$78,MATCH($A87,G!$A$2:$A$78,0),16),C87="F",INDEX(F!$A$2:$K$494,MATCH($A87,F!$A$2:$A$494,0),10))</f>
        <v>19</v>
      </c>
      <c r="G87" t="str">
        <f>_xlfn.CONCAT(C87,Table16[[#This Row],[Pos Rank2]])</f>
        <v>RW19</v>
      </c>
      <c r="H87" s="10">
        <f>MAX(_xlfn.IFNA(INDEX(Proj[],MATCH(Table16[[#This Row],[Player]],Proj[Player],0),29),-5000), _xlfn.IFNA(INDEX(Goalie[],MATCH(Table16[[#This Row],[Player]],Goalie[player],0),19),-5000))</f>
        <v>741.12511146051918</v>
      </c>
      <c r="I87" t="str">
        <f>IF(_xlfn.IFNA(INDEX(Proj[],MATCH(Table16[[#This Row],[Player]],Proj[Player],0),31),INDEX(Goalie[],MATCH(Table16[[#This Row],[Player]],Goalie[player],0),20)) = 0, "",_xlfn.IFNA(INDEX(Proj[],MATCH(Table16[[#This Row],[Player]],Proj[Player],0),31),INDEX(Goalie[],MATCH(Table16[[#This Row],[Player]],Goalie[player],0),20)))</f>
        <v/>
      </c>
    </row>
    <row r="88" spans="1:9" x14ac:dyDescent="0.25">
      <c r="A88" t="s">
        <v>1242</v>
      </c>
      <c r="B88" s="2" t="s">
        <v>157</v>
      </c>
      <c r="C88" t="str">
        <f t="shared" si="1"/>
        <v>G</v>
      </c>
      <c r="D88" s="10">
        <f>MAX(_xlfn.IFNA(INDEX(Proj[],MATCH(Table16[[#This Row],[Player]],Proj[Player],0),27),-5000), _xlfn.IFNA(INDEX(Goalie[],MATCH(Table16[[#This Row],[Player]],Goalie[player],0),17),-5000))</f>
        <v>296.45980543886964</v>
      </c>
      <c r="E88">
        <f>_xlfn.RANK.EQ(Table16[[#This Row],[VOR]],Table16[VOR])</f>
        <v>89</v>
      </c>
      <c r="F88" cm="1">
        <f t="array" ref="F88">_xlfn.IFS(C88 = "C",INDEX('C'!$A$2:$L$254,MATCH($A88,'C'!$A$2:$A$254,0),10),C88 = "LW",INDEX(LW!$A$2:$K$180,MATCH($A88,LW!$A$2:$A$180,0),10),C88 = "RW",INDEX('RW'!$A$2:$L$164,MATCH($A88,'RW'!$A$2:$A$164,0),10), C88 = "D",INDEX(D!$A$2:$L$268,MATCH($A88,D!$A$2:$A$268,0),10),C88="G",INDEX(G!$A$2:$Q$78,MATCH($A88,G!$A$2:$A$78,0),16),C88="F",INDEX(F!$A$2:$K$494,MATCH($A88,F!$A$2:$A$494,0),10))</f>
        <v>12</v>
      </c>
      <c r="G88" t="str">
        <f>_xlfn.CONCAT(C88,Table16[[#This Row],[Pos Rank2]])</f>
        <v>G12</v>
      </c>
      <c r="H88" s="10">
        <f>MAX(_xlfn.IFNA(INDEX(Proj[],MATCH(Table16[[#This Row],[Player]],Proj[Player],0),29),-5000), _xlfn.IFNA(INDEX(Goalie[],MATCH(Table16[[#This Row],[Player]],Goalie[player],0),19),-5000))</f>
        <v>597.35439999999994</v>
      </c>
      <c r="I88" t="str">
        <f>IF(_xlfn.IFNA(INDEX(Proj[],MATCH(Table16[[#This Row],[Player]],Proj[Player],0),31),INDEX(Goalie[],MATCH(Table16[[#This Row],[Player]],Goalie[player],0),20)) = 0, "",_xlfn.IFNA(INDEX(Proj[],MATCH(Table16[[#This Row],[Player]],Proj[Player],0),31),INDEX(Goalie[],MATCH(Table16[[#This Row],[Player]],Goalie[player],0),20)))</f>
        <v/>
      </c>
    </row>
    <row r="89" spans="1:9" x14ac:dyDescent="0.25">
      <c r="A89" t="s">
        <v>301</v>
      </c>
      <c r="B89" s="2" t="s">
        <v>104</v>
      </c>
      <c r="C89" t="str">
        <f t="shared" si="1"/>
        <v>RW</v>
      </c>
      <c r="D89" s="10">
        <f>MAX(_xlfn.IFNA(INDEX(Proj[],MATCH(Table16[[#This Row],[Player]],Proj[Player],0),27),-5000), _xlfn.IFNA(INDEX(Goalie[],MATCH(Table16[[#This Row],[Player]],Goalie[player],0),17),-5000))</f>
        <v>264.45752651211382</v>
      </c>
      <c r="E89">
        <f>_xlfn.RANK.EQ(Table16[[#This Row],[VOR]],Table16[VOR])</f>
        <v>98</v>
      </c>
      <c r="F89" cm="1">
        <f t="array" ref="F89">_xlfn.IFS(C89 = "C",INDEX('C'!$A$2:$L$254,MATCH($A89,'C'!$A$2:$A$254,0),10),C89 = "LW",INDEX(LW!$A$2:$K$180,MATCH($A89,LW!$A$2:$A$180,0),10),C89 = "RW",INDEX('RW'!$A$2:$L$164,MATCH($A89,'RW'!$A$2:$A$164,0),10), C89 = "D",INDEX(D!$A$2:$L$268,MATCH($A89,D!$A$2:$A$268,0),10),C89="G",INDEX(G!$A$2:$Q$78,MATCH($A89,G!$A$2:$A$78,0),16),C89="F",INDEX(F!$A$2:$K$494,MATCH($A89,F!$A$2:$A$494,0),10))</f>
        <v>21</v>
      </c>
      <c r="G89" t="str">
        <f>_xlfn.CONCAT(C89,Table16[[#This Row],[Pos Rank2]])</f>
        <v>RW21</v>
      </c>
      <c r="H89" s="10">
        <f>MAX(_xlfn.IFNA(INDEX(Proj[],MATCH(Table16[[#This Row],[Player]],Proj[Player],0),29),-5000), _xlfn.IFNA(INDEX(Goalie[],MATCH(Table16[[#This Row],[Player]],Goalie[player],0),19),-5000))</f>
        <v>711.00225090236268</v>
      </c>
      <c r="I89" t="str">
        <f>IF(_xlfn.IFNA(INDEX(Proj[],MATCH(Table16[[#This Row],[Player]],Proj[Player],0),31),INDEX(Goalie[],MATCH(Table16[[#This Row],[Player]],Goalie[player],0),20)) = 0, "",_xlfn.IFNA(INDEX(Proj[],MATCH(Table16[[#This Row],[Player]],Proj[Player],0),31),INDEX(Goalie[],MATCH(Table16[[#This Row],[Player]],Goalie[player],0),20)))</f>
        <v/>
      </c>
    </row>
    <row r="90" spans="1:9" x14ac:dyDescent="0.25">
      <c r="A90" t="s">
        <v>464</v>
      </c>
      <c r="B90" s="2" t="s">
        <v>101</v>
      </c>
      <c r="C90" t="str">
        <f t="shared" si="1"/>
        <v>LW</v>
      </c>
      <c r="D90" s="10">
        <f>MAX(_xlfn.IFNA(INDEX(Proj[],MATCH(Table16[[#This Row],[Player]],Proj[Player],0),27),-5000), _xlfn.IFNA(INDEX(Goalie[],MATCH(Table16[[#This Row],[Player]],Goalie[player],0),17),-5000))</f>
        <v>263.08912992004974</v>
      </c>
      <c r="E90">
        <f>_xlfn.RANK.EQ(Table16[[#This Row],[VOR]],Table16[VOR])</f>
        <v>100</v>
      </c>
      <c r="F90" cm="1">
        <f t="array" ref="F90">_xlfn.IFS(C90 = "C",INDEX('C'!$A$2:$L$254,MATCH($A90,'C'!$A$2:$A$254,0),10),C90 = "LW",INDEX(LW!$A$2:$K$180,MATCH($A90,LW!$A$2:$A$180,0),10),C90 = "RW",INDEX('RW'!$A$2:$L$164,MATCH($A90,'RW'!$A$2:$A$164,0),10), C90 = "D",INDEX(D!$A$2:$L$268,MATCH($A90,D!$A$2:$A$268,0),10),C90="G",INDEX(G!$A$2:$Q$78,MATCH($A90,G!$A$2:$A$78,0),16),C90="F",INDEX(F!$A$2:$K$494,MATCH($A90,F!$A$2:$A$494,0),10))</f>
        <v>26</v>
      </c>
      <c r="G90" t="str">
        <f>_xlfn.CONCAT(C90,Table16[[#This Row],[Pos Rank2]])</f>
        <v>LW26</v>
      </c>
      <c r="H90" s="10">
        <f>MAX(_xlfn.IFNA(INDEX(Proj[],MATCH(Table16[[#This Row],[Player]],Proj[Player],0),29),-5000), _xlfn.IFNA(INDEX(Goalie[],MATCH(Table16[[#This Row],[Player]],Goalie[player],0),19),-5000))</f>
        <v>734.6338543102986</v>
      </c>
      <c r="I90" t="str">
        <f>IF(_xlfn.IFNA(INDEX(Proj[],MATCH(Table16[[#This Row],[Player]],Proj[Player],0),31),INDEX(Goalie[],MATCH(Table16[[#This Row],[Player]],Goalie[player],0),20)) = 0, "",_xlfn.IFNA(INDEX(Proj[],MATCH(Table16[[#This Row],[Player]],Proj[Player],0),31),INDEX(Goalie[],MATCH(Table16[[#This Row],[Player]],Goalie[player],0),20)))</f>
        <v/>
      </c>
    </row>
    <row r="91" spans="1:9" x14ac:dyDescent="0.25">
      <c r="A91" t="s">
        <v>413</v>
      </c>
      <c r="B91" s="2" t="s">
        <v>105</v>
      </c>
      <c r="C91" t="str">
        <f t="shared" si="1"/>
        <v>RW</v>
      </c>
      <c r="D91" s="10">
        <f>MAX(_xlfn.IFNA(INDEX(Proj[],MATCH(Table16[[#This Row],[Player]],Proj[Player],0),27),-5000), _xlfn.IFNA(INDEX(Goalie[],MATCH(Table16[[#This Row],[Player]],Goalie[player],0),17),-5000))</f>
        <v>434.02181269450017</v>
      </c>
      <c r="E91">
        <f>_xlfn.RANK.EQ(Table16[[#This Row],[VOR]],Table16[VOR])</f>
        <v>61</v>
      </c>
      <c r="F91" cm="1">
        <f t="array" ref="F91">_xlfn.IFS(C91 = "C",INDEX('C'!$A$2:$L$254,MATCH($A91,'C'!$A$2:$A$254,0),10),C91 = "LW",INDEX(LW!$A$2:$K$180,MATCH($A91,LW!$A$2:$A$180,0),10),C91 = "RW",INDEX('RW'!$A$2:$L$164,MATCH($A91,'RW'!$A$2:$A$164,0),10), C91 = "D",INDEX(D!$A$2:$L$268,MATCH($A91,D!$A$2:$A$268,0),10),C91="G",INDEX(G!$A$2:$Q$78,MATCH($A91,G!$A$2:$A$78,0),16),C91="F",INDEX(F!$A$2:$K$494,MATCH($A91,F!$A$2:$A$494,0),10))</f>
        <v>13</v>
      </c>
      <c r="G91" t="str">
        <f>_xlfn.CONCAT(C91,Table16[[#This Row],[Pos Rank2]])</f>
        <v>RW13</v>
      </c>
      <c r="H91" s="10">
        <f>MAX(_xlfn.IFNA(INDEX(Proj[],MATCH(Table16[[#This Row],[Player]],Proj[Player],0),29),-5000), _xlfn.IFNA(INDEX(Goalie[],MATCH(Table16[[#This Row],[Player]],Goalie[player],0),19),-5000))</f>
        <v>880.56653708474903</v>
      </c>
      <c r="I91" t="str">
        <f>IF(_xlfn.IFNA(INDEX(Proj[],MATCH(Table16[[#This Row],[Player]],Proj[Player],0),31),INDEX(Goalie[],MATCH(Table16[[#This Row],[Player]],Goalie[player],0),20)) = 0, "",_xlfn.IFNA(INDEX(Proj[],MATCH(Table16[[#This Row],[Player]],Proj[Player],0),31),INDEX(Goalie[],MATCH(Table16[[#This Row],[Player]],Goalie[player],0),20)))</f>
        <v/>
      </c>
    </row>
    <row r="92" spans="1:9" x14ac:dyDescent="0.25">
      <c r="A92" t="s">
        <v>308</v>
      </c>
      <c r="B92" s="2" t="s">
        <v>103</v>
      </c>
      <c r="C92" t="str">
        <f t="shared" si="1"/>
        <v>RW</v>
      </c>
      <c r="D92" s="10">
        <f>MAX(_xlfn.IFNA(INDEX(Proj[],MATCH(Table16[[#This Row],[Player]],Proj[Player],0),27),-5000), _xlfn.IFNA(INDEX(Goalie[],MATCH(Table16[[#This Row],[Player]],Goalie[player],0),17),-5000))</f>
        <v>239.03352737809706</v>
      </c>
      <c r="E92">
        <f>_xlfn.RANK.EQ(Table16[[#This Row],[VOR]],Table16[VOR])</f>
        <v>105</v>
      </c>
      <c r="F92" cm="1">
        <f t="array" ref="F92">_xlfn.IFS(C92 = "C",INDEX('C'!$A$2:$L$254,MATCH($A92,'C'!$A$2:$A$254,0),10),C92 = "LW",INDEX(LW!$A$2:$K$180,MATCH($A92,LW!$A$2:$A$180,0),10),C92 = "RW",INDEX('RW'!$A$2:$L$164,MATCH($A92,'RW'!$A$2:$A$164,0),10), C92 = "D",INDEX(D!$A$2:$L$268,MATCH($A92,D!$A$2:$A$268,0),10),C92="G",INDEX(G!$A$2:$Q$78,MATCH($A92,G!$A$2:$A$78,0),16),C92="F",INDEX(F!$A$2:$K$494,MATCH($A92,F!$A$2:$A$494,0),10))</f>
        <v>22</v>
      </c>
      <c r="G92" t="str">
        <f>_xlfn.CONCAT(C92,Table16[[#This Row],[Pos Rank2]])</f>
        <v>RW22</v>
      </c>
      <c r="H92" s="10">
        <f>MAX(_xlfn.IFNA(INDEX(Proj[],MATCH(Table16[[#This Row],[Player]],Proj[Player],0),29),-5000), _xlfn.IFNA(INDEX(Goalie[],MATCH(Table16[[#This Row],[Player]],Goalie[player],0),19),-5000))</f>
        <v>685.57825176834592</v>
      </c>
      <c r="I92" t="str">
        <f>IF(_xlfn.IFNA(INDEX(Proj[],MATCH(Table16[[#This Row],[Player]],Proj[Player],0),31),INDEX(Goalie[],MATCH(Table16[[#This Row],[Player]],Goalie[player],0),20)) = 0, "",_xlfn.IFNA(INDEX(Proj[],MATCH(Table16[[#This Row],[Player]],Proj[Player],0),31),INDEX(Goalie[],MATCH(Table16[[#This Row],[Player]],Goalie[player],0),20)))</f>
        <v/>
      </c>
    </row>
    <row r="93" spans="1:9" x14ac:dyDescent="0.25">
      <c r="A93" t="s">
        <v>380</v>
      </c>
      <c r="B93" s="2" t="s">
        <v>3</v>
      </c>
      <c r="C93" t="str">
        <f t="shared" si="1"/>
        <v>D</v>
      </c>
      <c r="D93" s="10">
        <f>MAX(_xlfn.IFNA(INDEX(Proj[],MATCH(Table16[[#This Row],[Player]],Proj[Player],0),27),-5000), _xlfn.IFNA(INDEX(Goalie[],MATCH(Table16[[#This Row],[Player]],Goalie[player],0),17),-5000))</f>
        <v>306.01895381269719</v>
      </c>
      <c r="E93">
        <f>_xlfn.RANK.EQ(Table16[[#This Row],[VOR]],Table16[VOR])</f>
        <v>88</v>
      </c>
      <c r="F93" cm="1">
        <f t="array" ref="F93">_xlfn.IFS(C93 = "C",INDEX('C'!$A$2:$L$254,MATCH($A93,'C'!$A$2:$A$254,0),10),C93 = "LW",INDEX(LW!$A$2:$K$180,MATCH($A93,LW!$A$2:$A$180,0),10),C93 = "RW",INDEX('RW'!$A$2:$L$164,MATCH($A93,'RW'!$A$2:$A$164,0),10), C93 = "D",INDEX(D!$A$2:$L$268,MATCH($A93,D!$A$2:$A$268,0),10),C93="G",INDEX(G!$A$2:$Q$78,MATCH($A93,G!$A$2:$A$78,0),16),C93="F",INDEX(F!$A$2:$K$494,MATCH($A93,F!$A$2:$A$494,0),10))</f>
        <v>29</v>
      </c>
      <c r="G93" t="str">
        <f>_xlfn.CONCAT(C93,Table16[[#This Row],[Pos Rank2]])</f>
        <v>D29</v>
      </c>
      <c r="H93" s="10">
        <f>MAX(_xlfn.IFNA(INDEX(Proj[],MATCH(Table16[[#This Row],[Player]],Proj[Player],0),29),-5000), _xlfn.IFNA(INDEX(Goalie[],MATCH(Table16[[#This Row],[Player]],Goalie[player],0),19),-5000))</f>
        <v>413.3837215321617</v>
      </c>
      <c r="I93" t="str">
        <f>IF(_xlfn.IFNA(INDEX(Proj[],MATCH(Table16[[#This Row],[Player]],Proj[Player],0),31),INDEX(Goalie[],MATCH(Table16[[#This Row],[Player]],Goalie[player],0),20)) = 0, "",_xlfn.IFNA(INDEX(Proj[],MATCH(Table16[[#This Row],[Player]],Proj[Player],0),31),INDEX(Goalie[],MATCH(Table16[[#This Row],[Player]],Goalie[player],0),20)))</f>
        <v/>
      </c>
    </row>
    <row r="94" spans="1:9" x14ac:dyDescent="0.25">
      <c r="A94" t="s">
        <v>324</v>
      </c>
      <c r="B94" s="2" t="s">
        <v>104</v>
      </c>
      <c r="C94" t="str">
        <f t="shared" si="1"/>
        <v>RW</v>
      </c>
      <c r="D94" s="10">
        <f>MAX(_xlfn.IFNA(INDEX(Proj[],MATCH(Table16[[#This Row],[Player]],Proj[Player],0),27),-5000), _xlfn.IFNA(INDEX(Goalie[],MATCH(Table16[[#This Row],[Player]],Goalie[player],0),17),-5000))</f>
        <v>231.85193848992657</v>
      </c>
      <c r="E94">
        <f>_xlfn.RANK.EQ(Table16[[#This Row],[VOR]],Table16[VOR])</f>
        <v>107</v>
      </c>
      <c r="F94" cm="1">
        <f t="array" ref="F94">_xlfn.IFS(C94 = "C",INDEX('C'!$A$2:$L$254,MATCH($A94,'C'!$A$2:$A$254,0),10),C94 = "LW",INDEX(LW!$A$2:$K$180,MATCH($A94,LW!$A$2:$A$180,0),10),C94 = "RW",INDEX('RW'!$A$2:$L$164,MATCH($A94,'RW'!$A$2:$A$164,0),10), C94 = "D",INDEX(D!$A$2:$L$268,MATCH($A94,D!$A$2:$A$268,0),10),C94="G",INDEX(G!$A$2:$Q$78,MATCH($A94,G!$A$2:$A$78,0),16),C94="F",INDEX(F!$A$2:$K$494,MATCH($A94,F!$A$2:$A$494,0),10))</f>
        <v>23</v>
      </c>
      <c r="G94" t="str">
        <f>_xlfn.CONCAT(C94,Table16[[#This Row],[Pos Rank2]])</f>
        <v>RW23</v>
      </c>
      <c r="H94" s="10">
        <f>MAX(_xlfn.IFNA(INDEX(Proj[],MATCH(Table16[[#This Row],[Player]],Proj[Player],0),29),-5000), _xlfn.IFNA(INDEX(Goalie[],MATCH(Table16[[#This Row],[Player]],Goalie[player],0),19),-5000))</f>
        <v>678.39666288017543</v>
      </c>
      <c r="I94" t="str">
        <f>IF(_xlfn.IFNA(INDEX(Proj[],MATCH(Table16[[#This Row],[Player]],Proj[Player],0),31),INDEX(Goalie[],MATCH(Table16[[#This Row],[Player]],Goalie[player],0),20)) = 0, "",_xlfn.IFNA(INDEX(Proj[],MATCH(Table16[[#This Row],[Player]],Proj[Player],0),31),INDEX(Goalie[],MATCH(Table16[[#This Row],[Player]],Goalie[player],0),20)))</f>
        <v/>
      </c>
    </row>
    <row r="95" spans="1:9" x14ac:dyDescent="0.25">
      <c r="A95" t="s">
        <v>180</v>
      </c>
      <c r="B95" s="2" t="s">
        <v>157</v>
      </c>
      <c r="C95" t="str">
        <f t="shared" si="1"/>
        <v>G</v>
      </c>
      <c r="D95" s="10">
        <f>MAX(_xlfn.IFNA(INDEX(Proj[],MATCH(Table16[[#This Row],[Player]],Proj[Player],0),27),-5000), _xlfn.IFNA(INDEX(Goalie[],MATCH(Table16[[#This Row],[Player]],Goalie[player],0),17),-5000))</f>
        <v>263.3002495101457</v>
      </c>
      <c r="E95">
        <f>_xlfn.RANK.EQ(Table16[[#This Row],[VOR]],Table16[VOR])</f>
        <v>99</v>
      </c>
      <c r="F95" cm="1">
        <f t="array" ref="F95">_xlfn.IFS(C95 = "C",INDEX('C'!$A$2:$L$254,MATCH($A95,'C'!$A$2:$A$254,0),10),C95 = "LW",INDEX(LW!$A$2:$K$180,MATCH($A95,LW!$A$2:$A$180,0),10),C95 = "RW",INDEX('RW'!$A$2:$L$164,MATCH($A95,'RW'!$A$2:$A$164,0),10), C95 = "D",INDEX(D!$A$2:$L$268,MATCH($A95,D!$A$2:$A$268,0),10),C95="G",INDEX(G!$A$2:$Q$78,MATCH($A95,G!$A$2:$A$78,0),16),C95="F",INDEX(F!$A$2:$K$494,MATCH($A95,F!$A$2:$A$494,0),10))</f>
        <v>13</v>
      </c>
      <c r="G95" t="str">
        <f>_xlfn.CONCAT(C95,Table16[[#This Row],[Pos Rank2]])</f>
        <v>G13</v>
      </c>
      <c r="H95" s="10">
        <f>MAX(_xlfn.IFNA(INDEX(Proj[],MATCH(Table16[[#This Row],[Player]],Proj[Player],0),29),-5000), _xlfn.IFNA(INDEX(Goalie[],MATCH(Table16[[#This Row],[Player]],Goalie[player],0),19),-5000))</f>
        <v>577.06680000000006</v>
      </c>
      <c r="I95" t="str">
        <f>IF(_xlfn.IFNA(INDEX(Proj[],MATCH(Table16[[#This Row],[Player]],Proj[Player],0),31),INDEX(Goalie[],MATCH(Table16[[#This Row],[Player]],Goalie[player],0),20)) = 0, "",_xlfn.IFNA(INDEX(Proj[],MATCH(Table16[[#This Row],[Player]],Proj[Player],0),31),INDEX(Goalie[],MATCH(Table16[[#This Row],[Player]],Goalie[player],0),20)))</f>
        <v/>
      </c>
    </row>
    <row r="96" spans="1:9" x14ac:dyDescent="0.25">
      <c r="A96" t="s">
        <v>391</v>
      </c>
      <c r="B96" s="2" t="s">
        <v>3</v>
      </c>
      <c r="C96" t="str">
        <f t="shared" si="1"/>
        <v>D</v>
      </c>
      <c r="D96" s="10">
        <f>MAX(_xlfn.IFNA(INDEX(Proj[],MATCH(Table16[[#This Row],[Player]],Proj[Player],0),27),-5000), _xlfn.IFNA(INDEX(Goalie[],MATCH(Table16[[#This Row],[Player]],Goalie[player],0),17),-5000))</f>
        <v>293.23944117545102</v>
      </c>
      <c r="E96">
        <f>_xlfn.RANK.EQ(Table16[[#This Row],[VOR]],Table16[VOR])</f>
        <v>91</v>
      </c>
      <c r="F96" cm="1">
        <f t="array" ref="F96">_xlfn.IFS(C96 = "C",INDEX('C'!$A$2:$L$254,MATCH($A96,'C'!$A$2:$A$254,0),10),C96 = "LW",INDEX(LW!$A$2:$K$180,MATCH($A96,LW!$A$2:$A$180,0),10),C96 = "RW",INDEX('RW'!$A$2:$L$164,MATCH($A96,'RW'!$A$2:$A$164,0),10), C96 = "D",INDEX(D!$A$2:$L$268,MATCH($A96,D!$A$2:$A$268,0),10),C96="G",INDEX(G!$A$2:$Q$78,MATCH($A96,G!$A$2:$A$78,0),16),C96="F",INDEX(F!$A$2:$K$494,MATCH($A96,F!$A$2:$A$494,0),10))</f>
        <v>30</v>
      </c>
      <c r="G96" t="str">
        <f>_xlfn.CONCAT(C96,Table16[[#This Row],[Pos Rank2]])</f>
        <v>D30</v>
      </c>
      <c r="H96" s="10">
        <f>MAX(_xlfn.IFNA(INDEX(Proj[],MATCH(Table16[[#This Row],[Player]],Proj[Player],0),29),-5000), _xlfn.IFNA(INDEX(Goalie[],MATCH(Table16[[#This Row],[Player]],Goalie[player],0),19),-5000))</f>
        <v>400.60420889491547</v>
      </c>
      <c r="I96" t="str">
        <f>IF(_xlfn.IFNA(INDEX(Proj[],MATCH(Table16[[#This Row],[Player]],Proj[Player],0),31),INDEX(Goalie[],MATCH(Table16[[#This Row],[Player]],Goalie[player],0),20)) = 0, "",_xlfn.IFNA(INDEX(Proj[],MATCH(Table16[[#This Row],[Player]],Proj[Player],0),31),INDEX(Goalie[],MATCH(Table16[[#This Row],[Player]],Goalie[player],0),20)))</f>
        <v/>
      </c>
    </row>
    <row r="97" spans="1:9" x14ac:dyDescent="0.25">
      <c r="A97" t="s">
        <v>354</v>
      </c>
      <c r="B97" s="2" t="s">
        <v>74</v>
      </c>
      <c r="C97" t="str">
        <f t="shared" si="1"/>
        <v>C</v>
      </c>
      <c r="D97" s="10">
        <f>MAX(_xlfn.IFNA(INDEX(Proj[],MATCH(Table16[[#This Row],[Player]],Proj[Player],0),27),-5000), _xlfn.IFNA(INDEX(Goalie[],MATCH(Table16[[#This Row],[Player]],Goalie[player],0),17),-5000))</f>
        <v>177.22221460380911</v>
      </c>
      <c r="E97">
        <f>_xlfn.RANK.EQ(Table16[[#This Row],[VOR]],Table16[VOR])</f>
        <v>125</v>
      </c>
      <c r="F97" cm="1">
        <f t="array" ref="F97">_xlfn.IFS(C97 = "C",INDEX('C'!$A$2:$L$254,MATCH($A97,'C'!$A$2:$A$254,0),10),C97 = "LW",INDEX(LW!$A$2:$K$180,MATCH($A97,LW!$A$2:$A$180,0),10),C97 = "RW",INDEX('RW'!$A$2:$L$164,MATCH($A97,'RW'!$A$2:$A$164,0),10), C97 = "D",INDEX(D!$A$2:$L$268,MATCH($A97,D!$A$2:$A$268,0),10),C97="G",INDEX(G!$A$2:$Q$78,MATCH($A97,G!$A$2:$A$78,0),16),C97="F",INDEX(F!$A$2:$K$494,MATCH($A97,F!$A$2:$A$494,0),10))</f>
        <v>31</v>
      </c>
      <c r="G97" t="str">
        <f>_xlfn.CONCAT(C97,Table16[[#This Row],[Pos Rank2]])</f>
        <v>C31</v>
      </c>
      <c r="H97" s="10">
        <f>MAX(_xlfn.IFNA(INDEX(Proj[],MATCH(Table16[[#This Row],[Player]],Proj[Player],0),29),-5000), _xlfn.IFNA(INDEX(Goalie[],MATCH(Table16[[#This Row],[Player]],Goalie[player],0),19),-5000))</f>
        <v>911.85606891410771</v>
      </c>
      <c r="I97" t="str">
        <f>IF(_xlfn.IFNA(INDEX(Proj[],MATCH(Table16[[#This Row],[Player]],Proj[Player],0),31),INDEX(Goalie[],MATCH(Table16[[#This Row],[Player]],Goalie[player],0),20)) = 0, "",_xlfn.IFNA(INDEX(Proj[],MATCH(Table16[[#This Row],[Player]],Proj[Player],0),31),INDEX(Goalie[],MATCH(Table16[[#This Row],[Player]],Goalie[player],0),20)))</f>
        <v/>
      </c>
    </row>
    <row r="98" spans="1:9" x14ac:dyDescent="0.25">
      <c r="A98" t="s">
        <v>478</v>
      </c>
      <c r="B98" s="2" t="s">
        <v>3</v>
      </c>
      <c r="C98" t="str">
        <f t="shared" si="1"/>
        <v>D</v>
      </c>
      <c r="D98" s="10">
        <f>MAX(_xlfn.IFNA(INDEX(Proj[],MATCH(Table16[[#This Row],[Player]],Proj[Player],0),27),-5000), _xlfn.IFNA(INDEX(Goalie[],MATCH(Table16[[#This Row],[Player]],Goalie[player],0),17),-5000))</f>
        <v>377.31294887327056</v>
      </c>
      <c r="E98">
        <f>_xlfn.RANK.EQ(Table16[[#This Row],[VOR]],Table16[VOR])</f>
        <v>75</v>
      </c>
      <c r="F98" cm="1">
        <f t="array" ref="F98">_xlfn.IFS(C98 = "C",INDEX('C'!$A$2:$L$254,MATCH($A98,'C'!$A$2:$A$254,0),10),C98 = "LW",INDEX(LW!$A$2:$K$180,MATCH($A98,LW!$A$2:$A$180,0),10),C98 = "RW",INDEX('RW'!$A$2:$L$164,MATCH($A98,'RW'!$A$2:$A$164,0),10), C98 = "D",INDEX(D!$A$2:$L$268,MATCH($A98,D!$A$2:$A$268,0),10),C98="G",INDEX(G!$A$2:$Q$78,MATCH($A98,G!$A$2:$A$78,0),16),C98="F",INDEX(F!$A$2:$K$494,MATCH($A98,F!$A$2:$A$494,0),10))</f>
        <v>26</v>
      </c>
      <c r="G98" t="str">
        <f>_xlfn.CONCAT(C98,Table16[[#This Row],[Pos Rank2]])</f>
        <v>D26</v>
      </c>
      <c r="H98" s="10">
        <f>MAX(_xlfn.IFNA(INDEX(Proj[],MATCH(Table16[[#This Row],[Player]],Proj[Player],0),29),-5000), _xlfn.IFNA(INDEX(Goalie[],MATCH(Table16[[#This Row],[Player]],Goalie[player],0),19),-5000))</f>
        <v>484.67771659273507</v>
      </c>
      <c r="I98" t="str">
        <f>IF(_xlfn.IFNA(INDEX(Proj[],MATCH(Table16[[#This Row],[Player]],Proj[Player],0),31),INDEX(Goalie[],MATCH(Table16[[#This Row],[Player]],Goalie[player],0),20)) = 0, "",_xlfn.IFNA(INDEX(Proj[],MATCH(Table16[[#This Row],[Player]],Proj[Player],0),31),INDEX(Goalie[],MATCH(Table16[[#This Row],[Player]],Goalie[player],0),20)))</f>
        <v/>
      </c>
    </row>
    <row r="99" spans="1:9" x14ac:dyDescent="0.25">
      <c r="A99" t="s">
        <v>359</v>
      </c>
      <c r="B99" s="2" t="s">
        <v>101</v>
      </c>
      <c r="C99" t="str">
        <f t="shared" si="1"/>
        <v>LW</v>
      </c>
      <c r="D99" s="10">
        <f>MAX(_xlfn.IFNA(INDEX(Proj[],MATCH(Table16[[#This Row],[Player]],Proj[Player],0),27),-5000), _xlfn.IFNA(INDEX(Goalie[],MATCH(Table16[[#This Row],[Player]],Goalie[player],0),17),-5000))</f>
        <v>332.73296472708506</v>
      </c>
      <c r="E99">
        <f>_xlfn.RANK.EQ(Table16[[#This Row],[VOR]],Table16[VOR])</f>
        <v>83</v>
      </c>
      <c r="F99" cm="1">
        <f t="array" ref="F99">_xlfn.IFS(C99 = "C",INDEX('C'!$A$2:$L$254,MATCH($A99,'C'!$A$2:$A$254,0),10),C99 = "LW",INDEX(LW!$A$2:$K$180,MATCH($A99,LW!$A$2:$A$180,0),10),C99 = "RW",INDEX('RW'!$A$2:$L$164,MATCH($A99,'RW'!$A$2:$A$164,0),10), C99 = "D",INDEX(D!$A$2:$L$268,MATCH($A99,D!$A$2:$A$268,0),10),C99="G",INDEX(G!$A$2:$Q$78,MATCH($A99,G!$A$2:$A$78,0),16),C99="F",INDEX(F!$A$2:$K$494,MATCH($A99,F!$A$2:$A$494,0),10))</f>
        <v>21</v>
      </c>
      <c r="G99" t="str">
        <f>_xlfn.CONCAT(C99,Table16[[#This Row],[Pos Rank2]])</f>
        <v>LW21</v>
      </c>
      <c r="H99" s="10">
        <f>MAX(_xlfn.IFNA(INDEX(Proj[],MATCH(Table16[[#This Row],[Player]],Proj[Player],0),29),-5000), _xlfn.IFNA(INDEX(Goalie[],MATCH(Table16[[#This Row],[Player]],Goalie[player],0),19),-5000))</f>
        <v>804.27768911733392</v>
      </c>
      <c r="I99" t="str">
        <f>IF(_xlfn.IFNA(INDEX(Proj[],MATCH(Table16[[#This Row],[Player]],Proj[Player],0),31),INDEX(Goalie[],MATCH(Table16[[#This Row],[Player]],Goalie[player],0),20)) = 0, "",_xlfn.IFNA(INDEX(Proj[],MATCH(Table16[[#This Row],[Player]],Proj[Player],0),31),INDEX(Goalie[],MATCH(Table16[[#This Row],[Player]],Goalie[player],0),20)))</f>
        <v/>
      </c>
    </row>
    <row r="100" spans="1:9" x14ac:dyDescent="0.25">
      <c r="A100" t="s">
        <v>978</v>
      </c>
      <c r="B100" s="2" t="s">
        <v>104</v>
      </c>
      <c r="C100" t="str">
        <f t="shared" si="1"/>
        <v>RW</v>
      </c>
      <c r="D100" s="10">
        <f>MAX(_xlfn.IFNA(INDEX(Proj[],MATCH(Table16[[#This Row],[Player]],Proj[Player],0),27),-5000), _xlfn.IFNA(INDEX(Goalie[],MATCH(Table16[[#This Row],[Player]],Goalie[player],0),17),-5000))</f>
        <v>207.03660664109606</v>
      </c>
      <c r="E100">
        <f>_xlfn.RANK.EQ(Table16[[#This Row],[VOR]],Table16[VOR])</f>
        <v>117</v>
      </c>
      <c r="F100" cm="1">
        <f t="array" ref="F100">_xlfn.IFS(C100 = "C",INDEX('C'!$A$2:$L$254,MATCH($A100,'C'!$A$2:$A$254,0),10),C100 = "LW",INDEX(LW!$A$2:$K$180,MATCH($A100,LW!$A$2:$A$180,0),10),C100 = "RW",INDEX('RW'!$A$2:$L$164,MATCH($A100,'RW'!$A$2:$A$164,0),10), C100 = "D",INDEX(D!$A$2:$L$268,MATCH($A100,D!$A$2:$A$268,0),10),C100="G",INDEX(G!$A$2:$Q$78,MATCH($A100,G!$A$2:$A$78,0),16),C100="F",INDEX(F!$A$2:$K$494,MATCH($A100,F!$A$2:$A$494,0),10))</f>
        <v>24</v>
      </c>
      <c r="G100" t="str">
        <f>_xlfn.CONCAT(C100,Table16[[#This Row],[Pos Rank2]])</f>
        <v>RW24</v>
      </c>
      <c r="H100" s="10">
        <f>MAX(_xlfn.IFNA(INDEX(Proj[],MATCH(Table16[[#This Row],[Player]],Proj[Player],0),29),-5000), _xlfn.IFNA(INDEX(Goalie[],MATCH(Table16[[#This Row],[Player]],Goalie[player],0),19),-5000))</f>
        <v>653.58133103134492</v>
      </c>
      <c r="I100" t="str">
        <f>IF(_xlfn.IFNA(INDEX(Proj[],MATCH(Table16[[#This Row],[Player]],Proj[Player],0),31),INDEX(Goalie[],MATCH(Table16[[#This Row],[Player]],Goalie[player],0),20)) = 0, "",_xlfn.IFNA(INDEX(Proj[],MATCH(Table16[[#This Row],[Player]],Proj[Player],0),31),INDEX(Goalie[],MATCH(Table16[[#This Row],[Player]],Goalie[player],0),20)))</f>
        <v/>
      </c>
    </row>
    <row r="101" spans="1:9" x14ac:dyDescent="0.25">
      <c r="A101" t="s">
        <v>314</v>
      </c>
      <c r="B101" s="2" t="s">
        <v>74</v>
      </c>
      <c r="C101" t="str">
        <f t="shared" si="1"/>
        <v>C</v>
      </c>
      <c r="D101" s="10">
        <f>MAX(_xlfn.IFNA(INDEX(Proj[],MATCH(Table16[[#This Row],[Player]],Proj[Player],0),27),-5000), _xlfn.IFNA(INDEX(Goalie[],MATCH(Table16[[#This Row],[Player]],Goalie[player],0),17),-5000))</f>
        <v>229.31668163777829</v>
      </c>
      <c r="E101">
        <f>_xlfn.RANK.EQ(Table16[[#This Row],[VOR]],Table16[VOR])</f>
        <v>109</v>
      </c>
      <c r="F101" cm="1">
        <f t="array" ref="F101">_xlfn.IFS(C101 = "C",INDEX('C'!$A$2:$L$254,MATCH($A101,'C'!$A$2:$A$254,0),10),C101 = "LW",INDEX(LW!$A$2:$K$180,MATCH($A101,LW!$A$2:$A$180,0),10),C101 = "RW",INDEX('RW'!$A$2:$L$164,MATCH($A101,'RW'!$A$2:$A$164,0),10), C101 = "D",INDEX(D!$A$2:$L$268,MATCH($A101,D!$A$2:$A$268,0),10),C101="G",INDEX(G!$A$2:$Q$78,MATCH($A101,G!$A$2:$A$78,0),16),C101="F",INDEX(F!$A$2:$K$494,MATCH($A101,F!$A$2:$A$494,0),10))</f>
        <v>24</v>
      </c>
      <c r="G101" t="str">
        <f>_xlfn.CONCAT(C101,Table16[[#This Row],[Pos Rank2]])</f>
        <v>C24</v>
      </c>
      <c r="H101" s="10">
        <f>MAX(_xlfn.IFNA(INDEX(Proj[],MATCH(Table16[[#This Row],[Player]],Proj[Player],0),29),-5000), _xlfn.IFNA(INDEX(Goalie[],MATCH(Table16[[#This Row],[Player]],Goalie[player],0),19),-5000))</f>
        <v>963.95053594807689</v>
      </c>
      <c r="I101" t="str">
        <f>IF(_xlfn.IFNA(INDEX(Proj[],MATCH(Table16[[#This Row],[Player]],Proj[Player],0),31),INDEX(Goalie[],MATCH(Table16[[#This Row],[Player]],Goalie[player],0),20)) = 0, "",_xlfn.IFNA(INDEX(Proj[],MATCH(Table16[[#This Row],[Player]],Proj[Player],0),31),INDEX(Goalie[],MATCH(Table16[[#This Row],[Player]],Goalie[player],0),20)))</f>
        <v/>
      </c>
    </row>
    <row r="102" spans="1:9" x14ac:dyDescent="0.25">
      <c r="A102" t="s">
        <v>206</v>
      </c>
      <c r="B102" s="2" t="s">
        <v>157</v>
      </c>
      <c r="C102" t="str">
        <f t="shared" si="1"/>
        <v>G</v>
      </c>
      <c r="D102" s="10">
        <f>MAX(_xlfn.IFNA(INDEX(Proj[],MATCH(Table16[[#This Row],[Player]],Proj[Player],0),27),-5000), _xlfn.IFNA(INDEX(Goalie[],MATCH(Table16[[#This Row],[Player]],Goalie[player],0),17),-5000))</f>
        <v>240.54715457588492</v>
      </c>
      <c r="E102">
        <f>_xlfn.RANK.EQ(Table16[[#This Row],[VOR]],Table16[VOR])</f>
        <v>103</v>
      </c>
      <c r="F102" cm="1">
        <f t="array" ref="F102">_xlfn.IFS(C102 = "C",INDEX('C'!$A$2:$L$254,MATCH($A102,'C'!$A$2:$A$254,0),10),C102 = "LW",INDEX(LW!$A$2:$K$180,MATCH($A102,LW!$A$2:$A$180,0),10),C102 = "RW",INDEX('RW'!$A$2:$L$164,MATCH($A102,'RW'!$A$2:$A$164,0),10), C102 = "D",INDEX(D!$A$2:$L$268,MATCH($A102,D!$A$2:$A$268,0),10),C102="G",INDEX(G!$A$2:$Q$78,MATCH($A102,G!$A$2:$A$78,0),16),C102="F",INDEX(F!$A$2:$K$494,MATCH($A102,F!$A$2:$A$494,0),10))</f>
        <v>14</v>
      </c>
      <c r="G102" t="str">
        <f>_xlfn.CONCAT(C102,Table16[[#This Row],[Pos Rank2]])</f>
        <v>G14</v>
      </c>
      <c r="H102" s="10">
        <f>MAX(_xlfn.IFNA(INDEX(Proj[],MATCH(Table16[[#This Row],[Player]],Proj[Player],0),29),-5000), _xlfn.IFNA(INDEX(Goalie[],MATCH(Table16[[#This Row],[Player]],Goalie[player],0),19),-5000))</f>
        <v>576.94600000000003</v>
      </c>
      <c r="I102" t="str">
        <f>IF(_xlfn.IFNA(INDEX(Proj[],MATCH(Table16[[#This Row],[Player]],Proj[Player],0),31),INDEX(Goalie[],MATCH(Table16[[#This Row],[Player]],Goalie[player],0),20)) = 0, "",_xlfn.IFNA(INDEX(Proj[],MATCH(Table16[[#This Row],[Player]],Proj[Player],0),31),INDEX(Goalie[],MATCH(Table16[[#This Row],[Player]],Goalie[player],0),20)))</f>
        <v/>
      </c>
    </row>
    <row r="103" spans="1:9" x14ac:dyDescent="0.25">
      <c r="A103" t="s">
        <v>271</v>
      </c>
      <c r="B103" s="2" t="s">
        <v>3</v>
      </c>
      <c r="C103" t="str">
        <f t="shared" si="1"/>
        <v>D</v>
      </c>
      <c r="D103" s="10">
        <f>MAX(_xlfn.IFNA(INDEX(Proj[],MATCH(Table16[[#This Row],[Player]],Proj[Player],0),27),-5000), _xlfn.IFNA(INDEX(Goalie[],MATCH(Table16[[#This Row],[Player]],Goalie[player],0),17),-5000))</f>
        <v>272.0004509626873</v>
      </c>
      <c r="E103">
        <f>_xlfn.RANK.EQ(Table16[[#This Row],[VOR]],Table16[VOR])</f>
        <v>96</v>
      </c>
      <c r="F103" cm="1">
        <f t="array" ref="F103">_xlfn.IFS(C103 = "C",INDEX('C'!$A$2:$L$254,MATCH($A103,'C'!$A$2:$A$254,0),10),C103 = "LW",INDEX(LW!$A$2:$K$180,MATCH($A103,LW!$A$2:$A$180,0),10),C103 = "RW",INDEX('RW'!$A$2:$L$164,MATCH($A103,'RW'!$A$2:$A$164,0),10), C103 = "D",INDEX(D!$A$2:$L$268,MATCH($A103,D!$A$2:$A$268,0),10),C103="G",INDEX(G!$A$2:$Q$78,MATCH($A103,G!$A$2:$A$78,0),16),C103="F",INDEX(F!$A$2:$K$494,MATCH($A103,F!$A$2:$A$494,0),10))</f>
        <v>32</v>
      </c>
      <c r="G103" t="str">
        <f>_xlfn.CONCAT(C103,Table16[[#This Row],[Pos Rank2]])</f>
        <v>D32</v>
      </c>
      <c r="H103" s="10">
        <f>MAX(_xlfn.IFNA(INDEX(Proj[],MATCH(Table16[[#This Row],[Player]],Proj[Player],0),29),-5000), _xlfn.IFNA(INDEX(Goalie[],MATCH(Table16[[#This Row],[Player]],Goalie[player],0),19),-5000))</f>
        <v>379.36521868215181</v>
      </c>
      <c r="I103" t="str">
        <f>IF(_xlfn.IFNA(INDEX(Proj[],MATCH(Table16[[#This Row],[Player]],Proj[Player],0),31),INDEX(Goalie[],MATCH(Table16[[#This Row],[Player]],Goalie[player],0),20)) = 0, "",_xlfn.IFNA(INDEX(Proj[],MATCH(Table16[[#This Row],[Player]],Proj[Player],0),31),INDEX(Goalie[],MATCH(Table16[[#This Row],[Player]],Goalie[player],0),20)))</f>
        <v/>
      </c>
    </row>
    <row r="104" spans="1:9" x14ac:dyDescent="0.25">
      <c r="A104" t="s">
        <v>303</v>
      </c>
      <c r="B104" s="2" t="s">
        <v>3</v>
      </c>
      <c r="C104" t="str">
        <f t="shared" si="1"/>
        <v>D</v>
      </c>
      <c r="D104" s="10">
        <f>MAX(_xlfn.IFNA(INDEX(Proj[],MATCH(Table16[[#This Row],[Player]],Proj[Player],0),27),-5000), _xlfn.IFNA(INDEX(Goalie[],MATCH(Table16[[#This Row],[Player]],Goalie[player],0),17),-5000))</f>
        <v>239.35741995568512</v>
      </c>
      <c r="E104">
        <f>_xlfn.RANK.EQ(Table16[[#This Row],[VOR]],Table16[VOR])</f>
        <v>104</v>
      </c>
      <c r="F104" cm="1">
        <f t="array" ref="F104">_xlfn.IFS(C104 = "C",INDEX('C'!$A$2:$L$254,MATCH($A104,'C'!$A$2:$A$254,0),10),C104 = "LW",INDEX(LW!$A$2:$K$180,MATCH($A104,LW!$A$2:$A$180,0),10),C104 = "RW",INDEX('RW'!$A$2:$L$164,MATCH($A104,'RW'!$A$2:$A$164,0),10), C104 = "D",INDEX(D!$A$2:$L$268,MATCH($A104,D!$A$2:$A$268,0),10),C104="G",INDEX(G!$A$2:$Q$78,MATCH($A104,G!$A$2:$A$78,0),16),C104="F",INDEX(F!$A$2:$K$494,MATCH($A104,F!$A$2:$A$494,0),10))</f>
        <v>33</v>
      </c>
      <c r="G104" t="str">
        <f>_xlfn.CONCAT(C104,Table16[[#This Row],[Pos Rank2]])</f>
        <v>D33</v>
      </c>
      <c r="H104" s="10">
        <f>MAX(_xlfn.IFNA(INDEX(Proj[],MATCH(Table16[[#This Row],[Player]],Proj[Player],0),29),-5000), _xlfn.IFNA(INDEX(Goalie[],MATCH(Table16[[#This Row],[Player]],Goalie[player],0),19),-5000))</f>
        <v>346.7221876751496</v>
      </c>
      <c r="I104" t="str">
        <f>IF(_xlfn.IFNA(INDEX(Proj[],MATCH(Table16[[#This Row],[Player]],Proj[Player],0),31),INDEX(Goalie[],MATCH(Table16[[#This Row],[Player]],Goalie[player],0),20)) = 0, "",_xlfn.IFNA(INDEX(Proj[],MATCH(Table16[[#This Row],[Player]],Proj[Player],0),31),INDEX(Goalie[],MATCH(Table16[[#This Row],[Player]],Goalie[player],0),20)))</f>
        <v/>
      </c>
    </row>
    <row r="105" spans="1:9" x14ac:dyDescent="0.25">
      <c r="A105" t="s">
        <v>1247</v>
      </c>
      <c r="B105" s="2" t="s">
        <v>157</v>
      </c>
      <c r="C105" t="str">
        <f t="shared" si="1"/>
        <v>G</v>
      </c>
      <c r="D105" s="10">
        <f>MAX(_xlfn.IFNA(INDEX(Proj[],MATCH(Table16[[#This Row],[Player]],Proj[Player],0),27),-5000), _xlfn.IFNA(INDEX(Goalie[],MATCH(Table16[[#This Row],[Player]],Goalie[player],0),17),-5000))</f>
        <v>207.97588549513875</v>
      </c>
      <c r="E105">
        <f>_xlfn.RANK.EQ(Table16[[#This Row],[VOR]],Table16[VOR])</f>
        <v>116</v>
      </c>
      <c r="F105" cm="1">
        <f t="array" ref="F105">_xlfn.IFS(C105 = "C",INDEX('C'!$A$2:$L$254,MATCH($A105,'C'!$A$2:$A$254,0),10),C105 = "LW",INDEX(LW!$A$2:$K$180,MATCH($A105,LW!$A$2:$A$180,0),10),C105 = "RW",INDEX('RW'!$A$2:$L$164,MATCH($A105,'RW'!$A$2:$A$164,0),10), C105 = "D",INDEX(D!$A$2:$L$268,MATCH($A105,D!$A$2:$A$268,0),10),C105="G",INDEX(G!$A$2:$Q$78,MATCH($A105,G!$A$2:$A$78,0),16),C105="F",INDEX(F!$A$2:$K$494,MATCH($A105,F!$A$2:$A$494,0),10))</f>
        <v>15</v>
      </c>
      <c r="G105" t="str">
        <f>_xlfn.CONCAT(C105,Table16[[#This Row],[Pos Rank2]])</f>
        <v>G15</v>
      </c>
      <c r="H105" s="10">
        <f>MAX(_xlfn.IFNA(INDEX(Proj[],MATCH(Table16[[#This Row],[Player]],Proj[Player],0),29),-5000), _xlfn.IFNA(INDEX(Goalie[],MATCH(Table16[[#This Row],[Player]],Goalie[player],0),19),-5000))</f>
        <v>529.1952</v>
      </c>
      <c r="I105" t="str">
        <f>IF(_xlfn.IFNA(INDEX(Proj[],MATCH(Table16[[#This Row],[Player]],Proj[Player],0),31),INDEX(Goalie[],MATCH(Table16[[#This Row],[Player]],Goalie[player],0),20)) = 0, "",_xlfn.IFNA(INDEX(Proj[],MATCH(Table16[[#This Row],[Player]],Proj[Player],0),31),INDEX(Goalie[],MATCH(Table16[[#This Row],[Player]],Goalie[player],0),20)))</f>
        <v/>
      </c>
    </row>
    <row r="106" spans="1:9" x14ac:dyDescent="0.25">
      <c r="A106" t="s">
        <v>356</v>
      </c>
      <c r="B106" s="2" t="s">
        <v>74</v>
      </c>
      <c r="C106" t="str">
        <f t="shared" si="1"/>
        <v>C</v>
      </c>
      <c r="D106" s="10">
        <f>MAX(_xlfn.IFNA(INDEX(Proj[],MATCH(Table16[[#This Row],[Player]],Proj[Player],0),27),-5000), _xlfn.IFNA(INDEX(Goalie[],MATCH(Table16[[#This Row],[Player]],Goalie[player],0),17),-5000))</f>
        <v>343.08037112954139</v>
      </c>
      <c r="E106">
        <f>_xlfn.RANK.EQ(Table16[[#This Row],[VOR]],Table16[VOR])</f>
        <v>81</v>
      </c>
      <c r="F106" cm="1">
        <f t="array" ref="F106">_xlfn.IFS(C106 = "C",INDEX('C'!$A$2:$L$254,MATCH($A106,'C'!$A$2:$A$254,0),10),C106 = "LW",INDEX(LW!$A$2:$K$180,MATCH($A106,LW!$A$2:$A$180,0),10),C106 = "RW",INDEX('RW'!$A$2:$L$164,MATCH($A106,'RW'!$A$2:$A$164,0),10), C106 = "D",INDEX(D!$A$2:$L$268,MATCH($A106,D!$A$2:$A$268,0),10),C106="G",INDEX(G!$A$2:$Q$78,MATCH($A106,G!$A$2:$A$78,0),16),C106="F",INDEX(F!$A$2:$K$494,MATCH($A106,F!$A$2:$A$494,0),10))</f>
        <v>19</v>
      </c>
      <c r="G106" t="str">
        <f>_xlfn.CONCAT(C106,Table16[[#This Row],[Pos Rank2]])</f>
        <v>C19</v>
      </c>
      <c r="H106" s="10">
        <f>MAX(_xlfn.IFNA(INDEX(Proj[],MATCH(Table16[[#This Row],[Player]],Proj[Player],0),29),-5000), _xlfn.IFNA(INDEX(Goalie[],MATCH(Table16[[#This Row],[Player]],Goalie[player],0),19),-5000))</f>
        <v>1077.71422543984</v>
      </c>
      <c r="I106" t="str">
        <f>IF(_xlfn.IFNA(INDEX(Proj[],MATCH(Table16[[#This Row],[Player]],Proj[Player],0),31),INDEX(Goalie[],MATCH(Table16[[#This Row],[Player]],Goalie[player],0),20)) = 0, "",_xlfn.IFNA(INDEX(Proj[],MATCH(Table16[[#This Row],[Player]],Proj[Player],0),31),INDEX(Goalie[],MATCH(Table16[[#This Row],[Player]],Goalie[player],0),20)))</f>
        <v/>
      </c>
    </row>
    <row r="107" spans="1:9" x14ac:dyDescent="0.25">
      <c r="A107" t="s">
        <v>315</v>
      </c>
      <c r="B107" s="2" t="s">
        <v>3</v>
      </c>
      <c r="C107" t="str">
        <f t="shared" si="1"/>
        <v>D</v>
      </c>
      <c r="D107" s="10">
        <f>MAX(_xlfn.IFNA(INDEX(Proj[],MATCH(Table16[[#This Row],[Player]],Proj[Player],0),27),-5000), _xlfn.IFNA(INDEX(Goalie[],MATCH(Table16[[#This Row],[Player]],Goalie[player],0),17),-5000))</f>
        <v>232.18350170158439</v>
      </c>
      <c r="E107">
        <f>_xlfn.RANK.EQ(Table16[[#This Row],[VOR]],Table16[VOR])</f>
        <v>106</v>
      </c>
      <c r="F107" cm="1">
        <f t="array" ref="F107">_xlfn.IFS(C107 = "C",INDEX('C'!$A$2:$L$254,MATCH($A107,'C'!$A$2:$A$254,0),10),C107 = "LW",INDEX(LW!$A$2:$K$180,MATCH($A107,LW!$A$2:$A$180,0),10),C107 = "RW",INDEX('RW'!$A$2:$L$164,MATCH($A107,'RW'!$A$2:$A$164,0),10), C107 = "D",INDEX(D!$A$2:$L$268,MATCH($A107,D!$A$2:$A$268,0),10),C107="G",INDEX(G!$A$2:$Q$78,MATCH($A107,G!$A$2:$A$78,0),16),C107="F",INDEX(F!$A$2:$K$494,MATCH($A107,F!$A$2:$A$494,0),10))</f>
        <v>34</v>
      </c>
      <c r="G107" t="str">
        <f>_xlfn.CONCAT(C107,Table16[[#This Row],[Pos Rank2]])</f>
        <v>D34</v>
      </c>
      <c r="H107" s="10">
        <f>MAX(_xlfn.IFNA(INDEX(Proj[],MATCH(Table16[[#This Row],[Player]],Proj[Player],0),29),-5000), _xlfn.IFNA(INDEX(Goalie[],MATCH(Table16[[#This Row],[Player]],Goalie[player],0),19),-5000))</f>
        <v>339.54826942104887</v>
      </c>
      <c r="I107" t="str">
        <f>IF(_xlfn.IFNA(INDEX(Proj[],MATCH(Table16[[#This Row],[Player]],Proj[Player],0),31),INDEX(Goalie[],MATCH(Table16[[#This Row],[Player]],Goalie[player],0),20)) = 0, "",_xlfn.IFNA(INDEX(Proj[],MATCH(Table16[[#This Row],[Player]],Proj[Player],0),31),INDEX(Goalie[],MATCH(Table16[[#This Row],[Player]],Goalie[player],0),20)))</f>
        <v/>
      </c>
    </row>
    <row r="108" spans="1:9" x14ac:dyDescent="0.25">
      <c r="A108" t="s">
        <v>1212</v>
      </c>
      <c r="B108" s="2" t="s">
        <v>3</v>
      </c>
      <c r="C108" t="str">
        <f t="shared" si="1"/>
        <v>D</v>
      </c>
      <c r="D108" s="10">
        <f>MAX(_xlfn.IFNA(INDEX(Proj[],MATCH(Table16[[#This Row],[Player]],Proj[Player],0),27),-5000), _xlfn.IFNA(INDEX(Goalie[],MATCH(Table16[[#This Row],[Player]],Goalie[player],0),17),-5000))</f>
        <v>230.08970699010146</v>
      </c>
      <c r="E108">
        <f>_xlfn.RANK.EQ(Table16[[#This Row],[VOR]],Table16[VOR])</f>
        <v>108</v>
      </c>
      <c r="F108" cm="1">
        <f t="array" ref="F108">_xlfn.IFS(C108 = "C",INDEX('C'!$A$2:$L$254,MATCH($A108,'C'!$A$2:$A$254,0),10),C108 = "LW",INDEX(LW!$A$2:$K$180,MATCH($A108,LW!$A$2:$A$180,0),10),C108 = "RW",INDEX('RW'!$A$2:$L$164,MATCH($A108,'RW'!$A$2:$A$164,0),10), C108 = "D",INDEX(D!$A$2:$L$268,MATCH($A108,D!$A$2:$A$268,0),10),C108="G",INDEX(G!$A$2:$Q$78,MATCH($A108,G!$A$2:$A$78,0),16),C108="F",INDEX(F!$A$2:$K$494,MATCH($A108,F!$A$2:$A$494,0),10))</f>
        <v>35</v>
      </c>
      <c r="G108" t="str">
        <f>_xlfn.CONCAT(C108,Table16[[#This Row],[Pos Rank2]])</f>
        <v>D35</v>
      </c>
      <c r="H108" s="10">
        <f>MAX(_xlfn.IFNA(INDEX(Proj[],MATCH(Table16[[#This Row],[Player]],Proj[Player],0),29),-5000), _xlfn.IFNA(INDEX(Goalie[],MATCH(Table16[[#This Row],[Player]],Goalie[player],0),19),-5000))</f>
        <v>337.45447470956594</v>
      </c>
      <c r="I108" t="str">
        <f>IF(_xlfn.IFNA(INDEX(Proj[],MATCH(Table16[[#This Row],[Player]],Proj[Player],0),31),INDEX(Goalie[],MATCH(Table16[[#This Row],[Player]],Goalie[player],0),20)) = 0, "",_xlfn.IFNA(INDEX(Proj[],MATCH(Table16[[#This Row],[Player]],Proj[Player],0),31),INDEX(Goalie[],MATCH(Table16[[#This Row],[Player]],Goalie[player],0),20)))</f>
        <v/>
      </c>
    </row>
    <row r="109" spans="1:9" x14ac:dyDescent="0.25">
      <c r="A109" t="s">
        <v>484</v>
      </c>
      <c r="B109" s="2" t="s">
        <v>105</v>
      </c>
      <c r="C109" t="str">
        <f t="shared" si="1"/>
        <v>RW</v>
      </c>
      <c r="D109" s="10">
        <f>MAX(_xlfn.IFNA(INDEX(Proj[],MATCH(Table16[[#This Row],[Player]],Proj[Player],0),27),-5000), _xlfn.IFNA(INDEX(Goalie[],MATCH(Table16[[#This Row],[Player]],Goalie[player],0),17),-5000))</f>
        <v>134.32455899109226</v>
      </c>
      <c r="E109">
        <f>_xlfn.RANK.EQ(Table16[[#This Row],[VOR]],Table16[VOR])</f>
        <v>136</v>
      </c>
      <c r="F109" cm="1">
        <f t="array" ref="F109">_xlfn.IFS(C109 = "C",INDEX('C'!$A$2:$L$254,MATCH($A109,'C'!$A$2:$A$254,0),10),C109 = "LW",INDEX(LW!$A$2:$K$180,MATCH($A109,LW!$A$2:$A$180,0),10),C109 = "RW",INDEX('RW'!$A$2:$L$164,MATCH($A109,'RW'!$A$2:$A$164,0),10), C109 = "D",INDEX(D!$A$2:$L$268,MATCH($A109,D!$A$2:$A$268,0),10),C109="G",INDEX(G!$A$2:$Q$78,MATCH($A109,G!$A$2:$A$78,0),16),C109="F",INDEX(F!$A$2:$K$494,MATCH($A109,F!$A$2:$A$494,0),10))</f>
        <v>28</v>
      </c>
      <c r="G109" t="str">
        <f>_xlfn.CONCAT(C109,Table16[[#This Row],[Pos Rank2]])</f>
        <v>RW28</v>
      </c>
      <c r="H109" s="10">
        <f>MAX(_xlfn.IFNA(INDEX(Proj[],MATCH(Table16[[#This Row],[Player]],Proj[Player],0),29),-5000), _xlfn.IFNA(INDEX(Goalie[],MATCH(Table16[[#This Row],[Player]],Goalie[player],0),19),-5000))</f>
        <v>580.86928338134112</v>
      </c>
      <c r="I109" t="str">
        <f>IF(_xlfn.IFNA(INDEX(Proj[],MATCH(Table16[[#This Row],[Player]],Proj[Player],0),31),INDEX(Goalie[],MATCH(Table16[[#This Row],[Player]],Goalie[player],0),20)) = 0, "",_xlfn.IFNA(INDEX(Proj[],MATCH(Table16[[#This Row],[Player]],Proj[Player],0),31),INDEX(Goalie[],MATCH(Table16[[#This Row],[Player]],Goalie[player],0),20)))</f>
        <v/>
      </c>
    </row>
    <row r="110" spans="1:9" x14ac:dyDescent="0.25">
      <c r="A110" t="s">
        <v>387</v>
      </c>
      <c r="B110" s="2" t="s">
        <v>3</v>
      </c>
      <c r="C110" t="str">
        <f t="shared" si="1"/>
        <v>D</v>
      </c>
      <c r="D110" s="10">
        <f>MAX(_xlfn.IFNA(INDEX(Proj[],MATCH(Table16[[#This Row],[Player]],Proj[Player],0),27),-5000), _xlfn.IFNA(INDEX(Goalie[],MATCH(Table16[[#This Row],[Player]],Goalie[player],0),17),-5000))</f>
        <v>208.32255385170035</v>
      </c>
      <c r="E110">
        <f>_xlfn.RANK.EQ(Table16[[#This Row],[VOR]],Table16[VOR])</f>
        <v>115</v>
      </c>
      <c r="F110" cm="1">
        <f t="array" ref="F110">_xlfn.IFS(C110 = "C",INDEX('C'!$A$2:$L$254,MATCH($A110,'C'!$A$2:$A$254,0),10),C110 = "LW",INDEX(LW!$A$2:$K$180,MATCH($A110,LW!$A$2:$A$180,0),10),C110 = "RW",INDEX('RW'!$A$2:$L$164,MATCH($A110,'RW'!$A$2:$A$164,0),10), C110 = "D",INDEX(D!$A$2:$L$268,MATCH($A110,D!$A$2:$A$268,0),10),C110="G",INDEX(G!$A$2:$Q$78,MATCH($A110,G!$A$2:$A$78,0),16),C110="F",INDEX(F!$A$2:$K$494,MATCH($A110,F!$A$2:$A$494,0),10))</f>
        <v>40</v>
      </c>
      <c r="G110" t="str">
        <f>_xlfn.CONCAT(C110,Table16[[#This Row],[Pos Rank2]])</f>
        <v>D40</v>
      </c>
      <c r="H110" s="10">
        <f>MAX(_xlfn.IFNA(INDEX(Proj[],MATCH(Table16[[#This Row],[Player]],Proj[Player],0),29),-5000), _xlfn.IFNA(INDEX(Goalie[],MATCH(Table16[[#This Row],[Player]],Goalie[player],0),19),-5000))</f>
        <v>315.68732157116483</v>
      </c>
      <c r="I110" t="str">
        <f>IF(_xlfn.IFNA(INDEX(Proj[],MATCH(Table16[[#This Row],[Player]],Proj[Player],0),31),INDEX(Goalie[],MATCH(Table16[[#This Row],[Player]],Goalie[player],0),20)) = 0, "",_xlfn.IFNA(INDEX(Proj[],MATCH(Table16[[#This Row],[Player]],Proj[Player],0),31),INDEX(Goalie[],MATCH(Table16[[#This Row],[Player]],Goalie[player],0),20)))</f>
        <v/>
      </c>
    </row>
    <row r="111" spans="1:9" x14ac:dyDescent="0.25">
      <c r="A111" t="s">
        <v>296</v>
      </c>
      <c r="B111" s="2" t="s">
        <v>3</v>
      </c>
      <c r="C111" t="str">
        <f t="shared" si="1"/>
        <v>D</v>
      </c>
      <c r="D111" s="10">
        <f>MAX(_xlfn.IFNA(INDEX(Proj[],MATCH(Table16[[#This Row],[Player]],Proj[Player],0),27),-5000), _xlfn.IFNA(INDEX(Goalie[],MATCH(Table16[[#This Row],[Player]],Goalie[player],0),17),-5000))</f>
        <v>218.63063479133419</v>
      </c>
      <c r="E111">
        <f>_xlfn.RANK.EQ(Table16[[#This Row],[VOR]],Table16[VOR])</f>
        <v>112</v>
      </c>
      <c r="F111" cm="1">
        <f t="array" ref="F111">_xlfn.IFS(C111 = "C",INDEX('C'!$A$2:$L$254,MATCH($A111,'C'!$A$2:$A$254,0),10),C111 = "LW",INDEX(LW!$A$2:$K$180,MATCH($A111,LW!$A$2:$A$180,0),10),C111 = "RW",INDEX('RW'!$A$2:$L$164,MATCH($A111,'RW'!$A$2:$A$164,0),10), C111 = "D",INDEX(D!$A$2:$L$268,MATCH($A111,D!$A$2:$A$268,0),10),C111="G",INDEX(G!$A$2:$Q$78,MATCH($A111,G!$A$2:$A$78,0),16),C111="F",INDEX(F!$A$2:$K$494,MATCH($A111,F!$A$2:$A$494,0),10))</f>
        <v>37</v>
      </c>
      <c r="G111" t="str">
        <f>_xlfn.CONCAT(C111,Table16[[#This Row],[Pos Rank2]])</f>
        <v>D37</v>
      </c>
      <c r="H111" s="10">
        <f>MAX(_xlfn.IFNA(INDEX(Proj[],MATCH(Table16[[#This Row],[Player]],Proj[Player],0),29),-5000), _xlfn.IFNA(INDEX(Goalie[],MATCH(Table16[[#This Row],[Player]],Goalie[player],0),19),-5000))</f>
        <v>325.99540251079867</v>
      </c>
      <c r="I111" t="str">
        <f>IF(_xlfn.IFNA(INDEX(Proj[],MATCH(Table16[[#This Row],[Player]],Proj[Player],0),31),INDEX(Goalie[],MATCH(Table16[[#This Row],[Player]],Goalie[player],0),20)) = 0, "",_xlfn.IFNA(INDEX(Proj[],MATCH(Table16[[#This Row],[Player]],Proj[Player],0),31),INDEX(Goalie[],MATCH(Table16[[#This Row],[Player]],Goalie[player],0),20)))</f>
        <v/>
      </c>
    </row>
    <row r="112" spans="1:9" x14ac:dyDescent="0.25">
      <c r="A112" t="s">
        <v>1074</v>
      </c>
      <c r="B112" s="2" t="s">
        <v>3</v>
      </c>
      <c r="C112" t="str">
        <f t="shared" si="1"/>
        <v>D</v>
      </c>
      <c r="D112" s="10">
        <f>MAX(_xlfn.IFNA(INDEX(Proj[],MATCH(Table16[[#This Row],[Player]],Proj[Player],0),27),-5000), _xlfn.IFNA(INDEX(Goalie[],MATCH(Table16[[#This Row],[Player]],Goalie[player],0),17),-5000))</f>
        <v>218.42405474360484</v>
      </c>
      <c r="E112">
        <f>_xlfn.RANK.EQ(Table16[[#This Row],[VOR]],Table16[VOR])</f>
        <v>113</v>
      </c>
      <c r="F112" cm="1">
        <f t="array" ref="F112">_xlfn.IFS(C112 = "C",INDEX('C'!$A$2:$L$254,MATCH($A112,'C'!$A$2:$A$254,0),10),C112 = "LW",INDEX(LW!$A$2:$K$180,MATCH($A112,LW!$A$2:$A$180,0),10),C112 = "RW",INDEX('RW'!$A$2:$L$164,MATCH($A112,'RW'!$A$2:$A$164,0),10), C112 = "D",INDEX(D!$A$2:$L$268,MATCH($A112,D!$A$2:$A$268,0),10),C112="G",INDEX(G!$A$2:$Q$78,MATCH($A112,G!$A$2:$A$78,0),16),C112="F",INDEX(F!$A$2:$K$494,MATCH($A112,F!$A$2:$A$494,0),10))</f>
        <v>38</v>
      </c>
      <c r="G112" t="str">
        <f>_xlfn.CONCAT(C112,Table16[[#This Row],[Pos Rank2]])</f>
        <v>D38</v>
      </c>
      <c r="H112" s="10">
        <f>MAX(_xlfn.IFNA(INDEX(Proj[],MATCH(Table16[[#This Row],[Player]],Proj[Player],0),29),-5000), _xlfn.IFNA(INDEX(Goalie[],MATCH(Table16[[#This Row],[Player]],Goalie[player],0),19),-5000))</f>
        <v>325.78882246306932</v>
      </c>
      <c r="I112" t="str">
        <f>IF(_xlfn.IFNA(INDEX(Proj[],MATCH(Table16[[#This Row],[Player]],Proj[Player],0),31),INDEX(Goalie[],MATCH(Table16[[#This Row],[Player]],Goalie[player],0),20)) = 0, "",_xlfn.IFNA(INDEX(Proj[],MATCH(Table16[[#This Row],[Player]],Proj[Player],0),31),INDEX(Goalie[],MATCH(Table16[[#This Row],[Player]],Goalie[player],0),20)))</f>
        <v/>
      </c>
    </row>
    <row r="113" spans="1:9" x14ac:dyDescent="0.25">
      <c r="A113" t="s">
        <v>182</v>
      </c>
      <c r="B113" s="2" t="s">
        <v>157</v>
      </c>
      <c r="C113" t="str">
        <f t="shared" si="1"/>
        <v>G</v>
      </c>
      <c r="D113" s="10">
        <f>MAX(_xlfn.IFNA(INDEX(Proj[],MATCH(Table16[[#This Row],[Player]],Proj[Player],0),27),-5000), _xlfn.IFNA(INDEX(Goalie[],MATCH(Table16[[#This Row],[Player]],Goalie[player],0),17),-5000))</f>
        <v>184.61524449874111</v>
      </c>
      <c r="E113">
        <f>_xlfn.RANK.EQ(Table16[[#This Row],[VOR]],Table16[VOR])</f>
        <v>124</v>
      </c>
      <c r="F113" cm="1">
        <f t="array" ref="F113">_xlfn.IFS(C113 = "C",INDEX('C'!$A$2:$L$254,MATCH($A113,'C'!$A$2:$A$254,0),10),C113 = "LW",INDEX(LW!$A$2:$K$180,MATCH($A113,LW!$A$2:$A$180,0),10),C113 = "RW",INDEX('RW'!$A$2:$L$164,MATCH($A113,'RW'!$A$2:$A$164,0),10), C113 = "D",INDEX(D!$A$2:$L$268,MATCH($A113,D!$A$2:$A$268,0),10),C113="G",INDEX(G!$A$2:$Q$78,MATCH($A113,G!$A$2:$A$78,0),16),C113="F",INDEX(F!$A$2:$K$494,MATCH($A113,F!$A$2:$A$494,0),10))</f>
        <v>16</v>
      </c>
      <c r="G113" t="str">
        <f>_xlfn.CONCAT(C113,Table16[[#This Row],[Pos Rank2]])</f>
        <v>G16</v>
      </c>
      <c r="H113" s="10">
        <f>MAX(_xlfn.IFNA(INDEX(Proj[],MATCH(Table16[[#This Row],[Player]],Proj[Player],0),29),-5000), _xlfn.IFNA(INDEX(Goalie[],MATCH(Table16[[#This Row],[Player]],Goalie[player],0),19),-5000))</f>
        <v>576.26470000000006</v>
      </c>
      <c r="I113" t="str">
        <f>IF(_xlfn.IFNA(INDEX(Proj[],MATCH(Table16[[#This Row],[Player]],Proj[Player],0),31),INDEX(Goalie[],MATCH(Table16[[#This Row],[Player]],Goalie[player],0),20)) = 0, "",_xlfn.IFNA(INDEX(Proj[],MATCH(Table16[[#This Row],[Player]],Proj[Player],0),31),INDEX(Goalie[],MATCH(Table16[[#This Row],[Player]],Goalie[player],0),20)))</f>
        <v/>
      </c>
    </row>
    <row r="114" spans="1:9" x14ac:dyDescent="0.25">
      <c r="A114" t="s">
        <v>379</v>
      </c>
      <c r="B114" s="2" t="s">
        <v>3</v>
      </c>
      <c r="C114" t="str">
        <f t="shared" si="1"/>
        <v>D</v>
      </c>
      <c r="D114" s="10">
        <f>MAX(_xlfn.IFNA(INDEX(Proj[],MATCH(Table16[[#This Row],[Player]],Proj[Player],0),27),-5000), _xlfn.IFNA(INDEX(Goalie[],MATCH(Table16[[#This Row],[Player]],Goalie[player],0),17),-5000))</f>
        <v>214.20900697124986</v>
      </c>
      <c r="E114">
        <f>_xlfn.RANK.EQ(Table16[[#This Row],[VOR]],Table16[VOR])</f>
        <v>114</v>
      </c>
      <c r="F114" cm="1">
        <f t="array" ref="F114">_xlfn.IFS(C114 = "C",INDEX('C'!$A$2:$L$254,MATCH($A114,'C'!$A$2:$A$254,0),10),C114 = "LW",INDEX(LW!$A$2:$K$180,MATCH($A114,LW!$A$2:$A$180,0),10),C114 = "RW",INDEX('RW'!$A$2:$L$164,MATCH($A114,'RW'!$A$2:$A$164,0),10), C114 = "D",INDEX(D!$A$2:$L$268,MATCH($A114,D!$A$2:$A$268,0),10),C114="G",INDEX(G!$A$2:$Q$78,MATCH($A114,G!$A$2:$A$78,0),16),C114="F",INDEX(F!$A$2:$K$494,MATCH($A114,F!$A$2:$A$494,0),10))</f>
        <v>39</v>
      </c>
      <c r="G114" t="str">
        <f>_xlfn.CONCAT(C114,Table16[[#This Row],[Pos Rank2]])</f>
        <v>D39</v>
      </c>
      <c r="H114" s="10">
        <f>MAX(_xlfn.IFNA(INDEX(Proj[],MATCH(Table16[[#This Row],[Player]],Proj[Player],0),29),-5000), _xlfn.IFNA(INDEX(Goalie[],MATCH(Table16[[#This Row],[Player]],Goalie[player],0),19),-5000))</f>
        <v>321.57377469071434</v>
      </c>
      <c r="I114" t="str">
        <f>IF(_xlfn.IFNA(INDEX(Proj[],MATCH(Table16[[#This Row],[Player]],Proj[Player],0),31),INDEX(Goalie[],MATCH(Table16[[#This Row],[Player]],Goalie[player],0),20)) = 0, "",_xlfn.IFNA(INDEX(Proj[],MATCH(Table16[[#This Row],[Player]],Proj[Player],0),31),INDEX(Goalie[],MATCH(Table16[[#This Row],[Player]],Goalie[player],0),20)))</f>
        <v/>
      </c>
    </row>
    <row r="115" spans="1:9" x14ac:dyDescent="0.25">
      <c r="A115" t="s">
        <v>601</v>
      </c>
      <c r="B115" s="2" t="s">
        <v>101</v>
      </c>
      <c r="C115" t="str">
        <f t="shared" si="1"/>
        <v>LW</v>
      </c>
      <c r="D115" s="10">
        <f>MAX(_xlfn.IFNA(INDEX(Proj[],MATCH(Table16[[#This Row],[Player]],Proj[Player],0),27),-5000), _xlfn.IFNA(INDEX(Goalie[],MATCH(Table16[[#This Row],[Player]],Goalie[player],0),17),-5000))</f>
        <v>137.73224302573163</v>
      </c>
      <c r="E115">
        <f>_xlfn.RANK.EQ(Table16[[#This Row],[VOR]],Table16[VOR])</f>
        <v>135</v>
      </c>
      <c r="F115" cm="1">
        <f t="array" ref="F115">_xlfn.IFS(C115 = "C",INDEX('C'!$A$2:$L$254,MATCH($A115,'C'!$A$2:$A$254,0),10),C115 = "LW",INDEX(LW!$A$2:$K$180,MATCH($A115,LW!$A$2:$A$180,0),10),C115 = "RW",INDEX('RW'!$A$2:$L$164,MATCH($A115,'RW'!$A$2:$A$164,0),10), C115 = "D",INDEX(D!$A$2:$L$268,MATCH($A115,D!$A$2:$A$268,0),10),C115="G",INDEX(G!$A$2:$Q$78,MATCH($A115,G!$A$2:$A$78,0),16),C115="F",INDEX(F!$A$2:$K$494,MATCH($A115,F!$A$2:$A$494,0),10))</f>
        <v>34</v>
      </c>
      <c r="G115" t="str">
        <f>_xlfn.CONCAT(C115,Table16[[#This Row],[Pos Rank2]])</f>
        <v>LW34</v>
      </c>
      <c r="H115" s="10">
        <f>MAX(_xlfn.IFNA(INDEX(Proj[],MATCH(Table16[[#This Row],[Player]],Proj[Player],0),29),-5000), _xlfn.IFNA(INDEX(Goalie[],MATCH(Table16[[#This Row],[Player]],Goalie[player],0),19),-5000))</f>
        <v>609.27696741598049</v>
      </c>
      <c r="I115" t="str">
        <f>IF(_xlfn.IFNA(INDEX(Proj[],MATCH(Table16[[#This Row],[Player]],Proj[Player],0),31),INDEX(Goalie[],MATCH(Table16[[#This Row],[Player]],Goalie[player],0),20)) = 0, "",_xlfn.IFNA(INDEX(Proj[],MATCH(Table16[[#This Row],[Player]],Proj[Player],0),31),INDEX(Goalie[],MATCH(Table16[[#This Row],[Player]],Goalie[player],0),20)))</f>
        <v/>
      </c>
    </row>
    <row r="116" spans="1:9" x14ac:dyDescent="0.25">
      <c r="A116" t="s">
        <v>1150</v>
      </c>
      <c r="B116" s="2" t="s">
        <v>105</v>
      </c>
      <c r="C116" t="str">
        <f t="shared" si="1"/>
        <v>RW</v>
      </c>
      <c r="D116" s="10">
        <f>MAX(_xlfn.IFNA(INDEX(Proj[],MATCH(Table16[[#This Row],[Player]],Proj[Player],0),27),-5000), _xlfn.IFNA(INDEX(Goalie[],MATCH(Table16[[#This Row],[Player]],Goalie[player],0),17),-5000))</f>
        <v>156.65115936068634</v>
      </c>
      <c r="E116">
        <f>_xlfn.RANK.EQ(Table16[[#This Row],[VOR]],Table16[VOR])</f>
        <v>128</v>
      </c>
      <c r="F116" cm="1">
        <f t="array" ref="F116">_xlfn.IFS(C116 = "C",INDEX('C'!$A$2:$L$254,MATCH($A116,'C'!$A$2:$A$254,0),10),C116 = "LW",INDEX(LW!$A$2:$K$180,MATCH($A116,LW!$A$2:$A$180,0),10),C116 = "RW",INDEX('RW'!$A$2:$L$164,MATCH($A116,'RW'!$A$2:$A$164,0),10), C116 = "D",INDEX(D!$A$2:$L$268,MATCH($A116,D!$A$2:$A$268,0),10),C116="G",INDEX(G!$A$2:$Q$78,MATCH($A116,G!$A$2:$A$78,0),16),C116="F",INDEX(F!$A$2:$K$494,MATCH($A116,F!$A$2:$A$494,0),10))</f>
        <v>25</v>
      </c>
      <c r="G116" t="str">
        <f>_xlfn.CONCAT(C116,Table16[[#This Row],[Pos Rank2]])</f>
        <v>RW25</v>
      </c>
      <c r="H116" s="10">
        <f>MAX(_xlfn.IFNA(INDEX(Proj[],MATCH(Table16[[#This Row],[Player]],Proj[Player],0),29),-5000), _xlfn.IFNA(INDEX(Goalie[],MATCH(Table16[[#This Row],[Player]],Goalie[player],0),19),-5000))</f>
        <v>603.1958837509352</v>
      </c>
      <c r="I116" t="str">
        <f>IF(_xlfn.IFNA(INDEX(Proj[],MATCH(Table16[[#This Row],[Player]],Proj[Player],0),31),INDEX(Goalie[],MATCH(Table16[[#This Row],[Player]],Goalie[player],0),20)) = 0, "",_xlfn.IFNA(INDEX(Proj[],MATCH(Table16[[#This Row],[Player]],Proj[Player],0),31),INDEX(Goalie[],MATCH(Table16[[#This Row],[Player]],Goalie[player],0),20)))</f>
        <v/>
      </c>
    </row>
    <row r="117" spans="1:9" x14ac:dyDescent="0.25">
      <c r="A117" t="s">
        <v>282</v>
      </c>
      <c r="B117" s="2" t="s">
        <v>3</v>
      </c>
      <c r="C117" t="str">
        <f t="shared" si="1"/>
        <v>D</v>
      </c>
      <c r="D117" s="10">
        <f>MAX(_xlfn.IFNA(INDEX(Proj[],MATCH(Table16[[#This Row],[Player]],Proj[Player],0),27),-5000), _xlfn.IFNA(INDEX(Goalie[],MATCH(Table16[[#This Row],[Player]],Goalie[player],0),17),-5000))</f>
        <v>220.27368604003701</v>
      </c>
      <c r="E117">
        <f>_xlfn.RANK.EQ(Table16[[#This Row],[VOR]],Table16[VOR])</f>
        <v>111</v>
      </c>
      <c r="F117" cm="1">
        <f t="array" ref="F117">_xlfn.IFS(C117 = "C",INDEX('C'!$A$2:$L$254,MATCH($A117,'C'!$A$2:$A$254,0),10),C117 = "LW",INDEX(LW!$A$2:$K$180,MATCH($A117,LW!$A$2:$A$180,0),10),C117 = "RW",INDEX('RW'!$A$2:$L$164,MATCH($A117,'RW'!$A$2:$A$164,0),10), C117 = "D",INDEX(D!$A$2:$L$268,MATCH($A117,D!$A$2:$A$268,0),10),C117="G",INDEX(G!$A$2:$Q$78,MATCH($A117,G!$A$2:$A$78,0),16),C117="F",INDEX(F!$A$2:$K$494,MATCH($A117,F!$A$2:$A$494,0),10))</f>
        <v>36</v>
      </c>
      <c r="G117" t="str">
        <f>_xlfn.CONCAT(C117,Table16[[#This Row],[Pos Rank2]])</f>
        <v>D36</v>
      </c>
      <c r="H117" s="10">
        <f>MAX(_xlfn.IFNA(INDEX(Proj[],MATCH(Table16[[#This Row],[Player]],Proj[Player],0),29),-5000), _xlfn.IFNA(INDEX(Goalie[],MATCH(Table16[[#This Row],[Player]],Goalie[player],0),19),-5000))</f>
        <v>327.63845375950149</v>
      </c>
      <c r="I117" t="str">
        <f>IF(_xlfn.IFNA(INDEX(Proj[],MATCH(Table16[[#This Row],[Player]],Proj[Player],0),31),INDEX(Goalie[],MATCH(Table16[[#This Row],[Player]],Goalie[player],0),20)) = 0, "",_xlfn.IFNA(INDEX(Proj[],MATCH(Table16[[#This Row],[Player]],Proj[Player],0),31),INDEX(Goalie[],MATCH(Table16[[#This Row],[Player]],Goalie[player],0),20)))</f>
        <v/>
      </c>
    </row>
    <row r="118" spans="1:9" x14ac:dyDescent="0.25">
      <c r="A118" t="s">
        <v>284</v>
      </c>
      <c r="B118" s="2" t="s">
        <v>3</v>
      </c>
      <c r="C118" t="str">
        <f t="shared" si="1"/>
        <v>D</v>
      </c>
      <c r="D118" s="10">
        <f>MAX(_xlfn.IFNA(INDEX(Proj[],MATCH(Table16[[#This Row],[Player]],Proj[Player],0),27),-5000), _xlfn.IFNA(INDEX(Goalie[],MATCH(Table16[[#This Row],[Player]],Goalie[player],0),17),-5000))</f>
        <v>194.05304057307561</v>
      </c>
      <c r="E118">
        <f>_xlfn.RANK.EQ(Table16[[#This Row],[VOR]],Table16[VOR])</f>
        <v>123</v>
      </c>
      <c r="F118" cm="1">
        <f t="array" ref="F118">_xlfn.IFS(C118 = "C",INDEX('C'!$A$2:$L$254,MATCH($A118,'C'!$A$2:$A$254,0),10),C118 = "LW",INDEX(LW!$A$2:$K$180,MATCH($A118,LW!$A$2:$A$180,0),10),C118 = "RW",INDEX('RW'!$A$2:$L$164,MATCH($A118,'RW'!$A$2:$A$164,0),10), C118 = "D",INDEX(D!$A$2:$L$268,MATCH($A118,D!$A$2:$A$268,0),10),C118="G",INDEX(G!$A$2:$Q$78,MATCH($A118,G!$A$2:$A$78,0),16),C118="F",INDEX(F!$A$2:$K$494,MATCH($A118,F!$A$2:$A$494,0),10))</f>
        <v>43</v>
      </c>
      <c r="G118" t="str">
        <f>_xlfn.CONCAT(C118,Table16[[#This Row],[Pos Rank2]])</f>
        <v>D43</v>
      </c>
      <c r="H118" s="10">
        <f>MAX(_xlfn.IFNA(INDEX(Proj[],MATCH(Table16[[#This Row],[Player]],Proj[Player],0),29),-5000), _xlfn.IFNA(INDEX(Goalie[],MATCH(Table16[[#This Row],[Player]],Goalie[player],0),19),-5000))</f>
        <v>301.41780829254009</v>
      </c>
      <c r="I118" t="str">
        <f>IF(_xlfn.IFNA(INDEX(Proj[],MATCH(Table16[[#This Row],[Player]],Proj[Player],0),31),INDEX(Goalie[],MATCH(Table16[[#This Row],[Player]],Goalie[player],0),20)) = 0, "",_xlfn.IFNA(INDEX(Proj[],MATCH(Table16[[#This Row],[Player]],Proj[Player],0),31),INDEX(Goalie[],MATCH(Table16[[#This Row],[Player]],Goalie[player],0),20)))</f>
        <v/>
      </c>
    </row>
    <row r="119" spans="1:9" x14ac:dyDescent="0.25">
      <c r="A119" t="s">
        <v>265</v>
      </c>
      <c r="B119" s="2" t="s">
        <v>3</v>
      </c>
      <c r="C119" t="str">
        <f t="shared" si="1"/>
        <v>D</v>
      </c>
      <c r="D119" s="10">
        <f>MAX(_xlfn.IFNA(INDEX(Proj[],MATCH(Table16[[#This Row],[Player]],Proj[Player],0),27),-5000), _xlfn.IFNA(INDEX(Goalie[],MATCH(Table16[[#This Row],[Player]],Goalie[player],0),17),-5000))</f>
        <v>203.39081437396098</v>
      </c>
      <c r="E119">
        <f>_xlfn.RANK.EQ(Table16[[#This Row],[VOR]],Table16[VOR])</f>
        <v>121</v>
      </c>
      <c r="F119" cm="1">
        <f t="array" ref="F119">_xlfn.IFS(C119 = "C",INDEX('C'!$A$2:$L$254,MATCH($A119,'C'!$A$2:$A$254,0),10),C119 = "LW",INDEX(LW!$A$2:$K$180,MATCH($A119,LW!$A$2:$A$180,0),10),C119 = "RW",INDEX('RW'!$A$2:$L$164,MATCH($A119,'RW'!$A$2:$A$164,0),10), C119 = "D",INDEX(D!$A$2:$L$268,MATCH($A119,D!$A$2:$A$268,0),10),C119="G",INDEX(G!$A$2:$Q$78,MATCH($A119,G!$A$2:$A$78,0),16),C119="F",INDEX(F!$A$2:$K$494,MATCH($A119,F!$A$2:$A$494,0),10))</f>
        <v>42</v>
      </c>
      <c r="G119" t="str">
        <f>_xlfn.CONCAT(C119,Table16[[#This Row],[Pos Rank2]])</f>
        <v>D42</v>
      </c>
      <c r="H119" s="10">
        <f>MAX(_xlfn.IFNA(INDEX(Proj[],MATCH(Table16[[#This Row],[Player]],Proj[Player],0),29),-5000), _xlfn.IFNA(INDEX(Goalie[],MATCH(Table16[[#This Row],[Player]],Goalie[player],0),19),-5000))</f>
        <v>310.75558209342546</v>
      </c>
      <c r="I119" t="str">
        <f>IF(_xlfn.IFNA(INDEX(Proj[],MATCH(Table16[[#This Row],[Player]],Proj[Player],0),31),INDEX(Goalie[],MATCH(Table16[[#This Row],[Player]],Goalie[player],0),20)) = 0, "",_xlfn.IFNA(INDEX(Proj[],MATCH(Table16[[#This Row],[Player]],Proj[Player],0),31),INDEX(Goalie[],MATCH(Table16[[#This Row],[Player]],Goalie[player],0),20)))</f>
        <v/>
      </c>
    </row>
    <row r="120" spans="1:9" x14ac:dyDescent="0.25">
      <c r="A120" t="s">
        <v>323</v>
      </c>
      <c r="B120" s="2" t="s">
        <v>3</v>
      </c>
      <c r="C120" t="str">
        <f t="shared" si="1"/>
        <v>D</v>
      </c>
      <c r="D120" s="10">
        <f>MAX(_xlfn.IFNA(INDEX(Proj[],MATCH(Table16[[#This Row],[Player]],Proj[Player],0),27),-5000), _xlfn.IFNA(INDEX(Goalie[],MATCH(Table16[[#This Row],[Player]],Goalie[player],0),17),-5000))</f>
        <v>203.57055082766973</v>
      </c>
      <c r="E120">
        <f>_xlfn.RANK.EQ(Table16[[#This Row],[VOR]],Table16[VOR])</f>
        <v>120</v>
      </c>
      <c r="F120" cm="1">
        <f t="array" ref="F120">_xlfn.IFS(C120 = "C",INDEX('C'!$A$2:$L$254,MATCH($A120,'C'!$A$2:$A$254,0),10),C120 = "LW",INDEX(LW!$A$2:$K$180,MATCH($A120,LW!$A$2:$A$180,0),10),C120 = "RW",INDEX('RW'!$A$2:$L$164,MATCH($A120,'RW'!$A$2:$A$164,0),10), C120 = "D",INDEX(D!$A$2:$L$268,MATCH($A120,D!$A$2:$A$268,0),10),C120="G",INDEX(G!$A$2:$Q$78,MATCH($A120,G!$A$2:$A$78,0),16),C120="F",INDEX(F!$A$2:$K$494,MATCH($A120,F!$A$2:$A$494,0),10))</f>
        <v>41</v>
      </c>
      <c r="G120" t="str">
        <f>_xlfn.CONCAT(C120,Table16[[#This Row],[Pos Rank2]])</f>
        <v>D41</v>
      </c>
      <c r="H120" s="10">
        <f>MAX(_xlfn.IFNA(INDEX(Proj[],MATCH(Table16[[#This Row],[Player]],Proj[Player],0),29),-5000), _xlfn.IFNA(INDEX(Goalie[],MATCH(Table16[[#This Row],[Player]],Goalie[player],0),19),-5000))</f>
        <v>310.93531854713422</v>
      </c>
      <c r="I120" t="str">
        <f>IF(_xlfn.IFNA(INDEX(Proj[],MATCH(Table16[[#This Row],[Player]],Proj[Player],0),31),INDEX(Goalie[],MATCH(Table16[[#This Row],[Player]],Goalie[player],0),20)) = 0, "",_xlfn.IFNA(INDEX(Proj[],MATCH(Table16[[#This Row],[Player]],Proj[Player],0),31),INDEX(Goalie[],MATCH(Table16[[#This Row],[Player]],Goalie[player],0),20)))</f>
        <v/>
      </c>
    </row>
    <row r="121" spans="1:9" x14ac:dyDescent="0.25">
      <c r="A121" t="s">
        <v>161</v>
      </c>
      <c r="B121" s="2" t="s">
        <v>157</v>
      </c>
      <c r="C121" t="str">
        <f t="shared" si="1"/>
        <v>G</v>
      </c>
      <c r="D121" s="10">
        <f>MAX(_xlfn.IFNA(INDEX(Proj[],MATCH(Table16[[#This Row],[Player]],Proj[Player],0),27),-5000), _xlfn.IFNA(INDEX(Goalie[],MATCH(Table16[[#This Row],[Player]],Goalie[player],0),17),-5000))</f>
        <v>161.03874742267726</v>
      </c>
      <c r="E121">
        <f>_xlfn.RANK.EQ(Table16[[#This Row],[VOR]],Table16[VOR])</f>
        <v>127</v>
      </c>
      <c r="F121" cm="1">
        <f t="array" ref="F121">_xlfn.IFS(C121 = "C",INDEX('C'!$A$2:$L$254,MATCH($A121,'C'!$A$2:$A$254,0),10),C121 = "LW",INDEX(LW!$A$2:$K$180,MATCH($A121,LW!$A$2:$A$180,0),10),C121 = "RW",INDEX('RW'!$A$2:$L$164,MATCH($A121,'RW'!$A$2:$A$164,0),10), C121 = "D",INDEX(D!$A$2:$L$268,MATCH($A121,D!$A$2:$A$268,0),10),C121="G",INDEX(G!$A$2:$Q$78,MATCH($A121,G!$A$2:$A$78,0),16),C121="F",INDEX(F!$A$2:$K$494,MATCH($A121,F!$A$2:$A$494,0),10))</f>
        <v>17</v>
      </c>
      <c r="G121" t="str">
        <f>_xlfn.CONCAT(C121,Table16[[#This Row],[Pos Rank2]])</f>
        <v>G17</v>
      </c>
      <c r="H121" s="10">
        <f>MAX(_xlfn.IFNA(INDEX(Proj[],MATCH(Table16[[#This Row],[Player]],Proj[Player],0),29),-5000), _xlfn.IFNA(INDEX(Goalie[],MATCH(Table16[[#This Row],[Player]],Goalie[player],0),19),-5000))</f>
        <v>530.24649999999997</v>
      </c>
      <c r="I121" t="str">
        <f>IF(_xlfn.IFNA(INDEX(Proj[],MATCH(Table16[[#This Row],[Player]],Proj[Player],0),31),INDEX(Goalie[],MATCH(Table16[[#This Row],[Player]],Goalie[player],0),20)) = 0, "",_xlfn.IFNA(INDEX(Proj[],MATCH(Table16[[#This Row],[Player]],Proj[Player],0),31),INDEX(Goalie[],MATCH(Table16[[#This Row],[Player]],Goalie[player],0),20)))</f>
        <v/>
      </c>
    </row>
    <row r="122" spans="1:9" x14ac:dyDescent="0.25">
      <c r="A122" t="s">
        <v>320</v>
      </c>
      <c r="B122" s="2" t="s">
        <v>74</v>
      </c>
      <c r="C122" t="str">
        <f t="shared" si="1"/>
        <v>C</v>
      </c>
      <c r="D122" s="10">
        <f>MAX(_xlfn.IFNA(INDEX(Proj[],MATCH(Table16[[#This Row],[Player]],Proj[Player],0),27),-5000), _xlfn.IFNA(INDEX(Goalie[],MATCH(Table16[[#This Row],[Player]],Goalie[player],0),17),-5000))</f>
        <v>266.67296900368797</v>
      </c>
      <c r="E122">
        <f>_xlfn.RANK.EQ(Table16[[#This Row],[VOR]],Table16[VOR])</f>
        <v>97</v>
      </c>
      <c r="F122" cm="1">
        <f t="array" ref="F122">_xlfn.IFS(C122 = "C",INDEX('C'!$A$2:$L$254,MATCH($A122,'C'!$A$2:$A$254,0),10),C122 = "LW",INDEX(LW!$A$2:$K$180,MATCH($A122,LW!$A$2:$A$180,0),10),C122 = "RW",INDEX('RW'!$A$2:$L$164,MATCH($A122,'RW'!$A$2:$A$164,0),10), C122 = "D",INDEX(D!$A$2:$L$268,MATCH($A122,D!$A$2:$A$268,0),10),C122="G",INDEX(G!$A$2:$Q$78,MATCH($A122,G!$A$2:$A$78,0),16),C122="F",INDEX(F!$A$2:$K$494,MATCH($A122,F!$A$2:$A$494,0),10))</f>
        <v>22</v>
      </c>
      <c r="G122" t="str">
        <f>_xlfn.CONCAT(C122,Table16[[#This Row],[Pos Rank2]])</f>
        <v>C22</v>
      </c>
      <c r="H122" s="10">
        <f>MAX(_xlfn.IFNA(INDEX(Proj[],MATCH(Table16[[#This Row],[Player]],Proj[Player],0),29),-5000), _xlfn.IFNA(INDEX(Goalie[],MATCH(Table16[[#This Row],[Player]],Goalie[player],0),19),-5000))</f>
        <v>1001.3068233139866</v>
      </c>
      <c r="I122" t="str">
        <f>IF(_xlfn.IFNA(INDEX(Proj[],MATCH(Table16[[#This Row],[Player]],Proj[Player],0),31),INDEX(Goalie[],MATCH(Table16[[#This Row],[Player]],Goalie[player],0),20)) = 0, "",_xlfn.IFNA(INDEX(Proj[],MATCH(Table16[[#This Row],[Player]],Proj[Player],0),31),INDEX(Goalie[],MATCH(Table16[[#This Row],[Player]],Goalie[player],0),20)))</f>
        <v/>
      </c>
    </row>
    <row r="123" spans="1:9" x14ac:dyDescent="0.25">
      <c r="A123" t="s">
        <v>370</v>
      </c>
      <c r="B123" s="2" t="s">
        <v>105</v>
      </c>
      <c r="C123" t="str">
        <f t="shared" si="1"/>
        <v>RW</v>
      </c>
      <c r="D123" s="10">
        <f>MAX(_xlfn.IFNA(INDEX(Proj[],MATCH(Table16[[#This Row],[Player]],Proj[Player],0),27),-5000), _xlfn.IFNA(INDEX(Goalie[],MATCH(Table16[[#This Row],[Player]],Goalie[player],0),17),-5000))</f>
        <v>466.39775284371814</v>
      </c>
      <c r="E123">
        <f>_xlfn.RANK.EQ(Table16[[#This Row],[VOR]],Table16[VOR])</f>
        <v>52</v>
      </c>
      <c r="F123" cm="1">
        <f t="array" ref="F123">_xlfn.IFS(C123 = "C",INDEX('C'!$A$2:$L$254,MATCH($A123,'C'!$A$2:$A$254,0),10),C123 = "LW",INDEX(LW!$A$2:$K$180,MATCH($A123,LW!$A$2:$A$180,0),10),C123 = "RW",INDEX('RW'!$A$2:$L$164,MATCH($A123,'RW'!$A$2:$A$164,0),10), C123 = "D",INDEX(D!$A$2:$L$268,MATCH($A123,D!$A$2:$A$268,0),10),C123="G",INDEX(G!$A$2:$Q$78,MATCH($A123,G!$A$2:$A$78,0),16),C123="F",INDEX(F!$A$2:$K$494,MATCH($A123,F!$A$2:$A$494,0),10))</f>
        <v>9</v>
      </c>
      <c r="G123" t="str">
        <f>_xlfn.CONCAT(C123,Table16[[#This Row],[Pos Rank2]])</f>
        <v>RW9</v>
      </c>
      <c r="H123" s="10">
        <f>MAX(_xlfn.IFNA(INDEX(Proj[],MATCH(Table16[[#This Row],[Player]],Proj[Player],0),29),-5000), _xlfn.IFNA(INDEX(Goalie[],MATCH(Table16[[#This Row],[Player]],Goalie[player],0),19),-5000))</f>
        <v>912.942477233967</v>
      </c>
      <c r="I123" t="str">
        <f>IF(_xlfn.IFNA(INDEX(Proj[],MATCH(Table16[[#This Row],[Player]],Proj[Player],0),31),INDEX(Goalie[],MATCH(Table16[[#This Row],[Player]],Goalie[player],0),20)) = 0, "",_xlfn.IFNA(INDEX(Proj[],MATCH(Table16[[#This Row],[Player]],Proj[Player],0),31),INDEX(Goalie[],MATCH(Table16[[#This Row],[Player]],Goalie[player],0),20)))</f>
        <v/>
      </c>
    </row>
    <row r="124" spans="1:9" x14ac:dyDescent="0.25">
      <c r="A124" t="s">
        <v>358</v>
      </c>
      <c r="B124" s="2" t="s">
        <v>101</v>
      </c>
      <c r="C124" t="str">
        <f t="shared" si="1"/>
        <v>LW</v>
      </c>
      <c r="D124" s="10">
        <f>MAX(_xlfn.IFNA(INDEX(Proj[],MATCH(Table16[[#This Row],[Player]],Proj[Player],0),27),-5000), _xlfn.IFNA(INDEX(Goalie[],MATCH(Table16[[#This Row],[Player]],Goalie[player],0),17),-5000))</f>
        <v>143.52690279310144</v>
      </c>
      <c r="E124">
        <f>_xlfn.RANK.EQ(Table16[[#This Row],[VOR]],Table16[VOR])</f>
        <v>131</v>
      </c>
      <c r="F124" cm="1">
        <f t="array" ref="F124">_xlfn.IFS(C124 = "C",INDEX('C'!$A$2:$L$254,MATCH($A124,'C'!$A$2:$A$254,0),10),C124 = "LW",INDEX(LW!$A$2:$K$180,MATCH($A124,LW!$A$2:$A$180,0),10),C124 = "RW",INDEX('RW'!$A$2:$L$164,MATCH($A124,'RW'!$A$2:$A$164,0),10), C124 = "D",INDEX(D!$A$2:$L$268,MATCH($A124,D!$A$2:$A$268,0),10),C124="G",INDEX(G!$A$2:$Q$78,MATCH($A124,G!$A$2:$A$78,0),16),C124="F",INDEX(F!$A$2:$K$494,MATCH($A124,F!$A$2:$A$494,0),10))</f>
        <v>33</v>
      </c>
      <c r="G124" t="str">
        <f>_xlfn.CONCAT(C124,Table16[[#This Row],[Pos Rank2]])</f>
        <v>LW33</v>
      </c>
      <c r="H124" s="10">
        <f>MAX(_xlfn.IFNA(INDEX(Proj[],MATCH(Table16[[#This Row],[Player]],Proj[Player],0),29),-5000), _xlfn.IFNA(INDEX(Goalie[],MATCH(Table16[[#This Row],[Player]],Goalie[player],0),19),-5000))</f>
        <v>615.0716271833503</v>
      </c>
      <c r="I124" t="str">
        <f>IF(_xlfn.IFNA(INDEX(Proj[],MATCH(Table16[[#This Row],[Player]],Proj[Player],0),31),INDEX(Goalie[],MATCH(Table16[[#This Row],[Player]],Goalie[player],0),20)) = 0, "",_xlfn.IFNA(INDEX(Proj[],MATCH(Table16[[#This Row],[Player]],Proj[Player],0),31),INDEX(Goalie[],MATCH(Table16[[#This Row],[Player]],Goalie[player],0),20)))</f>
        <v/>
      </c>
    </row>
    <row r="125" spans="1:9" x14ac:dyDescent="0.25">
      <c r="A125" t="s">
        <v>258</v>
      </c>
      <c r="B125" s="2" t="s">
        <v>102</v>
      </c>
      <c r="C125" t="str">
        <f t="shared" si="1"/>
        <v>LW</v>
      </c>
      <c r="D125" s="10">
        <f>MAX(_xlfn.IFNA(INDEX(Proj[],MATCH(Table16[[#This Row],[Player]],Proj[Player],0),27),-5000), _xlfn.IFNA(INDEX(Goalie[],MATCH(Table16[[#This Row],[Player]],Goalie[player],0),17),-5000))</f>
        <v>104.35282199819375</v>
      </c>
      <c r="E125">
        <f>_xlfn.RANK.EQ(Table16[[#This Row],[VOR]],Table16[VOR])</f>
        <v>142</v>
      </c>
      <c r="F125" cm="1">
        <f t="array" ref="F125">_xlfn.IFS(C125 = "C",INDEX('C'!$A$2:$L$254,MATCH($A125,'C'!$A$2:$A$254,0),10),C125 = "LW",INDEX(LW!$A$2:$K$180,MATCH($A125,LW!$A$2:$A$180,0),10),C125 = "RW",INDEX('RW'!$A$2:$L$164,MATCH($A125,'RW'!$A$2:$A$164,0),10), C125 = "D",INDEX(D!$A$2:$L$268,MATCH($A125,D!$A$2:$A$268,0),10),C125="G",INDEX(G!$A$2:$Q$78,MATCH($A125,G!$A$2:$A$78,0),16),C125="F",INDEX(F!$A$2:$K$494,MATCH($A125,F!$A$2:$A$494,0),10))</f>
        <v>35</v>
      </c>
      <c r="G125" t="str">
        <f>_xlfn.CONCAT(C125,Table16[[#This Row],[Pos Rank2]])</f>
        <v>LW35</v>
      </c>
      <c r="H125" s="10">
        <f>MAX(_xlfn.IFNA(INDEX(Proj[],MATCH(Table16[[#This Row],[Player]],Proj[Player],0),29),-5000), _xlfn.IFNA(INDEX(Goalie[],MATCH(Table16[[#This Row],[Player]],Goalie[player],0),19),-5000))</f>
        <v>575.89754638844261</v>
      </c>
      <c r="I125" t="str">
        <f>IF(_xlfn.IFNA(INDEX(Proj[],MATCH(Table16[[#This Row],[Player]],Proj[Player],0),31),INDEX(Goalie[],MATCH(Table16[[#This Row],[Player]],Goalie[player],0),20)) = 0, "",_xlfn.IFNA(INDEX(Proj[],MATCH(Table16[[#This Row],[Player]],Proj[Player],0),31),INDEX(Goalie[],MATCH(Table16[[#This Row],[Player]],Goalie[player],0),20)))</f>
        <v/>
      </c>
    </row>
    <row r="126" spans="1:9" x14ac:dyDescent="0.25">
      <c r="A126" t="s">
        <v>171</v>
      </c>
      <c r="B126" s="2" t="s">
        <v>157</v>
      </c>
      <c r="C126" t="str">
        <f t="shared" si="1"/>
        <v>G</v>
      </c>
      <c r="D126" s="10">
        <f>MAX(_xlfn.IFNA(INDEX(Proj[],MATCH(Table16[[#This Row],[Player]],Proj[Player],0),27),-5000), _xlfn.IFNA(INDEX(Goalie[],MATCH(Table16[[#This Row],[Player]],Goalie[player],0),17),-5000))</f>
        <v>144.23553062883832</v>
      </c>
      <c r="E126">
        <f>_xlfn.RANK.EQ(Table16[[#This Row],[VOR]],Table16[VOR])</f>
        <v>130</v>
      </c>
      <c r="F126" cm="1">
        <f t="array" ref="F126">_xlfn.IFS(C126 = "C",INDEX('C'!$A$2:$L$254,MATCH($A126,'C'!$A$2:$A$254,0),10),C126 = "LW",INDEX(LW!$A$2:$K$180,MATCH($A126,LW!$A$2:$A$180,0),10),C126 = "RW",INDEX('RW'!$A$2:$L$164,MATCH($A126,'RW'!$A$2:$A$164,0),10), C126 = "D",INDEX(D!$A$2:$L$268,MATCH($A126,D!$A$2:$A$268,0),10),C126="G",INDEX(G!$A$2:$Q$78,MATCH($A126,G!$A$2:$A$78,0),16),C126="F",INDEX(F!$A$2:$K$494,MATCH($A126,F!$A$2:$A$494,0),10))</f>
        <v>18</v>
      </c>
      <c r="G126" t="str">
        <f>_xlfn.CONCAT(C126,Table16[[#This Row],[Pos Rank2]])</f>
        <v>G18</v>
      </c>
      <c r="H126" s="10">
        <f>MAX(_xlfn.IFNA(INDEX(Proj[],MATCH(Table16[[#This Row],[Player]],Proj[Player],0),29),-5000), _xlfn.IFNA(INDEX(Goalie[],MATCH(Table16[[#This Row],[Player]],Goalie[player],0),19),-5000))</f>
        <v>407.10349999999994</v>
      </c>
      <c r="I126" t="str">
        <f>IF(_xlfn.IFNA(INDEX(Proj[],MATCH(Table16[[#This Row],[Player]],Proj[Player],0),31),INDEX(Goalie[],MATCH(Table16[[#This Row],[Player]],Goalie[player],0),20)) = 0, "",_xlfn.IFNA(INDEX(Proj[],MATCH(Table16[[#This Row],[Player]],Proj[Player],0),31),INDEX(Goalie[],MATCH(Table16[[#This Row],[Player]],Goalie[player],0),20)))</f>
        <v/>
      </c>
    </row>
    <row r="127" spans="1:9" x14ac:dyDescent="0.25">
      <c r="A127" t="s">
        <v>492</v>
      </c>
      <c r="B127" s="2" t="s">
        <v>74</v>
      </c>
      <c r="C127" t="str">
        <f t="shared" si="1"/>
        <v>C</v>
      </c>
      <c r="D127" s="10">
        <f>MAX(_xlfn.IFNA(INDEX(Proj[],MATCH(Table16[[#This Row],[Player]],Proj[Player],0),27),-5000), _xlfn.IFNA(INDEX(Goalie[],MATCH(Table16[[#This Row],[Player]],Goalie[player],0),17),-5000))</f>
        <v>78.547056612584697</v>
      </c>
      <c r="E127">
        <f>_xlfn.RANK.EQ(Table16[[#This Row],[VOR]],Table16[VOR])</f>
        <v>152</v>
      </c>
      <c r="F127" cm="1">
        <f t="array" ref="F127">_xlfn.IFS(C127 = "C",INDEX('C'!$A$2:$L$254,MATCH($A127,'C'!$A$2:$A$254,0),10),C127 = "LW",INDEX(LW!$A$2:$K$180,MATCH($A127,LW!$A$2:$A$180,0),10),C127 = "RW",INDEX('RW'!$A$2:$L$164,MATCH($A127,'RW'!$A$2:$A$164,0),10), C127 = "D",INDEX(D!$A$2:$L$268,MATCH($A127,D!$A$2:$A$268,0),10),C127="G",INDEX(G!$A$2:$Q$78,MATCH($A127,G!$A$2:$A$78,0),16),C127="F",INDEX(F!$A$2:$K$494,MATCH($A127,F!$A$2:$A$494,0),10))</f>
        <v>35</v>
      </c>
      <c r="G127" t="str">
        <f>_xlfn.CONCAT(C127,Table16[[#This Row],[Pos Rank2]])</f>
        <v>C35</v>
      </c>
      <c r="H127" s="10">
        <f>MAX(_xlfn.IFNA(INDEX(Proj[],MATCH(Table16[[#This Row],[Player]],Proj[Player],0),29),-5000), _xlfn.IFNA(INDEX(Goalie[],MATCH(Table16[[#This Row],[Player]],Goalie[player],0),19),-5000))</f>
        <v>813.1809109228833</v>
      </c>
      <c r="I127" t="str">
        <f>IF(_xlfn.IFNA(INDEX(Proj[],MATCH(Table16[[#This Row],[Player]],Proj[Player],0),31),INDEX(Goalie[],MATCH(Table16[[#This Row],[Player]],Goalie[player],0),20)) = 0, "",_xlfn.IFNA(INDEX(Proj[],MATCH(Table16[[#This Row],[Player]],Proj[Player],0),31),INDEX(Goalie[],MATCH(Table16[[#This Row],[Player]],Goalie[player],0),20)))</f>
        <v/>
      </c>
    </row>
    <row r="128" spans="1:9" x14ac:dyDescent="0.25">
      <c r="A128" t="s">
        <v>304</v>
      </c>
      <c r="B128" s="2" t="s">
        <v>3</v>
      </c>
      <c r="C128" t="str">
        <f t="shared" si="1"/>
        <v>D</v>
      </c>
      <c r="D128" s="10">
        <f>MAX(_xlfn.IFNA(INDEX(Proj[],MATCH(Table16[[#This Row],[Player]],Proj[Player],0),27),-5000), _xlfn.IFNA(INDEX(Goalie[],MATCH(Table16[[#This Row],[Player]],Goalie[player],0),17),-5000))</f>
        <v>-5000</v>
      </c>
      <c r="E128">
        <f>_xlfn.RANK.EQ(Table16[[#This Row],[VOR]],Table16[VOR])</f>
        <v>832</v>
      </c>
      <c r="F128" t="e" cm="1">
        <f t="array" ref="F128">_xlfn.IFS(C128 = "C",INDEX('C'!$A$2:$L$254,MATCH($A128,'C'!$A$2:$A$254,0),10),C128 = "LW",INDEX(LW!$A$2:$K$180,MATCH($A128,LW!$A$2:$A$180,0),10),C128 = "RW",INDEX('RW'!$A$2:$L$164,MATCH($A128,'RW'!$A$2:$A$164,0),10), C128 = "D",INDEX(D!$A$2:$L$268,MATCH($A128,D!$A$2:$A$268,0),10),C128="G",INDEX(G!$A$2:$Q$78,MATCH($A128,G!$A$2:$A$78,0),16),C128="F",INDEX(F!$A$2:$K$494,MATCH($A128,F!$A$2:$A$494,0),10))</f>
        <v>#N/A</v>
      </c>
      <c r="G128" t="e">
        <f>_xlfn.CONCAT(C128,Table16[[#This Row],[Pos Rank2]])</f>
        <v>#N/A</v>
      </c>
      <c r="H128" s="10">
        <f>MAX(_xlfn.IFNA(INDEX(Proj[],MATCH(Table16[[#This Row],[Player]],Proj[Player],0),29),-5000), _xlfn.IFNA(INDEX(Goalie[],MATCH(Table16[[#This Row],[Player]],Goalie[player],0),19),-5000))</f>
        <v>-5000</v>
      </c>
      <c r="I128" t="e">
        <f>IF(_xlfn.IFNA(INDEX(Proj[],MATCH(Table16[[#This Row],[Player]],Proj[Player],0),31),INDEX(Goalie[],MATCH(Table16[[#This Row],[Player]],Goalie[player],0),20)) = 0, "",_xlfn.IFNA(INDEX(Proj[],MATCH(Table16[[#This Row],[Player]],Proj[Player],0),31),INDEX(Goalie[],MATCH(Table16[[#This Row],[Player]],Goalie[player],0),20)))</f>
        <v>#N/A</v>
      </c>
    </row>
    <row r="129" spans="1:9" x14ac:dyDescent="0.25">
      <c r="A129" t="s">
        <v>333</v>
      </c>
      <c r="B129" s="2" t="s">
        <v>74</v>
      </c>
      <c r="C129" t="str">
        <f t="shared" si="1"/>
        <v>C</v>
      </c>
      <c r="D129" s="10">
        <f>MAX(_xlfn.IFNA(INDEX(Proj[],MATCH(Table16[[#This Row],[Player]],Proj[Player],0),27),-5000), _xlfn.IFNA(INDEX(Goalie[],MATCH(Table16[[#This Row],[Player]],Goalie[player],0),17),-5000))</f>
        <v>201.97233055523964</v>
      </c>
      <c r="E129">
        <f>_xlfn.RANK.EQ(Table16[[#This Row],[VOR]],Table16[VOR])</f>
        <v>122</v>
      </c>
      <c r="F129" cm="1">
        <f t="array" ref="F129">_xlfn.IFS(C129 = "C",INDEX('C'!$A$2:$L$254,MATCH($A129,'C'!$A$2:$A$254,0),10),C129 = "LW",INDEX(LW!$A$2:$K$180,MATCH($A129,LW!$A$2:$A$180,0),10),C129 = "RW",INDEX('RW'!$A$2:$L$164,MATCH($A129,'RW'!$A$2:$A$164,0),10), C129 = "D",INDEX(D!$A$2:$L$268,MATCH($A129,D!$A$2:$A$268,0),10),C129="G",INDEX(G!$A$2:$Q$78,MATCH($A129,G!$A$2:$A$78,0),16),C129="F",INDEX(F!$A$2:$K$494,MATCH($A129,F!$A$2:$A$494,0),10))</f>
        <v>28</v>
      </c>
      <c r="G129" t="str">
        <f>_xlfn.CONCAT(C129,Table16[[#This Row],[Pos Rank2]])</f>
        <v>C28</v>
      </c>
      <c r="H129" s="10">
        <f>MAX(_xlfn.IFNA(INDEX(Proj[],MATCH(Table16[[#This Row],[Player]],Proj[Player],0),29),-5000), _xlfn.IFNA(INDEX(Goalie[],MATCH(Table16[[#This Row],[Player]],Goalie[player],0),19),-5000))</f>
        <v>936.60618486553824</v>
      </c>
      <c r="I129" t="str">
        <f>IF(_xlfn.IFNA(INDEX(Proj[],MATCH(Table16[[#This Row],[Player]],Proj[Player],0),31),INDEX(Goalie[],MATCH(Table16[[#This Row],[Player]],Goalie[player],0),20)) = 0, "",_xlfn.IFNA(INDEX(Proj[],MATCH(Table16[[#This Row],[Player]],Proj[Player],0),31),INDEX(Goalie[],MATCH(Table16[[#This Row],[Player]],Goalie[player],0),20)))</f>
        <v/>
      </c>
    </row>
    <row r="130" spans="1:9" x14ac:dyDescent="0.25">
      <c r="A130" t="s">
        <v>295</v>
      </c>
      <c r="B130" s="2" t="s">
        <v>104</v>
      </c>
      <c r="C130" t="str">
        <f t="shared" ref="C130:C193" si="2">SUBSTITUTE(SUBSTITUTE(B130,"C,",""),"LW,","")</f>
        <v>RW</v>
      </c>
      <c r="D130" s="10">
        <f>MAX(_xlfn.IFNA(INDEX(Proj[],MATCH(Table16[[#This Row],[Player]],Proj[Player],0),27),-5000), _xlfn.IFNA(INDEX(Goalie[],MATCH(Table16[[#This Row],[Player]],Goalie[player],0),17),-5000))</f>
        <v>88.977434590195742</v>
      </c>
      <c r="E130">
        <f>_xlfn.RANK.EQ(Table16[[#This Row],[VOR]],Table16[VOR])</f>
        <v>150</v>
      </c>
      <c r="F130" cm="1">
        <f t="array" ref="F130">_xlfn.IFS(C130 = "C",INDEX('C'!$A$2:$L$254,MATCH($A130,'C'!$A$2:$A$254,0),10),C130 = "LW",INDEX(LW!$A$2:$K$180,MATCH($A130,LW!$A$2:$A$180,0),10),C130 = "RW",INDEX('RW'!$A$2:$L$164,MATCH($A130,'RW'!$A$2:$A$164,0),10), C130 = "D",INDEX(D!$A$2:$L$268,MATCH($A130,D!$A$2:$A$268,0),10),C130="G",INDEX(G!$A$2:$Q$78,MATCH($A130,G!$A$2:$A$78,0),16),C130="F",INDEX(F!$A$2:$K$494,MATCH($A130,F!$A$2:$A$494,0),10))</f>
        <v>30</v>
      </c>
      <c r="G130" t="str">
        <f>_xlfn.CONCAT(C130,Table16[[#This Row],[Pos Rank2]])</f>
        <v>RW30</v>
      </c>
      <c r="H130" s="10">
        <f>MAX(_xlfn.IFNA(INDEX(Proj[],MATCH(Table16[[#This Row],[Player]],Proj[Player],0),29),-5000), _xlfn.IFNA(INDEX(Goalie[],MATCH(Table16[[#This Row],[Player]],Goalie[player],0),19),-5000))</f>
        <v>535.5221589804446</v>
      </c>
      <c r="I130" t="str">
        <f>IF(_xlfn.IFNA(INDEX(Proj[],MATCH(Table16[[#This Row],[Player]],Proj[Player],0),31),INDEX(Goalie[],MATCH(Table16[[#This Row],[Player]],Goalie[player],0),20)) = 0, "",_xlfn.IFNA(INDEX(Proj[],MATCH(Table16[[#This Row],[Player]],Proj[Player],0),31),INDEX(Goalie[],MATCH(Table16[[#This Row],[Player]],Goalie[player],0),20)))</f>
        <v/>
      </c>
    </row>
    <row r="131" spans="1:9" x14ac:dyDescent="0.25">
      <c r="A131" t="s">
        <v>1088</v>
      </c>
      <c r="B131" s="2" t="s">
        <v>157</v>
      </c>
      <c r="C131" t="str">
        <f t="shared" si="2"/>
        <v>G</v>
      </c>
      <c r="D131" s="10">
        <f>MAX(_xlfn.IFNA(INDEX(Proj[],MATCH(Table16[[#This Row],[Player]],Proj[Player],0),27),-5000), _xlfn.IFNA(INDEX(Goalie[],MATCH(Table16[[#This Row],[Player]],Goalie[player],0),17),-5000))</f>
        <v>114.71363504344795</v>
      </c>
      <c r="E131">
        <f>_xlfn.RANK.EQ(Table16[[#This Row],[VOR]],Table16[VOR])</f>
        <v>139</v>
      </c>
      <c r="F131" cm="1">
        <f t="array" ref="F131">_xlfn.IFS(C131 = "C",INDEX('C'!$A$2:$L$254,MATCH($A131,'C'!$A$2:$A$254,0),10),C131 = "LW",INDEX(LW!$A$2:$K$180,MATCH($A131,LW!$A$2:$A$180,0),10),C131 = "RW",INDEX('RW'!$A$2:$L$164,MATCH($A131,'RW'!$A$2:$A$164,0),10), C131 = "D",INDEX(D!$A$2:$L$268,MATCH($A131,D!$A$2:$A$268,0),10),C131="G",INDEX(G!$A$2:$Q$78,MATCH($A131,G!$A$2:$A$78,0),16),C131="F",INDEX(F!$A$2:$K$494,MATCH($A131,F!$A$2:$A$494,0),10))</f>
        <v>19</v>
      </c>
      <c r="G131" t="str">
        <f>_xlfn.CONCAT(C131,Table16[[#This Row],[Pos Rank2]])</f>
        <v>G19</v>
      </c>
      <c r="H131" s="10">
        <f>MAX(_xlfn.IFNA(INDEX(Proj[],MATCH(Table16[[#This Row],[Player]],Proj[Player],0),29),-5000), _xlfn.IFNA(INDEX(Goalie[],MATCH(Table16[[#This Row],[Player]],Goalie[player],0),19),-5000))</f>
        <v>405.18579999999997</v>
      </c>
      <c r="I131" t="str">
        <f>IF(_xlfn.IFNA(INDEX(Proj[],MATCH(Table16[[#This Row],[Player]],Proj[Player],0),31),INDEX(Goalie[],MATCH(Table16[[#This Row],[Player]],Goalie[player],0),20)) = 0, "",_xlfn.IFNA(INDEX(Proj[],MATCH(Table16[[#This Row],[Player]],Proj[Player],0),31),INDEX(Goalie[],MATCH(Table16[[#This Row],[Player]],Goalie[player],0),20)))</f>
        <v/>
      </c>
    </row>
    <row r="132" spans="1:9" x14ac:dyDescent="0.25">
      <c r="A132" t="s">
        <v>700</v>
      </c>
      <c r="B132" s="2" t="s">
        <v>3</v>
      </c>
      <c r="C132" t="str">
        <f t="shared" si="2"/>
        <v>D</v>
      </c>
      <c r="D132" s="10">
        <f>MAX(_xlfn.IFNA(INDEX(Proj[],MATCH(Table16[[#This Row],[Player]],Proj[Player],0),27),-5000), _xlfn.IFNA(INDEX(Goalie[],MATCH(Table16[[#This Row],[Player]],Goalie[player],0),17),-5000))</f>
        <v>140.1481737987348</v>
      </c>
      <c r="E132">
        <f>_xlfn.RANK.EQ(Table16[[#This Row],[VOR]],Table16[VOR])</f>
        <v>134</v>
      </c>
      <c r="F132" cm="1">
        <f t="array" ref="F132">_xlfn.IFS(C132 = "C",INDEX('C'!$A$2:$L$254,MATCH($A132,'C'!$A$2:$A$254,0),10),C132 = "LW",INDEX(LW!$A$2:$K$180,MATCH($A132,LW!$A$2:$A$180,0),10),C132 = "RW",INDEX('RW'!$A$2:$L$164,MATCH($A132,'RW'!$A$2:$A$164,0),10), C132 = "D",INDEX(D!$A$2:$L$268,MATCH($A132,D!$A$2:$A$268,0),10),C132="G",INDEX(G!$A$2:$Q$78,MATCH($A132,G!$A$2:$A$78,0),16),C132="F",INDEX(F!$A$2:$K$494,MATCH($A132,F!$A$2:$A$494,0),10))</f>
        <v>44</v>
      </c>
      <c r="G132" t="str">
        <f>_xlfn.CONCAT(C132,Table16[[#This Row],[Pos Rank2]])</f>
        <v>D44</v>
      </c>
      <c r="H132" s="10">
        <f>MAX(_xlfn.IFNA(INDEX(Proj[],MATCH(Table16[[#This Row],[Player]],Proj[Player],0),29),-5000), _xlfn.IFNA(INDEX(Goalie[],MATCH(Table16[[#This Row],[Player]],Goalie[player],0),19),-5000))</f>
        <v>247.51294151819928</v>
      </c>
      <c r="I132" t="str">
        <f>IF(_xlfn.IFNA(INDEX(Proj[],MATCH(Table16[[#This Row],[Player]],Proj[Player],0),31),INDEX(Goalie[],MATCH(Table16[[#This Row],[Player]],Goalie[player],0),20)) = 0, "",_xlfn.IFNA(INDEX(Proj[],MATCH(Table16[[#This Row],[Player]],Proj[Player],0),31),INDEX(Goalie[],MATCH(Table16[[#This Row],[Player]],Goalie[player],0),20)))</f>
        <v/>
      </c>
    </row>
    <row r="133" spans="1:9" x14ac:dyDescent="0.25">
      <c r="A133" t="s">
        <v>174</v>
      </c>
      <c r="B133" s="2" t="s">
        <v>157</v>
      </c>
      <c r="C133" t="str">
        <f t="shared" si="2"/>
        <v>G</v>
      </c>
      <c r="D133" s="10">
        <f>MAX(_xlfn.IFNA(INDEX(Proj[],MATCH(Table16[[#This Row],[Player]],Proj[Player],0),27),-5000), _xlfn.IFNA(INDEX(Goalie[],MATCH(Table16[[#This Row],[Player]],Goalie[player],0),17),-5000))</f>
        <v>102.86260650437579</v>
      </c>
      <c r="E133">
        <f>_xlfn.RANK.EQ(Table16[[#This Row],[VOR]],Table16[VOR])</f>
        <v>143</v>
      </c>
      <c r="F133" cm="1">
        <f t="array" ref="F133">_xlfn.IFS(C133 = "C",INDEX('C'!$A$2:$L$254,MATCH($A133,'C'!$A$2:$A$254,0),10),C133 = "LW",INDEX(LW!$A$2:$K$180,MATCH($A133,LW!$A$2:$A$180,0),10),C133 = "RW",INDEX('RW'!$A$2:$L$164,MATCH($A133,'RW'!$A$2:$A$164,0),10), C133 = "D",INDEX(D!$A$2:$L$268,MATCH($A133,D!$A$2:$A$268,0),10),C133="G",INDEX(G!$A$2:$Q$78,MATCH($A133,G!$A$2:$A$78,0),16),C133="F",INDEX(F!$A$2:$K$494,MATCH($A133,F!$A$2:$A$494,0),10))</f>
        <v>20</v>
      </c>
      <c r="G133" t="str">
        <f>_xlfn.CONCAT(C133,Table16[[#This Row],[Pos Rank2]])</f>
        <v>G20</v>
      </c>
      <c r="H133" s="10">
        <f>MAX(_xlfn.IFNA(INDEX(Proj[],MATCH(Table16[[#This Row],[Player]],Proj[Player],0),29),-5000), _xlfn.IFNA(INDEX(Goalie[],MATCH(Table16[[#This Row],[Player]],Goalie[player],0),19),-5000))</f>
        <v>436.05599999999993</v>
      </c>
      <c r="I133" t="str">
        <f>IF(_xlfn.IFNA(INDEX(Proj[],MATCH(Table16[[#This Row],[Player]],Proj[Player],0),31),INDEX(Goalie[],MATCH(Table16[[#This Row],[Player]],Goalie[player],0),20)) = 0, "",_xlfn.IFNA(INDEX(Proj[],MATCH(Table16[[#This Row],[Player]],Proj[Player],0),31),INDEX(Goalie[],MATCH(Table16[[#This Row],[Player]],Goalie[player],0),20)))</f>
        <v/>
      </c>
    </row>
    <row r="134" spans="1:9" x14ac:dyDescent="0.25">
      <c r="A134" t="s">
        <v>431</v>
      </c>
      <c r="B134" s="2" t="s">
        <v>3</v>
      </c>
      <c r="C134" t="str">
        <f t="shared" si="2"/>
        <v>D</v>
      </c>
      <c r="D134" s="10">
        <f>MAX(_xlfn.IFNA(INDEX(Proj[],MATCH(Table16[[#This Row],[Player]],Proj[Player],0),27),-5000), _xlfn.IFNA(INDEX(Goalie[],MATCH(Table16[[#This Row],[Player]],Goalie[player],0),17),-5000))</f>
        <v>122.99268517554</v>
      </c>
      <c r="E134">
        <f>_xlfn.RANK.EQ(Table16[[#This Row],[VOR]],Table16[VOR])</f>
        <v>138</v>
      </c>
      <c r="F134" cm="1">
        <f t="array" ref="F134">_xlfn.IFS(C134 = "C",INDEX('C'!$A$2:$L$254,MATCH($A134,'C'!$A$2:$A$254,0),10),C134 = "LW",INDEX(LW!$A$2:$K$180,MATCH($A134,LW!$A$2:$A$180,0),10),C134 = "RW",INDEX('RW'!$A$2:$L$164,MATCH($A134,'RW'!$A$2:$A$164,0),10), C134 = "D",INDEX(D!$A$2:$L$268,MATCH($A134,D!$A$2:$A$268,0),10),C134="G",INDEX(G!$A$2:$Q$78,MATCH($A134,G!$A$2:$A$78,0),16),C134="F",INDEX(F!$A$2:$K$494,MATCH($A134,F!$A$2:$A$494,0),10))</f>
        <v>46</v>
      </c>
      <c r="G134" t="str">
        <f>_xlfn.CONCAT(C134,Table16[[#This Row],[Pos Rank2]])</f>
        <v>D46</v>
      </c>
      <c r="H134" s="10">
        <f>MAX(_xlfn.IFNA(INDEX(Proj[],MATCH(Table16[[#This Row],[Player]],Proj[Player],0),29),-5000), _xlfn.IFNA(INDEX(Goalie[],MATCH(Table16[[#This Row],[Player]],Goalie[player],0),19),-5000))</f>
        <v>230.35745289500449</v>
      </c>
      <c r="I134" t="str">
        <f>IF(_xlfn.IFNA(INDEX(Proj[],MATCH(Table16[[#This Row],[Player]],Proj[Player],0),31),INDEX(Goalie[],MATCH(Table16[[#This Row],[Player]],Goalie[player],0),20)) = 0, "",_xlfn.IFNA(INDEX(Proj[],MATCH(Table16[[#This Row],[Player]],Proj[Player],0),31),INDEX(Goalie[],MATCH(Table16[[#This Row],[Player]],Goalie[player],0),20)))</f>
        <v/>
      </c>
    </row>
    <row r="135" spans="1:9" x14ac:dyDescent="0.25">
      <c r="A135" t="s">
        <v>367</v>
      </c>
      <c r="B135" s="2" t="s">
        <v>3</v>
      </c>
      <c r="C135" t="str">
        <f t="shared" si="2"/>
        <v>D</v>
      </c>
      <c r="D135" s="10">
        <f>MAX(_xlfn.IFNA(INDEX(Proj[],MATCH(Table16[[#This Row],[Player]],Proj[Player],0),27),-5000), _xlfn.IFNA(INDEX(Goalie[],MATCH(Table16[[#This Row],[Player]],Goalie[player],0),17),-5000))</f>
        <v>132.93156989794571</v>
      </c>
      <c r="E135">
        <f>_xlfn.RANK.EQ(Table16[[#This Row],[VOR]],Table16[VOR])</f>
        <v>137</v>
      </c>
      <c r="F135" cm="1">
        <f t="array" ref="F135">_xlfn.IFS(C135 = "C",INDEX('C'!$A$2:$L$254,MATCH($A135,'C'!$A$2:$A$254,0),10),C135 = "LW",INDEX(LW!$A$2:$K$180,MATCH($A135,LW!$A$2:$A$180,0),10),C135 = "RW",INDEX('RW'!$A$2:$L$164,MATCH($A135,'RW'!$A$2:$A$164,0),10), C135 = "D",INDEX(D!$A$2:$L$268,MATCH($A135,D!$A$2:$A$268,0),10),C135="G",INDEX(G!$A$2:$Q$78,MATCH($A135,G!$A$2:$A$78,0),16),C135="F",INDEX(F!$A$2:$K$494,MATCH($A135,F!$A$2:$A$494,0),10))</f>
        <v>45</v>
      </c>
      <c r="G135" t="str">
        <f>_xlfn.CONCAT(C135,Table16[[#This Row],[Pos Rank2]])</f>
        <v>D45</v>
      </c>
      <c r="H135" s="10">
        <f>MAX(_xlfn.IFNA(INDEX(Proj[],MATCH(Table16[[#This Row],[Player]],Proj[Player],0),29),-5000), _xlfn.IFNA(INDEX(Goalie[],MATCH(Table16[[#This Row],[Player]],Goalie[player],0),19),-5000))</f>
        <v>240.29633761741019</v>
      </c>
      <c r="I135" t="str">
        <f>IF(_xlfn.IFNA(INDEX(Proj[],MATCH(Table16[[#This Row],[Player]],Proj[Player],0),31),INDEX(Goalie[],MATCH(Table16[[#This Row],[Player]],Goalie[player],0),20)) = 0, "",_xlfn.IFNA(INDEX(Proj[],MATCH(Table16[[#This Row],[Player]],Proj[Player],0),31),INDEX(Goalie[],MATCH(Table16[[#This Row],[Player]],Goalie[player],0),20)))</f>
        <v/>
      </c>
    </row>
    <row r="136" spans="1:9" x14ac:dyDescent="0.25">
      <c r="A136" t="s">
        <v>313</v>
      </c>
      <c r="B136" s="2" t="s">
        <v>102</v>
      </c>
      <c r="C136" t="str">
        <f t="shared" si="2"/>
        <v>LW</v>
      </c>
      <c r="D136" s="10">
        <f>MAX(_xlfn.IFNA(INDEX(Proj[],MATCH(Table16[[#This Row],[Player]],Proj[Player],0),27),-5000), _xlfn.IFNA(INDEX(Goalie[],MATCH(Table16[[#This Row],[Player]],Goalie[player],0),17),-5000))</f>
        <v>282.16467545160725</v>
      </c>
      <c r="E136">
        <f>_xlfn.RANK.EQ(Table16[[#This Row],[VOR]],Table16[VOR])</f>
        <v>94</v>
      </c>
      <c r="F136" cm="1">
        <f t="array" ref="F136">_xlfn.IFS(C136 = "C",INDEX('C'!$A$2:$L$254,MATCH($A136,'C'!$A$2:$A$254,0),10),C136 = "LW",INDEX(LW!$A$2:$K$180,MATCH($A136,LW!$A$2:$A$180,0),10),C136 = "RW",INDEX('RW'!$A$2:$L$164,MATCH($A136,'RW'!$A$2:$A$164,0),10), C136 = "D",INDEX(D!$A$2:$L$268,MATCH($A136,D!$A$2:$A$268,0),10),C136="G",INDEX(G!$A$2:$Q$78,MATCH($A136,G!$A$2:$A$78,0),16),C136="F",INDEX(F!$A$2:$K$494,MATCH($A136,F!$A$2:$A$494,0),10))</f>
        <v>23</v>
      </c>
      <c r="G136" t="str">
        <f>_xlfn.CONCAT(C136,Table16[[#This Row],[Pos Rank2]])</f>
        <v>LW23</v>
      </c>
      <c r="H136" s="10">
        <f>MAX(_xlfn.IFNA(INDEX(Proj[],MATCH(Table16[[#This Row],[Player]],Proj[Player],0),29),-5000), _xlfn.IFNA(INDEX(Goalie[],MATCH(Table16[[#This Row],[Player]],Goalie[player],0),19),-5000))</f>
        <v>753.70939984185611</v>
      </c>
      <c r="I136" t="str">
        <f>IF(_xlfn.IFNA(INDEX(Proj[],MATCH(Table16[[#This Row],[Player]],Proj[Player],0),31),INDEX(Goalie[],MATCH(Table16[[#This Row],[Player]],Goalie[player],0),20)) = 0, "",_xlfn.IFNA(INDEX(Proj[],MATCH(Table16[[#This Row],[Player]],Proj[Player],0),31),INDEX(Goalie[],MATCH(Table16[[#This Row],[Player]],Goalie[player],0),20)))</f>
        <v/>
      </c>
    </row>
    <row r="137" spans="1:9" x14ac:dyDescent="0.25">
      <c r="A137" t="s">
        <v>168</v>
      </c>
      <c r="B137" s="2" t="s">
        <v>157</v>
      </c>
      <c r="C137" t="str">
        <f t="shared" si="2"/>
        <v>G</v>
      </c>
      <c r="D137" s="10">
        <f>MAX(_xlfn.IFNA(INDEX(Proj[],MATCH(Table16[[#This Row],[Player]],Proj[Player],0),27),-5000), _xlfn.IFNA(INDEX(Goalie[],MATCH(Table16[[#This Row],[Player]],Goalie[player],0),17),-5000))</f>
        <v>95.819920940552137</v>
      </c>
      <c r="E137">
        <f>_xlfn.RANK.EQ(Table16[[#This Row],[VOR]],Table16[VOR])</f>
        <v>146</v>
      </c>
      <c r="F137" cm="1">
        <f t="array" ref="F137">_xlfn.IFS(C137 = "C",INDEX('C'!$A$2:$L$254,MATCH($A137,'C'!$A$2:$A$254,0),10),C137 = "LW",INDEX(LW!$A$2:$K$180,MATCH($A137,LW!$A$2:$A$180,0),10),C137 = "RW",INDEX('RW'!$A$2:$L$164,MATCH($A137,'RW'!$A$2:$A$164,0),10), C137 = "D",INDEX(D!$A$2:$L$268,MATCH($A137,D!$A$2:$A$268,0),10),C137="G",INDEX(G!$A$2:$Q$78,MATCH($A137,G!$A$2:$A$78,0),16),C137="F",INDEX(F!$A$2:$K$494,MATCH($A137,F!$A$2:$A$494,0),10))</f>
        <v>21</v>
      </c>
      <c r="G137" t="str">
        <f>_xlfn.CONCAT(C137,Table16[[#This Row],[Pos Rank2]])</f>
        <v>G21</v>
      </c>
      <c r="H137" s="10">
        <f>MAX(_xlfn.IFNA(INDEX(Proj[],MATCH(Table16[[#This Row],[Player]],Proj[Player],0),29),-5000), _xlfn.IFNA(INDEX(Goalie[],MATCH(Table16[[#This Row],[Player]],Goalie[player],0),19),-5000))</f>
        <v>441.44150000000002</v>
      </c>
      <c r="I137" t="str">
        <f>IF(_xlfn.IFNA(INDEX(Proj[],MATCH(Table16[[#This Row],[Player]],Proj[Player],0),31),INDEX(Goalie[],MATCH(Table16[[#This Row],[Player]],Goalie[player],0),20)) = 0, "",_xlfn.IFNA(INDEX(Proj[],MATCH(Table16[[#This Row],[Player]],Proj[Player],0),31),INDEX(Goalie[],MATCH(Table16[[#This Row],[Player]],Goalie[player],0),20)))</f>
        <v/>
      </c>
    </row>
    <row r="138" spans="1:9" x14ac:dyDescent="0.25">
      <c r="A138" t="s">
        <v>374</v>
      </c>
      <c r="B138" s="2" t="s">
        <v>74</v>
      </c>
      <c r="C138" t="str">
        <f t="shared" si="2"/>
        <v>C</v>
      </c>
      <c r="D138" s="10">
        <f>MAX(_xlfn.IFNA(INDEX(Proj[],MATCH(Table16[[#This Row],[Player]],Proj[Player],0),27),-5000), _xlfn.IFNA(INDEX(Goalie[],MATCH(Table16[[#This Row],[Player]],Goalie[player],0),17),-5000))</f>
        <v>253.49563090394975</v>
      </c>
      <c r="E138">
        <f>_xlfn.RANK.EQ(Table16[[#This Row],[VOR]],Table16[VOR])</f>
        <v>101</v>
      </c>
      <c r="F138" cm="1">
        <f t="array" ref="F138">_xlfn.IFS(C138 = "C",INDEX('C'!$A$2:$L$254,MATCH($A138,'C'!$A$2:$A$254,0),10),C138 = "LW",INDEX(LW!$A$2:$K$180,MATCH($A138,LW!$A$2:$A$180,0),10),C138 = "RW",INDEX('RW'!$A$2:$L$164,MATCH($A138,'RW'!$A$2:$A$164,0),10), C138 = "D",INDEX(D!$A$2:$L$268,MATCH($A138,D!$A$2:$A$268,0),10),C138="G",INDEX(G!$A$2:$Q$78,MATCH($A138,G!$A$2:$A$78,0),16),C138="F",INDEX(F!$A$2:$K$494,MATCH($A138,F!$A$2:$A$494,0),10))</f>
        <v>23</v>
      </c>
      <c r="G138" t="str">
        <f>_xlfn.CONCAT(C138,Table16[[#This Row],[Pos Rank2]])</f>
        <v>C23</v>
      </c>
      <c r="H138" s="10">
        <f>MAX(_xlfn.IFNA(INDEX(Proj[],MATCH(Table16[[#This Row],[Player]],Proj[Player],0),29),-5000), _xlfn.IFNA(INDEX(Goalie[],MATCH(Table16[[#This Row],[Player]],Goalie[player],0),19),-5000))</f>
        <v>988.12948521424835</v>
      </c>
      <c r="I138" t="str">
        <f>IF(_xlfn.IFNA(INDEX(Proj[],MATCH(Table16[[#This Row],[Player]],Proj[Player],0),31),INDEX(Goalie[],MATCH(Table16[[#This Row],[Player]],Goalie[player],0),20)) = 0, "",_xlfn.IFNA(INDEX(Proj[],MATCH(Table16[[#This Row],[Player]],Proj[Player],0),31),INDEX(Goalie[],MATCH(Table16[[#This Row],[Player]],Goalie[player],0),20)))</f>
        <v/>
      </c>
    </row>
    <row r="139" spans="1:9" x14ac:dyDescent="0.25">
      <c r="A139" t="s">
        <v>1220</v>
      </c>
      <c r="B139" s="2" t="s">
        <v>74</v>
      </c>
      <c r="C139" t="str">
        <f t="shared" si="2"/>
        <v>C</v>
      </c>
      <c r="D139" s="10">
        <f>MAX(_xlfn.IFNA(INDEX(Proj[],MATCH(Table16[[#This Row],[Player]],Proj[Player],0),27),-5000), _xlfn.IFNA(INDEX(Goalie[],MATCH(Table16[[#This Row],[Player]],Goalie[player],0),17),-5000))</f>
        <v>-12.283645669930593</v>
      </c>
      <c r="E139">
        <f>_xlfn.RANK.EQ(Table16[[#This Row],[VOR]],Table16[VOR])</f>
        <v>197</v>
      </c>
      <c r="F139" cm="1">
        <f t="array" ref="F139">_xlfn.IFS(C139 = "C",INDEX('C'!$A$2:$L$254,MATCH($A139,'C'!$A$2:$A$254,0),10),C139 = "LW",INDEX(LW!$A$2:$K$180,MATCH($A139,LW!$A$2:$A$180,0),10),C139 = "RW",INDEX('RW'!$A$2:$L$164,MATCH($A139,'RW'!$A$2:$A$164,0),10), C139 = "D",INDEX(D!$A$2:$L$268,MATCH($A139,D!$A$2:$A$268,0),10),C139="G",INDEX(G!$A$2:$Q$78,MATCH($A139,G!$A$2:$A$78,0),16),C139="F",INDEX(F!$A$2:$K$494,MATCH($A139,F!$A$2:$A$494,0),10))</f>
        <v>43</v>
      </c>
      <c r="G139" t="str">
        <f>_xlfn.CONCAT(C139,Table16[[#This Row],[Pos Rank2]])</f>
        <v>C43</v>
      </c>
      <c r="H139" s="10">
        <f>MAX(_xlfn.IFNA(INDEX(Proj[],MATCH(Table16[[#This Row],[Player]],Proj[Player],0),29),-5000), _xlfn.IFNA(INDEX(Goalie[],MATCH(Table16[[#This Row],[Player]],Goalie[player],0),19),-5000))</f>
        <v>722.35020864036801</v>
      </c>
      <c r="I139" t="str">
        <f>IF(_xlfn.IFNA(INDEX(Proj[],MATCH(Table16[[#This Row],[Player]],Proj[Player],0),31),INDEX(Goalie[],MATCH(Table16[[#This Row],[Player]],Goalie[player],0),20)) = 0, "",_xlfn.IFNA(INDEX(Proj[],MATCH(Table16[[#This Row],[Player]],Proj[Player],0),31),INDEX(Goalie[],MATCH(Table16[[#This Row],[Player]],Goalie[player],0),20)))</f>
        <v/>
      </c>
    </row>
    <row r="140" spans="1:9" x14ac:dyDescent="0.25">
      <c r="A140" t="s">
        <v>346</v>
      </c>
      <c r="B140" s="2" t="s">
        <v>3</v>
      </c>
      <c r="C140" t="str">
        <f t="shared" si="2"/>
        <v>D</v>
      </c>
      <c r="D140" s="10">
        <f>MAX(_xlfn.IFNA(INDEX(Proj[],MATCH(Table16[[#This Row],[Player]],Proj[Player],0),27),-5000), _xlfn.IFNA(INDEX(Goalie[],MATCH(Table16[[#This Row],[Player]],Goalie[player],0),17),-5000))</f>
        <v>108.20897179511795</v>
      </c>
      <c r="E140">
        <f>_xlfn.RANK.EQ(Table16[[#This Row],[VOR]],Table16[VOR])</f>
        <v>141</v>
      </c>
      <c r="F140" cm="1">
        <f t="array" ref="F140">_xlfn.IFS(C140 = "C",INDEX('C'!$A$2:$L$254,MATCH($A140,'C'!$A$2:$A$254,0),10),C140 = "LW",INDEX(LW!$A$2:$K$180,MATCH($A140,LW!$A$2:$A$180,0),10),C140 = "RW",INDEX('RW'!$A$2:$L$164,MATCH($A140,'RW'!$A$2:$A$164,0),10), C140 = "D",INDEX(D!$A$2:$L$268,MATCH($A140,D!$A$2:$A$268,0),10),C140="G",INDEX(G!$A$2:$Q$78,MATCH($A140,G!$A$2:$A$78,0),16),C140="F",INDEX(F!$A$2:$K$494,MATCH($A140,F!$A$2:$A$494,0),10))</f>
        <v>48</v>
      </c>
      <c r="G140" t="str">
        <f>_xlfn.CONCAT(C140,Table16[[#This Row],[Pos Rank2]])</f>
        <v>D48</v>
      </c>
      <c r="H140" s="10">
        <f>MAX(_xlfn.IFNA(INDEX(Proj[],MATCH(Table16[[#This Row],[Player]],Proj[Player],0),29),-5000), _xlfn.IFNA(INDEX(Goalie[],MATCH(Table16[[#This Row],[Player]],Goalie[player],0),19),-5000))</f>
        <v>215.57373951458243</v>
      </c>
      <c r="I140" t="str">
        <f>IF(_xlfn.IFNA(INDEX(Proj[],MATCH(Table16[[#This Row],[Player]],Proj[Player],0),31),INDEX(Goalie[],MATCH(Table16[[#This Row],[Player]],Goalie[player],0),20)) = 0, "",_xlfn.IFNA(INDEX(Proj[],MATCH(Table16[[#This Row],[Player]],Proj[Player],0),31),INDEX(Goalie[],MATCH(Table16[[#This Row],[Player]],Goalie[player],0),20)))</f>
        <v/>
      </c>
    </row>
    <row r="141" spans="1:9" x14ac:dyDescent="0.25">
      <c r="A141" t="s">
        <v>546</v>
      </c>
      <c r="B141" s="2" t="s">
        <v>105</v>
      </c>
      <c r="C141" t="str">
        <f t="shared" si="2"/>
        <v>RW</v>
      </c>
      <c r="D141" s="10">
        <f>MAX(_xlfn.IFNA(INDEX(Proj[],MATCH(Table16[[#This Row],[Player]],Proj[Player],0),27),-5000), _xlfn.IFNA(INDEX(Goalie[],MATCH(Table16[[#This Row],[Player]],Goalie[player],0),17),-5000))</f>
        <v>93.088218520993053</v>
      </c>
      <c r="E141">
        <f>_xlfn.RANK.EQ(Table16[[#This Row],[VOR]],Table16[VOR])</f>
        <v>148</v>
      </c>
      <c r="F141" cm="1">
        <f t="array" ref="F141">_xlfn.IFS(C141 = "C",INDEX('C'!$A$2:$L$254,MATCH($A141,'C'!$A$2:$A$254,0),10),C141 = "LW",INDEX(LW!$A$2:$K$180,MATCH($A141,LW!$A$2:$A$180,0),10),C141 = "RW",INDEX('RW'!$A$2:$L$164,MATCH($A141,'RW'!$A$2:$A$164,0),10), C141 = "D",INDEX(D!$A$2:$L$268,MATCH($A141,D!$A$2:$A$268,0),10),C141="G",INDEX(G!$A$2:$Q$78,MATCH($A141,G!$A$2:$A$78,0),16),C141="F",INDEX(F!$A$2:$K$494,MATCH($A141,F!$A$2:$A$494,0),10))</f>
        <v>29</v>
      </c>
      <c r="G141" t="str">
        <f>_xlfn.CONCAT(C141,Table16[[#This Row],[Pos Rank2]])</f>
        <v>RW29</v>
      </c>
      <c r="H141" s="10">
        <f>MAX(_xlfn.IFNA(INDEX(Proj[],MATCH(Table16[[#This Row],[Player]],Proj[Player],0),29),-5000), _xlfn.IFNA(INDEX(Goalie[],MATCH(Table16[[#This Row],[Player]],Goalie[player],0),19),-5000))</f>
        <v>539.63294291124191</v>
      </c>
      <c r="I141" t="str">
        <f>IF(_xlfn.IFNA(INDEX(Proj[],MATCH(Table16[[#This Row],[Player]],Proj[Player],0),31),INDEX(Goalie[],MATCH(Table16[[#This Row],[Player]],Goalie[player],0),20)) = 0, "",_xlfn.IFNA(INDEX(Proj[],MATCH(Table16[[#This Row],[Player]],Proj[Player],0),31),INDEX(Goalie[],MATCH(Table16[[#This Row],[Player]],Goalie[player],0),20)))</f>
        <v/>
      </c>
    </row>
    <row r="142" spans="1:9" x14ac:dyDescent="0.25">
      <c r="A142" t="s">
        <v>394</v>
      </c>
      <c r="B142" s="2" t="s">
        <v>3</v>
      </c>
      <c r="C142" t="str">
        <f t="shared" si="2"/>
        <v>D</v>
      </c>
      <c r="D142" s="10">
        <f>MAX(_xlfn.IFNA(INDEX(Proj[],MATCH(Table16[[#This Row],[Player]],Proj[Player],0),27),-5000), _xlfn.IFNA(INDEX(Goalie[],MATCH(Table16[[#This Row],[Player]],Goalie[player],0),17),-5000))</f>
        <v>114.47972602269806</v>
      </c>
      <c r="E142">
        <f>_xlfn.RANK.EQ(Table16[[#This Row],[VOR]],Table16[VOR])</f>
        <v>140</v>
      </c>
      <c r="F142" cm="1">
        <f t="array" ref="F142">_xlfn.IFS(C142 = "C",INDEX('C'!$A$2:$L$254,MATCH($A142,'C'!$A$2:$A$254,0),10),C142 = "LW",INDEX(LW!$A$2:$K$180,MATCH($A142,LW!$A$2:$A$180,0),10),C142 = "RW",INDEX('RW'!$A$2:$L$164,MATCH($A142,'RW'!$A$2:$A$164,0),10), C142 = "D",INDEX(D!$A$2:$L$268,MATCH($A142,D!$A$2:$A$268,0),10),C142="G",INDEX(G!$A$2:$Q$78,MATCH($A142,G!$A$2:$A$78,0),16),C142="F",INDEX(F!$A$2:$K$494,MATCH($A142,F!$A$2:$A$494,0),10))</f>
        <v>47</v>
      </c>
      <c r="G142" t="str">
        <f>_xlfn.CONCAT(C142,Table16[[#This Row],[Pos Rank2]])</f>
        <v>D47</v>
      </c>
      <c r="H142" s="10">
        <f>MAX(_xlfn.IFNA(INDEX(Proj[],MATCH(Table16[[#This Row],[Player]],Proj[Player],0),29),-5000), _xlfn.IFNA(INDEX(Goalie[],MATCH(Table16[[#This Row],[Player]],Goalie[player],0),19),-5000))</f>
        <v>221.84449374216254</v>
      </c>
      <c r="I142" t="str">
        <f>IF(_xlfn.IFNA(INDEX(Proj[],MATCH(Table16[[#This Row],[Player]],Proj[Player],0),31),INDEX(Goalie[],MATCH(Table16[[#This Row],[Player]],Goalie[player],0),20)) = 0, "",_xlfn.IFNA(INDEX(Proj[],MATCH(Table16[[#This Row],[Player]],Proj[Player],0),31),INDEX(Goalie[],MATCH(Table16[[#This Row],[Player]],Goalie[player],0),20)))</f>
        <v/>
      </c>
    </row>
    <row r="143" spans="1:9" x14ac:dyDescent="0.25">
      <c r="A143" t="s">
        <v>409</v>
      </c>
      <c r="B143" s="2" t="s">
        <v>101</v>
      </c>
      <c r="C143" t="str">
        <f t="shared" si="2"/>
        <v>LW</v>
      </c>
      <c r="D143" s="10">
        <f>MAX(_xlfn.IFNA(INDEX(Proj[],MATCH(Table16[[#This Row],[Player]],Proj[Player],0),27),-5000), _xlfn.IFNA(INDEX(Goalie[],MATCH(Table16[[#This Row],[Player]],Goalie[player],0),17),-5000))</f>
        <v>445.58956698275034</v>
      </c>
      <c r="E143">
        <f>_xlfn.RANK.EQ(Table16[[#This Row],[VOR]],Table16[VOR])</f>
        <v>59</v>
      </c>
      <c r="F143" cm="1">
        <f t="array" ref="F143">_xlfn.IFS(C143 = "C",INDEX('C'!$A$2:$L$254,MATCH($A143,'C'!$A$2:$A$254,0),10),C143 = "LW",INDEX(LW!$A$2:$K$180,MATCH($A143,LW!$A$2:$A$180,0),10),C143 = "RW",INDEX('RW'!$A$2:$L$164,MATCH($A143,'RW'!$A$2:$A$164,0),10), C143 = "D",INDEX(D!$A$2:$L$268,MATCH($A143,D!$A$2:$A$268,0),10),C143="G",INDEX(G!$A$2:$Q$78,MATCH($A143,G!$A$2:$A$78,0),16),C143="F",INDEX(F!$A$2:$K$494,MATCH($A143,F!$A$2:$A$494,0),10))</f>
        <v>15</v>
      </c>
      <c r="G143" t="str">
        <f>_xlfn.CONCAT(C143,Table16[[#This Row],[Pos Rank2]])</f>
        <v>LW15</v>
      </c>
      <c r="H143" s="10">
        <f>MAX(_xlfn.IFNA(INDEX(Proj[],MATCH(Table16[[#This Row],[Player]],Proj[Player],0),29),-5000), _xlfn.IFNA(INDEX(Goalie[],MATCH(Table16[[#This Row],[Player]],Goalie[player],0),19),-5000))</f>
        <v>917.1342913729992</v>
      </c>
      <c r="I143" t="str">
        <f>IF(_xlfn.IFNA(INDEX(Proj[],MATCH(Table16[[#This Row],[Player]],Proj[Player],0),31),INDEX(Goalie[],MATCH(Table16[[#This Row],[Player]],Goalie[player],0),20)) = 0, "",_xlfn.IFNA(INDEX(Proj[],MATCH(Table16[[#This Row],[Player]],Proj[Player],0),31),INDEX(Goalie[],MATCH(Table16[[#This Row],[Player]],Goalie[player],0),20)))</f>
        <v/>
      </c>
    </row>
    <row r="144" spans="1:9" x14ac:dyDescent="0.25">
      <c r="A144" t="s">
        <v>386</v>
      </c>
      <c r="B144" s="2" t="s">
        <v>103</v>
      </c>
      <c r="C144" t="str">
        <f t="shared" si="2"/>
        <v>RW</v>
      </c>
      <c r="D144" s="10">
        <f>MAX(_xlfn.IFNA(INDEX(Proj[],MATCH(Table16[[#This Row],[Player]],Proj[Player],0),27),-5000), _xlfn.IFNA(INDEX(Goalie[],MATCH(Table16[[#This Row],[Player]],Goalie[player],0),17),-5000))</f>
        <v>43.249489771582546</v>
      </c>
      <c r="E144">
        <f>_xlfn.RANK.EQ(Table16[[#This Row],[VOR]],Table16[VOR])</f>
        <v>164</v>
      </c>
      <c r="F144" cm="1">
        <f t="array" ref="F144">_xlfn.IFS(C144 = "C",INDEX('C'!$A$2:$L$254,MATCH($A144,'C'!$A$2:$A$254,0),10),C144 = "LW",INDEX(LW!$A$2:$K$180,MATCH($A144,LW!$A$2:$A$180,0),10),C144 = "RW",INDEX('RW'!$A$2:$L$164,MATCH($A144,'RW'!$A$2:$A$164,0),10), C144 = "D",INDEX(D!$A$2:$L$268,MATCH($A144,D!$A$2:$A$268,0),10),C144="G",INDEX(G!$A$2:$Q$78,MATCH($A144,G!$A$2:$A$78,0),16),C144="F",INDEX(F!$A$2:$K$494,MATCH($A144,F!$A$2:$A$494,0),10))</f>
        <v>31</v>
      </c>
      <c r="G144" t="str">
        <f>_xlfn.CONCAT(C144,Table16[[#This Row],[Pos Rank2]])</f>
        <v>RW31</v>
      </c>
      <c r="H144" s="10">
        <f>MAX(_xlfn.IFNA(INDEX(Proj[],MATCH(Table16[[#This Row],[Player]],Proj[Player],0),29),-5000), _xlfn.IFNA(INDEX(Goalie[],MATCH(Table16[[#This Row],[Player]],Goalie[player],0),19),-5000))</f>
        <v>489.79421416183141</v>
      </c>
      <c r="I144" t="str">
        <f>IF(_xlfn.IFNA(INDEX(Proj[],MATCH(Table16[[#This Row],[Player]],Proj[Player],0),31),INDEX(Goalie[],MATCH(Table16[[#This Row],[Player]],Goalie[player],0),20)) = 0, "",_xlfn.IFNA(INDEX(Proj[],MATCH(Table16[[#This Row],[Player]],Proj[Player],0),31),INDEX(Goalie[],MATCH(Table16[[#This Row],[Player]],Goalie[player],0),20)))</f>
        <v/>
      </c>
    </row>
    <row r="145" spans="1:9" x14ac:dyDescent="0.25">
      <c r="A145" t="s">
        <v>368</v>
      </c>
      <c r="B145" s="2" t="s">
        <v>3</v>
      </c>
      <c r="C145" t="str">
        <f t="shared" si="2"/>
        <v>D</v>
      </c>
      <c r="D145" s="10">
        <f>MAX(_xlfn.IFNA(INDEX(Proj[],MATCH(Table16[[#This Row],[Player]],Proj[Player],0),27),-5000), _xlfn.IFNA(INDEX(Goalie[],MATCH(Table16[[#This Row],[Player]],Goalie[player],0),17),-5000))</f>
        <v>89.041342919803952</v>
      </c>
      <c r="E145">
        <f>_xlfn.RANK.EQ(Table16[[#This Row],[VOR]],Table16[VOR])</f>
        <v>149</v>
      </c>
      <c r="F145" cm="1">
        <f t="array" ref="F145">_xlfn.IFS(C145 = "C",INDEX('C'!$A$2:$L$254,MATCH($A145,'C'!$A$2:$A$254,0),10),C145 = "LW",INDEX(LW!$A$2:$K$180,MATCH($A145,LW!$A$2:$A$180,0),10),C145 = "RW",INDEX('RW'!$A$2:$L$164,MATCH($A145,'RW'!$A$2:$A$164,0),10), C145 = "D",INDEX(D!$A$2:$L$268,MATCH($A145,D!$A$2:$A$268,0),10),C145="G",INDEX(G!$A$2:$Q$78,MATCH($A145,G!$A$2:$A$78,0),16),C145="F",INDEX(F!$A$2:$K$494,MATCH($A145,F!$A$2:$A$494,0),10))</f>
        <v>52</v>
      </c>
      <c r="G145" t="str">
        <f>_xlfn.CONCAT(C145,Table16[[#This Row],[Pos Rank2]])</f>
        <v>D52</v>
      </c>
      <c r="H145" s="10">
        <f>MAX(_xlfn.IFNA(INDEX(Proj[],MATCH(Table16[[#This Row],[Player]],Proj[Player],0),29),-5000), _xlfn.IFNA(INDEX(Goalie[],MATCH(Table16[[#This Row],[Player]],Goalie[player],0),19),-5000))</f>
        <v>196.40611063926843</v>
      </c>
      <c r="I145" t="str">
        <f>IF(_xlfn.IFNA(INDEX(Proj[],MATCH(Table16[[#This Row],[Player]],Proj[Player],0),31),INDEX(Goalie[],MATCH(Table16[[#This Row],[Player]],Goalie[player],0),20)) = 0, "",_xlfn.IFNA(INDEX(Proj[],MATCH(Table16[[#This Row],[Player]],Proj[Player],0),31),INDEX(Goalie[],MATCH(Table16[[#This Row],[Player]],Goalie[player],0),20)))</f>
        <v/>
      </c>
    </row>
    <row r="146" spans="1:9" x14ac:dyDescent="0.25">
      <c r="A146" t="s">
        <v>261</v>
      </c>
      <c r="B146" s="2" t="s">
        <v>3</v>
      </c>
      <c r="C146" t="str">
        <f t="shared" si="2"/>
        <v>D</v>
      </c>
      <c r="D146" s="10">
        <f>MAX(_xlfn.IFNA(INDEX(Proj[],MATCH(Table16[[#This Row],[Player]],Proj[Player],0),27),-5000), _xlfn.IFNA(INDEX(Goalie[],MATCH(Table16[[#This Row],[Player]],Goalie[player],0),17),-5000))</f>
        <v>99.107663678650908</v>
      </c>
      <c r="E146">
        <f>_xlfn.RANK.EQ(Table16[[#This Row],[VOR]],Table16[VOR])</f>
        <v>145</v>
      </c>
      <c r="F146" cm="1">
        <f t="array" ref="F146">_xlfn.IFS(C146 = "C",INDEX('C'!$A$2:$L$254,MATCH($A146,'C'!$A$2:$A$254,0),10),C146 = "LW",INDEX(LW!$A$2:$K$180,MATCH($A146,LW!$A$2:$A$180,0),10),C146 = "RW",INDEX('RW'!$A$2:$L$164,MATCH($A146,'RW'!$A$2:$A$164,0),10), C146 = "D",INDEX(D!$A$2:$L$268,MATCH($A146,D!$A$2:$A$268,0),10),C146="G",INDEX(G!$A$2:$Q$78,MATCH($A146,G!$A$2:$A$78,0),16),C146="F",INDEX(F!$A$2:$K$494,MATCH($A146,F!$A$2:$A$494,0),10))</f>
        <v>50</v>
      </c>
      <c r="G146" t="str">
        <f>_xlfn.CONCAT(C146,Table16[[#This Row],[Pos Rank2]])</f>
        <v>D50</v>
      </c>
      <c r="H146" s="10">
        <f>MAX(_xlfn.IFNA(INDEX(Proj[],MATCH(Table16[[#This Row],[Player]],Proj[Player],0),29),-5000), _xlfn.IFNA(INDEX(Goalie[],MATCH(Table16[[#This Row],[Player]],Goalie[player],0),19),-5000))</f>
        <v>206.47243139811539</v>
      </c>
      <c r="I146" t="str">
        <f>IF(_xlfn.IFNA(INDEX(Proj[],MATCH(Table16[[#This Row],[Player]],Proj[Player],0),31),INDEX(Goalie[],MATCH(Table16[[#This Row],[Player]],Goalie[player],0),20)) = 0, "",_xlfn.IFNA(INDEX(Proj[],MATCH(Table16[[#This Row],[Player]],Proj[Player],0),31),INDEX(Goalie[],MATCH(Table16[[#This Row],[Player]],Goalie[player],0),20)))</f>
        <v/>
      </c>
    </row>
    <row r="147" spans="1:9" x14ac:dyDescent="0.25">
      <c r="A147" t="s">
        <v>880</v>
      </c>
      <c r="B147" s="2" t="s">
        <v>3</v>
      </c>
      <c r="C147" t="str">
        <f t="shared" si="2"/>
        <v>D</v>
      </c>
      <c r="D147" s="10">
        <f>MAX(_xlfn.IFNA(INDEX(Proj[],MATCH(Table16[[#This Row],[Player]],Proj[Player],0),27),-5000), _xlfn.IFNA(INDEX(Goalie[],MATCH(Table16[[#This Row],[Player]],Goalie[player],0),17),-5000))</f>
        <v>94.920986352939366</v>
      </c>
      <c r="E147">
        <f>_xlfn.RANK.EQ(Table16[[#This Row],[VOR]],Table16[VOR])</f>
        <v>147</v>
      </c>
      <c r="F147" cm="1">
        <f t="array" ref="F147">_xlfn.IFS(C147 = "C",INDEX('C'!$A$2:$L$254,MATCH($A147,'C'!$A$2:$A$254,0),10),C147 = "LW",INDEX(LW!$A$2:$K$180,MATCH($A147,LW!$A$2:$A$180,0),10),C147 = "RW",INDEX('RW'!$A$2:$L$164,MATCH($A147,'RW'!$A$2:$A$164,0),10), C147 = "D",INDEX(D!$A$2:$L$268,MATCH($A147,D!$A$2:$A$268,0),10),C147="G",INDEX(G!$A$2:$Q$78,MATCH($A147,G!$A$2:$A$78,0),16),C147="F",INDEX(F!$A$2:$K$494,MATCH($A147,F!$A$2:$A$494,0),10))</f>
        <v>51</v>
      </c>
      <c r="G147" t="str">
        <f>_xlfn.CONCAT(C147,Table16[[#This Row],[Pos Rank2]])</f>
        <v>D51</v>
      </c>
      <c r="H147" s="10">
        <f>MAX(_xlfn.IFNA(INDEX(Proj[],MATCH(Table16[[#This Row],[Player]],Proj[Player],0),29),-5000), _xlfn.IFNA(INDEX(Goalie[],MATCH(Table16[[#This Row],[Player]],Goalie[player],0),19),-5000))</f>
        <v>202.28575407240385</v>
      </c>
      <c r="I147" t="str">
        <f>IF(_xlfn.IFNA(INDEX(Proj[],MATCH(Table16[[#This Row],[Player]],Proj[Player],0),31),INDEX(Goalie[],MATCH(Table16[[#This Row],[Player]],Goalie[player],0),20)) = 0, "",_xlfn.IFNA(INDEX(Proj[],MATCH(Table16[[#This Row],[Player]],Proj[Player],0),31),INDEX(Goalie[],MATCH(Table16[[#This Row],[Player]],Goalie[player],0),20)))</f>
        <v/>
      </c>
    </row>
    <row r="148" spans="1:9" x14ac:dyDescent="0.25">
      <c r="A148" t="s">
        <v>571</v>
      </c>
      <c r="B148" s="2" t="s">
        <v>104</v>
      </c>
      <c r="C148" t="str">
        <f t="shared" si="2"/>
        <v>RW</v>
      </c>
      <c r="D148" s="10">
        <f>MAX(_xlfn.IFNA(INDEX(Proj[],MATCH(Table16[[#This Row],[Player]],Proj[Player],0),27),-5000), _xlfn.IFNA(INDEX(Goalie[],MATCH(Table16[[#This Row],[Player]],Goalie[player],0),17),-5000))</f>
        <v>28.892363239657982</v>
      </c>
      <c r="E148">
        <f>_xlfn.RANK.EQ(Table16[[#This Row],[VOR]],Table16[VOR])</f>
        <v>169</v>
      </c>
      <c r="F148" cm="1">
        <f t="array" ref="F148">_xlfn.IFS(C148 = "C",INDEX('C'!$A$2:$L$254,MATCH($A148,'C'!$A$2:$A$254,0),10),C148 = "LW",INDEX(LW!$A$2:$K$180,MATCH($A148,LW!$A$2:$A$180,0),10),C148 = "RW",INDEX('RW'!$A$2:$L$164,MATCH($A148,'RW'!$A$2:$A$164,0),10), C148 = "D",INDEX(D!$A$2:$L$268,MATCH($A148,D!$A$2:$A$268,0),10),C148="G",INDEX(G!$A$2:$Q$78,MATCH($A148,G!$A$2:$A$78,0),16),C148="F",INDEX(F!$A$2:$K$494,MATCH($A148,F!$A$2:$A$494,0),10))</f>
        <v>32</v>
      </c>
      <c r="G148" t="str">
        <f>_xlfn.CONCAT(C148,Table16[[#This Row],[Pos Rank2]])</f>
        <v>RW32</v>
      </c>
      <c r="H148" s="10">
        <f>MAX(_xlfn.IFNA(INDEX(Proj[],MATCH(Table16[[#This Row],[Player]],Proj[Player],0),29),-5000), _xlfn.IFNA(INDEX(Goalie[],MATCH(Table16[[#This Row],[Player]],Goalie[player],0),19),-5000))</f>
        <v>475.43708762990684</v>
      </c>
      <c r="I148" t="str">
        <f>IF(_xlfn.IFNA(INDEX(Proj[],MATCH(Table16[[#This Row],[Player]],Proj[Player],0),31),INDEX(Goalie[],MATCH(Table16[[#This Row],[Player]],Goalie[player],0),20)) = 0, "",_xlfn.IFNA(INDEX(Proj[],MATCH(Table16[[#This Row],[Player]],Proj[Player],0),31),INDEX(Goalie[],MATCH(Table16[[#This Row],[Player]],Goalie[player],0),20)))</f>
        <v/>
      </c>
    </row>
    <row r="149" spans="1:9" x14ac:dyDescent="0.25">
      <c r="A149" t="s">
        <v>382</v>
      </c>
      <c r="B149" s="2" t="s">
        <v>104</v>
      </c>
      <c r="C149" t="str">
        <f t="shared" si="2"/>
        <v>RW</v>
      </c>
      <c r="D149" s="10">
        <f>MAX(_xlfn.IFNA(INDEX(Proj[],MATCH(Table16[[#This Row],[Player]],Proj[Player],0),27),-5000), _xlfn.IFNA(INDEX(Goalie[],MATCH(Table16[[#This Row],[Player]],Goalie[player],0),17),-5000))</f>
        <v>25</v>
      </c>
      <c r="E149">
        <f>_xlfn.RANK.EQ(Table16[[#This Row],[VOR]],Table16[VOR])</f>
        <v>171</v>
      </c>
      <c r="F149" cm="1">
        <f t="array" ref="F149">_xlfn.IFS(C149 = "C",INDEX('C'!$A$2:$L$254,MATCH($A149,'C'!$A$2:$A$254,0),10),C149 = "LW",INDEX(LW!$A$2:$K$180,MATCH($A149,LW!$A$2:$A$180,0),10),C149 = "RW",INDEX('RW'!$A$2:$L$164,MATCH($A149,'RW'!$A$2:$A$164,0),10), C149 = "D",INDEX(D!$A$2:$L$268,MATCH($A149,D!$A$2:$A$268,0),10),C149="G",INDEX(G!$A$2:$Q$78,MATCH($A149,G!$A$2:$A$78,0),16),C149="F",INDEX(F!$A$2:$K$494,MATCH($A149,F!$A$2:$A$494,0),10))</f>
        <v>33</v>
      </c>
      <c r="G149" t="str">
        <f>_xlfn.CONCAT(C149,Table16[[#This Row],[Pos Rank2]])</f>
        <v>RW33</v>
      </c>
      <c r="H149" s="10">
        <f>MAX(_xlfn.IFNA(INDEX(Proj[],MATCH(Table16[[#This Row],[Player]],Proj[Player],0),29),-5000), _xlfn.IFNA(INDEX(Goalie[],MATCH(Table16[[#This Row],[Player]],Goalie[player],0),19),-5000))</f>
        <v>471.54472439024886</v>
      </c>
      <c r="I149" t="str">
        <f>IF(_xlfn.IFNA(INDEX(Proj[],MATCH(Table16[[#This Row],[Player]],Proj[Player],0),31),INDEX(Goalie[],MATCH(Table16[[#This Row],[Player]],Goalie[player],0),20)) = 0, "",_xlfn.IFNA(INDEX(Proj[],MATCH(Table16[[#This Row],[Player]],Proj[Player],0),31),INDEX(Goalie[],MATCH(Table16[[#This Row],[Player]],Goalie[player],0),20)))</f>
        <v/>
      </c>
    </row>
    <row r="150" spans="1:9" x14ac:dyDescent="0.25">
      <c r="A150" t="s">
        <v>384</v>
      </c>
      <c r="B150" s="2" t="s">
        <v>3</v>
      </c>
      <c r="C150" t="str">
        <f t="shared" si="2"/>
        <v>D</v>
      </c>
      <c r="D150" s="10">
        <f>MAX(_xlfn.IFNA(INDEX(Proj[],MATCH(Table16[[#This Row],[Player]],Proj[Player],0),27),-5000), _xlfn.IFNA(INDEX(Goalie[],MATCH(Table16[[#This Row],[Player]],Goalie[player],0),17),-5000))</f>
        <v>100.72992963806294</v>
      </c>
      <c r="E150">
        <f>_xlfn.RANK.EQ(Table16[[#This Row],[VOR]],Table16[VOR])</f>
        <v>144</v>
      </c>
      <c r="F150" cm="1">
        <f t="array" ref="F150">_xlfn.IFS(C150 = "C",INDEX('C'!$A$2:$L$254,MATCH($A150,'C'!$A$2:$A$254,0),10),C150 = "LW",INDEX(LW!$A$2:$K$180,MATCH($A150,LW!$A$2:$A$180,0),10),C150 = "RW",INDEX('RW'!$A$2:$L$164,MATCH($A150,'RW'!$A$2:$A$164,0),10), C150 = "D",INDEX(D!$A$2:$L$268,MATCH($A150,D!$A$2:$A$268,0),10),C150="G",INDEX(G!$A$2:$Q$78,MATCH($A150,G!$A$2:$A$78,0),16),C150="F",INDEX(F!$A$2:$K$494,MATCH($A150,F!$A$2:$A$494,0),10))</f>
        <v>49</v>
      </c>
      <c r="G150" t="str">
        <f>_xlfn.CONCAT(C150,Table16[[#This Row],[Pos Rank2]])</f>
        <v>D49</v>
      </c>
      <c r="H150" s="10">
        <f>MAX(_xlfn.IFNA(INDEX(Proj[],MATCH(Table16[[#This Row],[Player]],Proj[Player],0),29),-5000), _xlfn.IFNA(INDEX(Goalie[],MATCH(Table16[[#This Row],[Player]],Goalie[player],0),19),-5000))</f>
        <v>208.09469735752742</v>
      </c>
      <c r="I150" t="str">
        <f>IF(_xlfn.IFNA(INDEX(Proj[],MATCH(Table16[[#This Row],[Player]],Proj[Player],0),31),INDEX(Goalie[],MATCH(Table16[[#This Row],[Player]],Goalie[player],0),20)) = 0, "",_xlfn.IFNA(INDEX(Proj[],MATCH(Table16[[#This Row],[Player]],Proj[Player],0),31),INDEX(Goalie[],MATCH(Table16[[#This Row],[Player]],Goalie[player],0),20)))</f>
        <v/>
      </c>
    </row>
    <row r="151" spans="1:9" x14ac:dyDescent="0.25">
      <c r="A151" t="s">
        <v>248</v>
      </c>
      <c r="B151" s="2" t="s">
        <v>101</v>
      </c>
      <c r="C151" t="str">
        <f t="shared" si="2"/>
        <v>LW</v>
      </c>
      <c r="D151" s="10">
        <f>MAX(_xlfn.IFNA(INDEX(Proj[],MATCH(Table16[[#This Row],[Player]],Proj[Player],0),27),-5000), _xlfn.IFNA(INDEX(Goalie[],MATCH(Table16[[#This Row],[Player]],Goalie[player],0),17),-5000))</f>
        <v>19.807381543803729</v>
      </c>
      <c r="E151">
        <f>_xlfn.RANK.EQ(Table16[[#This Row],[VOR]],Table16[VOR])</f>
        <v>176</v>
      </c>
      <c r="F151" cm="1">
        <f t="array" ref="F151">_xlfn.IFS(C151 = "C",INDEX('C'!$A$2:$L$254,MATCH($A151,'C'!$A$2:$A$254,0),10),C151 = "LW",INDEX(LW!$A$2:$K$180,MATCH($A151,LW!$A$2:$A$180,0),10),C151 = "RW",INDEX('RW'!$A$2:$L$164,MATCH($A151,'RW'!$A$2:$A$164,0),10), C151 = "D",INDEX(D!$A$2:$L$268,MATCH($A151,D!$A$2:$A$268,0),10),C151="G",INDEX(G!$A$2:$Q$78,MATCH($A151,G!$A$2:$A$78,0),16),C151="F",INDEX(F!$A$2:$K$494,MATCH($A151,F!$A$2:$A$494,0),10))</f>
        <v>38</v>
      </c>
      <c r="G151" t="str">
        <f>_xlfn.CONCAT(C151,Table16[[#This Row],[Pos Rank2]])</f>
        <v>LW38</v>
      </c>
      <c r="H151" s="10">
        <f>MAX(_xlfn.IFNA(INDEX(Proj[],MATCH(Table16[[#This Row],[Player]],Proj[Player],0),29),-5000), _xlfn.IFNA(INDEX(Goalie[],MATCH(Table16[[#This Row],[Player]],Goalie[player],0),19),-5000))</f>
        <v>491.35210593405259</v>
      </c>
      <c r="I151" t="str">
        <f>IF(_xlfn.IFNA(INDEX(Proj[],MATCH(Table16[[#This Row],[Player]],Proj[Player],0),31),INDEX(Goalie[],MATCH(Table16[[#This Row],[Player]],Goalie[player],0),20)) = 0, "",_xlfn.IFNA(INDEX(Proj[],MATCH(Table16[[#This Row],[Player]],Proj[Player],0),31),INDEX(Goalie[],MATCH(Table16[[#This Row],[Player]],Goalie[player],0),20)))</f>
        <v/>
      </c>
    </row>
    <row r="152" spans="1:9" x14ac:dyDescent="0.25">
      <c r="A152" t="s">
        <v>203</v>
      </c>
      <c r="B152" s="2" t="s">
        <v>157</v>
      </c>
      <c r="C152" t="str">
        <f t="shared" si="2"/>
        <v>G</v>
      </c>
      <c r="D152" s="10">
        <f>MAX(_xlfn.IFNA(INDEX(Proj[],MATCH(Table16[[#This Row],[Player]],Proj[Player],0),27),-5000), _xlfn.IFNA(INDEX(Goalie[],MATCH(Table16[[#This Row],[Player]],Goalie[player],0),17),-5000))</f>
        <v>58.884627360970043</v>
      </c>
      <c r="E152">
        <f>_xlfn.RANK.EQ(Table16[[#This Row],[VOR]],Table16[VOR])</f>
        <v>157</v>
      </c>
      <c r="F152" cm="1">
        <f t="array" ref="F152">_xlfn.IFS(C152 = "C",INDEX('C'!$A$2:$L$254,MATCH($A152,'C'!$A$2:$A$254,0),10),C152 = "LW",INDEX(LW!$A$2:$K$180,MATCH($A152,LW!$A$2:$A$180,0),10),C152 = "RW",INDEX('RW'!$A$2:$L$164,MATCH($A152,'RW'!$A$2:$A$164,0),10), C152 = "D",INDEX(D!$A$2:$L$268,MATCH($A152,D!$A$2:$A$268,0),10),C152="G",INDEX(G!$A$2:$Q$78,MATCH($A152,G!$A$2:$A$78,0),16),C152="F",INDEX(F!$A$2:$K$494,MATCH($A152,F!$A$2:$A$494,0),10))</f>
        <v>22</v>
      </c>
      <c r="G152" t="str">
        <f>_xlfn.CONCAT(C152,Table16[[#This Row],[Pos Rank2]])</f>
        <v>G22</v>
      </c>
      <c r="H152" s="10">
        <f>MAX(_xlfn.IFNA(INDEX(Proj[],MATCH(Table16[[#This Row],[Player]],Proj[Player],0),29),-5000), _xlfn.IFNA(INDEX(Goalie[],MATCH(Table16[[#This Row],[Player]],Goalie[player],0),19),-5000))</f>
        <v>554.28879999999992</v>
      </c>
      <c r="I152" t="str">
        <f>IF(_xlfn.IFNA(INDEX(Proj[],MATCH(Table16[[#This Row],[Player]],Proj[Player],0),31),INDEX(Goalie[],MATCH(Table16[[#This Row],[Player]],Goalie[player],0),20)) = 0, "",_xlfn.IFNA(INDEX(Proj[],MATCH(Table16[[#This Row],[Player]],Proj[Player],0),31),INDEX(Goalie[],MATCH(Table16[[#This Row],[Player]],Goalie[player],0),20)))</f>
        <v/>
      </c>
    </row>
    <row r="153" spans="1:9" x14ac:dyDescent="0.25">
      <c r="A153" t="s">
        <v>1251</v>
      </c>
      <c r="B153" s="2" t="s">
        <v>157</v>
      </c>
      <c r="C153" t="str">
        <f t="shared" si="2"/>
        <v>G</v>
      </c>
      <c r="D153" s="10">
        <f>MAX(_xlfn.IFNA(INDEX(Proj[],MATCH(Table16[[#This Row],[Player]],Proj[Player],0),27),-5000), _xlfn.IFNA(INDEX(Goalie[],MATCH(Table16[[#This Row],[Player]],Goalie[player],0),17),-5000))</f>
        <v>55.80583606700641</v>
      </c>
      <c r="E153">
        <f>_xlfn.RANK.EQ(Table16[[#This Row],[VOR]],Table16[VOR])</f>
        <v>159</v>
      </c>
      <c r="F153" cm="1">
        <f t="array" ref="F153">_xlfn.IFS(C153 = "C",INDEX('C'!$A$2:$L$254,MATCH($A153,'C'!$A$2:$A$254,0),10),C153 = "LW",INDEX(LW!$A$2:$K$180,MATCH($A153,LW!$A$2:$A$180,0),10),C153 = "RW",INDEX('RW'!$A$2:$L$164,MATCH($A153,'RW'!$A$2:$A$164,0),10), C153 = "D",INDEX(D!$A$2:$L$268,MATCH($A153,D!$A$2:$A$268,0),10),C153="G",INDEX(G!$A$2:$Q$78,MATCH($A153,G!$A$2:$A$78,0),16),C153="F",INDEX(F!$A$2:$K$494,MATCH($A153,F!$A$2:$A$494,0),10))</f>
        <v>23</v>
      </c>
      <c r="G153" t="str">
        <f>_xlfn.CONCAT(C153,Table16[[#This Row],[Pos Rank2]])</f>
        <v>G23</v>
      </c>
      <c r="H153" s="10">
        <f>MAX(_xlfn.IFNA(INDEX(Proj[],MATCH(Table16[[#This Row],[Player]],Proj[Player],0),29),-5000), _xlfn.IFNA(INDEX(Goalie[],MATCH(Table16[[#This Row],[Player]],Goalie[player],0),19),-5000))</f>
        <v>381.04300000000001</v>
      </c>
      <c r="I153" t="str">
        <f>IF(_xlfn.IFNA(INDEX(Proj[],MATCH(Table16[[#This Row],[Player]],Proj[Player],0),31),INDEX(Goalie[],MATCH(Table16[[#This Row],[Player]],Goalie[player],0),20)) = 0, "",_xlfn.IFNA(INDEX(Proj[],MATCH(Table16[[#This Row],[Player]],Proj[Player],0),31),INDEX(Goalie[],MATCH(Table16[[#This Row],[Player]],Goalie[player],0),20)))</f>
        <v/>
      </c>
    </row>
    <row r="154" spans="1:9" x14ac:dyDescent="0.25">
      <c r="A154" t="s">
        <v>373</v>
      </c>
      <c r="B154" s="2" t="s">
        <v>105</v>
      </c>
      <c r="C154" t="str">
        <f t="shared" si="2"/>
        <v>RW</v>
      </c>
      <c r="D154" s="10">
        <f>MAX(_xlfn.IFNA(INDEX(Proj[],MATCH(Table16[[#This Row],[Player]],Proj[Player],0),27),-5000), _xlfn.IFNA(INDEX(Goalie[],MATCH(Table16[[#This Row],[Player]],Goalie[player],0),17),-5000))</f>
        <v>22.334247232493283</v>
      </c>
      <c r="E154">
        <f>_xlfn.RANK.EQ(Table16[[#This Row],[VOR]],Table16[VOR])</f>
        <v>174</v>
      </c>
      <c r="F154" cm="1">
        <f t="array" ref="F154">_xlfn.IFS(C154 = "C",INDEX('C'!$A$2:$L$254,MATCH($A154,'C'!$A$2:$A$254,0),10),C154 = "LW",INDEX(LW!$A$2:$K$180,MATCH($A154,LW!$A$2:$A$180,0),10),C154 = "RW",INDEX('RW'!$A$2:$L$164,MATCH($A154,'RW'!$A$2:$A$164,0),10), C154 = "D",INDEX(D!$A$2:$L$268,MATCH($A154,D!$A$2:$A$268,0),10),C154="G",INDEX(G!$A$2:$Q$78,MATCH($A154,G!$A$2:$A$78,0),16),C154="F",INDEX(F!$A$2:$K$494,MATCH($A154,F!$A$2:$A$494,0),10))</f>
        <v>35</v>
      </c>
      <c r="G154" t="str">
        <f>_xlfn.CONCAT(C154,Table16[[#This Row],[Pos Rank2]])</f>
        <v>RW35</v>
      </c>
      <c r="H154" s="10">
        <f>MAX(_xlfn.IFNA(INDEX(Proj[],MATCH(Table16[[#This Row],[Player]],Proj[Player],0),29),-5000), _xlfn.IFNA(INDEX(Goalie[],MATCH(Table16[[#This Row],[Player]],Goalie[player],0),19),-5000))</f>
        <v>468.87897162274214</v>
      </c>
      <c r="I154" t="str">
        <f>IF(_xlfn.IFNA(INDEX(Proj[],MATCH(Table16[[#This Row],[Player]],Proj[Player],0),31),INDEX(Goalie[],MATCH(Table16[[#This Row],[Player]],Goalie[player],0),20)) = 0, "",_xlfn.IFNA(INDEX(Proj[],MATCH(Table16[[#This Row],[Player]],Proj[Player],0),31),INDEX(Goalie[],MATCH(Table16[[#This Row],[Player]],Goalie[player],0),20)))</f>
        <v/>
      </c>
    </row>
    <row r="155" spans="1:9" x14ac:dyDescent="0.25">
      <c r="A155" t="s">
        <v>475</v>
      </c>
      <c r="B155" s="2" t="s">
        <v>104</v>
      </c>
      <c r="C155" t="str">
        <f t="shared" si="2"/>
        <v>RW</v>
      </c>
      <c r="D155" s="10">
        <f>MAX(_xlfn.IFNA(INDEX(Proj[],MATCH(Table16[[#This Row],[Player]],Proj[Player],0),27),-5000), _xlfn.IFNA(INDEX(Goalie[],MATCH(Table16[[#This Row],[Player]],Goalie[player],0),17),-5000))</f>
        <v>9.6531586656013246</v>
      </c>
      <c r="E155">
        <f>_xlfn.RANK.EQ(Table16[[#This Row],[VOR]],Table16[VOR])</f>
        <v>180</v>
      </c>
      <c r="F155" cm="1">
        <f t="array" ref="F155">_xlfn.IFS(C155 = "C",INDEX('C'!$A$2:$L$254,MATCH($A155,'C'!$A$2:$A$254,0),10),C155 = "LW",INDEX(LW!$A$2:$K$180,MATCH($A155,LW!$A$2:$A$180,0),10),C155 = "RW",INDEX('RW'!$A$2:$L$164,MATCH($A155,'RW'!$A$2:$A$164,0),10), C155 = "D",INDEX(D!$A$2:$L$268,MATCH($A155,D!$A$2:$A$268,0),10),C155="G",INDEX(G!$A$2:$Q$78,MATCH($A155,G!$A$2:$A$78,0),16),C155="F",INDEX(F!$A$2:$K$494,MATCH($A155,F!$A$2:$A$494,0),10))</f>
        <v>36</v>
      </c>
      <c r="G155" t="str">
        <f>_xlfn.CONCAT(C155,Table16[[#This Row],[Pos Rank2]])</f>
        <v>RW36</v>
      </c>
      <c r="H155" s="10">
        <f>MAX(_xlfn.IFNA(INDEX(Proj[],MATCH(Table16[[#This Row],[Player]],Proj[Player],0),29),-5000), _xlfn.IFNA(INDEX(Goalie[],MATCH(Table16[[#This Row],[Player]],Goalie[player],0),19),-5000))</f>
        <v>456.19788305585018</v>
      </c>
      <c r="I155" t="str">
        <f>IF(_xlfn.IFNA(INDEX(Proj[],MATCH(Table16[[#This Row],[Player]],Proj[Player],0),31),INDEX(Goalie[],MATCH(Table16[[#This Row],[Player]],Goalie[player],0),20)) = 0, "",_xlfn.IFNA(INDEX(Proj[],MATCH(Table16[[#This Row],[Player]],Proj[Player],0),31),INDEX(Goalie[],MATCH(Table16[[#This Row],[Player]],Goalie[player],0),20)))</f>
        <v/>
      </c>
    </row>
    <row r="156" spans="1:9" x14ac:dyDescent="0.25">
      <c r="A156" t="s">
        <v>340</v>
      </c>
      <c r="B156" s="2" t="s">
        <v>101</v>
      </c>
      <c r="C156" t="str">
        <f t="shared" si="2"/>
        <v>LW</v>
      </c>
      <c r="D156" s="10">
        <f>MAX(_xlfn.IFNA(INDEX(Proj[],MATCH(Table16[[#This Row],[Player]],Proj[Player],0),27),-5000), _xlfn.IFNA(INDEX(Goalie[],MATCH(Table16[[#This Row],[Player]],Goalie[player],0),17),-5000))</f>
        <v>228.51475533793399</v>
      </c>
      <c r="E156">
        <f>_xlfn.RANK.EQ(Table16[[#This Row],[VOR]],Table16[VOR])</f>
        <v>110</v>
      </c>
      <c r="F156" cm="1">
        <f t="array" ref="F156">_xlfn.IFS(C156 = "C",INDEX('C'!$A$2:$L$254,MATCH($A156,'C'!$A$2:$A$254,0),10),C156 = "LW",INDEX(LW!$A$2:$K$180,MATCH($A156,LW!$A$2:$A$180,0),10),C156 = "RW",INDEX('RW'!$A$2:$L$164,MATCH($A156,'RW'!$A$2:$A$164,0),10), C156 = "D",INDEX(D!$A$2:$L$268,MATCH($A156,D!$A$2:$A$268,0),10),C156="G",INDEX(G!$A$2:$Q$78,MATCH($A156,G!$A$2:$A$78,0),16),C156="F",INDEX(F!$A$2:$K$494,MATCH($A156,F!$A$2:$A$494,0),10))</f>
        <v>29</v>
      </c>
      <c r="G156" t="str">
        <f>_xlfn.CONCAT(C156,Table16[[#This Row],[Pos Rank2]])</f>
        <v>LW29</v>
      </c>
      <c r="H156" s="10">
        <f>MAX(_xlfn.IFNA(INDEX(Proj[],MATCH(Table16[[#This Row],[Player]],Proj[Player],0),29),-5000), _xlfn.IFNA(INDEX(Goalie[],MATCH(Table16[[#This Row],[Player]],Goalie[player],0),19),-5000))</f>
        <v>700.05947972818285</v>
      </c>
      <c r="I156" t="str">
        <f>IF(_xlfn.IFNA(INDEX(Proj[],MATCH(Table16[[#This Row],[Player]],Proj[Player],0),31),INDEX(Goalie[],MATCH(Table16[[#This Row],[Player]],Goalie[player],0),20)) = 0, "",_xlfn.IFNA(INDEX(Proj[],MATCH(Table16[[#This Row],[Player]],Proj[Player],0),31),INDEX(Goalie[],MATCH(Table16[[#This Row],[Player]],Goalie[player],0),20)))</f>
        <v/>
      </c>
    </row>
    <row r="157" spans="1:9" x14ac:dyDescent="0.25">
      <c r="A157" t="s">
        <v>967</v>
      </c>
      <c r="B157" s="2" t="s">
        <v>105</v>
      </c>
      <c r="C157" t="str">
        <f t="shared" si="2"/>
        <v>RW</v>
      </c>
      <c r="D157" s="10">
        <f>MAX(_xlfn.IFNA(INDEX(Proj[],MATCH(Table16[[#This Row],[Player]],Proj[Player],0),27),-5000), _xlfn.IFNA(INDEX(Goalie[],MATCH(Table16[[#This Row],[Player]],Goalie[player],0),17),-5000))</f>
        <v>142.88687717154886</v>
      </c>
      <c r="E157">
        <f>_xlfn.RANK.EQ(Table16[[#This Row],[VOR]],Table16[VOR])</f>
        <v>132</v>
      </c>
      <c r="F157" cm="1">
        <f t="array" ref="F157">_xlfn.IFS(C157 = "C",INDEX('C'!$A$2:$L$254,MATCH($A157,'C'!$A$2:$A$254,0),10),C157 = "LW",INDEX(LW!$A$2:$K$180,MATCH($A157,LW!$A$2:$A$180,0),10),C157 = "RW",INDEX('RW'!$A$2:$L$164,MATCH($A157,'RW'!$A$2:$A$164,0),10), C157 = "D",INDEX(D!$A$2:$L$268,MATCH($A157,D!$A$2:$A$268,0),10),C157="G",INDEX(G!$A$2:$Q$78,MATCH($A157,G!$A$2:$A$78,0),16),C157="F",INDEX(F!$A$2:$K$494,MATCH($A157,F!$A$2:$A$494,0),10))</f>
        <v>26</v>
      </c>
      <c r="G157" t="str">
        <f>_xlfn.CONCAT(C157,Table16[[#This Row],[Pos Rank2]])</f>
        <v>RW26</v>
      </c>
      <c r="H157" s="10">
        <f>MAX(_xlfn.IFNA(INDEX(Proj[],MATCH(Table16[[#This Row],[Player]],Proj[Player],0),29),-5000), _xlfn.IFNA(INDEX(Goalie[],MATCH(Table16[[#This Row],[Player]],Goalie[player],0),19),-5000))</f>
        <v>589.43160156179772</v>
      </c>
      <c r="I157" t="str">
        <f>IF(_xlfn.IFNA(INDEX(Proj[],MATCH(Table16[[#This Row],[Player]],Proj[Player],0),31),INDEX(Goalie[],MATCH(Table16[[#This Row],[Player]],Goalie[player],0),20)) = 0, "",_xlfn.IFNA(INDEX(Proj[],MATCH(Table16[[#This Row],[Player]],Proj[Player],0),31),INDEX(Goalie[],MATCH(Table16[[#This Row],[Player]],Goalie[player],0),20)))</f>
        <v/>
      </c>
    </row>
    <row r="158" spans="1:9" x14ac:dyDescent="0.25">
      <c r="A158" t="s">
        <v>376</v>
      </c>
      <c r="B158" s="2" t="s">
        <v>3</v>
      </c>
      <c r="C158" t="str">
        <f t="shared" si="2"/>
        <v>D</v>
      </c>
      <c r="D158" s="10">
        <f>MAX(_xlfn.IFNA(INDEX(Proj[],MATCH(Table16[[#This Row],[Player]],Proj[Player],0),27),-5000), _xlfn.IFNA(INDEX(Goalie[],MATCH(Table16[[#This Row],[Player]],Goalie[player],0),17),-5000))</f>
        <v>72.315282707914832</v>
      </c>
      <c r="E158">
        <f>_xlfn.RANK.EQ(Table16[[#This Row],[VOR]],Table16[VOR])</f>
        <v>153</v>
      </c>
      <c r="F158" cm="1">
        <f t="array" ref="F158">_xlfn.IFS(C158 = "C",INDEX('C'!$A$2:$L$254,MATCH($A158,'C'!$A$2:$A$254,0),10),C158 = "LW",INDEX(LW!$A$2:$K$180,MATCH($A158,LW!$A$2:$A$180,0),10),C158 = "RW",INDEX('RW'!$A$2:$L$164,MATCH($A158,'RW'!$A$2:$A$164,0),10), C158 = "D",INDEX(D!$A$2:$L$268,MATCH($A158,D!$A$2:$A$268,0),10),C158="G",INDEX(G!$A$2:$Q$78,MATCH($A158,G!$A$2:$A$78,0),16),C158="F",INDEX(F!$A$2:$K$494,MATCH($A158,F!$A$2:$A$494,0),10))</f>
        <v>53</v>
      </c>
      <c r="G158" t="str">
        <f>_xlfn.CONCAT(C158,Table16[[#This Row],[Pos Rank2]])</f>
        <v>D53</v>
      </c>
      <c r="H158" s="10">
        <f>MAX(_xlfn.IFNA(INDEX(Proj[],MATCH(Table16[[#This Row],[Player]],Proj[Player],0),29),-5000), _xlfn.IFNA(INDEX(Goalie[],MATCH(Table16[[#This Row],[Player]],Goalie[player],0),19),-5000))</f>
        <v>179.68005042737931</v>
      </c>
      <c r="I158" t="str">
        <f>IF(_xlfn.IFNA(INDEX(Proj[],MATCH(Table16[[#This Row],[Player]],Proj[Player],0),31),INDEX(Goalie[],MATCH(Table16[[#This Row],[Player]],Goalie[player],0),20)) = 0, "",_xlfn.IFNA(INDEX(Proj[],MATCH(Table16[[#This Row],[Player]],Proj[Player],0),31),INDEX(Goalie[],MATCH(Table16[[#This Row],[Player]],Goalie[player],0),20)))</f>
        <v/>
      </c>
    </row>
    <row r="159" spans="1:9" x14ac:dyDescent="0.25">
      <c r="A159" t="s">
        <v>254</v>
      </c>
      <c r="B159" s="2" t="s">
        <v>103</v>
      </c>
      <c r="C159" t="str">
        <f t="shared" si="2"/>
        <v>RW</v>
      </c>
      <c r="D159" s="10">
        <f>MAX(_xlfn.IFNA(INDEX(Proj[],MATCH(Table16[[#This Row],[Player]],Proj[Player],0),27),-5000), _xlfn.IFNA(INDEX(Goalie[],MATCH(Table16[[#This Row],[Player]],Goalie[player],0),17),-5000))</f>
        <v>-7.1119641136685345</v>
      </c>
      <c r="E159">
        <f>_xlfn.RANK.EQ(Table16[[#This Row],[VOR]],Table16[VOR])</f>
        <v>194</v>
      </c>
      <c r="F159" cm="1">
        <f t="array" ref="F159">_xlfn.IFS(C159 = "C",INDEX('C'!$A$2:$L$254,MATCH($A159,'C'!$A$2:$A$254,0),10),C159 = "LW",INDEX(LW!$A$2:$K$180,MATCH($A159,LW!$A$2:$A$180,0),10),C159 = "RW",INDEX('RW'!$A$2:$L$164,MATCH($A159,'RW'!$A$2:$A$164,0),10), C159 = "D",INDEX(D!$A$2:$L$268,MATCH($A159,D!$A$2:$A$268,0),10),C159="G",INDEX(G!$A$2:$Q$78,MATCH($A159,G!$A$2:$A$78,0),16),C159="F",INDEX(F!$A$2:$K$494,MATCH($A159,F!$A$2:$A$494,0),10))</f>
        <v>39</v>
      </c>
      <c r="G159" t="str">
        <f>_xlfn.CONCAT(C159,Table16[[#This Row],[Pos Rank2]])</f>
        <v>RW39</v>
      </c>
      <c r="H159" s="10">
        <f>MAX(_xlfn.IFNA(INDEX(Proj[],MATCH(Table16[[#This Row],[Player]],Proj[Player],0),29),-5000), _xlfn.IFNA(INDEX(Goalie[],MATCH(Table16[[#This Row],[Player]],Goalie[player],0),19),-5000))</f>
        <v>439.43276027658032</v>
      </c>
      <c r="I159" t="str">
        <f>IF(_xlfn.IFNA(INDEX(Proj[],MATCH(Table16[[#This Row],[Player]],Proj[Player],0),31),INDEX(Goalie[],MATCH(Table16[[#This Row],[Player]],Goalie[player],0),20)) = 0, "",_xlfn.IFNA(INDEX(Proj[],MATCH(Table16[[#This Row],[Player]],Proj[Player],0),31),INDEX(Goalie[],MATCH(Table16[[#This Row],[Player]],Goalie[player],0),20)))</f>
        <v/>
      </c>
    </row>
    <row r="160" spans="1:9" x14ac:dyDescent="0.25">
      <c r="A160" t="s">
        <v>1084</v>
      </c>
      <c r="B160" s="2" t="s">
        <v>157</v>
      </c>
      <c r="C160" t="str">
        <f t="shared" si="2"/>
        <v>G</v>
      </c>
      <c r="D160" s="10">
        <f>MAX(_xlfn.IFNA(INDEX(Proj[],MATCH(Table16[[#This Row],[Player]],Proj[Player],0),27),-5000), _xlfn.IFNA(INDEX(Goalie[],MATCH(Table16[[#This Row],[Player]],Goalie[player],0),17),-5000))</f>
        <v>33.065449758496655</v>
      </c>
      <c r="E160">
        <f>_xlfn.RANK.EQ(Table16[[#This Row],[VOR]],Table16[VOR])</f>
        <v>167</v>
      </c>
      <c r="F160" cm="1">
        <f t="array" ref="F160">_xlfn.IFS(C160 = "C",INDEX('C'!$A$2:$L$254,MATCH($A160,'C'!$A$2:$A$254,0),10),C160 = "LW",INDEX(LW!$A$2:$K$180,MATCH($A160,LW!$A$2:$A$180,0),10),C160 = "RW",INDEX('RW'!$A$2:$L$164,MATCH($A160,'RW'!$A$2:$A$164,0),10), C160 = "D",INDEX(D!$A$2:$L$268,MATCH($A160,D!$A$2:$A$268,0),10),C160="G",INDEX(G!$A$2:$Q$78,MATCH($A160,G!$A$2:$A$78,0),16),C160="F",INDEX(F!$A$2:$K$494,MATCH($A160,F!$A$2:$A$494,0),10))</f>
        <v>24</v>
      </c>
      <c r="G160" t="str">
        <f>_xlfn.CONCAT(C160,Table16[[#This Row],[Pos Rank2]])</f>
        <v>G24</v>
      </c>
      <c r="H160" s="10">
        <f>MAX(_xlfn.IFNA(INDEX(Proj[],MATCH(Table16[[#This Row],[Player]],Proj[Player],0),29),-5000), _xlfn.IFNA(INDEX(Goalie[],MATCH(Table16[[#This Row],[Player]],Goalie[player],0),19),-5000))</f>
        <v>425.34820000000002</v>
      </c>
      <c r="I160" t="str">
        <f>IF(_xlfn.IFNA(INDEX(Proj[],MATCH(Table16[[#This Row],[Player]],Proj[Player],0),31),INDEX(Goalie[],MATCH(Table16[[#This Row],[Player]],Goalie[player],0),20)) = 0, "",_xlfn.IFNA(INDEX(Proj[],MATCH(Table16[[#This Row],[Player]],Proj[Player],0),31),INDEX(Goalie[],MATCH(Table16[[#This Row],[Player]],Goalie[player],0),20)))</f>
        <v/>
      </c>
    </row>
    <row r="161" spans="1:9" x14ac:dyDescent="0.25">
      <c r="A161" t="s">
        <v>292</v>
      </c>
      <c r="B161" s="2" t="s">
        <v>103</v>
      </c>
      <c r="C161" t="str">
        <f t="shared" si="2"/>
        <v>RW</v>
      </c>
      <c r="D161" s="10">
        <f>MAX(_xlfn.IFNA(INDEX(Proj[],MATCH(Table16[[#This Row],[Player]],Proj[Player],0),27),-5000), _xlfn.IFNA(INDEX(Goalie[],MATCH(Table16[[#This Row],[Player]],Goalie[player],0),17),-5000))</f>
        <v>-15.392543805653418</v>
      </c>
      <c r="E161">
        <f>_xlfn.RANK.EQ(Table16[[#This Row],[VOR]],Table16[VOR])</f>
        <v>200</v>
      </c>
      <c r="F161" cm="1">
        <f t="array" ref="F161">_xlfn.IFS(C161 = "C",INDEX('C'!$A$2:$L$254,MATCH($A161,'C'!$A$2:$A$254,0),10),C161 = "LW",INDEX(LW!$A$2:$K$180,MATCH($A161,LW!$A$2:$A$180,0),10),C161 = "RW",INDEX('RW'!$A$2:$L$164,MATCH($A161,'RW'!$A$2:$A$164,0),10), C161 = "D",INDEX(D!$A$2:$L$268,MATCH($A161,D!$A$2:$A$268,0),10),C161="G",INDEX(G!$A$2:$Q$78,MATCH($A161,G!$A$2:$A$78,0),16),C161="F",INDEX(F!$A$2:$K$494,MATCH($A161,F!$A$2:$A$494,0),10))</f>
        <v>41</v>
      </c>
      <c r="G161" t="str">
        <f>_xlfn.CONCAT(C161,Table16[[#This Row],[Pos Rank2]])</f>
        <v>RW41</v>
      </c>
      <c r="H161" s="10">
        <f>MAX(_xlfn.IFNA(INDEX(Proj[],MATCH(Table16[[#This Row],[Player]],Proj[Player],0),29),-5000), _xlfn.IFNA(INDEX(Goalie[],MATCH(Table16[[#This Row],[Player]],Goalie[player],0),19),-5000))</f>
        <v>431.15218058459544</v>
      </c>
      <c r="I161" t="str">
        <f>IF(_xlfn.IFNA(INDEX(Proj[],MATCH(Table16[[#This Row],[Player]],Proj[Player],0),31),INDEX(Goalie[],MATCH(Table16[[#This Row],[Player]],Goalie[player],0),20)) = 0, "",_xlfn.IFNA(INDEX(Proj[],MATCH(Table16[[#This Row],[Player]],Proj[Player],0),31),INDEX(Goalie[],MATCH(Table16[[#This Row],[Player]],Goalie[player],0),20)))</f>
        <v/>
      </c>
    </row>
    <row r="162" spans="1:9" x14ac:dyDescent="0.25">
      <c r="A162" t="s">
        <v>365</v>
      </c>
      <c r="B162" s="2" t="s">
        <v>3</v>
      </c>
      <c r="C162" t="str">
        <f t="shared" si="2"/>
        <v>D</v>
      </c>
      <c r="D162" s="10">
        <f>MAX(_xlfn.IFNA(INDEX(Proj[],MATCH(Table16[[#This Row],[Player]],Proj[Player],0),27),-5000), _xlfn.IFNA(INDEX(Goalie[],MATCH(Table16[[#This Row],[Player]],Goalie[player],0),17),-5000))</f>
        <v>59.57523760673584</v>
      </c>
      <c r="E162">
        <f>_xlfn.RANK.EQ(Table16[[#This Row],[VOR]],Table16[VOR])</f>
        <v>156</v>
      </c>
      <c r="F162" cm="1">
        <f t="array" ref="F162">_xlfn.IFS(C162 = "C",INDEX('C'!$A$2:$L$254,MATCH($A162,'C'!$A$2:$A$254,0),10),C162 = "LW",INDEX(LW!$A$2:$K$180,MATCH($A162,LW!$A$2:$A$180,0),10),C162 = "RW",INDEX('RW'!$A$2:$L$164,MATCH($A162,'RW'!$A$2:$A$164,0),10), C162 = "D",INDEX(D!$A$2:$L$268,MATCH($A162,D!$A$2:$A$268,0),10),C162="G",INDEX(G!$A$2:$Q$78,MATCH($A162,G!$A$2:$A$78,0),16),C162="F",INDEX(F!$A$2:$K$494,MATCH($A162,F!$A$2:$A$494,0),10))</f>
        <v>54</v>
      </c>
      <c r="G162" t="str">
        <f>_xlfn.CONCAT(C162,Table16[[#This Row],[Pos Rank2]])</f>
        <v>D54</v>
      </c>
      <c r="H162" s="10">
        <f>MAX(_xlfn.IFNA(INDEX(Proj[],MATCH(Table16[[#This Row],[Player]],Proj[Player],0),29),-5000), _xlfn.IFNA(INDEX(Goalie[],MATCH(Table16[[#This Row],[Player]],Goalie[player],0),19),-5000))</f>
        <v>166.94000532620032</v>
      </c>
      <c r="I162" t="str">
        <f>IF(_xlfn.IFNA(INDEX(Proj[],MATCH(Table16[[#This Row],[Player]],Proj[Player],0),31),INDEX(Goalie[],MATCH(Table16[[#This Row],[Player]],Goalie[player],0),20)) = 0, "",_xlfn.IFNA(INDEX(Proj[],MATCH(Table16[[#This Row],[Player]],Proj[Player],0),31),INDEX(Goalie[],MATCH(Table16[[#This Row],[Player]],Goalie[player],0),20)))</f>
        <v/>
      </c>
    </row>
    <row r="163" spans="1:9" x14ac:dyDescent="0.25">
      <c r="A163" t="s">
        <v>610</v>
      </c>
      <c r="B163" s="2" t="s">
        <v>3</v>
      </c>
      <c r="C163" t="str">
        <f t="shared" si="2"/>
        <v>D</v>
      </c>
      <c r="D163" s="10">
        <f>MAX(_xlfn.IFNA(INDEX(Proj[],MATCH(Table16[[#This Row],[Player]],Proj[Player],0),27),-5000), _xlfn.IFNA(INDEX(Goalie[],MATCH(Table16[[#This Row],[Player]],Goalie[player],0),17),-5000))</f>
        <v>57.539243191619363</v>
      </c>
      <c r="E163">
        <f>_xlfn.RANK.EQ(Table16[[#This Row],[VOR]],Table16[VOR])</f>
        <v>158</v>
      </c>
      <c r="F163" cm="1">
        <f t="array" ref="F163">_xlfn.IFS(C163 = "C",INDEX('C'!$A$2:$L$254,MATCH($A163,'C'!$A$2:$A$254,0),10),C163 = "LW",INDEX(LW!$A$2:$K$180,MATCH($A163,LW!$A$2:$A$180,0),10),C163 = "RW",INDEX('RW'!$A$2:$L$164,MATCH($A163,'RW'!$A$2:$A$164,0),10), C163 = "D",INDEX(D!$A$2:$L$268,MATCH($A163,D!$A$2:$A$268,0),10),C163="G",INDEX(G!$A$2:$Q$78,MATCH($A163,G!$A$2:$A$78,0),16),C163="F",INDEX(F!$A$2:$K$494,MATCH($A163,F!$A$2:$A$494,0),10))</f>
        <v>55</v>
      </c>
      <c r="G163" t="str">
        <f>_xlfn.CONCAT(C163,Table16[[#This Row],[Pos Rank2]])</f>
        <v>D55</v>
      </c>
      <c r="H163" s="10">
        <f>MAX(_xlfn.IFNA(INDEX(Proj[],MATCH(Table16[[#This Row],[Player]],Proj[Player],0),29),-5000), _xlfn.IFNA(INDEX(Goalie[],MATCH(Table16[[#This Row],[Player]],Goalie[player],0),19),-5000))</f>
        <v>164.90401091108384</v>
      </c>
      <c r="I163" t="str">
        <f>IF(_xlfn.IFNA(INDEX(Proj[],MATCH(Table16[[#This Row],[Player]],Proj[Player],0),31),INDEX(Goalie[],MATCH(Table16[[#This Row],[Player]],Goalie[player],0),20)) = 0, "",_xlfn.IFNA(INDEX(Proj[],MATCH(Table16[[#This Row],[Player]],Proj[Player],0),31),INDEX(Goalie[],MATCH(Table16[[#This Row],[Player]],Goalie[player],0),20)))</f>
        <v/>
      </c>
    </row>
    <row r="164" spans="1:9" x14ac:dyDescent="0.25">
      <c r="A164" t="s">
        <v>253</v>
      </c>
      <c r="B164" s="2" t="s">
        <v>102</v>
      </c>
      <c r="C164" t="str">
        <f t="shared" si="2"/>
        <v>LW</v>
      </c>
      <c r="D164" s="10">
        <f>MAX(_xlfn.IFNA(INDEX(Proj[],MATCH(Table16[[#This Row],[Player]],Proj[Player],0),27),-5000), _xlfn.IFNA(INDEX(Goalie[],MATCH(Table16[[#This Row],[Player]],Goalie[player],0),17),-5000))</f>
        <v>-7.3782382569223728</v>
      </c>
      <c r="E164">
        <f>_xlfn.RANK.EQ(Table16[[#This Row],[VOR]],Table16[VOR])</f>
        <v>195</v>
      </c>
      <c r="F164" cm="1">
        <f t="array" ref="F164">_xlfn.IFS(C164 = "C",INDEX('C'!$A$2:$L$254,MATCH($A164,'C'!$A$2:$A$254,0),10),C164 = "LW",INDEX(LW!$A$2:$K$180,MATCH($A164,LW!$A$2:$A$180,0),10),C164 = "RW",INDEX('RW'!$A$2:$L$164,MATCH($A164,'RW'!$A$2:$A$164,0),10), C164 = "D",INDEX(D!$A$2:$L$268,MATCH($A164,D!$A$2:$A$268,0),10),C164="G",INDEX(G!$A$2:$Q$78,MATCH($A164,G!$A$2:$A$78,0),16),C164="F",INDEX(F!$A$2:$K$494,MATCH($A164,F!$A$2:$A$494,0),10))</f>
        <v>44</v>
      </c>
      <c r="G164" t="str">
        <f>_xlfn.CONCAT(C164,Table16[[#This Row],[Pos Rank2]])</f>
        <v>LW44</v>
      </c>
      <c r="H164" s="10">
        <f>MAX(_xlfn.IFNA(INDEX(Proj[],MATCH(Table16[[#This Row],[Player]],Proj[Player],0),29),-5000), _xlfn.IFNA(INDEX(Goalie[],MATCH(Table16[[#This Row],[Player]],Goalie[player],0),19),-5000))</f>
        <v>464.16648613332649</v>
      </c>
      <c r="I164" t="str">
        <f>IF(_xlfn.IFNA(INDEX(Proj[],MATCH(Table16[[#This Row],[Player]],Proj[Player],0),31),INDEX(Goalie[],MATCH(Table16[[#This Row],[Player]],Goalie[player],0),20)) = 0, "",_xlfn.IFNA(INDEX(Proj[],MATCH(Table16[[#This Row],[Player]],Proj[Player],0),31),INDEX(Goalie[],MATCH(Table16[[#This Row],[Player]],Goalie[player],0),20)))</f>
        <v/>
      </c>
    </row>
    <row r="165" spans="1:9" x14ac:dyDescent="0.25">
      <c r="A165" t="s">
        <v>199</v>
      </c>
      <c r="B165" s="2" t="s">
        <v>157</v>
      </c>
      <c r="C165" t="str">
        <f t="shared" si="2"/>
        <v>G</v>
      </c>
      <c r="D165" s="10">
        <f>MAX(_xlfn.IFNA(INDEX(Proj[],MATCH(Table16[[#This Row],[Player]],Proj[Player],0),27),-5000), _xlfn.IFNA(INDEX(Goalie[],MATCH(Table16[[#This Row],[Player]],Goalie[player],0),17),-5000))</f>
        <v>25.358796194546315</v>
      </c>
      <c r="E165">
        <f>_xlfn.RANK.EQ(Table16[[#This Row],[VOR]],Table16[VOR])</f>
        <v>170</v>
      </c>
      <c r="F165" cm="1">
        <f t="array" ref="F165">_xlfn.IFS(C165 = "C",INDEX('C'!$A$2:$L$254,MATCH($A165,'C'!$A$2:$A$254,0),10),C165 = "LW",INDEX(LW!$A$2:$K$180,MATCH($A165,LW!$A$2:$A$180,0),10),C165 = "RW",INDEX('RW'!$A$2:$L$164,MATCH($A165,'RW'!$A$2:$A$164,0),10), C165 = "D",INDEX(D!$A$2:$L$268,MATCH($A165,D!$A$2:$A$268,0),10),C165="G",INDEX(G!$A$2:$Q$78,MATCH($A165,G!$A$2:$A$78,0),16),C165="F",INDEX(F!$A$2:$K$494,MATCH($A165,F!$A$2:$A$494,0),10))</f>
        <v>25</v>
      </c>
      <c r="G165" t="str">
        <f>_xlfn.CONCAT(C165,Table16[[#This Row],[Pos Rank2]])</f>
        <v>G25</v>
      </c>
      <c r="H165" s="10">
        <f>MAX(_xlfn.IFNA(INDEX(Proj[],MATCH(Table16[[#This Row],[Player]],Proj[Player],0),29),-5000), _xlfn.IFNA(INDEX(Goalie[],MATCH(Table16[[#This Row],[Player]],Goalie[player],0),19),-5000))</f>
        <v>392.19600000000003</v>
      </c>
      <c r="I165" t="str">
        <f>IF(_xlfn.IFNA(INDEX(Proj[],MATCH(Table16[[#This Row],[Player]],Proj[Player],0),31),INDEX(Goalie[],MATCH(Table16[[#This Row],[Player]],Goalie[player],0),20)) = 0, "",_xlfn.IFNA(INDEX(Proj[],MATCH(Table16[[#This Row],[Player]],Proj[Player],0),31),INDEX(Goalie[],MATCH(Table16[[#This Row],[Player]],Goalie[player],0),20)))</f>
        <v/>
      </c>
    </row>
    <row r="166" spans="1:9" x14ac:dyDescent="0.25">
      <c r="A166" t="s">
        <v>283</v>
      </c>
      <c r="B166" s="2" t="s">
        <v>102</v>
      </c>
      <c r="C166" t="str">
        <f t="shared" si="2"/>
        <v>LW</v>
      </c>
      <c r="D166" s="10">
        <f>MAX(_xlfn.IFNA(INDEX(Proj[],MATCH(Table16[[#This Row],[Player]],Proj[Player],0),27),-5000), _xlfn.IFNA(INDEX(Goalie[],MATCH(Table16[[#This Row],[Player]],Goalie[player],0),17),-5000))</f>
        <v>-20.973794375477098</v>
      </c>
      <c r="E166">
        <f>_xlfn.RANK.EQ(Table16[[#This Row],[VOR]],Table16[VOR])</f>
        <v>204</v>
      </c>
      <c r="F166" cm="1">
        <f t="array" ref="F166">_xlfn.IFS(C166 = "C",INDEX('C'!$A$2:$L$254,MATCH($A166,'C'!$A$2:$A$254,0),10),C166 = "LW",INDEX(LW!$A$2:$K$180,MATCH($A166,LW!$A$2:$A$180,0),10),C166 = "RW",INDEX('RW'!$A$2:$L$164,MATCH($A166,'RW'!$A$2:$A$164,0),10), C166 = "D",INDEX(D!$A$2:$L$268,MATCH($A166,D!$A$2:$A$268,0),10),C166="G",INDEX(G!$A$2:$Q$78,MATCH($A166,G!$A$2:$A$78,0),16),C166="F",INDEX(F!$A$2:$K$494,MATCH($A166,F!$A$2:$A$494,0),10))</f>
        <v>47</v>
      </c>
      <c r="G166" t="str">
        <f>_xlfn.CONCAT(C166,Table16[[#This Row],[Pos Rank2]])</f>
        <v>LW47</v>
      </c>
      <c r="H166" s="10">
        <f>MAX(_xlfn.IFNA(INDEX(Proj[],MATCH(Table16[[#This Row],[Player]],Proj[Player],0),29),-5000), _xlfn.IFNA(INDEX(Goalie[],MATCH(Table16[[#This Row],[Player]],Goalie[player],0),19),-5000))</f>
        <v>450.57093001477176</v>
      </c>
      <c r="I166" t="str">
        <f>IF(_xlfn.IFNA(INDEX(Proj[],MATCH(Table16[[#This Row],[Player]],Proj[Player],0),31),INDEX(Goalie[],MATCH(Table16[[#This Row],[Player]],Goalie[player],0),20)) = 0, "",_xlfn.IFNA(INDEX(Proj[],MATCH(Table16[[#This Row],[Player]],Proj[Player],0),31),INDEX(Goalie[],MATCH(Table16[[#This Row],[Player]],Goalie[player],0),20)))</f>
        <v/>
      </c>
    </row>
    <row r="167" spans="1:9" x14ac:dyDescent="0.25">
      <c r="A167" t="s">
        <v>946</v>
      </c>
      <c r="B167" s="2" t="s">
        <v>3</v>
      </c>
      <c r="C167" t="str">
        <f t="shared" si="2"/>
        <v>D</v>
      </c>
      <c r="D167" s="10">
        <f>MAX(_xlfn.IFNA(INDEX(Proj[],MATCH(Table16[[#This Row],[Player]],Proj[Player],0),27),-5000), _xlfn.IFNA(INDEX(Goalie[],MATCH(Table16[[#This Row],[Player]],Goalie[player],0),17),-5000))</f>
        <v>43.847296576522183</v>
      </c>
      <c r="E167">
        <f>_xlfn.RANK.EQ(Table16[[#This Row],[VOR]],Table16[VOR])</f>
        <v>162</v>
      </c>
      <c r="F167" cm="1">
        <f t="array" ref="F167">_xlfn.IFS(C167 = "C",INDEX('C'!$A$2:$L$254,MATCH($A167,'C'!$A$2:$A$254,0),10),C167 = "LW",INDEX(LW!$A$2:$K$180,MATCH($A167,LW!$A$2:$A$180,0),10),C167 = "RW",INDEX('RW'!$A$2:$L$164,MATCH($A167,'RW'!$A$2:$A$164,0),10), C167 = "D",INDEX(D!$A$2:$L$268,MATCH($A167,D!$A$2:$A$268,0),10),C167="G",INDEX(G!$A$2:$Q$78,MATCH($A167,G!$A$2:$A$78,0),16),C167="F",INDEX(F!$A$2:$K$494,MATCH($A167,F!$A$2:$A$494,0),10))</f>
        <v>57</v>
      </c>
      <c r="G167" t="str">
        <f>_xlfn.CONCAT(C167,Table16[[#This Row],[Pos Rank2]])</f>
        <v>D57</v>
      </c>
      <c r="H167" s="10">
        <f>MAX(_xlfn.IFNA(INDEX(Proj[],MATCH(Table16[[#This Row],[Player]],Proj[Player],0),29),-5000), _xlfn.IFNA(INDEX(Goalie[],MATCH(Table16[[#This Row],[Player]],Goalie[player],0),19),-5000))</f>
        <v>151.21206429598666</v>
      </c>
      <c r="I167" t="str">
        <f>IF(_xlfn.IFNA(INDEX(Proj[],MATCH(Table16[[#This Row],[Player]],Proj[Player],0),31),INDEX(Goalie[],MATCH(Table16[[#This Row],[Player]],Goalie[player],0),20)) = 0, "",_xlfn.IFNA(INDEX(Proj[],MATCH(Table16[[#This Row],[Player]],Proj[Player],0),31),INDEX(Goalie[],MATCH(Table16[[#This Row],[Player]],Goalie[player],0),20)))</f>
        <v/>
      </c>
    </row>
    <row r="168" spans="1:9" x14ac:dyDescent="0.25">
      <c r="A168" t="s">
        <v>411</v>
      </c>
      <c r="B168" s="2" t="s">
        <v>3</v>
      </c>
      <c r="C168" t="str">
        <f t="shared" si="2"/>
        <v>D</v>
      </c>
      <c r="D168" s="10">
        <f>MAX(_xlfn.IFNA(INDEX(Proj[],MATCH(Table16[[#This Row],[Player]],Proj[Player],0),27),-5000), _xlfn.IFNA(INDEX(Goalie[],MATCH(Table16[[#This Row],[Player]],Goalie[player],0),17),-5000))</f>
        <v>51.658089881270968</v>
      </c>
      <c r="E168">
        <f>_xlfn.RANK.EQ(Table16[[#This Row],[VOR]],Table16[VOR])</f>
        <v>161</v>
      </c>
      <c r="F168" cm="1">
        <f t="array" ref="F168">_xlfn.IFS(C168 = "C",INDEX('C'!$A$2:$L$254,MATCH($A168,'C'!$A$2:$A$254,0),10),C168 = "LW",INDEX(LW!$A$2:$K$180,MATCH($A168,LW!$A$2:$A$180,0),10),C168 = "RW",INDEX('RW'!$A$2:$L$164,MATCH($A168,'RW'!$A$2:$A$164,0),10), C168 = "D",INDEX(D!$A$2:$L$268,MATCH($A168,D!$A$2:$A$268,0),10),C168="G",INDEX(G!$A$2:$Q$78,MATCH($A168,G!$A$2:$A$78,0),16),C168="F",INDEX(F!$A$2:$K$494,MATCH($A168,F!$A$2:$A$494,0),10))</f>
        <v>56</v>
      </c>
      <c r="G168" t="str">
        <f>_xlfn.CONCAT(C168,Table16[[#This Row],[Pos Rank2]])</f>
        <v>D56</v>
      </c>
      <c r="H168" s="10">
        <f>MAX(_xlfn.IFNA(INDEX(Proj[],MATCH(Table16[[#This Row],[Player]],Proj[Player],0),29),-5000), _xlfn.IFNA(INDEX(Goalie[],MATCH(Table16[[#This Row],[Player]],Goalie[player],0),19),-5000))</f>
        <v>159.02285760073545</v>
      </c>
      <c r="I168" t="str">
        <f>IF(_xlfn.IFNA(INDEX(Proj[],MATCH(Table16[[#This Row],[Player]],Proj[Player],0),31),INDEX(Goalie[],MATCH(Table16[[#This Row],[Player]],Goalie[player],0),20)) = 0, "",_xlfn.IFNA(INDEX(Proj[],MATCH(Table16[[#This Row],[Player]],Proj[Player],0),31),INDEX(Goalie[],MATCH(Table16[[#This Row],[Player]],Goalie[player],0),20)))</f>
        <v/>
      </c>
    </row>
    <row r="169" spans="1:9" x14ac:dyDescent="0.25">
      <c r="A169" t="s">
        <v>1213</v>
      </c>
      <c r="B169" s="2" t="s">
        <v>103</v>
      </c>
      <c r="C169" t="str">
        <f t="shared" si="2"/>
        <v>RW</v>
      </c>
      <c r="D169" s="10">
        <f>MAX(_xlfn.IFNA(INDEX(Proj[],MATCH(Table16[[#This Row],[Player]],Proj[Player],0),27),-5000), _xlfn.IFNA(INDEX(Goalie[],MATCH(Table16[[#This Row],[Player]],Goalie[player],0),17),-5000))</f>
        <v>-1.5636361225414817</v>
      </c>
      <c r="E169">
        <f>_xlfn.RANK.EQ(Table16[[#This Row],[VOR]],Table16[VOR])</f>
        <v>191</v>
      </c>
      <c r="F169" cm="1">
        <f t="array" ref="F169">_xlfn.IFS(C169 = "C",INDEX('C'!$A$2:$L$254,MATCH($A169,'C'!$A$2:$A$254,0),10),C169 = "LW",INDEX(LW!$A$2:$K$180,MATCH($A169,LW!$A$2:$A$180,0),10),C169 = "RW",INDEX('RW'!$A$2:$L$164,MATCH($A169,'RW'!$A$2:$A$164,0),10), C169 = "D",INDEX(D!$A$2:$L$268,MATCH($A169,D!$A$2:$A$268,0),10),C169="G",INDEX(G!$A$2:$Q$78,MATCH($A169,G!$A$2:$A$78,0),16),C169="F",INDEX(F!$A$2:$K$494,MATCH($A169,F!$A$2:$A$494,0),10))</f>
        <v>37</v>
      </c>
      <c r="G169" t="str">
        <f>_xlfn.CONCAT(C169,Table16[[#This Row],[Pos Rank2]])</f>
        <v>RW37</v>
      </c>
      <c r="H169" s="10">
        <f>MAX(_xlfn.IFNA(INDEX(Proj[],MATCH(Table16[[#This Row],[Player]],Proj[Player],0),29),-5000), _xlfn.IFNA(INDEX(Goalie[],MATCH(Table16[[#This Row],[Player]],Goalie[player],0),19),-5000))</f>
        <v>444.98108826770738</v>
      </c>
      <c r="I169" t="str">
        <f>IF(_xlfn.IFNA(INDEX(Proj[],MATCH(Table16[[#This Row],[Player]],Proj[Player],0),31),INDEX(Goalie[],MATCH(Table16[[#This Row],[Player]],Goalie[player],0),20)) = 0, "",_xlfn.IFNA(INDEX(Proj[],MATCH(Table16[[#This Row],[Player]],Proj[Player],0),31),INDEX(Goalie[],MATCH(Table16[[#This Row],[Player]],Goalie[player],0),20)))</f>
        <v/>
      </c>
    </row>
    <row r="170" spans="1:9" x14ac:dyDescent="0.25">
      <c r="A170" t="s">
        <v>407</v>
      </c>
      <c r="B170" s="2" t="s">
        <v>103</v>
      </c>
      <c r="C170" t="str">
        <f t="shared" si="2"/>
        <v>RW</v>
      </c>
      <c r="D170" s="10">
        <f>MAX(_xlfn.IFNA(INDEX(Proj[],MATCH(Table16[[#This Row],[Player]],Proj[Player],0),27),-5000), _xlfn.IFNA(INDEX(Goalie[],MATCH(Table16[[#This Row],[Player]],Goalie[player],0),17),-5000))</f>
        <v>-19.354916705115443</v>
      </c>
      <c r="E170">
        <f>_xlfn.RANK.EQ(Table16[[#This Row],[VOR]],Table16[VOR])</f>
        <v>202</v>
      </c>
      <c r="F170" cm="1">
        <f t="array" ref="F170">_xlfn.IFS(C170 = "C",INDEX('C'!$A$2:$L$254,MATCH($A170,'C'!$A$2:$A$254,0),10),C170 = "LW",INDEX(LW!$A$2:$K$180,MATCH($A170,LW!$A$2:$A$180,0),10),C170 = "RW",INDEX('RW'!$A$2:$L$164,MATCH($A170,'RW'!$A$2:$A$164,0),10), C170 = "D",INDEX(D!$A$2:$L$268,MATCH($A170,D!$A$2:$A$268,0),10),C170="G",INDEX(G!$A$2:$Q$78,MATCH($A170,G!$A$2:$A$78,0),16),C170="F",INDEX(F!$A$2:$K$494,MATCH($A170,F!$A$2:$A$494,0),10))</f>
        <v>42</v>
      </c>
      <c r="G170" t="str">
        <f>_xlfn.CONCAT(C170,Table16[[#This Row],[Pos Rank2]])</f>
        <v>RW42</v>
      </c>
      <c r="H170" s="10">
        <f>MAX(_xlfn.IFNA(INDEX(Proj[],MATCH(Table16[[#This Row],[Player]],Proj[Player],0),29),-5000), _xlfn.IFNA(INDEX(Goalie[],MATCH(Table16[[#This Row],[Player]],Goalie[player],0),19),-5000))</f>
        <v>427.18980768513342</v>
      </c>
      <c r="I170" t="str">
        <f>IF(_xlfn.IFNA(INDEX(Proj[],MATCH(Table16[[#This Row],[Player]],Proj[Player],0),31),INDEX(Goalie[],MATCH(Table16[[#This Row],[Player]],Goalie[player],0),20)) = 0, "",_xlfn.IFNA(INDEX(Proj[],MATCH(Table16[[#This Row],[Player]],Proj[Player],0),31),INDEX(Goalie[],MATCH(Table16[[#This Row],[Player]],Goalie[player],0),20)))</f>
        <v/>
      </c>
    </row>
    <row r="171" spans="1:9" x14ac:dyDescent="0.25">
      <c r="A171" t="s">
        <v>488</v>
      </c>
      <c r="B171" s="2" t="s">
        <v>74</v>
      </c>
      <c r="C171" t="str">
        <f t="shared" si="2"/>
        <v>C</v>
      </c>
      <c r="D171" s="10">
        <f>MAX(_xlfn.IFNA(INDEX(Proj[],MATCH(Table16[[#This Row],[Player]],Proj[Player],0),27),-5000), _xlfn.IFNA(INDEX(Goalie[],MATCH(Table16[[#This Row],[Player]],Goalie[player],0),17),-5000))</f>
        <v>203.84554291634856</v>
      </c>
      <c r="E171">
        <f>_xlfn.RANK.EQ(Table16[[#This Row],[VOR]],Table16[VOR])</f>
        <v>119</v>
      </c>
      <c r="F171" cm="1">
        <f t="array" ref="F171">_xlfn.IFS(C171 = "C",INDEX('C'!$A$2:$L$254,MATCH($A171,'C'!$A$2:$A$254,0),10),C171 = "LW",INDEX(LW!$A$2:$K$180,MATCH($A171,LW!$A$2:$A$180,0),10),C171 = "RW",INDEX('RW'!$A$2:$L$164,MATCH($A171,'RW'!$A$2:$A$164,0),10), C171 = "D",INDEX(D!$A$2:$L$268,MATCH($A171,D!$A$2:$A$268,0),10),C171="G",INDEX(G!$A$2:$Q$78,MATCH($A171,G!$A$2:$A$78,0),16),C171="F",INDEX(F!$A$2:$K$494,MATCH($A171,F!$A$2:$A$494,0),10))</f>
        <v>27</v>
      </c>
      <c r="G171" t="str">
        <f>_xlfn.CONCAT(C171,Table16[[#This Row],[Pos Rank2]])</f>
        <v>C27</v>
      </c>
      <c r="H171" s="10">
        <f>MAX(_xlfn.IFNA(INDEX(Proj[],MATCH(Table16[[#This Row],[Player]],Proj[Player],0),29),-5000), _xlfn.IFNA(INDEX(Goalie[],MATCH(Table16[[#This Row],[Player]],Goalie[player],0),19),-5000))</f>
        <v>938.47939722664717</v>
      </c>
      <c r="I171" t="str">
        <f>IF(_xlfn.IFNA(INDEX(Proj[],MATCH(Table16[[#This Row],[Player]],Proj[Player],0),31),INDEX(Goalie[],MATCH(Table16[[#This Row],[Player]],Goalie[player],0),20)) = 0, "",_xlfn.IFNA(INDEX(Proj[],MATCH(Table16[[#This Row],[Player]],Proj[Player],0),31),INDEX(Goalie[],MATCH(Table16[[#This Row],[Player]],Goalie[player],0),20)))</f>
        <v/>
      </c>
    </row>
    <row r="172" spans="1:9" x14ac:dyDescent="0.25">
      <c r="A172" t="s">
        <v>433</v>
      </c>
      <c r="B172" s="2" t="s">
        <v>3</v>
      </c>
      <c r="C172" t="str">
        <f t="shared" si="2"/>
        <v>D</v>
      </c>
      <c r="D172" s="10">
        <f>MAX(_xlfn.IFNA(INDEX(Proj[],MATCH(Table16[[#This Row],[Player]],Proj[Player],0),27),-5000), _xlfn.IFNA(INDEX(Goalie[],MATCH(Table16[[#This Row],[Player]],Goalie[player],0),17),-5000))</f>
        <v>43.531733490862223</v>
      </c>
      <c r="E172">
        <f>_xlfn.RANK.EQ(Table16[[#This Row],[VOR]],Table16[VOR])</f>
        <v>163</v>
      </c>
      <c r="F172" cm="1">
        <f t="array" ref="F172">_xlfn.IFS(C172 = "C",INDEX('C'!$A$2:$L$254,MATCH($A172,'C'!$A$2:$A$254,0),10),C172 = "LW",INDEX(LW!$A$2:$K$180,MATCH($A172,LW!$A$2:$A$180,0),10),C172 = "RW",INDEX('RW'!$A$2:$L$164,MATCH($A172,'RW'!$A$2:$A$164,0),10), C172 = "D",INDEX(D!$A$2:$L$268,MATCH($A172,D!$A$2:$A$268,0),10),C172="G",INDEX(G!$A$2:$Q$78,MATCH($A172,G!$A$2:$A$78,0),16),C172="F",INDEX(F!$A$2:$K$494,MATCH($A172,F!$A$2:$A$494,0),10))</f>
        <v>58</v>
      </c>
      <c r="G172" t="str">
        <f>_xlfn.CONCAT(C172,Table16[[#This Row],[Pos Rank2]])</f>
        <v>D58</v>
      </c>
      <c r="H172" s="10">
        <f>MAX(_xlfn.IFNA(INDEX(Proj[],MATCH(Table16[[#This Row],[Player]],Proj[Player],0),29),-5000), _xlfn.IFNA(INDEX(Goalie[],MATCH(Table16[[#This Row],[Player]],Goalie[player],0),19),-5000))</f>
        <v>150.8965012103267</v>
      </c>
      <c r="I172" t="str">
        <f>IF(_xlfn.IFNA(INDEX(Proj[],MATCH(Table16[[#This Row],[Player]],Proj[Player],0),31),INDEX(Goalie[],MATCH(Table16[[#This Row],[Player]],Goalie[player],0),20)) = 0, "",_xlfn.IFNA(INDEX(Proj[],MATCH(Table16[[#This Row],[Player]],Proj[Player],0),31),INDEX(Goalie[],MATCH(Table16[[#This Row],[Player]],Goalie[player],0),20)))</f>
        <v/>
      </c>
    </row>
    <row r="173" spans="1:9" x14ac:dyDescent="0.25">
      <c r="A173" t="s">
        <v>201</v>
      </c>
      <c r="B173" s="2" t="s">
        <v>157</v>
      </c>
      <c r="C173" t="str">
        <f t="shared" si="2"/>
        <v>G</v>
      </c>
      <c r="D173" s="10">
        <f>MAX(_xlfn.IFNA(INDEX(Proj[],MATCH(Table16[[#This Row],[Player]],Proj[Player],0),27),-5000), _xlfn.IFNA(INDEX(Goalie[],MATCH(Table16[[#This Row],[Player]],Goalie[player],0),17),-5000))</f>
        <v>11.367729198945867</v>
      </c>
      <c r="E173">
        <f>_xlfn.RANK.EQ(Table16[[#This Row],[VOR]],Table16[VOR])</f>
        <v>179</v>
      </c>
      <c r="F173" cm="1">
        <f t="array" ref="F173">_xlfn.IFS(C173 = "C",INDEX('C'!$A$2:$L$254,MATCH($A173,'C'!$A$2:$A$254,0),10),C173 = "LW",INDEX(LW!$A$2:$K$180,MATCH($A173,LW!$A$2:$A$180,0),10),C173 = "RW",INDEX('RW'!$A$2:$L$164,MATCH($A173,'RW'!$A$2:$A$164,0),10), C173 = "D",INDEX(D!$A$2:$L$268,MATCH($A173,D!$A$2:$A$268,0),10),C173="G",INDEX(G!$A$2:$Q$78,MATCH($A173,G!$A$2:$A$78,0),16),C173="F",INDEX(F!$A$2:$K$494,MATCH($A173,F!$A$2:$A$494,0),10))</f>
        <v>26</v>
      </c>
      <c r="G173" t="str">
        <f>_xlfn.CONCAT(C173,Table16[[#This Row],[Pos Rank2]])</f>
        <v>G26</v>
      </c>
      <c r="H173" s="10">
        <f>MAX(_xlfn.IFNA(INDEX(Proj[],MATCH(Table16[[#This Row],[Player]],Proj[Player],0),29),-5000), _xlfn.IFNA(INDEX(Goalie[],MATCH(Table16[[#This Row],[Player]],Goalie[player],0),19),-5000))</f>
        <v>442.72799999999995</v>
      </c>
      <c r="I173" t="str">
        <f>IF(_xlfn.IFNA(INDEX(Proj[],MATCH(Table16[[#This Row],[Player]],Proj[Player],0),31),INDEX(Goalie[],MATCH(Table16[[#This Row],[Player]],Goalie[player],0),20)) = 0, "",_xlfn.IFNA(INDEX(Proj[],MATCH(Table16[[#This Row],[Player]],Proj[Player],0),31),INDEX(Goalie[],MATCH(Table16[[#This Row],[Player]],Goalie[player],0),20)))</f>
        <v/>
      </c>
    </row>
    <row r="174" spans="1:9" x14ac:dyDescent="0.25">
      <c r="A174" t="s">
        <v>1224</v>
      </c>
      <c r="B174" s="2" t="s">
        <v>3</v>
      </c>
      <c r="C174" t="str">
        <f t="shared" si="2"/>
        <v>D</v>
      </c>
      <c r="D174" s="10">
        <f>MAX(_xlfn.IFNA(INDEX(Proj[],MATCH(Table16[[#This Row],[Player]],Proj[Player],0),27),-5000), _xlfn.IFNA(INDEX(Goalie[],MATCH(Table16[[#This Row],[Player]],Goalie[player],0),17),-5000))</f>
        <v>41.548392313687089</v>
      </c>
      <c r="E174">
        <f>_xlfn.RANK.EQ(Table16[[#This Row],[VOR]],Table16[VOR])</f>
        <v>165</v>
      </c>
      <c r="F174" cm="1">
        <f t="array" ref="F174">_xlfn.IFS(C174 = "C",INDEX('C'!$A$2:$L$254,MATCH($A174,'C'!$A$2:$A$254,0),10),C174 = "LW",INDEX(LW!$A$2:$K$180,MATCH($A174,LW!$A$2:$A$180,0),10),C174 = "RW",INDEX('RW'!$A$2:$L$164,MATCH($A174,'RW'!$A$2:$A$164,0),10), C174 = "D",INDEX(D!$A$2:$L$268,MATCH($A174,D!$A$2:$A$268,0),10),C174="G",INDEX(G!$A$2:$Q$78,MATCH($A174,G!$A$2:$A$78,0),16),C174="F",INDEX(F!$A$2:$K$494,MATCH($A174,F!$A$2:$A$494,0),10))</f>
        <v>59</v>
      </c>
      <c r="G174" t="str">
        <f>_xlfn.CONCAT(C174,Table16[[#This Row],[Pos Rank2]])</f>
        <v>D59</v>
      </c>
      <c r="H174" s="10">
        <f>MAX(_xlfn.IFNA(INDEX(Proj[],MATCH(Table16[[#This Row],[Player]],Proj[Player],0),29),-5000), _xlfn.IFNA(INDEX(Goalie[],MATCH(Table16[[#This Row],[Player]],Goalie[player],0),19),-5000))</f>
        <v>148.91316003315157</v>
      </c>
      <c r="I174" t="str">
        <f>IF(_xlfn.IFNA(INDEX(Proj[],MATCH(Table16[[#This Row],[Player]],Proj[Player],0),31),INDEX(Goalie[],MATCH(Table16[[#This Row],[Player]],Goalie[player],0),20)) = 0, "",_xlfn.IFNA(INDEX(Proj[],MATCH(Table16[[#This Row],[Player]],Proj[Player],0),31),INDEX(Goalie[],MATCH(Table16[[#This Row],[Player]],Goalie[player],0),20)))</f>
        <v/>
      </c>
    </row>
    <row r="175" spans="1:9" x14ac:dyDescent="0.25">
      <c r="A175" t="s">
        <v>337</v>
      </c>
      <c r="B175" s="2" t="s">
        <v>105</v>
      </c>
      <c r="C175" t="str">
        <f t="shared" si="2"/>
        <v>RW</v>
      </c>
      <c r="D175" s="10">
        <f>MAX(_xlfn.IFNA(INDEX(Proj[],MATCH(Table16[[#This Row],[Player]],Proj[Player],0),27),-5000), _xlfn.IFNA(INDEX(Goalie[],MATCH(Table16[[#This Row],[Player]],Goalie[player],0),17),-5000))</f>
        <v>141.61612824767889</v>
      </c>
      <c r="E175">
        <f>_xlfn.RANK.EQ(Table16[[#This Row],[VOR]],Table16[VOR])</f>
        <v>133</v>
      </c>
      <c r="F175" cm="1">
        <f t="array" ref="F175">_xlfn.IFS(C175 = "C",INDEX('C'!$A$2:$L$254,MATCH($A175,'C'!$A$2:$A$254,0),10),C175 = "LW",INDEX(LW!$A$2:$K$180,MATCH($A175,LW!$A$2:$A$180,0),10),C175 = "RW",INDEX('RW'!$A$2:$L$164,MATCH($A175,'RW'!$A$2:$A$164,0),10), C175 = "D",INDEX(D!$A$2:$L$268,MATCH($A175,D!$A$2:$A$268,0),10),C175="G",INDEX(G!$A$2:$Q$78,MATCH($A175,G!$A$2:$A$78,0),16),C175="F",INDEX(F!$A$2:$K$494,MATCH($A175,F!$A$2:$A$494,0),10))</f>
        <v>27</v>
      </c>
      <c r="G175" t="str">
        <f>_xlfn.CONCAT(C175,Table16[[#This Row],[Pos Rank2]])</f>
        <v>RW27</v>
      </c>
      <c r="H175" s="10">
        <f>MAX(_xlfn.IFNA(INDEX(Proj[],MATCH(Table16[[#This Row],[Player]],Proj[Player],0),29),-5000), _xlfn.IFNA(INDEX(Goalie[],MATCH(Table16[[#This Row],[Player]],Goalie[player],0),19),-5000))</f>
        <v>588.16085263792775</v>
      </c>
      <c r="I175" t="str">
        <f>IF(_xlfn.IFNA(INDEX(Proj[],MATCH(Table16[[#This Row],[Player]],Proj[Player],0),31),INDEX(Goalie[],MATCH(Table16[[#This Row],[Player]],Goalie[player],0),20)) = 0, "",_xlfn.IFNA(INDEX(Proj[],MATCH(Table16[[#This Row],[Player]],Proj[Player],0),31),INDEX(Goalie[],MATCH(Table16[[#This Row],[Player]],Goalie[player],0),20)))</f>
        <v/>
      </c>
    </row>
    <row r="176" spans="1:9" x14ac:dyDescent="0.25">
      <c r="A176" t="s">
        <v>1086</v>
      </c>
      <c r="B176" s="2" t="s">
        <v>157</v>
      </c>
      <c r="C176" t="str">
        <f t="shared" si="2"/>
        <v>G</v>
      </c>
      <c r="D176" s="10">
        <f>MAX(_xlfn.IFNA(INDEX(Proj[],MATCH(Table16[[#This Row],[Player]],Proj[Player],0),27),-5000), _xlfn.IFNA(INDEX(Goalie[],MATCH(Table16[[#This Row],[Player]],Goalie[player],0),17),-5000))</f>
        <v>6.2482429340239918</v>
      </c>
      <c r="E176">
        <f>_xlfn.RANK.EQ(Table16[[#This Row],[VOR]],Table16[VOR])</f>
        <v>184</v>
      </c>
      <c r="F176" cm="1">
        <f t="array" ref="F176">_xlfn.IFS(C176 = "C",INDEX('C'!$A$2:$L$254,MATCH($A176,'C'!$A$2:$A$254,0),10),C176 = "LW",INDEX(LW!$A$2:$K$180,MATCH($A176,LW!$A$2:$A$180,0),10),C176 = "RW",INDEX('RW'!$A$2:$L$164,MATCH($A176,'RW'!$A$2:$A$164,0),10), C176 = "D",INDEX(D!$A$2:$L$268,MATCH($A176,D!$A$2:$A$268,0),10),C176="G",INDEX(G!$A$2:$Q$78,MATCH($A176,G!$A$2:$A$78,0),16),C176="F",INDEX(F!$A$2:$K$494,MATCH($A176,F!$A$2:$A$494,0),10))</f>
        <v>27</v>
      </c>
      <c r="G176" t="str">
        <f>_xlfn.CONCAT(C176,Table16[[#This Row],[Pos Rank2]])</f>
        <v>G27</v>
      </c>
      <c r="H176" s="10">
        <f>MAX(_xlfn.IFNA(INDEX(Proj[],MATCH(Table16[[#This Row],[Player]],Proj[Player],0),29),-5000), _xlfn.IFNA(INDEX(Goalie[],MATCH(Table16[[#This Row],[Player]],Goalie[player],0),19),-5000))</f>
        <v>461.09999999999991</v>
      </c>
      <c r="I176" t="str">
        <f>IF(_xlfn.IFNA(INDEX(Proj[],MATCH(Table16[[#This Row],[Player]],Proj[Player],0),31),INDEX(Goalie[],MATCH(Table16[[#This Row],[Player]],Goalie[player],0),20)) = 0, "",_xlfn.IFNA(INDEX(Proj[],MATCH(Table16[[#This Row],[Player]],Proj[Player],0),31),INDEX(Goalie[],MATCH(Table16[[#This Row],[Player]],Goalie[player],0),20)))</f>
        <v/>
      </c>
    </row>
    <row r="177" spans="1:9" x14ac:dyDescent="0.25">
      <c r="A177" t="s">
        <v>423</v>
      </c>
      <c r="B177" s="2" t="s">
        <v>102</v>
      </c>
      <c r="C177" t="str">
        <f t="shared" si="2"/>
        <v>LW</v>
      </c>
      <c r="D177" s="10">
        <f>MAX(_xlfn.IFNA(INDEX(Proj[],MATCH(Table16[[#This Row],[Player]],Proj[Player],0),27),-5000), _xlfn.IFNA(INDEX(Goalie[],MATCH(Table16[[#This Row],[Player]],Goalie[player],0),17),-5000))</f>
        <v>-39.50380996085147</v>
      </c>
      <c r="E177">
        <f>_xlfn.RANK.EQ(Table16[[#This Row],[VOR]],Table16[VOR])</f>
        <v>212</v>
      </c>
      <c r="F177" cm="1">
        <f t="array" ref="F177">_xlfn.IFS(C177 = "C",INDEX('C'!$A$2:$L$254,MATCH($A177,'C'!$A$2:$A$254,0),10),C177 = "LW",INDEX(LW!$A$2:$K$180,MATCH($A177,LW!$A$2:$A$180,0),10),C177 = "RW",INDEX('RW'!$A$2:$L$164,MATCH($A177,'RW'!$A$2:$A$164,0),10), C177 = "D",INDEX(D!$A$2:$L$268,MATCH($A177,D!$A$2:$A$268,0),10),C177="G",INDEX(G!$A$2:$Q$78,MATCH($A177,G!$A$2:$A$78,0),16),C177="F",INDEX(F!$A$2:$K$494,MATCH($A177,F!$A$2:$A$494,0),10))</f>
        <v>48</v>
      </c>
      <c r="G177" t="str">
        <f>_xlfn.CONCAT(C177,Table16[[#This Row],[Pos Rank2]])</f>
        <v>LW48</v>
      </c>
      <c r="H177" s="10">
        <f>MAX(_xlfn.IFNA(INDEX(Proj[],MATCH(Table16[[#This Row],[Player]],Proj[Player],0),29),-5000), _xlfn.IFNA(INDEX(Goalie[],MATCH(Table16[[#This Row],[Player]],Goalie[player],0),19),-5000))</f>
        <v>432.04091442939739</v>
      </c>
      <c r="I177" t="str">
        <f>IF(_xlfn.IFNA(INDEX(Proj[],MATCH(Table16[[#This Row],[Player]],Proj[Player],0),31),INDEX(Goalie[],MATCH(Table16[[#This Row],[Player]],Goalie[player],0),20)) = 0, "",_xlfn.IFNA(INDEX(Proj[],MATCH(Table16[[#This Row],[Player]],Proj[Player],0),31),INDEX(Goalie[],MATCH(Table16[[#This Row],[Player]],Goalie[player],0),20)))</f>
        <v/>
      </c>
    </row>
    <row r="178" spans="1:9" x14ac:dyDescent="0.25">
      <c r="A178" t="s">
        <v>467</v>
      </c>
      <c r="B178" s="2" t="s">
        <v>105</v>
      </c>
      <c r="C178" t="str">
        <f t="shared" si="2"/>
        <v>RW</v>
      </c>
      <c r="D178" s="10">
        <f>MAX(_xlfn.IFNA(INDEX(Proj[],MATCH(Table16[[#This Row],[Player]],Proj[Player],0),27),-5000), _xlfn.IFNA(INDEX(Goalie[],MATCH(Table16[[#This Row],[Player]],Goalie[player],0),17),-5000))</f>
        <v>-5.4528517658388296</v>
      </c>
      <c r="E178">
        <f>_xlfn.RANK.EQ(Table16[[#This Row],[VOR]],Table16[VOR])</f>
        <v>192</v>
      </c>
      <c r="F178" cm="1">
        <f t="array" ref="F178">_xlfn.IFS(C178 = "C",INDEX('C'!$A$2:$L$254,MATCH($A178,'C'!$A$2:$A$254,0),10),C178 = "LW",INDEX(LW!$A$2:$K$180,MATCH($A178,LW!$A$2:$A$180,0),10),C178 = "RW",INDEX('RW'!$A$2:$L$164,MATCH($A178,'RW'!$A$2:$A$164,0),10), C178 = "D",INDEX(D!$A$2:$L$268,MATCH($A178,D!$A$2:$A$268,0),10),C178="G",INDEX(G!$A$2:$Q$78,MATCH($A178,G!$A$2:$A$78,0),16),C178="F",INDEX(F!$A$2:$K$494,MATCH($A178,F!$A$2:$A$494,0),10))</f>
        <v>38</v>
      </c>
      <c r="G178" t="str">
        <f>_xlfn.CONCAT(C178,Table16[[#This Row],[Pos Rank2]])</f>
        <v>RW38</v>
      </c>
      <c r="H178" s="10">
        <f>MAX(_xlfn.IFNA(INDEX(Proj[],MATCH(Table16[[#This Row],[Player]],Proj[Player],0),29),-5000), _xlfn.IFNA(INDEX(Goalie[],MATCH(Table16[[#This Row],[Player]],Goalie[player],0),19),-5000))</f>
        <v>441.09187262441003</v>
      </c>
      <c r="I178" t="str">
        <f>IF(_xlfn.IFNA(INDEX(Proj[],MATCH(Table16[[#This Row],[Player]],Proj[Player],0),31),INDEX(Goalie[],MATCH(Table16[[#This Row],[Player]],Goalie[player],0),20)) = 0, "",_xlfn.IFNA(INDEX(Proj[],MATCH(Table16[[#This Row],[Player]],Proj[Player],0),31),INDEX(Goalie[],MATCH(Table16[[#This Row],[Player]],Goalie[player],0),20)))</f>
        <v/>
      </c>
    </row>
    <row r="179" spans="1:9" x14ac:dyDescent="0.25">
      <c r="A179" t="s">
        <v>351</v>
      </c>
      <c r="B179" s="2" t="s">
        <v>3</v>
      </c>
      <c r="C179" t="str">
        <f t="shared" si="2"/>
        <v>D</v>
      </c>
      <c r="D179" s="10">
        <f>MAX(_xlfn.IFNA(INDEX(Proj[],MATCH(Table16[[#This Row],[Player]],Proj[Player],0),27),-5000), _xlfn.IFNA(INDEX(Goalie[],MATCH(Table16[[#This Row],[Player]],Goalie[player],0),17),-5000))</f>
        <v>34.483386846486979</v>
      </c>
      <c r="E179">
        <f>_xlfn.RANK.EQ(Table16[[#This Row],[VOR]],Table16[VOR])</f>
        <v>166</v>
      </c>
      <c r="F179" cm="1">
        <f t="array" ref="F179">_xlfn.IFS(C179 = "C",INDEX('C'!$A$2:$L$254,MATCH($A179,'C'!$A$2:$A$254,0),10),C179 = "LW",INDEX(LW!$A$2:$K$180,MATCH($A179,LW!$A$2:$A$180,0),10),C179 = "RW",INDEX('RW'!$A$2:$L$164,MATCH($A179,'RW'!$A$2:$A$164,0),10), C179 = "D",INDEX(D!$A$2:$L$268,MATCH($A179,D!$A$2:$A$268,0),10),C179="G",INDEX(G!$A$2:$Q$78,MATCH($A179,G!$A$2:$A$78,0),16),C179="F",INDEX(F!$A$2:$K$494,MATCH($A179,F!$A$2:$A$494,0),10))</f>
        <v>60</v>
      </c>
      <c r="G179" t="str">
        <f>_xlfn.CONCAT(C179,Table16[[#This Row],[Pos Rank2]])</f>
        <v>D60</v>
      </c>
      <c r="H179" s="10">
        <f>MAX(_xlfn.IFNA(INDEX(Proj[],MATCH(Table16[[#This Row],[Player]],Proj[Player],0),29),-5000), _xlfn.IFNA(INDEX(Goalie[],MATCH(Table16[[#This Row],[Player]],Goalie[player],0),19),-5000))</f>
        <v>141.84815456595146</v>
      </c>
      <c r="I179" t="str">
        <f>IF(_xlfn.IFNA(INDEX(Proj[],MATCH(Table16[[#This Row],[Player]],Proj[Player],0),31),INDEX(Goalie[],MATCH(Table16[[#This Row],[Player]],Goalie[player],0),20)) = 0, "",_xlfn.IFNA(INDEX(Proj[],MATCH(Table16[[#This Row],[Player]],Proj[Player],0),31),INDEX(Goalie[],MATCH(Table16[[#This Row],[Player]],Goalie[player],0),20)))</f>
        <v/>
      </c>
    </row>
    <row r="180" spans="1:9" x14ac:dyDescent="0.25">
      <c r="A180" t="s">
        <v>159</v>
      </c>
      <c r="B180" s="2" t="s">
        <v>157</v>
      </c>
      <c r="C180" t="str">
        <f t="shared" si="2"/>
        <v>G</v>
      </c>
      <c r="D180" s="10">
        <f>MAX(_xlfn.IFNA(INDEX(Proj[],MATCH(Table16[[#This Row],[Player]],Proj[Player],0),27),-5000), _xlfn.IFNA(INDEX(Goalie[],MATCH(Table16[[#This Row],[Player]],Goalie[player],0),17),-5000))</f>
        <v>0</v>
      </c>
      <c r="E180">
        <f>_xlfn.RANK.EQ(Table16[[#This Row],[VOR]],Table16[VOR])</f>
        <v>189</v>
      </c>
      <c r="F180" cm="1">
        <f t="array" ref="F180">_xlfn.IFS(C180 = "C",INDEX('C'!$A$2:$L$254,MATCH($A180,'C'!$A$2:$A$254,0),10),C180 = "LW",INDEX(LW!$A$2:$K$180,MATCH($A180,LW!$A$2:$A$180,0),10),C180 = "RW",INDEX('RW'!$A$2:$L$164,MATCH($A180,'RW'!$A$2:$A$164,0),10), C180 = "D",INDEX(D!$A$2:$L$268,MATCH($A180,D!$A$2:$A$268,0),10),C180="G",INDEX(G!$A$2:$Q$78,MATCH($A180,G!$A$2:$A$78,0),16),C180="F",INDEX(F!$A$2:$K$494,MATCH($A180,F!$A$2:$A$494,0),10))</f>
        <v>28</v>
      </c>
      <c r="G180" t="str">
        <f>_xlfn.CONCAT(C180,Table16[[#This Row],[Pos Rank2]])</f>
        <v>G28</v>
      </c>
      <c r="H180" s="10">
        <f>MAX(_xlfn.IFNA(INDEX(Proj[],MATCH(Table16[[#This Row],[Player]],Proj[Player],0),29),-5000), _xlfn.IFNA(INDEX(Goalie[],MATCH(Table16[[#This Row],[Player]],Goalie[player],0),19),-5000))</f>
        <v>446.54399999999998</v>
      </c>
      <c r="I180" t="str">
        <f>IF(_xlfn.IFNA(INDEX(Proj[],MATCH(Table16[[#This Row],[Player]],Proj[Player],0),31),INDEX(Goalie[],MATCH(Table16[[#This Row],[Player]],Goalie[player],0),20)) = 0, "",_xlfn.IFNA(INDEX(Proj[],MATCH(Table16[[#This Row],[Player]],Proj[Player],0),31),INDEX(Goalie[],MATCH(Table16[[#This Row],[Player]],Goalie[player],0),20)))</f>
        <v/>
      </c>
    </row>
    <row r="181" spans="1:9" x14ac:dyDescent="0.25">
      <c r="A181" t="s">
        <v>607</v>
      </c>
      <c r="B181" s="2" t="s">
        <v>74</v>
      </c>
      <c r="C181" t="str">
        <f t="shared" si="2"/>
        <v>C</v>
      </c>
      <c r="D181" s="10">
        <f>MAX(_xlfn.IFNA(INDEX(Proj[],MATCH(Table16[[#This Row],[Player]],Proj[Player],0),27),-5000), _xlfn.IFNA(INDEX(Goalie[],MATCH(Table16[[#This Row],[Player]],Goalie[player],0),17),-5000))</f>
        <v>170.42310377334184</v>
      </c>
      <c r="E181">
        <f>_xlfn.RANK.EQ(Table16[[#This Row],[VOR]],Table16[VOR])</f>
        <v>126</v>
      </c>
      <c r="F181" cm="1">
        <f t="array" ref="F181">_xlfn.IFS(C181 = "C",INDEX('C'!$A$2:$L$254,MATCH($A181,'C'!$A$2:$A$254,0),10),C181 = "LW",INDEX(LW!$A$2:$K$180,MATCH($A181,LW!$A$2:$A$180,0),10),C181 = "RW",INDEX('RW'!$A$2:$L$164,MATCH($A181,'RW'!$A$2:$A$164,0),10), C181 = "D",INDEX(D!$A$2:$L$268,MATCH($A181,D!$A$2:$A$268,0),10),C181="G",INDEX(G!$A$2:$Q$78,MATCH($A181,G!$A$2:$A$78,0),16),C181="F",INDEX(F!$A$2:$K$494,MATCH($A181,F!$A$2:$A$494,0),10))</f>
        <v>32</v>
      </c>
      <c r="G181" t="str">
        <f>_xlfn.CONCAT(C181,Table16[[#This Row],[Pos Rank2]])</f>
        <v>C32</v>
      </c>
      <c r="H181" s="10">
        <f>MAX(_xlfn.IFNA(INDEX(Proj[],MATCH(Table16[[#This Row],[Player]],Proj[Player],0),29),-5000), _xlfn.IFNA(INDEX(Goalie[],MATCH(Table16[[#This Row],[Player]],Goalie[player],0),19),-5000))</f>
        <v>905.05695808364044</v>
      </c>
      <c r="I181" t="str">
        <f>IF(_xlfn.IFNA(INDEX(Proj[],MATCH(Table16[[#This Row],[Player]],Proj[Player],0),31),INDEX(Goalie[],MATCH(Table16[[#This Row],[Player]],Goalie[player],0),20)) = 0, "",_xlfn.IFNA(INDEX(Proj[],MATCH(Table16[[#This Row],[Player]],Proj[Player],0),31),INDEX(Goalie[],MATCH(Table16[[#This Row],[Player]],Goalie[player],0),20)))</f>
        <v/>
      </c>
    </row>
    <row r="182" spans="1:9" x14ac:dyDescent="0.25">
      <c r="A182" t="s">
        <v>310</v>
      </c>
      <c r="B182" s="2" t="s">
        <v>102</v>
      </c>
      <c r="C182" t="str">
        <f t="shared" si="2"/>
        <v>LW</v>
      </c>
      <c r="D182" s="10">
        <f>MAX(_xlfn.IFNA(INDEX(Proj[],MATCH(Table16[[#This Row],[Player]],Proj[Player],0),27),-5000), _xlfn.IFNA(INDEX(Goalie[],MATCH(Table16[[#This Row],[Player]],Goalie[player],0),17),-5000))</f>
        <v>-46.088476172676337</v>
      </c>
      <c r="E182">
        <f>_xlfn.RANK.EQ(Table16[[#This Row],[VOR]],Table16[VOR])</f>
        <v>215</v>
      </c>
      <c r="F182" cm="1">
        <f t="array" ref="F182">_xlfn.IFS(C182 = "C",INDEX('C'!$A$2:$L$254,MATCH($A182,'C'!$A$2:$A$254,0),10),C182 = "LW",INDEX(LW!$A$2:$K$180,MATCH($A182,LW!$A$2:$A$180,0),10),C182 = "RW",INDEX('RW'!$A$2:$L$164,MATCH($A182,'RW'!$A$2:$A$164,0),10), C182 = "D",INDEX(D!$A$2:$L$268,MATCH($A182,D!$A$2:$A$268,0),10),C182="G",INDEX(G!$A$2:$Q$78,MATCH($A182,G!$A$2:$A$78,0),16),C182="F",INDEX(F!$A$2:$K$494,MATCH($A182,F!$A$2:$A$494,0),10))</f>
        <v>50</v>
      </c>
      <c r="G182" t="str">
        <f>_xlfn.CONCAT(C182,Table16[[#This Row],[Pos Rank2]])</f>
        <v>LW50</v>
      </c>
      <c r="H182" s="10">
        <f>MAX(_xlfn.IFNA(INDEX(Proj[],MATCH(Table16[[#This Row],[Player]],Proj[Player],0),29),-5000), _xlfn.IFNA(INDEX(Goalie[],MATCH(Table16[[#This Row],[Player]],Goalie[player],0),19),-5000))</f>
        <v>425.45624821757252</v>
      </c>
      <c r="I182" t="str">
        <f>IF(_xlfn.IFNA(INDEX(Proj[],MATCH(Table16[[#This Row],[Player]],Proj[Player],0),31),INDEX(Goalie[],MATCH(Table16[[#This Row],[Player]],Goalie[player],0),20)) = 0, "",_xlfn.IFNA(INDEX(Proj[],MATCH(Table16[[#This Row],[Player]],Proj[Player],0),31),INDEX(Goalie[],MATCH(Table16[[#This Row],[Player]],Goalie[player],0),20)))</f>
        <v/>
      </c>
    </row>
    <row r="183" spans="1:9" x14ac:dyDescent="0.25">
      <c r="A183" t="s">
        <v>400</v>
      </c>
      <c r="B183" s="2" t="s">
        <v>3</v>
      </c>
      <c r="C183" t="str">
        <f t="shared" si="2"/>
        <v>D</v>
      </c>
      <c r="D183" s="10">
        <f>MAX(_xlfn.IFNA(INDEX(Proj[],MATCH(Table16[[#This Row],[Player]],Proj[Player],0),27),-5000), _xlfn.IFNA(INDEX(Goalie[],MATCH(Table16[[#This Row],[Player]],Goalie[player],0),17),-5000))</f>
        <v>29.25693632086697</v>
      </c>
      <c r="E183">
        <f>_xlfn.RANK.EQ(Table16[[#This Row],[VOR]],Table16[VOR])</f>
        <v>168</v>
      </c>
      <c r="F183" cm="1">
        <f t="array" ref="F183">_xlfn.IFS(C183 = "C",INDEX('C'!$A$2:$L$254,MATCH($A183,'C'!$A$2:$A$254,0),10),C183 = "LW",INDEX(LW!$A$2:$K$180,MATCH($A183,LW!$A$2:$A$180,0),10),C183 = "RW",INDEX('RW'!$A$2:$L$164,MATCH($A183,'RW'!$A$2:$A$164,0),10), C183 = "D",INDEX(D!$A$2:$L$268,MATCH($A183,D!$A$2:$A$268,0),10),C183="G",INDEX(G!$A$2:$Q$78,MATCH($A183,G!$A$2:$A$78,0),16),C183="F",INDEX(F!$A$2:$K$494,MATCH($A183,F!$A$2:$A$494,0),10))</f>
        <v>61</v>
      </c>
      <c r="G183" t="str">
        <f>_xlfn.CONCAT(C183,Table16[[#This Row],[Pos Rank2]])</f>
        <v>D61</v>
      </c>
      <c r="H183" s="10">
        <f>MAX(_xlfn.IFNA(INDEX(Proj[],MATCH(Table16[[#This Row],[Player]],Proj[Player],0),29),-5000), _xlfn.IFNA(INDEX(Goalie[],MATCH(Table16[[#This Row],[Player]],Goalie[player],0),19),-5000))</f>
        <v>136.62170404033145</v>
      </c>
      <c r="I183" t="str">
        <f>IF(_xlfn.IFNA(INDEX(Proj[],MATCH(Table16[[#This Row],[Player]],Proj[Player],0),31),INDEX(Goalie[],MATCH(Table16[[#This Row],[Player]],Goalie[player],0),20)) = 0, "",_xlfn.IFNA(INDEX(Proj[],MATCH(Table16[[#This Row],[Player]],Proj[Player],0),31),INDEX(Goalie[],MATCH(Table16[[#This Row],[Player]],Goalie[player],0),20)))</f>
        <v/>
      </c>
    </row>
    <row r="184" spans="1:9" x14ac:dyDescent="0.25">
      <c r="A184" t="s">
        <v>915</v>
      </c>
      <c r="B184" s="2" t="s">
        <v>3</v>
      </c>
      <c r="C184" t="str">
        <f t="shared" si="2"/>
        <v>D</v>
      </c>
      <c r="D184" s="10">
        <f>MAX(_xlfn.IFNA(INDEX(Proj[],MATCH(Table16[[#This Row],[Player]],Proj[Player],0),27),-5000), _xlfn.IFNA(INDEX(Goalie[],MATCH(Table16[[#This Row],[Player]],Goalie[player],0),17),-5000))</f>
        <v>23.295391722976007</v>
      </c>
      <c r="E184">
        <f>_xlfn.RANK.EQ(Table16[[#This Row],[VOR]],Table16[VOR])</f>
        <v>173</v>
      </c>
      <c r="F184" cm="1">
        <f t="array" ref="F184">_xlfn.IFS(C184 = "C",INDEX('C'!$A$2:$L$254,MATCH($A184,'C'!$A$2:$A$254,0),10),C184 = "LW",INDEX(LW!$A$2:$K$180,MATCH($A184,LW!$A$2:$A$180,0),10),C184 = "RW",INDEX('RW'!$A$2:$L$164,MATCH($A184,'RW'!$A$2:$A$164,0),10), C184 = "D",INDEX(D!$A$2:$L$268,MATCH($A184,D!$A$2:$A$268,0),10),C184="G",INDEX(G!$A$2:$Q$78,MATCH($A184,G!$A$2:$A$78,0),16),C184="F",INDEX(F!$A$2:$K$494,MATCH($A184,F!$A$2:$A$494,0),10))</f>
        <v>62</v>
      </c>
      <c r="G184" t="str">
        <f>_xlfn.CONCAT(C184,Table16[[#This Row],[Pos Rank2]])</f>
        <v>D62</v>
      </c>
      <c r="H184" s="10">
        <f>MAX(_xlfn.IFNA(INDEX(Proj[],MATCH(Table16[[#This Row],[Player]],Proj[Player],0),29),-5000), _xlfn.IFNA(INDEX(Goalie[],MATCH(Table16[[#This Row],[Player]],Goalie[player],0),19),-5000))</f>
        <v>130.66015944244049</v>
      </c>
      <c r="I184" t="str">
        <f>IF(_xlfn.IFNA(INDEX(Proj[],MATCH(Table16[[#This Row],[Player]],Proj[Player],0),31),INDEX(Goalie[],MATCH(Table16[[#This Row],[Player]],Goalie[player],0),20)) = 0, "",_xlfn.IFNA(INDEX(Proj[],MATCH(Table16[[#This Row],[Player]],Proj[Player],0),31),INDEX(Goalie[],MATCH(Table16[[#This Row],[Player]],Goalie[player],0),20)))</f>
        <v/>
      </c>
    </row>
    <row r="185" spans="1:9" x14ac:dyDescent="0.25">
      <c r="A185" t="s">
        <v>321</v>
      </c>
      <c r="B185" s="2" t="s">
        <v>74</v>
      </c>
      <c r="C185" t="str">
        <f t="shared" si="2"/>
        <v>C</v>
      </c>
      <c r="D185" s="10">
        <f>MAX(_xlfn.IFNA(INDEX(Proj[],MATCH(Table16[[#This Row],[Player]],Proj[Player],0),27),-5000), _xlfn.IFNA(INDEX(Goalie[],MATCH(Table16[[#This Row],[Player]],Goalie[player],0),17),-5000))</f>
        <v>-101.41216230624877</v>
      </c>
      <c r="E185">
        <f>_xlfn.RANK.EQ(Table16[[#This Row],[VOR]],Table16[VOR])</f>
        <v>236</v>
      </c>
      <c r="F185" cm="1">
        <f t="array" ref="F185">_xlfn.IFS(C185 = "C",INDEX('C'!$A$2:$L$254,MATCH($A185,'C'!$A$2:$A$254,0),10),C185 = "LW",INDEX(LW!$A$2:$K$180,MATCH($A185,LW!$A$2:$A$180,0),10),C185 = "RW",INDEX('RW'!$A$2:$L$164,MATCH($A185,'RW'!$A$2:$A$164,0),10), C185 = "D",INDEX(D!$A$2:$L$268,MATCH($A185,D!$A$2:$A$268,0),10),C185="G",INDEX(G!$A$2:$Q$78,MATCH($A185,G!$A$2:$A$78,0),16),C185="F",INDEX(F!$A$2:$K$494,MATCH($A185,F!$A$2:$A$494,0),10))</f>
        <v>46</v>
      </c>
      <c r="G185" t="str">
        <f>_xlfn.CONCAT(C185,Table16[[#This Row],[Pos Rank2]])</f>
        <v>C46</v>
      </c>
      <c r="H185" s="10">
        <f>MAX(_xlfn.IFNA(INDEX(Proj[],MATCH(Table16[[#This Row],[Player]],Proj[Player],0),29),-5000), _xlfn.IFNA(INDEX(Goalie[],MATCH(Table16[[#This Row],[Player]],Goalie[player],0),19),-5000))</f>
        <v>633.22169200404983</v>
      </c>
      <c r="I185" t="str">
        <f>IF(_xlfn.IFNA(INDEX(Proj[],MATCH(Table16[[#This Row],[Player]],Proj[Player],0),31),INDEX(Goalie[],MATCH(Table16[[#This Row],[Player]],Goalie[player],0),20)) = 0, "",_xlfn.IFNA(INDEX(Proj[],MATCH(Table16[[#This Row],[Player]],Proj[Player],0),31),INDEX(Goalie[],MATCH(Table16[[#This Row],[Player]],Goalie[player],0),20)))</f>
        <v/>
      </c>
    </row>
    <row r="186" spans="1:9" x14ac:dyDescent="0.25">
      <c r="A186" t="s">
        <v>361</v>
      </c>
      <c r="B186" s="2" t="s">
        <v>3</v>
      </c>
      <c r="C186" t="str">
        <f t="shared" si="2"/>
        <v>D</v>
      </c>
      <c r="D186" s="10">
        <f>MAX(_xlfn.IFNA(INDEX(Proj[],MATCH(Table16[[#This Row],[Player]],Proj[Player],0),27),-5000), _xlfn.IFNA(INDEX(Goalie[],MATCH(Table16[[#This Row],[Player]],Goalie[player],0),17),-5000))</f>
        <v>21.82882059243417</v>
      </c>
      <c r="E186">
        <f>_xlfn.RANK.EQ(Table16[[#This Row],[VOR]],Table16[VOR])</f>
        <v>175</v>
      </c>
      <c r="F186" cm="1">
        <f t="array" ref="F186">_xlfn.IFS(C186 = "C",INDEX('C'!$A$2:$L$254,MATCH($A186,'C'!$A$2:$A$254,0),10),C186 = "LW",INDEX(LW!$A$2:$K$180,MATCH($A186,LW!$A$2:$A$180,0),10),C186 = "RW",INDEX('RW'!$A$2:$L$164,MATCH($A186,'RW'!$A$2:$A$164,0),10), C186 = "D",INDEX(D!$A$2:$L$268,MATCH($A186,D!$A$2:$A$268,0),10),C186="G",INDEX(G!$A$2:$Q$78,MATCH($A186,G!$A$2:$A$78,0),16),C186="F",INDEX(F!$A$2:$K$494,MATCH($A186,F!$A$2:$A$494,0),10))</f>
        <v>63</v>
      </c>
      <c r="G186" t="str">
        <f>_xlfn.CONCAT(C186,Table16[[#This Row],[Pos Rank2]])</f>
        <v>D63</v>
      </c>
      <c r="H186" s="10">
        <f>MAX(_xlfn.IFNA(INDEX(Proj[],MATCH(Table16[[#This Row],[Player]],Proj[Player],0),29),-5000), _xlfn.IFNA(INDEX(Goalie[],MATCH(Table16[[#This Row],[Player]],Goalie[player],0),19),-5000))</f>
        <v>129.19358831189865</v>
      </c>
      <c r="I186" t="str">
        <f>IF(_xlfn.IFNA(INDEX(Proj[],MATCH(Table16[[#This Row],[Player]],Proj[Player],0),31),INDEX(Goalie[],MATCH(Table16[[#This Row],[Player]],Goalie[player],0),20)) = 0, "",_xlfn.IFNA(INDEX(Proj[],MATCH(Table16[[#This Row],[Player]],Proj[Player],0),31),INDEX(Goalie[],MATCH(Table16[[#This Row],[Player]],Goalie[player],0),20)))</f>
        <v/>
      </c>
    </row>
    <row r="187" spans="1:9" x14ac:dyDescent="0.25">
      <c r="A187" t="s">
        <v>328</v>
      </c>
      <c r="B187" s="2" t="s">
        <v>74</v>
      </c>
      <c r="C187" t="str">
        <f t="shared" si="2"/>
        <v>C</v>
      </c>
      <c r="D187" s="10">
        <f>MAX(_xlfn.IFNA(INDEX(Proj[],MATCH(Table16[[#This Row],[Player]],Proj[Player],0),27),-5000), _xlfn.IFNA(INDEX(Goalie[],MATCH(Table16[[#This Row],[Player]],Goalie[player],0),17),-5000))</f>
        <v>4.5990169841170427</v>
      </c>
      <c r="E187">
        <f>_xlfn.RANK.EQ(Table16[[#This Row],[VOR]],Table16[VOR])</f>
        <v>185</v>
      </c>
      <c r="F187" cm="1">
        <f t="array" ref="F187">_xlfn.IFS(C187 = "C",INDEX('C'!$A$2:$L$254,MATCH($A187,'C'!$A$2:$A$254,0),10),C187 = "LW",INDEX(LW!$A$2:$K$180,MATCH($A187,LW!$A$2:$A$180,0),10),C187 = "RW",INDEX('RW'!$A$2:$L$164,MATCH($A187,'RW'!$A$2:$A$164,0),10), C187 = "D",INDEX(D!$A$2:$L$268,MATCH($A187,D!$A$2:$A$268,0),10),C187="G",INDEX(G!$A$2:$Q$78,MATCH($A187,G!$A$2:$A$78,0),16),C187="F",INDEX(F!$A$2:$K$494,MATCH($A187,F!$A$2:$A$494,0),10))</f>
        <v>41</v>
      </c>
      <c r="G187" t="str">
        <f>_xlfn.CONCAT(C187,Table16[[#This Row],[Pos Rank2]])</f>
        <v>C41</v>
      </c>
      <c r="H187" s="10">
        <f>MAX(_xlfn.IFNA(INDEX(Proj[],MATCH(Table16[[#This Row],[Player]],Proj[Player],0),29),-5000), _xlfn.IFNA(INDEX(Goalie[],MATCH(Table16[[#This Row],[Player]],Goalie[player],0),19),-5000))</f>
        <v>739.23287129441565</v>
      </c>
      <c r="I187" t="str">
        <f>IF(_xlfn.IFNA(INDEX(Proj[],MATCH(Table16[[#This Row],[Player]],Proj[Player],0),31),INDEX(Goalie[],MATCH(Table16[[#This Row],[Player]],Goalie[player],0),20)) = 0, "",_xlfn.IFNA(INDEX(Proj[],MATCH(Table16[[#This Row],[Player]],Proj[Player],0),31),INDEX(Goalie[],MATCH(Table16[[#This Row],[Player]],Goalie[player],0),20)))</f>
        <v/>
      </c>
    </row>
    <row r="188" spans="1:9" x14ac:dyDescent="0.25">
      <c r="A188" t="s">
        <v>421</v>
      </c>
      <c r="B188" s="2" t="s">
        <v>3</v>
      </c>
      <c r="C188" t="str">
        <f t="shared" si="2"/>
        <v>D</v>
      </c>
      <c r="D188" s="10">
        <f>MAX(_xlfn.IFNA(INDEX(Proj[],MATCH(Table16[[#This Row],[Player]],Proj[Player],0),27),-5000), _xlfn.IFNA(INDEX(Goalie[],MATCH(Table16[[#This Row],[Player]],Goalie[player],0),17),-5000))</f>
        <v>9.0260800704046602</v>
      </c>
      <c r="E188">
        <f>_xlfn.RANK.EQ(Table16[[#This Row],[VOR]],Table16[VOR])</f>
        <v>181</v>
      </c>
      <c r="F188" cm="1">
        <f t="array" ref="F188">_xlfn.IFS(C188 = "C",INDEX('C'!$A$2:$L$254,MATCH($A188,'C'!$A$2:$A$254,0),10),C188 = "LW",INDEX(LW!$A$2:$K$180,MATCH($A188,LW!$A$2:$A$180,0),10),C188 = "RW",INDEX('RW'!$A$2:$L$164,MATCH($A188,'RW'!$A$2:$A$164,0),10), C188 = "D",INDEX(D!$A$2:$L$268,MATCH($A188,D!$A$2:$A$268,0),10),C188="G",INDEX(G!$A$2:$Q$78,MATCH($A188,G!$A$2:$A$78,0),16),C188="F",INDEX(F!$A$2:$K$494,MATCH($A188,F!$A$2:$A$494,0),10))</f>
        <v>65</v>
      </c>
      <c r="G188" t="str">
        <f>_xlfn.CONCAT(C188,Table16[[#This Row],[Pos Rank2]])</f>
        <v>D65</v>
      </c>
      <c r="H188" s="10">
        <f>MAX(_xlfn.IFNA(INDEX(Proj[],MATCH(Table16[[#This Row],[Player]],Proj[Player],0),29),-5000), _xlfn.IFNA(INDEX(Goalie[],MATCH(Table16[[#This Row],[Player]],Goalie[player],0),19),-5000))</f>
        <v>116.39084778986914</v>
      </c>
      <c r="I188" t="str">
        <f>IF(_xlfn.IFNA(INDEX(Proj[],MATCH(Table16[[#This Row],[Player]],Proj[Player],0),31),INDEX(Goalie[],MATCH(Table16[[#This Row],[Player]],Goalie[player],0),20)) = 0, "",_xlfn.IFNA(INDEX(Proj[],MATCH(Table16[[#This Row],[Player]],Proj[Player],0),31),INDEX(Goalie[],MATCH(Table16[[#This Row],[Player]],Goalie[player],0),20)))</f>
        <v/>
      </c>
    </row>
    <row r="189" spans="1:9" x14ac:dyDescent="0.25">
      <c r="A189" t="s">
        <v>338</v>
      </c>
      <c r="B189" s="2" t="s">
        <v>3</v>
      </c>
      <c r="C189" t="str">
        <f t="shared" si="2"/>
        <v>D</v>
      </c>
      <c r="D189" s="10">
        <f>MAX(_xlfn.IFNA(INDEX(Proj[],MATCH(Table16[[#This Row],[Player]],Proj[Player],0),27),-5000), _xlfn.IFNA(INDEX(Goalie[],MATCH(Table16[[#This Row],[Player]],Goalie[player],0),17),-5000))</f>
        <v>15.814862314602024</v>
      </c>
      <c r="E189">
        <f>_xlfn.RANK.EQ(Table16[[#This Row],[VOR]],Table16[VOR])</f>
        <v>177</v>
      </c>
      <c r="F189" cm="1">
        <f t="array" ref="F189">_xlfn.IFS(C189 = "C",INDEX('C'!$A$2:$L$254,MATCH($A189,'C'!$A$2:$A$254,0),10),C189 = "LW",INDEX(LW!$A$2:$K$180,MATCH($A189,LW!$A$2:$A$180,0),10),C189 = "RW",INDEX('RW'!$A$2:$L$164,MATCH($A189,'RW'!$A$2:$A$164,0),10), C189 = "D",INDEX(D!$A$2:$L$268,MATCH($A189,D!$A$2:$A$268,0),10),C189="G",INDEX(G!$A$2:$Q$78,MATCH($A189,G!$A$2:$A$78,0),16),C189="F",INDEX(F!$A$2:$K$494,MATCH($A189,F!$A$2:$A$494,0),10))</f>
        <v>64</v>
      </c>
      <c r="G189" t="str">
        <f>_xlfn.CONCAT(C189,Table16[[#This Row],[Pos Rank2]])</f>
        <v>D64</v>
      </c>
      <c r="H189" s="10">
        <f>MAX(_xlfn.IFNA(INDEX(Proj[],MATCH(Table16[[#This Row],[Player]],Proj[Player],0),29),-5000), _xlfn.IFNA(INDEX(Goalie[],MATCH(Table16[[#This Row],[Player]],Goalie[player],0),19),-5000))</f>
        <v>123.17963003406651</v>
      </c>
      <c r="I189" t="str">
        <f>IF(_xlfn.IFNA(INDEX(Proj[],MATCH(Table16[[#This Row],[Player]],Proj[Player],0),31),INDEX(Goalie[],MATCH(Table16[[#This Row],[Player]],Goalie[player],0),20)) = 0, "",_xlfn.IFNA(INDEX(Proj[],MATCH(Table16[[#This Row],[Player]],Proj[Player],0),31),INDEX(Goalie[],MATCH(Table16[[#This Row],[Player]],Goalie[player],0),20)))</f>
        <v/>
      </c>
    </row>
    <row r="190" spans="1:9" x14ac:dyDescent="0.25">
      <c r="A190" t="s">
        <v>909</v>
      </c>
      <c r="B190" s="2" t="s">
        <v>101</v>
      </c>
      <c r="C190" t="str">
        <f t="shared" si="2"/>
        <v>LW</v>
      </c>
      <c r="D190" s="10">
        <f>MAX(_xlfn.IFNA(INDEX(Proj[],MATCH(Table16[[#This Row],[Player]],Proj[Player],0),27),-5000), _xlfn.IFNA(INDEX(Goalie[],MATCH(Table16[[#This Row],[Player]],Goalie[player],0),17),-5000))</f>
        <v>8.0449069932203088</v>
      </c>
      <c r="E190">
        <f>_xlfn.RANK.EQ(Table16[[#This Row],[VOR]],Table16[VOR])</f>
        <v>182</v>
      </c>
      <c r="F190" cm="1">
        <f t="array" ref="F190">_xlfn.IFS(C190 = "C",INDEX('C'!$A$2:$L$254,MATCH($A190,'C'!$A$2:$A$254,0),10),C190 = "LW",INDEX(LW!$A$2:$K$180,MATCH($A190,LW!$A$2:$A$180,0),10),C190 = "RW",INDEX('RW'!$A$2:$L$164,MATCH($A190,'RW'!$A$2:$A$164,0),10), C190 = "D",INDEX(D!$A$2:$L$268,MATCH($A190,D!$A$2:$A$268,0),10),C190="G",INDEX(G!$A$2:$Q$78,MATCH($A190,G!$A$2:$A$78,0),16),C190="F",INDEX(F!$A$2:$K$494,MATCH($A190,F!$A$2:$A$494,0),10))</f>
        <v>40</v>
      </c>
      <c r="G190" t="str">
        <f>_xlfn.CONCAT(C190,Table16[[#This Row],[Pos Rank2]])</f>
        <v>LW40</v>
      </c>
      <c r="H190" s="10">
        <f>MAX(_xlfn.IFNA(INDEX(Proj[],MATCH(Table16[[#This Row],[Player]],Proj[Player],0),29),-5000), _xlfn.IFNA(INDEX(Goalie[],MATCH(Table16[[#This Row],[Player]],Goalie[player],0),19),-5000))</f>
        <v>479.58963138346917</v>
      </c>
      <c r="I190" t="str">
        <f>IF(_xlfn.IFNA(INDEX(Proj[],MATCH(Table16[[#This Row],[Player]],Proj[Player],0),31),INDEX(Goalie[],MATCH(Table16[[#This Row],[Player]],Goalie[player],0),20)) = 0, "",_xlfn.IFNA(INDEX(Proj[],MATCH(Table16[[#This Row],[Player]],Proj[Player],0),31),INDEX(Goalie[],MATCH(Table16[[#This Row],[Player]],Goalie[player],0),20)))</f>
        <v/>
      </c>
    </row>
    <row r="191" spans="1:9" x14ac:dyDescent="0.25">
      <c r="A191" t="s">
        <v>1000</v>
      </c>
      <c r="B191" s="2" t="s">
        <v>103</v>
      </c>
      <c r="C191" t="str">
        <f t="shared" si="2"/>
        <v>RW</v>
      </c>
      <c r="D191" s="10">
        <f>MAX(_xlfn.IFNA(INDEX(Proj[],MATCH(Table16[[#This Row],[Player]],Proj[Player],0),27),-5000), _xlfn.IFNA(INDEX(Goalie[],MATCH(Table16[[#This Row],[Player]],Goalie[player],0),17),-5000))</f>
        <v>-12.696447572654165</v>
      </c>
      <c r="E191">
        <f>_xlfn.RANK.EQ(Table16[[#This Row],[VOR]],Table16[VOR])</f>
        <v>198</v>
      </c>
      <c r="F191" cm="1">
        <f t="array" ref="F191">_xlfn.IFS(C191 = "C",INDEX('C'!$A$2:$L$254,MATCH($A191,'C'!$A$2:$A$254,0),10),C191 = "LW",INDEX(LW!$A$2:$K$180,MATCH($A191,LW!$A$2:$A$180,0),10),C191 = "RW",INDEX('RW'!$A$2:$L$164,MATCH($A191,'RW'!$A$2:$A$164,0),10), C191 = "D",INDEX(D!$A$2:$L$268,MATCH($A191,D!$A$2:$A$268,0),10),C191="G",INDEX(G!$A$2:$Q$78,MATCH($A191,G!$A$2:$A$78,0),16),C191="F",INDEX(F!$A$2:$K$494,MATCH($A191,F!$A$2:$A$494,0),10))</f>
        <v>40</v>
      </c>
      <c r="G191" t="str">
        <f>_xlfn.CONCAT(C191,Table16[[#This Row],[Pos Rank2]])</f>
        <v>RW40</v>
      </c>
      <c r="H191" s="10">
        <f>MAX(_xlfn.IFNA(INDEX(Proj[],MATCH(Table16[[#This Row],[Player]],Proj[Player],0),29),-5000), _xlfn.IFNA(INDEX(Goalie[],MATCH(Table16[[#This Row],[Player]],Goalie[player],0),19),-5000))</f>
        <v>433.84827681759469</v>
      </c>
      <c r="I191" t="str">
        <f>IF(_xlfn.IFNA(INDEX(Proj[],MATCH(Table16[[#This Row],[Player]],Proj[Player],0),31),INDEX(Goalie[],MATCH(Table16[[#This Row],[Player]],Goalie[player],0),20)) = 0, "",_xlfn.IFNA(INDEX(Proj[],MATCH(Table16[[#This Row],[Player]],Proj[Player],0),31),INDEX(Goalie[],MATCH(Table16[[#This Row],[Player]],Goalie[player],0),20)))</f>
        <v/>
      </c>
    </row>
    <row r="192" spans="1:9" x14ac:dyDescent="0.25">
      <c r="A192" t="s">
        <v>1081</v>
      </c>
      <c r="B192" s="2" t="s">
        <v>157</v>
      </c>
      <c r="C192" t="str">
        <f t="shared" si="2"/>
        <v>G</v>
      </c>
      <c r="D192" s="10">
        <f>MAX(_xlfn.IFNA(INDEX(Proj[],MATCH(Table16[[#This Row],[Player]],Proj[Player],0),27),-5000), _xlfn.IFNA(INDEX(Goalie[],MATCH(Table16[[#This Row],[Player]],Goalie[player],0),17),-5000))</f>
        <v>-20.70430320193266</v>
      </c>
      <c r="E192">
        <f>_xlfn.RANK.EQ(Table16[[#This Row],[VOR]],Table16[VOR])</f>
        <v>203</v>
      </c>
      <c r="F192" cm="1">
        <f t="array" ref="F192">_xlfn.IFS(C192 = "C",INDEX('C'!$A$2:$L$254,MATCH($A192,'C'!$A$2:$A$254,0),10),C192 = "LW",INDEX(LW!$A$2:$K$180,MATCH($A192,LW!$A$2:$A$180,0),10),C192 = "RW",INDEX('RW'!$A$2:$L$164,MATCH($A192,'RW'!$A$2:$A$164,0),10), C192 = "D",INDEX(D!$A$2:$L$268,MATCH($A192,D!$A$2:$A$268,0),10),C192="G",INDEX(G!$A$2:$Q$78,MATCH($A192,G!$A$2:$A$78,0),16),C192="F",INDEX(F!$A$2:$K$494,MATCH($A192,F!$A$2:$A$494,0),10))</f>
        <v>29</v>
      </c>
      <c r="G192" t="str">
        <f>_xlfn.CONCAT(C192,Table16[[#This Row],[Pos Rank2]])</f>
        <v>G29</v>
      </c>
      <c r="H192" s="10">
        <f>MAX(_xlfn.IFNA(INDEX(Proj[],MATCH(Table16[[#This Row],[Player]],Proj[Player],0),29),-5000), _xlfn.IFNA(INDEX(Goalie[],MATCH(Table16[[#This Row],[Player]],Goalie[player],0),19),-5000))</f>
        <v>492.5809999999999</v>
      </c>
      <c r="I192" t="str">
        <f>IF(_xlfn.IFNA(INDEX(Proj[],MATCH(Table16[[#This Row],[Player]],Proj[Player],0),31),INDEX(Goalie[],MATCH(Table16[[#This Row],[Player]],Goalie[player],0),20)) = 0, "",_xlfn.IFNA(INDEX(Proj[],MATCH(Table16[[#This Row],[Player]],Proj[Player],0),31),INDEX(Goalie[],MATCH(Table16[[#This Row],[Player]],Goalie[player],0),20)))</f>
        <v/>
      </c>
    </row>
    <row r="193" spans="1:9" x14ac:dyDescent="0.25">
      <c r="A193" t="s">
        <v>587</v>
      </c>
      <c r="B193" s="2" t="s">
        <v>104</v>
      </c>
      <c r="C193" t="str">
        <f t="shared" si="2"/>
        <v>RW</v>
      </c>
      <c r="D193" s="10">
        <f>MAX(_xlfn.IFNA(INDEX(Proj[],MATCH(Table16[[#This Row],[Player]],Proj[Player],0),27),-5000), _xlfn.IFNA(INDEX(Goalie[],MATCH(Table16[[#This Row],[Player]],Goalie[player],0),17),-5000))</f>
        <v>-57.029415717911775</v>
      </c>
      <c r="E193">
        <f>_xlfn.RANK.EQ(Table16[[#This Row],[VOR]],Table16[VOR])</f>
        <v>218</v>
      </c>
      <c r="F193" cm="1">
        <f t="array" ref="F193">_xlfn.IFS(C193 = "C",INDEX('C'!$A$2:$L$254,MATCH($A193,'C'!$A$2:$A$254,0),10),C193 = "LW",INDEX(LW!$A$2:$K$180,MATCH($A193,LW!$A$2:$A$180,0),10),C193 = "RW",INDEX('RW'!$A$2:$L$164,MATCH($A193,'RW'!$A$2:$A$164,0),10), C193 = "D",INDEX(D!$A$2:$L$268,MATCH($A193,D!$A$2:$A$268,0),10),C193="G",INDEX(G!$A$2:$Q$78,MATCH($A193,G!$A$2:$A$78,0),16),C193="F",INDEX(F!$A$2:$K$494,MATCH($A193,F!$A$2:$A$494,0),10))</f>
        <v>44</v>
      </c>
      <c r="G193" t="str">
        <f>_xlfn.CONCAT(C193,Table16[[#This Row],[Pos Rank2]])</f>
        <v>RW44</v>
      </c>
      <c r="H193" s="10">
        <f>MAX(_xlfn.IFNA(INDEX(Proj[],MATCH(Table16[[#This Row],[Player]],Proj[Player],0),29),-5000), _xlfn.IFNA(INDEX(Goalie[],MATCH(Table16[[#This Row],[Player]],Goalie[player],0),19),-5000))</f>
        <v>389.51530867233708</v>
      </c>
      <c r="I193" t="str">
        <f>IF(_xlfn.IFNA(INDEX(Proj[],MATCH(Table16[[#This Row],[Player]],Proj[Player],0),31),INDEX(Goalie[],MATCH(Table16[[#This Row],[Player]],Goalie[player],0),20)) = 0, "",_xlfn.IFNA(INDEX(Proj[],MATCH(Table16[[#This Row],[Player]],Proj[Player],0),31),INDEX(Goalie[],MATCH(Table16[[#This Row],[Player]],Goalie[player],0),20)))</f>
        <v/>
      </c>
    </row>
    <row r="194" spans="1:9" x14ac:dyDescent="0.25">
      <c r="A194" t="s">
        <v>325</v>
      </c>
      <c r="B194" s="2" t="s">
        <v>3</v>
      </c>
      <c r="C194" t="str">
        <f t="shared" ref="C194:C257" si="3">SUBSTITUTE(SUBSTITUTE(B194,"C,",""),"LW,","")</f>
        <v>D</v>
      </c>
      <c r="D194" s="10">
        <f>MAX(_xlfn.IFNA(INDEX(Proj[],MATCH(Table16[[#This Row],[Player]],Proj[Player],0),27),-5000), _xlfn.IFNA(INDEX(Goalie[],MATCH(Table16[[#This Row],[Player]],Goalie[player],0),17),-5000))</f>
        <v>7.8892376531328097</v>
      </c>
      <c r="E194">
        <f>_xlfn.RANK.EQ(Table16[[#This Row],[VOR]],Table16[VOR])</f>
        <v>183</v>
      </c>
      <c r="F194" cm="1">
        <f t="array" ref="F194">_xlfn.IFS(C194 = "C",INDEX('C'!$A$2:$L$254,MATCH($A194,'C'!$A$2:$A$254,0),10),C194 = "LW",INDEX(LW!$A$2:$K$180,MATCH($A194,LW!$A$2:$A$180,0),10),C194 = "RW",INDEX('RW'!$A$2:$L$164,MATCH($A194,'RW'!$A$2:$A$164,0),10), C194 = "D",INDEX(D!$A$2:$L$268,MATCH($A194,D!$A$2:$A$268,0),10),C194="G",INDEX(G!$A$2:$Q$78,MATCH($A194,G!$A$2:$A$78,0),16),C194="F",INDEX(F!$A$2:$K$494,MATCH($A194,F!$A$2:$A$494,0),10))</f>
        <v>66</v>
      </c>
      <c r="G194" t="str">
        <f>_xlfn.CONCAT(C194,Table16[[#This Row],[Pos Rank2]])</f>
        <v>D66</v>
      </c>
      <c r="H194" s="10">
        <f>MAX(_xlfn.IFNA(INDEX(Proj[],MATCH(Table16[[#This Row],[Player]],Proj[Player],0),29),-5000), _xlfn.IFNA(INDEX(Goalie[],MATCH(Table16[[#This Row],[Player]],Goalie[player],0),19),-5000))</f>
        <v>115.25400537259729</v>
      </c>
      <c r="I194" t="str">
        <f>IF(_xlfn.IFNA(INDEX(Proj[],MATCH(Table16[[#This Row],[Player]],Proj[Player],0),31),INDEX(Goalie[],MATCH(Table16[[#This Row],[Player]],Goalie[player],0),20)) = 0, "",_xlfn.IFNA(INDEX(Proj[],MATCH(Table16[[#This Row],[Player]],Proj[Player],0),31),INDEX(Goalie[],MATCH(Table16[[#This Row],[Player]],Goalie[player],0),20)))</f>
        <v/>
      </c>
    </row>
    <row r="195" spans="1:9" x14ac:dyDescent="0.25">
      <c r="A195" t="s">
        <v>408</v>
      </c>
      <c r="B195" s="2" t="s">
        <v>3</v>
      </c>
      <c r="C195" t="str">
        <f t="shared" si="3"/>
        <v>D</v>
      </c>
      <c r="D195" s="10">
        <f>MAX(_xlfn.IFNA(INDEX(Proj[],MATCH(Table16[[#This Row],[Player]],Proj[Player],0),27),-5000), _xlfn.IFNA(INDEX(Goalie[],MATCH(Table16[[#This Row],[Player]],Goalie[player],0),17),-5000))</f>
        <v>4.2423109592184716</v>
      </c>
      <c r="E195">
        <f>_xlfn.RANK.EQ(Table16[[#This Row],[VOR]],Table16[VOR])</f>
        <v>186</v>
      </c>
      <c r="F195" cm="1">
        <f t="array" ref="F195">_xlfn.IFS(C195 = "C",INDEX('C'!$A$2:$L$254,MATCH($A195,'C'!$A$2:$A$254,0),10),C195 = "LW",INDEX(LW!$A$2:$K$180,MATCH($A195,LW!$A$2:$A$180,0),10),C195 = "RW",INDEX('RW'!$A$2:$L$164,MATCH($A195,'RW'!$A$2:$A$164,0),10), C195 = "D",INDEX(D!$A$2:$L$268,MATCH($A195,D!$A$2:$A$268,0),10),C195="G",INDEX(G!$A$2:$Q$78,MATCH($A195,G!$A$2:$A$78,0),16),C195="F",INDEX(F!$A$2:$K$494,MATCH($A195,F!$A$2:$A$494,0),10))</f>
        <v>67</v>
      </c>
      <c r="G195" t="str">
        <f>_xlfn.CONCAT(C195,Table16[[#This Row],[Pos Rank2]])</f>
        <v>D67</v>
      </c>
      <c r="H195" s="10">
        <f>MAX(_xlfn.IFNA(INDEX(Proj[],MATCH(Table16[[#This Row],[Player]],Proj[Player],0),29),-5000), _xlfn.IFNA(INDEX(Goalie[],MATCH(Table16[[#This Row],[Player]],Goalie[player],0),19),-5000))</f>
        <v>111.60707867868295</v>
      </c>
      <c r="I195" t="str">
        <f>IF(_xlfn.IFNA(INDEX(Proj[],MATCH(Table16[[#This Row],[Player]],Proj[Player],0),31),INDEX(Goalie[],MATCH(Table16[[#This Row],[Player]],Goalie[player],0),20)) = 0, "",_xlfn.IFNA(INDEX(Proj[],MATCH(Table16[[#This Row],[Player]],Proj[Player],0),31),INDEX(Goalie[],MATCH(Table16[[#This Row],[Player]],Goalie[player],0),20)))</f>
        <v/>
      </c>
    </row>
    <row r="196" spans="1:9" x14ac:dyDescent="0.25">
      <c r="A196" t="s">
        <v>160</v>
      </c>
      <c r="B196" s="2" t="s">
        <v>157</v>
      </c>
      <c r="C196" t="str">
        <f t="shared" si="3"/>
        <v>G</v>
      </c>
      <c r="D196" s="10">
        <f>MAX(_xlfn.IFNA(INDEX(Proj[],MATCH(Table16[[#This Row],[Player]],Proj[Player],0),27),-5000), _xlfn.IFNA(INDEX(Goalie[],MATCH(Table16[[#This Row],[Player]],Goalie[player],0),17),-5000))</f>
        <v>-27.206455715824205</v>
      </c>
      <c r="E196">
        <f>_xlfn.RANK.EQ(Table16[[#This Row],[VOR]],Table16[VOR])</f>
        <v>206</v>
      </c>
      <c r="F196" cm="1">
        <f t="array" ref="F196">_xlfn.IFS(C196 = "C",INDEX('C'!$A$2:$L$254,MATCH($A196,'C'!$A$2:$A$254,0),10),C196 = "LW",INDEX(LW!$A$2:$K$180,MATCH($A196,LW!$A$2:$A$180,0),10),C196 = "RW",INDEX('RW'!$A$2:$L$164,MATCH($A196,'RW'!$A$2:$A$164,0),10), C196 = "D",INDEX(D!$A$2:$L$268,MATCH($A196,D!$A$2:$A$268,0),10),C196="G",INDEX(G!$A$2:$Q$78,MATCH($A196,G!$A$2:$A$78,0),16),C196="F",INDEX(F!$A$2:$K$494,MATCH($A196,F!$A$2:$A$494,0),10))</f>
        <v>30</v>
      </c>
      <c r="G196" t="str">
        <f>_xlfn.CONCAT(C196,Table16[[#This Row],[Pos Rank2]])</f>
        <v>G30</v>
      </c>
      <c r="H196" s="10">
        <f>MAX(_xlfn.IFNA(INDEX(Proj[],MATCH(Table16[[#This Row],[Player]],Proj[Player],0),29),-5000), _xlfn.IFNA(INDEX(Goalie[],MATCH(Table16[[#This Row],[Player]],Goalie[player],0),19),-5000))</f>
        <v>446.10299999999995</v>
      </c>
      <c r="I196" t="str">
        <f>IF(_xlfn.IFNA(INDEX(Proj[],MATCH(Table16[[#This Row],[Player]],Proj[Player],0),31),INDEX(Goalie[],MATCH(Table16[[#This Row],[Player]],Goalie[player],0),20)) = 0, "",_xlfn.IFNA(INDEX(Proj[],MATCH(Table16[[#This Row],[Player]],Proj[Player],0),31),INDEX(Goalie[],MATCH(Table16[[#This Row],[Player]],Goalie[player],0),20)))</f>
        <v/>
      </c>
    </row>
    <row r="197" spans="1:9" x14ac:dyDescent="0.25">
      <c r="A197" t="s">
        <v>1217</v>
      </c>
      <c r="B197" s="2" t="s">
        <v>102</v>
      </c>
      <c r="C197" t="str">
        <f t="shared" si="3"/>
        <v>LW</v>
      </c>
      <c r="D197" s="10">
        <f>MAX(_xlfn.IFNA(INDEX(Proj[],MATCH(Table16[[#This Row],[Player]],Proj[Player],0),27),-5000), _xlfn.IFNA(INDEX(Goalie[],MATCH(Table16[[#This Row],[Player]],Goalie[player],0),17),-5000))</f>
        <v>15.710705234597697</v>
      </c>
      <c r="E197">
        <f>_xlfn.RANK.EQ(Table16[[#This Row],[VOR]],Table16[VOR])</f>
        <v>178</v>
      </c>
      <c r="F197" cm="1">
        <f t="array" ref="F197">_xlfn.IFS(C197 = "C",INDEX('C'!$A$2:$L$254,MATCH($A197,'C'!$A$2:$A$254,0),10),C197 = "LW",INDEX(LW!$A$2:$K$180,MATCH($A197,LW!$A$2:$A$180,0),10),C197 = "RW",INDEX('RW'!$A$2:$L$164,MATCH($A197,'RW'!$A$2:$A$164,0),10), C197 = "D",INDEX(D!$A$2:$L$268,MATCH($A197,D!$A$2:$A$268,0),10),C197="G",INDEX(G!$A$2:$Q$78,MATCH($A197,G!$A$2:$A$78,0),16),C197="F",INDEX(F!$A$2:$K$494,MATCH($A197,F!$A$2:$A$494,0),10))</f>
        <v>39</v>
      </c>
      <c r="G197" t="str">
        <f>_xlfn.CONCAT(C197,Table16[[#This Row],[Pos Rank2]])</f>
        <v>LW39</v>
      </c>
      <c r="H197" s="10">
        <f>MAX(_xlfn.IFNA(INDEX(Proj[],MATCH(Table16[[#This Row],[Player]],Proj[Player],0),29),-5000), _xlfn.IFNA(INDEX(Goalie[],MATCH(Table16[[#This Row],[Player]],Goalie[player],0),19),-5000))</f>
        <v>487.25542962484656</v>
      </c>
      <c r="I197" t="str">
        <f>IF(_xlfn.IFNA(INDEX(Proj[],MATCH(Table16[[#This Row],[Player]],Proj[Player],0),31),INDEX(Goalie[],MATCH(Table16[[#This Row],[Player]],Goalie[player],0),20)) = 0, "",_xlfn.IFNA(INDEX(Proj[],MATCH(Table16[[#This Row],[Player]],Proj[Player],0),31),INDEX(Goalie[],MATCH(Table16[[#This Row],[Player]],Goalie[player],0),20)))</f>
        <v/>
      </c>
    </row>
    <row r="198" spans="1:9" x14ac:dyDescent="0.25">
      <c r="A198" t="s">
        <v>428</v>
      </c>
      <c r="B198" s="2" t="s">
        <v>3</v>
      </c>
      <c r="C198" t="str">
        <f t="shared" si="3"/>
        <v>D</v>
      </c>
      <c r="D198" s="10">
        <f>MAX(_xlfn.IFNA(INDEX(Proj[],MATCH(Table16[[#This Row],[Player]],Proj[Player],0),27),-5000), _xlfn.IFNA(INDEX(Goalie[],MATCH(Table16[[#This Row],[Player]],Goalie[player],0),17),-5000))</f>
        <v>2.4703985724108719</v>
      </c>
      <c r="E198">
        <f>_xlfn.RANK.EQ(Table16[[#This Row],[VOR]],Table16[VOR])</f>
        <v>187</v>
      </c>
      <c r="F198" cm="1">
        <f t="array" ref="F198">_xlfn.IFS(C198 = "C",INDEX('C'!$A$2:$L$254,MATCH($A198,'C'!$A$2:$A$254,0),10),C198 = "LW",INDEX(LW!$A$2:$K$180,MATCH($A198,LW!$A$2:$A$180,0),10),C198 = "RW",INDEX('RW'!$A$2:$L$164,MATCH($A198,'RW'!$A$2:$A$164,0),10), C198 = "D",INDEX(D!$A$2:$L$268,MATCH($A198,D!$A$2:$A$268,0),10),C198="G",INDEX(G!$A$2:$Q$78,MATCH($A198,G!$A$2:$A$78,0),16),C198="F",INDEX(F!$A$2:$K$494,MATCH($A198,F!$A$2:$A$494,0),10))</f>
        <v>68</v>
      </c>
      <c r="G198" t="str">
        <f>_xlfn.CONCAT(C198,Table16[[#This Row],[Pos Rank2]])</f>
        <v>D68</v>
      </c>
      <c r="H198" s="10">
        <f>MAX(_xlfn.IFNA(INDEX(Proj[],MATCH(Table16[[#This Row],[Player]],Proj[Player],0),29),-5000), _xlfn.IFNA(INDEX(Goalie[],MATCH(Table16[[#This Row],[Player]],Goalie[player],0),19),-5000))</f>
        <v>109.83516629187535</v>
      </c>
      <c r="I198" t="str">
        <f>IF(_xlfn.IFNA(INDEX(Proj[],MATCH(Table16[[#This Row],[Player]],Proj[Player],0),31),INDEX(Goalie[],MATCH(Table16[[#This Row],[Player]],Goalie[player],0),20)) = 0, "",_xlfn.IFNA(INDEX(Proj[],MATCH(Table16[[#This Row],[Player]],Proj[Player],0),31),INDEX(Goalie[],MATCH(Table16[[#This Row],[Player]],Goalie[player],0),20)))</f>
        <v/>
      </c>
    </row>
    <row r="199" spans="1:9" x14ac:dyDescent="0.25">
      <c r="A199" t="s">
        <v>193</v>
      </c>
      <c r="B199" s="2" t="s">
        <v>157</v>
      </c>
      <c r="C199" t="str">
        <f t="shared" si="3"/>
        <v>G</v>
      </c>
      <c r="D199" s="10">
        <f>MAX(_xlfn.IFNA(INDEX(Proj[],MATCH(Table16[[#This Row],[Player]],Proj[Player],0),27),-5000), _xlfn.IFNA(INDEX(Goalie[],MATCH(Table16[[#This Row],[Player]],Goalie[player],0),17),-5000))</f>
        <v>-29.918948481981317</v>
      </c>
      <c r="E199">
        <f>_xlfn.RANK.EQ(Table16[[#This Row],[VOR]],Table16[VOR])</f>
        <v>207</v>
      </c>
      <c r="F199" cm="1">
        <f t="array" ref="F199">_xlfn.IFS(C199 = "C",INDEX('C'!$A$2:$L$254,MATCH($A199,'C'!$A$2:$A$254,0),10),C199 = "LW",INDEX(LW!$A$2:$K$180,MATCH($A199,LW!$A$2:$A$180,0),10),C199 = "RW",INDEX('RW'!$A$2:$L$164,MATCH($A199,'RW'!$A$2:$A$164,0),10), C199 = "D",INDEX(D!$A$2:$L$268,MATCH($A199,D!$A$2:$A$268,0),10),C199="G",INDEX(G!$A$2:$Q$78,MATCH($A199,G!$A$2:$A$78,0),16),C199="F",INDEX(F!$A$2:$K$494,MATCH($A199,F!$A$2:$A$494,0),10))</f>
        <v>31</v>
      </c>
      <c r="G199" t="str">
        <f>_xlfn.CONCAT(C199,Table16[[#This Row],[Pos Rank2]])</f>
        <v>G31</v>
      </c>
      <c r="H199" s="10">
        <f>MAX(_xlfn.IFNA(INDEX(Proj[],MATCH(Table16[[#This Row],[Player]],Proj[Player],0),29),-5000), _xlfn.IFNA(INDEX(Goalie[],MATCH(Table16[[#This Row],[Player]],Goalie[player],0),19),-5000))</f>
        <v>353.67099999999994</v>
      </c>
      <c r="I199" t="str">
        <f>IF(_xlfn.IFNA(INDEX(Proj[],MATCH(Table16[[#This Row],[Player]],Proj[Player],0),31),INDEX(Goalie[],MATCH(Table16[[#This Row],[Player]],Goalie[player],0),20)) = 0, "",_xlfn.IFNA(INDEX(Proj[],MATCH(Table16[[#This Row],[Player]],Proj[Player],0),31),INDEX(Goalie[],MATCH(Table16[[#This Row],[Player]],Goalie[player],0),20)))</f>
        <v/>
      </c>
    </row>
    <row r="200" spans="1:9" x14ac:dyDescent="0.25">
      <c r="A200" t="s">
        <v>908</v>
      </c>
      <c r="B200" s="2" t="s">
        <v>3</v>
      </c>
      <c r="C200" t="str">
        <f t="shared" si="3"/>
        <v>D</v>
      </c>
      <c r="D200" s="10">
        <f>MAX(_xlfn.IFNA(INDEX(Proj[],MATCH(Table16[[#This Row],[Player]],Proj[Player],0),27),-5000), _xlfn.IFNA(INDEX(Goalie[],MATCH(Table16[[#This Row],[Player]],Goalie[player],0),17),-5000))</f>
        <v>0.42412264105229269</v>
      </c>
      <c r="E200">
        <f>_xlfn.RANK.EQ(Table16[[#This Row],[VOR]],Table16[VOR])</f>
        <v>188</v>
      </c>
      <c r="F200" cm="1">
        <f t="array" ref="F200">_xlfn.IFS(C200 = "C",INDEX('C'!$A$2:$L$254,MATCH($A200,'C'!$A$2:$A$254,0),10),C200 = "LW",INDEX(LW!$A$2:$K$180,MATCH($A200,LW!$A$2:$A$180,0),10),C200 = "RW",INDEX('RW'!$A$2:$L$164,MATCH($A200,'RW'!$A$2:$A$164,0),10), C200 = "D",INDEX(D!$A$2:$L$268,MATCH($A200,D!$A$2:$A$268,0),10),C200="G",INDEX(G!$A$2:$Q$78,MATCH($A200,G!$A$2:$A$78,0),16),C200="F",INDEX(F!$A$2:$K$494,MATCH($A200,F!$A$2:$A$494,0),10))</f>
        <v>69</v>
      </c>
      <c r="G200" t="str">
        <f>_xlfn.CONCAT(C200,Table16[[#This Row],[Pos Rank2]])</f>
        <v>D69</v>
      </c>
      <c r="H200" s="10">
        <f>MAX(_xlfn.IFNA(INDEX(Proj[],MATCH(Table16[[#This Row],[Player]],Proj[Player],0),29),-5000), _xlfn.IFNA(INDEX(Goalie[],MATCH(Table16[[#This Row],[Player]],Goalie[player],0),19),-5000))</f>
        <v>107.78889036051677</v>
      </c>
      <c r="I200" t="str">
        <f>IF(_xlfn.IFNA(INDEX(Proj[],MATCH(Table16[[#This Row],[Player]],Proj[Player],0),31),INDEX(Goalie[],MATCH(Table16[[#This Row],[Player]],Goalie[player],0),20)) = 0, "",_xlfn.IFNA(INDEX(Proj[],MATCH(Table16[[#This Row],[Player]],Proj[Player],0),31),INDEX(Goalie[],MATCH(Table16[[#This Row],[Player]],Goalie[player],0),20)))</f>
        <v/>
      </c>
    </row>
    <row r="201" spans="1:9" x14ac:dyDescent="0.25">
      <c r="A201" t="s">
        <v>454</v>
      </c>
      <c r="B201" s="2" t="s">
        <v>3</v>
      </c>
      <c r="C201" t="str">
        <f t="shared" si="3"/>
        <v>D</v>
      </c>
      <c r="D201" s="10">
        <f>MAX(_xlfn.IFNA(INDEX(Proj[],MATCH(Table16[[#This Row],[Player]],Proj[Player],0),27),-5000), _xlfn.IFNA(INDEX(Goalie[],MATCH(Table16[[#This Row],[Player]],Goalie[player],0),17),-5000))</f>
        <v>0</v>
      </c>
      <c r="E201">
        <f>_xlfn.RANK.EQ(Table16[[#This Row],[VOR]],Table16[VOR])</f>
        <v>189</v>
      </c>
      <c r="F201" cm="1">
        <f t="array" ref="F201">_xlfn.IFS(C201 = "C",INDEX('C'!$A$2:$L$254,MATCH($A201,'C'!$A$2:$A$254,0),10),C201 = "LW",INDEX(LW!$A$2:$K$180,MATCH($A201,LW!$A$2:$A$180,0),10),C201 = "RW",INDEX('RW'!$A$2:$L$164,MATCH($A201,'RW'!$A$2:$A$164,0),10), C201 = "D",INDEX(D!$A$2:$L$268,MATCH($A201,D!$A$2:$A$268,0),10),C201="G",INDEX(G!$A$2:$Q$78,MATCH($A201,G!$A$2:$A$78,0),16),C201="F",INDEX(F!$A$2:$K$494,MATCH($A201,F!$A$2:$A$494,0),10))</f>
        <v>70</v>
      </c>
      <c r="G201" t="str">
        <f>_xlfn.CONCAT(C201,Table16[[#This Row],[Pos Rank2]])</f>
        <v>D70</v>
      </c>
      <c r="H201" s="10">
        <f>MAX(_xlfn.IFNA(INDEX(Proj[],MATCH(Table16[[#This Row],[Player]],Proj[Player],0),29),-5000), _xlfn.IFNA(INDEX(Goalie[],MATCH(Table16[[#This Row],[Player]],Goalie[player],0),19),-5000))</f>
        <v>107.36476771946448</v>
      </c>
      <c r="I201" t="str">
        <f>IF(_xlfn.IFNA(INDEX(Proj[],MATCH(Table16[[#This Row],[Player]],Proj[Player],0),31),INDEX(Goalie[],MATCH(Table16[[#This Row],[Player]],Goalie[player],0),20)) = 0, "",_xlfn.IFNA(INDEX(Proj[],MATCH(Table16[[#This Row],[Player]],Proj[Player],0),31),INDEX(Goalie[],MATCH(Table16[[#This Row],[Player]],Goalie[player],0),20)))</f>
        <v/>
      </c>
    </row>
    <row r="202" spans="1:9" x14ac:dyDescent="0.25">
      <c r="A202" t="s">
        <v>1243</v>
      </c>
      <c r="B202" s="2" t="s">
        <v>157</v>
      </c>
      <c r="C202" t="str">
        <f t="shared" si="3"/>
        <v>G</v>
      </c>
      <c r="D202" s="10">
        <f>MAX(_xlfn.IFNA(INDEX(Proj[],MATCH(Table16[[#This Row],[Player]],Proj[Player],0),27),-5000), _xlfn.IFNA(INDEX(Goalie[],MATCH(Table16[[#This Row],[Player]],Goalie[player],0),17),-5000))</f>
        <v>-33.533127805118895</v>
      </c>
      <c r="E202">
        <f>_xlfn.RANK.EQ(Table16[[#This Row],[VOR]],Table16[VOR])</f>
        <v>210</v>
      </c>
      <c r="F202" cm="1">
        <f t="array" ref="F202">_xlfn.IFS(C202 = "C",INDEX('C'!$A$2:$L$254,MATCH($A202,'C'!$A$2:$A$254,0),10),C202 = "LW",INDEX(LW!$A$2:$K$180,MATCH($A202,LW!$A$2:$A$180,0),10),C202 = "RW",INDEX('RW'!$A$2:$L$164,MATCH($A202,'RW'!$A$2:$A$164,0),10), C202 = "D",INDEX(D!$A$2:$L$268,MATCH($A202,D!$A$2:$A$268,0),10),C202="G",INDEX(G!$A$2:$Q$78,MATCH($A202,G!$A$2:$A$78,0),16),C202="F",INDEX(F!$A$2:$K$494,MATCH($A202,F!$A$2:$A$494,0),10))</f>
        <v>32</v>
      </c>
      <c r="G202" t="str">
        <f>_xlfn.CONCAT(C202,Table16[[#This Row],[Pos Rank2]])</f>
        <v>G32</v>
      </c>
      <c r="H202" s="10">
        <f>MAX(_xlfn.IFNA(INDEX(Proj[],MATCH(Table16[[#This Row],[Player]],Proj[Player],0),29),-5000), _xlfn.IFNA(INDEX(Goalie[],MATCH(Table16[[#This Row],[Player]],Goalie[player],0),19),-5000))</f>
        <v>462.01839999999999</v>
      </c>
      <c r="I202" t="str">
        <f>IF(_xlfn.IFNA(INDEX(Proj[],MATCH(Table16[[#This Row],[Player]],Proj[Player],0),31),INDEX(Goalie[],MATCH(Table16[[#This Row],[Player]],Goalie[player],0),20)) = 0, "",_xlfn.IFNA(INDEX(Proj[],MATCH(Table16[[#This Row],[Player]],Proj[Player],0),31),INDEX(Goalie[],MATCH(Table16[[#This Row],[Player]],Goalie[player],0),20)))</f>
        <v/>
      </c>
    </row>
    <row r="203" spans="1:9" x14ac:dyDescent="0.25">
      <c r="A203" t="s">
        <v>298</v>
      </c>
      <c r="B203" s="2" t="s">
        <v>101</v>
      </c>
      <c r="C203" t="str">
        <f t="shared" si="3"/>
        <v>LW</v>
      </c>
      <c r="D203" s="10">
        <f>MAX(_xlfn.IFNA(INDEX(Proj[],MATCH(Table16[[#This Row],[Player]],Proj[Player],0),27),-5000), _xlfn.IFNA(INDEX(Goalie[],MATCH(Table16[[#This Row],[Player]],Goalie[player],0),17),-5000))</f>
        <v>145.09308979185033</v>
      </c>
      <c r="E203">
        <f>_xlfn.RANK.EQ(Table16[[#This Row],[VOR]],Table16[VOR])</f>
        <v>129</v>
      </c>
      <c r="F203" cm="1">
        <f t="array" ref="F203">_xlfn.IFS(C203 = "C",INDEX('C'!$A$2:$L$254,MATCH($A203,'C'!$A$2:$A$254,0),10),C203 = "LW",INDEX(LW!$A$2:$K$180,MATCH($A203,LW!$A$2:$A$180,0),10),C203 = "RW",INDEX('RW'!$A$2:$L$164,MATCH($A203,'RW'!$A$2:$A$164,0),10), C203 = "D",INDEX(D!$A$2:$L$268,MATCH($A203,D!$A$2:$A$268,0),10),C203="G",INDEX(G!$A$2:$Q$78,MATCH($A203,G!$A$2:$A$78,0),16),C203="F",INDEX(F!$A$2:$K$494,MATCH($A203,F!$A$2:$A$494,0),10))</f>
        <v>32</v>
      </c>
      <c r="G203" t="str">
        <f>_xlfn.CONCAT(C203,Table16[[#This Row],[Pos Rank2]])</f>
        <v>LW32</v>
      </c>
      <c r="H203" s="10">
        <f>MAX(_xlfn.IFNA(INDEX(Proj[],MATCH(Table16[[#This Row],[Player]],Proj[Player],0),29),-5000), _xlfn.IFNA(INDEX(Goalie[],MATCH(Table16[[#This Row],[Player]],Goalie[player],0),19),-5000))</f>
        <v>616.63781418209919</v>
      </c>
      <c r="I203" t="str">
        <f>IF(_xlfn.IFNA(INDEX(Proj[],MATCH(Table16[[#This Row],[Player]],Proj[Player],0),31),INDEX(Goalie[],MATCH(Table16[[#This Row],[Player]],Goalie[player],0),20)) = 0, "",_xlfn.IFNA(INDEX(Proj[],MATCH(Table16[[#This Row],[Player]],Proj[Player],0),31),INDEX(Goalie[],MATCH(Table16[[#This Row],[Player]],Goalie[player],0),20)))</f>
        <v/>
      </c>
    </row>
    <row r="204" spans="1:9" x14ac:dyDescent="0.25">
      <c r="A204" t="s">
        <v>1245</v>
      </c>
      <c r="B204" s="2" t="s">
        <v>157</v>
      </c>
      <c r="C204" t="str">
        <f t="shared" si="3"/>
        <v>G</v>
      </c>
      <c r="D204" s="10">
        <f>MAX(_xlfn.IFNA(INDEX(Proj[],MATCH(Table16[[#This Row],[Player]],Proj[Player],0),27),-5000), _xlfn.IFNA(INDEX(Goalie[],MATCH(Table16[[#This Row],[Player]],Goalie[player],0),17),-5000))</f>
        <v>-39.031730166776882</v>
      </c>
      <c r="E204">
        <f>_xlfn.RANK.EQ(Table16[[#This Row],[VOR]],Table16[VOR])</f>
        <v>211</v>
      </c>
      <c r="F204" cm="1">
        <f t="array" ref="F204">_xlfn.IFS(C204 = "C",INDEX('C'!$A$2:$L$254,MATCH($A204,'C'!$A$2:$A$254,0),10),C204 = "LW",INDEX(LW!$A$2:$K$180,MATCH($A204,LW!$A$2:$A$180,0),10),C204 = "RW",INDEX('RW'!$A$2:$L$164,MATCH($A204,'RW'!$A$2:$A$164,0),10), C204 = "D",INDEX(D!$A$2:$L$268,MATCH($A204,D!$A$2:$A$268,0),10),C204="G",INDEX(G!$A$2:$Q$78,MATCH($A204,G!$A$2:$A$78,0),16),C204="F",INDEX(F!$A$2:$K$494,MATCH($A204,F!$A$2:$A$494,0),10))</f>
        <v>33</v>
      </c>
      <c r="G204" t="str">
        <f>_xlfn.CONCAT(C204,Table16[[#This Row],[Pos Rank2]])</f>
        <v>G33</v>
      </c>
      <c r="H204" s="10">
        <f>MAX(_xlfn.IFNA(INDEX(Proj[],MATCH(Table16[[#This Row],[Player]],Proj[Player],0),29),-5000), _xlfn.IFNA(INDEX(Goalie[],MATCH(Table16[[#This Row],[Player]],Goalie[player],0),19),-5000))</f>
        <v>417.69599999999997</v>
      </c>
      <c r="I204" t="str">
        <f>IF(_xlfn.IFNA(INDEX(Proj[],MATCH(Table16[[#This Row],[Player]],Proj[Player],0),31),INDEX(Goalie[],MATCH(Table16[[#This Row],[Player]],Goalie[player],0),20)) = 0, "",_xlfn.IFNA(INDEX(Proj[],MATCH(Table16[[#This Row],[Player]],Proj[Player],0),31),INDEX(Goalie[],MATCH(Table16[[#This Row],[Player]],Goalie[player],0),20)))</f>
        <v/>
      </c>
    </row>
    <row r="205" spans="1:9" x14ac:dyDescent="0.25">
      <c r="A205" t="s">
        <v>871</v>
      </c>
      <c r="B205" s="2" t="s">
        <v>3</v>
      </c>
      <c r="C205" t="str">
        <f t="shared" si="3"/>
        <v>D</v>
      </c>
      <c r="D205" s="10">
        <f>MAX(_xlfn.IFNA(INDEX(Proj[],MATCH(Table16[[#This Row],[Player]],Proj[Player],0),27),-5000), _xlfn.IFNA(INDEX(Goalie[],MATCH(Table16[[#This Row],[Player]],Goalie[player],0),17),-5000))</f>
        <v>-14.675685196167336</v>
      </c>
      <c r="E205">
        <f>_xlfn.RANK.EQ(Table16[[#This Row],[VOR]],Table16[VOR])</f>
        <v>199</v>
      </c>
      <c r="F205" cm="1">
        <f t="array" ref="F205">_xlfn.IFS(C205 = "C",INDEX('C'!$A$2:$L$254,MATCH($A205,'C'!$A$2:$A$254,0),10),C205 = "LW",INDEX(LW!$A$2:$K$180,MATCH($A205,LW!$A$2:$A$180,0),10),C205 = "RW",INDEX('RW'!$A$2:$L$164,MATCH($A205,'RW'!$A$2:$A$164,0),10), C205 = "D",INDEX(D!$A$2:$L$268,MATCH($A205,D!$A$2:$A$268,0),10),C205="G",INDEX(G!$A$2:$Q$78,MATCH($A205,G!$A$2:$A$78,0),16),C205="F",INDEX(F!$A$2:$K$494,MATCH($A205,F!$A$2:$A$494,0),10))</f>
        <v>71</v>
      </c>
      <c r="G205" t="str">
        <f>_xlfn.CONCAT(C205,Table16[[#This Row],[Pos Rank2]])</f>
        <v>D71</v>
      </c>
      <c r="H205" s="10">
        <f>MAX(_xlfn.IFNA(INDEX(Proj[],MATCH(Table16[[#This Row],[Player]],Proj[Player],0),29),-5000), _xlfn.IFNA(INDEX(Goalie[],MATCH(Table16[[#This Row],[Player]],Goalie[player],0),19),-5000))</f>
        <v>92.689082523297145</v>
      </c>
      <c r="I205" t="str">
        <f>IF(_xlfn.IFNA(INDEX(Proj[],MATCH(Table16[[#This Row],[Player]],Proj[Player],0),31),INDEX(Goalie[],MATCH(Table16[[#This Row],[Player]],Goalie[player],0),20)) = 0, "",_xlfn.IFNA(INDEX(Proj[],MATCH(Table16[[#This Row],[Player]],Proj[Player],0),31),INDEX(Goalie[],MATCH(Table16[[#This Row],[Player]],Goalie[player],0),20)))</f>
        <v/>
      </c>
    </row>
    <row r="206" spans="1:9" x14ac:dyDescent="0.25">
      <c r="A206" t="s">
        <v>592</v>
      </c>
      <c r="B206" s="2" t="s">
        <v>103</v>
      </c>
      <c r="C206" t="str">
        <f t="shared" si="3"/>
        <v>RW</v>
      </c>
      <c r="D206" s="10">
        <f>MAX(_xlfn.IFNA(INDEX(Proj[],MATCH(Table16[[#This Row],[Player]],Proj[Player],0),27),-5000), _xlfn.IFNA(INDEX(Goalie[],MATCH(Table16[[#This Row],[Player]],Goalie[player],0),17),-5000))</f>
        <v>-88.591868219239586</v>
      </c>
      <c r="E206">
        <f>_xlfn.RANK.EQ(Table16[[#This Row],[VOR]],Table16[VOR])</f>
        <v>230</v>
      </c>
      <c r="F206" cm="1">
        <f t="array" ref="F206">_xlfn.IFS(C206 = "C",INDEX('C'!$A$2:$L$254,MATCH($A206,'C'!$A$2:$A$254,0),10),C206 = "LW",INDEX(LW!$A$2:$K$180,MATCH($A206,LW!$A$2:$A$180,0),10),C206 = "RW",INDEX('RW'!$A$2:$L$164,MATCH($A206,'RW'!$A$2:$A$164,0),10), C206 = "D",INDEX(D!$A$2:$L$268,MATCH($A206,D!$A$2:$A$268,0),10),C206="G",INDEX(G!$A$2:$Q$78,MATCH($A206,G!$A$2:$A$78,0),16),C206="F",INDEX(F!$A$2:$K$494,MATCH($A206,F!$A$2:$A$494,0),10))</f>
        <v>46</v>
      </c>
      <c r="G206" t="str">
        <f>_xlfn.CONCAT(C206,Table16[[#This Row],[Pos Rank2]])</f>
        <v>RW46</v>
      </c>
      <c r="H206" s="10">
        <f>MAX(_xlfn.IFNA(INDEX(Proj[],MATCH(Table16[[#This Row],[Player]],Proj[Player],0),29),-5000), _xlfn.IFNA(INDEX(Goalie[],MATCH(Table16[[#This Row],[Player]],Goalie[player],0),19),-5000))</f>
        <v>357.95285617100927</v>
      </c>
      <c r="I206" t="str">
        <f>IF(_xlfn.IFNA(INDEX(Proj[],MATCH(Table16[[#This Row],[Player]],Proj[Player],0),31),INDEX(Goalie[],MATCH(Table16[[#This Row],[Player]],Goalie[player],0),20)) = 0, "",_xlfn.IFNA(INDEX(Proj[],MATCH(Table16[[#This Row],[Player]],Proj[Player],0),31),INDEX(Goalie[],MATCH(Table16[[#This Row],[Player]],Goalie[player],0),20)))</f>
        <v/>
      </c>
    </row>
    <row r="207" spans="1:9" x14ac:dyDescent="0.25">
      <c r="A207" t="s">
        <v>624</v>
      </c>
      <c r="B207" s="2" t="s">
        <v>3</v>
      </c>
      <c r="C207" t="str">
        <f t="shared" si="3"/>
        <v>D</v>
      </c>
      <c r="D207" s="10">
        <f>MAX(_xlfn.IFNA(INDEX(Proj[],MATCH(Table16[[#This Row],[Player]],Proj[Player],0),27),-5000), _xlfn.IFNA(INDEX(Goalie[],MATCH(Table16[[#This Row],[Player]],Goalie[player],0),17),-5000))</f>
        <v>-20.976159291441093</v>
      </c>
      <c r="E207">
        <f>_xlfn.RANK.EQ(Table16[[#This Row],[VOR]],Table16[VOR])</f>
        <v>205</v>
      </c>
      <c r="F207" cm="1">
        <f t="array" ref="F207">_xlfn.IFS(C207 = "C",INDEX('C'!$A$2:$L$254,MATCH($A207,'C'!$A$2:$A$254,0),10),C207 = "LW",INDEX(LW!$A$2:$K$180,MATCH($A207,LW!$A$2:$A$180,0),10),C207 = "RW",INDEX('RW'!$A$2:$L$164,MATCH($A207,'RW'!$A$2:$A$164,0),10), C207 = "D",INDEX(D!$A$2:$L$268,MATCH($A207,D!$A$2:$A$268,0),10),C207="G",INDEX(G!$A$2:$Q$78,MATCH($A207,G!$A$2:$A$78,0),16),C207="F",INDEX(F!$A$2:$K$494,MATCH($A207,F!$A$2:$A$494,0),10))</f>
        <v>72</v>
      </c>
      <c r="G207" t="str">
        <f>_xlfn.CONCAT(C207,Table16[[#This Row],[Pos Rank2]])</f>
        <v>D72</v>
      </c>
      <c r="H207" s="10">
        <f>MAX(_xlfn.IFNA(INDEX(Proj[],MATCH(Table16[[#This Row],[Player]],Proj[Player],0),29),-5000), _xlfn.IFNA(INDEX(Goalie[],MATCH(Table16[[#This Row],[Player]],Goalie[player],0),19),-5000))</f>
        <v>86.388608428023389</v>
      </c>
      <c r="I207" t="str">
        <f>IF(_xlfn.IFNA(INDEX(Proj[],MATCH(Table16[[#This Row],[Player]],Proj[Player],0),31),INDEX(Goalie[],MATCH(Table16[[#This Row],[Player]],Goalie[player],0),20)) = 0, "",_xlfn.IFNA(INDEX(Proj[],MATCH(Table16[[#This Row],[Player]],Proj[Player],0),31),INDEX(Goalie[],MATCH(Table16[[#This Row],[Player]],Goalie[player],0),20)))</f>
        <v/>
      </c>
    </row>
    <row r="208" spans="1:9" x14ac:dyDescent="0.25">
      <c r="A208" t="s">
        <v>1096</v>
      </c>
      <c r="B208" s="2" t="s">
        <v>102</v>
      </c>
      <c r="C208" t="str">
        <f t="shared" si="3"/>
        <v>LW</v>
      </c>
      <c r="D208" s="10">
        <f>MAX(_xlfn.IFNA(INDEX(Proj[],MATCH(Table16[[#This Row],[Player]],Proj[Player],0),27),-5000), _xlfn.IFNA(INDEX(Goalie[],MATCH(Table16[[#This Row],[Player]],Goalie[player],0),17),-5000))</f>
        <v>-80.208480871870051</v>
      </c>
      <c r="E208">
        <f>_xlfn.RANK.EQ(Table16[[#This Row],[VOR]],Table16[VOR])</f>
        <v>227</v>
      </c>
      <c r="F208" cm="1">
        <f t="array" ref="F208">_xlfn.IFS(C208 = "C",INDEX('C'!$A$2:$L$254,MATCH($A208,'C'!$A$2:$A$254,0),10),C208 = "LW",INDEX(LW!$A$2:$K$180,MATCH($A208,LW!$A$2:$A$180,0),10),C208 = "RW",INDEX('RW'!$A$2:$L$164,MATCH($A208,'RW'!$A$2:$A$164,0),10), C208 = "D",INDEX(D!$A$2:$L$268,MATCH($A208,D!$A$2:$A$268,0),10),C208="G",INDEX(G!$A$2:$Q$78,MATCH($A208,G!$A$2:$A$78,0),16),C208="F",INDEX(F!$A$2:$K$494,MATCH($A208,F!$A$2:$A$494,0),10))</f>
        <v>52</v>
      </c>
      <c r="G208" t="str">
        <f>_xlfn.CONCAT(C208,Table16[[#This Row],[Pos Rank2]])</f>
        <v>LW52</v>
      </c>
      <c r="H208" s="10">
        <f>MAX(_xlfn.IFNA(INDEX(Proj[],MATCH(Table16[[#This Row],[Player]],Proj[Player],0),29),-5000), _xlfn.IFNA(INDEX(Goalie[],MATCH(Table16[[#This Row],[Player]],Goalie[player],0),19),-5000))</f>
        <v>391.33624351837881</v>
      </c>
      <c r="I208" t="str">
        <f>IF(_xlfn.IFNA(INDEX(Proj[],MATCH(Table16[[#This Row],[Player]],Proj[Player],0),31),INDEX(Goalie[],MATCH(Table16[[#This Row],[Player]],Goalie[player],0),20)) = 0, "",_xlfn.IFNA(INDEX(Proj[],MATCH(Table16[[#This Row],[Player]],Proj[Player],0),31),INDEX(Goalie[],MATCH(Table16[[#This Row],[Player]],Goalie[player],0),20)))</f>
        <v/>
      </c>
    </row>
    <row r="209" spans="1:9" x14ac:dyDescent="0.25">
      <c r="A209" t="s">
        <v>286</v>
      </c>
      <c r="B209" s="2" t="s">
        <v>102</v>
      </c>
      <c r="C209" t="str">
        <f t="shared" si="3"/>
        <v>LW</v>
      </c>
      <c r="D209" s="10">
        <f>MAX(_xlfn.IFNA(INDEX(Proj[],MATCH(Table16[[#This Row],[Player]],Proj[Player],0),27),-5000), _xlfn.IFNA(INDEX(Goalie[],MATCH(Table16[[#This Row],[Player]],Goalie[player],0),17),-5000))</f>
        <v>-5000</v>
      </c>
      <c r="E209">
        <f>_xlfn.RANK.EQ(Table16[[#This Row],[VOR]],Table16[VOR])</f>
        <v>832</v>
      </c>
      <c r="F209" t="e" cm="1">
        <f t="array" ref="F209">_xlfn.IFS(C209 = "C",INDEX('C'!$A$2:$L$254,MATCH($A209,'C'!$A$2:$A$254,0),10),C209 = "LW",INDEX(LW!$A$2:$K$180,MATCH($A209,LW!$A$2:$A$180,0),10),C209 = "RW",INDEX('RW'!$A$2:$L$164,MATCH($A209,'RW'!$A$2:$A$164,0),10), C209 = "D",INDEX(D!$A$2:$L$268,MATCH($A209,D!$A$2:$A$268,0),10),C209="G",INDEX(G!$A$2:$Q$78,MATCH($A209,G!$A$2:$A$78,0),16),C209="F",INDEX(F!$A$2:$K$494,MATCH($A209,F!$A$2:$A$494,0),10))</f>
        <v>#N/A</v>
      </c>
      <c r="G209" t="e">
        <f>_xlfn.CONCAT(C209,Table16[[#This Row],[Pos Rank2]])</f>
        <v>#N/A</v>
      </c>
      <c r="H209" s="10">
        <f>MAX(_xlfn.IFNA(INDEX(Proj[],MATCH(Table16[[#This Row],[Player]],Proj[Player],0),29),-5000), _xlfn.IFNA(INDEX(Goalie[],MATCH(Table16[[#This Row],[Player]],Goalie[player],0),19),-5000))</f>
        <v>-5000</v>
      </c>
      <c r="I209" t="e">
        <f>IF(_xlfn.IFNA(INDEX(Proj[],MATCH(Table16[[#This Row],[Player]],Proj[Player],0),31),INDEX(Goalie[],MATCH(Table16[[#This Row],[Player]],Goalie[player],0),20)) = 0, "",_xlfn.IFNA(INDEX(Proj[],MATCH(Table16[[#This Row],[Player]],Proj[Player],0),31),INDEX(Goalie[],MATCH(Table16[[#This Row],[Player]],Goalie[player],0),20)))</f>
        <v>#N/A</v>
      </c>
    </row>
    <row r="210" spans="1:9" x14ac:dyDescent="0.25">
      <c r="A210" t="s">
        <v>166</v>
      </c>
      <c r="B210" s="2" t="s">
        <v>157</v>
      </c>
      <c r="C210" t="str">
        <f t="shared" si="3"/>
        <v>G</v>
      </c>
      <c r="D210" s="10">
        <f>MAX(_xlfn.IFNA(INDEX(Proj[],MATCH(Table16[[#This Row],[Player]],Proj[Player],0),27),-5000), _xlfn.IFNA(INDEX(Goalie[],MATCH(Table16[[#This Row],[Player]],Goalie[player],0),17),-5000))</f>
        <v>-58.314590859358233</v>
      </c>
      <c r="E210">
        <f>_xlfn.RANK.EQ(Table16[[#This Row],[VOR]],Table16[VOR])</f>
        <v>219</v>
      </c>
      <c r="F210" cm="1">
        <f t="array" ref="F210">_xlfn.IFS(C210 = "C",INDEX('C'!$A$2:$L$254,MATCH($A210,'C'!$A$2:$A$254,0),10),C210 = "LW",INDEX(LW!$A$2:$K$180,MATCH($A210,LW!$A$2:$A$180,0),10),C210 = "RW",INDEX('RW'!$A$2:$L$164,MATCH($A210,'RW'!$A$2:$A$164,0),10), C210 = "D",INDEX(D!$A$2:$L$268,MATCH($A210,D!$A$2:$A$268,0),10),C210="G",INDEX(G!$A$2:$Q$78,MATCH($A210,G!$A$2:$A$78,0),16),C210="F",INDEX(F!$A$2:$K$494,MATCH($A210,F!$A$2:$A$494,0),10))</f>
        <v>34</v>
      </c>
      <c r="G210" t="str">
        <f>_xlfn.CONCAT(C210,Table16[[#This Row],[Pos Rank2]])</f>
        <v>G34</v>
      </c>
      <c r="H210" s="10">
        <f>MAX(_xlfn.IFNA(INDEX(Proj[],MATCH(Table16[[#This Row],[Player]],Proj[Player],0),29),-5000), _xlfn.IFNA(INDEX(Goalie[],MATCH(Table16[[#This Row],[Player]],Goalie[player],0),19),-5000))</f>
        <v>401.54879999999997</v>
      </c>
      <c r="I210" t="str">
        <f>IF(_xlfn.IFNA(INDEX(Proj[],MATCH(Table16[[#This Row],[Player]],Proj[Player],0),31),INDEX(Goalie[],MATCH(Table16[[#This Row],[Player]],Goalie[player],0),20)) = 0, "",_xlfn.IFNA(INDEX(Proj[],MATCH(Table16[[#This Row],[Player]],Proj[Player],0),31),INDEX(Goalie[],MATCH(Table16[[#This Row],[Player]],Goalie[player],0),20)))</f>
        <v/>
      </c>
    </row>
    <row r="211" spans="1:9" x14ac:dyDescent="0.25">
      <c r="A211" t="s">
        <v>777</v>
      </c>
      <c r="B211" s="2" t="s">
        <v>3</v>
      </c>
      <c r="C211" t="str">
        <f t="shared" si="3"/>
        <v>D</v>
      </c>
      <c r="D211" s="10">
        <f>MAX(_xlfn.IFNA(INDEX(Proj[],MATCH(Table16[[#This Row],[Player]],Proj[Player],0),27),-5000), _xlfn.IFNA(INDEX(Goalie[],MATCH(Table16[[#This Row],[Player]],Goalie[player],0),17),-5000))</f>
        <v>-45.025509922820937</v>
      </c>
      <c r="E211">
        <f>_xlfn.RANK.EQ(Table16[[#This Row],[VOR]],Table16[VOR])</f>
        <v>214</v>
      </c>
      <c r="F211" cm="1">
        <f t="array" ref="F211">_xlfn.IFS(C211 = "C",INDEX('C'!$A$2:$L$254,MATCH($A211,'C'!$A$2:$A$254,0),10),C211 = "LW",INDEX(LW!$A$2:$K$180,MATCH($A211,LW!$A$2:$A$180,0),10),C211 = "RW",INDEX('RW'!$A$2:$L$164,MATCH($A211,'RW'!$A$2:$A$164,0),10), C211 = "D",INDEX(D!$A$2:$L$268,MATCH($A211,D!$A$2:$A$268,0),10),C211="G",INDEX(G!$A$2:$Q$78,MATCH($A211,G!$A$2:$A$78,0),16),C211="F",INDEX(F!$A$2:$K$494,MATCH($A211,F!$A$2:$A$494,0),10))</f>
        <v>74</v>
      </c>
      <c r="G211" t="str">
        <f>_xlfn.CONCAT(C211,Table16[[#This Row],[Pos Rank2]])</f>
        <v>D74</v>
      </c>
      <c r="H211" s="10">
        <f>MAX(_xlfn.IFNA(INDEX(Proj[],MATCH(Table16[[#This Row],[Player]],Proj[Player],0),29),-5000), _xlfn.IFNA(INDEX(Goalie[],MATCH(Table16[[#This Row],[Player]],Goalie[player],0),19),-5000))</f>
        <v>62.339257796643544</v>
      </c>
      <c r="I211" t="str">
        <f>IF(_xlfn.IFNA(INDEX(Proj[],MATCH(Table16[[#This Row],[Player]],Proj[Player],0),31),INDEX(Goalie[],MATCH(Table16[[#This Row],[Player]],Goalie[player],0),20)) = 0, "",_xlfn.IFNA(INDEX(Proj[],MATCH(Table16[[#This Row],[Player]],Proj[Player],0),31),INDEX(Goalie[],MATCH(Table16[[#This Row],[Player]],Goalie[player],0),20)))</f>
        <v/>
      </c>
    </row>
    <row r="212" spans="1:9" x14ac:dyDescent="0.25">
      <c r="A212" t="s">
        <v>178</v>
      </c>
      <c r="B212" s="2" t="s">
        <v>157</v>
      </c>
      <c r="C212" t="str">
        <f t="shared" si="3"/>
        <v>G</v>
      </c>
      <c r="D212" s="10">
        <f>MAX(_xlfn.IFNA(INDEX(Proj[],MATCH(Table16[[#This Row],[Player]],Proj[Player],0),27),-5000), _xlfn.IFNA(INDEX(Goalie[],MATCH(Table16[[#This Row],[Player]],Goalie[player],0),17),-5000))</f>
        <v>-65.741604045428033</v>
      </c>
      <c r="E212">
        <f>_xlfn.RANK.EQ(Table16[[#This Row],[VOR]],Table16[VOR])</f>
        <v>222</v>
      </c>
      <c r="F212" cm="1">
        <f t="array" ref="F212">_xlfn.IFS(C212 = "C",INDEX('C'!$A$2:$L$254,MATCH($A212,'C'!$A$2:$A$254,0),10),C212 = "LW",INDEX(LW!$A$2:$K$180,MATCH($A212,LW!$A$2:$A$180,0),10),C212 = "RW",INDEX('RW'!$A$2:$L$164,MATCH($A212,'RW'!$A$2:$A$164,0),10), C212 = "D",INDEX(D!$A$2:$L$268,MATCH($A212,D!$A$2:$A$268,0),10),C212="G",INDEX(G!$A$2:$Q$78,MATCH($A212,G!$A$2:$A$78,0),16),C212="F",INDEX(F!$A$2:$K$494,MATCH($A212,F!$A$2:$A$494,0),10))</f>
        <v>35</v>
      </c>
      <c r="G212" t="str">
        <f>_xlfn.CONCAT(C212,Table16[[#This Row],[Pos Rank2]])</f>
        <v>G35</v>
      </c>
      <c r="H212" s="10">
        <f>MAX(_xlfn.IFNA(INDEX(Proj[],MATCH(Table16[[#This Row],[Player]],Proj[Player],0),29),-5000), _xlfn.IFNA(INDEX(Goalie[],MATCH(Table16[[#This Row],[Player]],Goalie[player],0),19),-5000))</f>
        <v>383.96349999999995</v>
      </c>
      <c r="I212" t="str">
        <f>IF(_xlfn.IFNA(INDEX(Proj[],MATCH(Table16[[#This Row],[Player]],Proj[Player],0),31),INDEX(Goalie[],MATCH(Table16[[#This Row],[Player]],Goalie[player],0),20)) = 0, "",_xlfn.IFNA(INDEX(Proj[],MATCH(Table16[[#This Row],[Player]],Proj[Player],0),31),INDEX(Goalie[],MATCH(Table16[[#This Row],[Player]],Goalie[player],0),20)))</f>
        <v/>
      </c>
    </row>
    <row r="213" spans="1:9" x14ac:dyDescent="0.25">
      <c r="A213" t="s">
        <v>489</v>
      </c>
      <c r="B213" s="2" t="s">
        <v>3</v>
      </c>
      <c r="C213" t="str">
        <f t="shared" si="3"/>
        <v>D</v>
      </c>
      <c r="D213" s="10">
        <f>MAX(_xlfn.IFNA(INDEX(Proj[],MATCH(Table16[[#This Row],[Player]],Proj[Player],0),27),-5000), _xlfn.IFNA(INDEX(Goalie[],MATCH(Table16[[#This Row],[Player]],Goalie[player],0),17),-5000))</f>
        <v>-31.891335426807416</v>
      </c>
      <c r="E213">
        <f>_xlfn.RANK.EQ(Table16[[#This Row],[VOR]],Table16[VOR])</f>
        <v>209</v>
      </c>
      <c r="F213" cm="1">
        <f t="array" ref="F213">_xlfn.IFS(C213 = "C",INDEX('C'!$A$2:$L$254,MATCH($A213,'C'!$A$2:$A$254,0),10),C213 = "LW",INDEX(LW!$A$2:$K$180,MATCH($A213,LW!$A$2:$A$180,0),10),C213 = "RW",INDEX('RW'!$A$2:$L$164,MATCH($A213,'RW'!$A$2:$A$164,0),10), C213 = "D",INDEX(D!$A$2:$L$268,MATCH($A213,D!$A$2:$A$268,0),10),C213="G",INDEX(G!$A$2:$Q$78,MATCH($A213,G!$A$2:$A$78,0),16),C213="F",INDEX(F!$A$2:$K$494,MATCH($A213,F!$A$2:$A$494,0),10))</f>
        <v>73</v>
      </c>
      <c r="G213" t="str">
        <f>_xlfn.CONCAT(C213,Table16[[#This Row],[Pos Rank2]])</f>
        <v>D73</v>
      </c>
      <c r="H213" s="10">
        <f>MAX(_xlfn.IFNA(INDEX(Proj[],MATCH(Table16[[#This Row],[Player]],Proj[Player],0),29),-5000), _xlfn.IFNA(INDEX(Goalie[],MATCH(Table16[[#This Row],[Player]],Goalie[player],0),19),-5000))</f>
        <v>75.473432292657066</v>
      </c>
      <c r="I213" t="str">
        <f>IF(_xlfn.IFNA(INDEX(Proj[],MATCH(Table16[[#This Row],[Player]],Proj[Player],0),31),INDEX(Goalie[],MATCH(Table16[[#This Row],[Player]],Goalie[player],0),20)) = 0, "",_xlfn.IFNA(INDEX(Proj[],MATCH(Table16[[#This Row],[Player]],Proj[Player],0),31),INDEX(Goalie[],MATCH(Table16[[#This Row],[Player]],Goalie[player],0),20)))</f>
        <v/>
      </c>
    </row>
    <row r="214" spans="1:9" x14ac:dyDescent="0.25">
      <c r="A214" t="s">
        <v>504</v>
      </c>
      <c r="B214" s="2" t="s">
        <v>103</v>
      </c>
      <c r="C214" t="str">
        <f t="shared" si="3"/>
        <v>RW</v>
      </c>
      <c r="D214" s="10">
        <f>MAX(_xlfn.IFNA(INDEX(Proj[],MATCH(Table16[[#This Row],[Player]],Proj[Player],0),27),-5000), _xlfn.IFNA(INDEX(Goalie[],MATCH(Table16[[#This Row],[Player]],Goalie[player],0),17),-5000))</f>
        <v>-113.90820863672786</v>
      </c>
      <c r="E214">
        <f>_xlfn.RANK.EQ(Table16[[#This Row],[VOR]],Table16[VOR])</f>
        <v>241</v>
      </c>
      <c r="F214" cm="1">
        <f t="array" ref="F214">_xlfn.IFS(C214 = "C",INDEX('C'!$A$2:$L$254,MATCH($A214,'C'!$A$2:$A$254,0),10),C214 = "LW",INDEX(LW!$A$2:$K$180,MATCH($A214,LW!$A$2:$A$180,0),10),C214 = "RW",INDEX('RW'!$A$2:$L$164,MATCH($A214,'RW'!$A$2:$A$164,0),10), C214 = "D",INDEX(D!$A$2:$L$268,MATCH($A214,D!$A$2:$A$268,0),10),C214="G",INDEX(G!$A$2:$Q$78,MATCH($A214,G!$A$2:$A$78,0),16),C214="F",INDEX(F!$A$2:$K$494,MATCH($A214,F!$A$2:$A$494,0),10))</f>
        <v>48</v>
      </c>
      <c r="G214" t="str">
        <f>_xlfn.CONCAT(C214,Table16[[#This Row],[Pos Rank2]])</f>
        <v>RW48</v>
      </c>
      <c r="H214" s="10">
        <f>MAX(_xlfn.IFNA(INDEX(Proj[],MATCH(Table16[[#This Row],[Player]],Proj[Player],0),29),-5000), _xlfn.IFNA(INDEX(Goalie[],MATCH(Table16[[#This Row],[Player]],Goalie[player],0),19),-5000))</f>
        <v>332.636515753521</v>
      </c>
      <c r="I214" t="str">
        <f>IF(_xlfn.IFNA(INDEX(Proj[],MATCH(Table16[[#This Row],[Player]],Proj[Player],0),31),INDEX(Goalie[],MATCH(Table16[[#This Row],[Player]],Goalie[player],0),20)) = 0, "",_xlfn.IFNA(INDEX(Proj[],MATCH(Table16[[#This Row],[Player]],Proj[Player],0),31),INDEX(Goalie[],MATCH(Table16[[#This Row],[Player]],Goalie[player],0),20)))</f>
        <v/>
      </c>
    </row>
    <row r="215" spans="1:9" x14ac:dyDescent="0.25">
      <c r="A215" t="s">
        <v>415</v>
      </c>
      <c r="B215" s="2" t="s">
        <v>3</v>
      </c>
      <c r="C215" t="str">
        <f t="shared" si="3"/>
        <v>D</v>
      </c>
      <c r="D215" s="10">
        <f>MAX(_xlfn.IFNA(INDEX(Proj[],MATCH(Table16[[#This Row],[Player]],Proj[Player],0),27),-5000), _xlfn.IFNA(INDEX(Goalie[],MATCH(Table16[[#This Row],[Player]],Goalie[player],0),17),-5000))</f>
        <v>-48.959266710210983</v>
      </c>
      <c r="E215">
        <f>_xlfn.RANK.EQ(Table16[[#This Row],[VOR]],Table16[VOR])</f>
        <v>216</v>
      </c>
      <c r="F215" cm="1">
        <f t="array" ref="F215">_xlfn.IFS(C215 = "C",INDEX('C'!$A$2:$L$254,MATCH($A215,'C'!$A$2:$A$254,0),10),C215 = "LW",INDEX(LW!$A$2:$K$180,MATCH($A215,LW!$A$2:$A$180,0),10),C215 = "RW",INDEX('RW'!$A$2:$L$164,MATCH($A215,'RW'!$A$2:$A$164,0),10), C215 = "D",INDEX(D!$A$2:$L$268,MATCH($A215,D!$A$2:$A$268,0),10),C215="G",INDEX(G!$A$2:$Q$78,MATCH($A215,G!$A$2:$A$78,0),16),C215="F",INDEX(F!$A$2:$K$494,MATCH($A215,F!$A$2:$A$494,0),10))</f>
        <v>75</v>
      </c>
      <c r="G215" t="str">
        <f>_xlfn.CONCAT(C215,Table16[[#This Row],[Pos Rank2]])</f>
        <v>D75</v>
      </c>
      <c r="H215" s="10">
        <f>MAX(_xlfn.IFNA(INDEX(Proj[],MATCH(Table16[[#This Row],[Player]],Proj[Player],0),29),-5000), _xlfn.IFNA(INDEX(Goalie[],MATCH(Table16[[#This Row],[Player]],Goalie[player],0),19),-5000))</f>
        <v>58.405501009253499</v>
      </c>
      <c r="I215" t="str">
        <f>IF(_xlfn.IFNA(INDEX(Proj[],MATCH(Table16[[#This Row],[Player]],Proj[Player],0),31),INDEX(Goalie[],MATCH(Table16[[#This Row],[Player]],Goalie[player],0),20)) = 0, "",_xlfn.IFNA(INDEX(Proj[],MATCH(Table16[[#This Row],[Player]],Proj[Player],0),31),INDEX(Goalie[],MATCH(Table16[[#This Row],[Player]],Goalie[player],0),20)))</f>
        <v/>
      </c>
    </row>
    <row r="216" spans="1:9" x14ac:dyDescent="0.25">
      <c r="A216" t="s">
        <v>262</v>
      </c>
      <c r="B216" s="2" t="s">
        <v>102</v>
      </c>
      <c r="C216" t="str">
        <f t="shared" si="3"/>
        <v>LW</v>
      </c>
      <c r="D216" s="10">
        <f>MAX(_xlfn.IFNA(INDEX(Proj[],MATCH(Table16[[#This Row],[Player]],Proj[Player],0),27),-5000), _xlfn.IFNA(INDEX(Goalie[],MATCH(Table16[[#This Row],[Player]],Goalie[player],0),17),-5000))</f>
        <v>-5.7487145861367708</v>
      </c>
      <c r="E216">
        <f>_xlfn.RANK.EQ(Table16[[#This Row],[VOR]],Table16[VOR])</f>
        <v>193</v>
      </c>
      <c r="F216" cm="1">
        <f t="array" ref="F216">_xlfn.IFS(C216 = "C",INDEX('C'!$A$2:$L$254,MATCH($A216,'C'!$A$2:$A$254,0),10),C216 = "LW",INDEX(LW!$A$2:$K$180,MATCH($A216,LW!$A$2:$A$180,0),10),C216 = "RW",INDEX('RW'!$A$2:$L$164,MATCH($A216,'RW'!$A$2:$A$164,0),10), C216 = "D",INDEX(D!$A$2:$L$268,MATCH($A216,D!$A$2:$A$268,0),10),C216="G",INDEX(G!$A$2:$Q$78,MATCH($A216,G!$A$2:$A$78,0),16),C216="F",INDEX(F!$A$2:$K$494,MATCH($A216,F!$A$2:$A$494,0),10))</f>
        <v>43</v>
      </c>
      <c r="G216" t="str">
        <f>_xlfn.CONCAT(C216,Table16[[#This Row],[Pos Rank2]])</f>
        <v>LW43</v>
      </c>
      <c r="H216" s="10">
        <f>MAX(_xlfn.IFNA(INDEX(Proj[],MATCH(Table16[[#This Row],[Player]],Proj[Player],0),29),-5000), _xlfn.IFNA(INDEX(Goalie[],MATCH(Table16[[#This Row],[Player]],Goalie[player],0),19),-5000))</f>
        <v>465.79600980411209</v>
      </c>
      <c r="I216" t="str">
        <f>IF(_xlfn.IFNA(INDEX(Proj[],MATCH(Table16[[#This Row],[Player]],Proj[Player],0),31),INDEX(Goalie[],MATCH(Table16[[#This Row],[Player]],Goalie[player],0),20)) = 0, "",_xlfn.IFNA(INDEX(Proj[],MATCH(Table16[[#This Row],[Player]],Proj[Player],0),31),INDEX(Goalie[],MATCH(Table16[[#This Row],[Player]],Goalie[player],0),20)))</f>
        <v/>
      </c>
    </row>
    <row r="217" spans="1:9" x14ac:dyDescent="0.25">
      <c r="A217" t="s">
        <v>330</v>
      </c>
      <c r="B217" s="2" t="s">
        <v>104</v>
      </c>
      <c r="C217" t="str">
        <f t="shared" si="3"/>
        <v>RW</v>
      </c>
      <c r="D217" s="10">
        <f>MAX(_xlfn.IFNA(INDEX(Proj[],MATCH(Table16[[#This Row],[Player]],Proj[Player],0),27),-5000), _xlfn.IFNA(INDEX(Goalie[],MATCH(Table16[[#This Row],[Player]],Goalie[player],0),17),-5000))</f>
        <v>-118.01133332586909</v>
      </c>
      <c r="E217">
        <f>_xlfn.RANK.EQ(Table16[[#This Row],[VOR]],Table16[VOR])</f>
        <v>243</v>
      </c>
      <c r="F217" cm="1">
        <f t="array" ref="F217">_xlfn.IFS(C217 = "C",INDEX('C'!$A$2:$L$254,MATCH($A217,'C'!$A$2:$A$254,0),10),C217 = "LW",INDEX(LW!$A$2:$K$180,MATCH($A217,LW!$A$2:$A$180,0),10),C217 = "RW",INDEX('RW'!$A$2:$L$164,MATCH($A217,'RW'!$A$2:$A$164,0),10), C217 = "D",INDEX(D!$A$2:$L$268,MATCH($A217,D!$A$2:$A$268,0),10),C217="G",INDEX(G!$A$2:$Q$78,MATCH($A217,G!$A$2:$A$78,0),16),C217="F",INDEX(F!$A$2:$K$494,MATCH($A217,F!$A$2:$A$494,0),10))</f>
        <v>49</v>
      </c>
      <c r="G217" t="str">
        <f>_xlfn.CONCAT(C217,Table16[[#This Row],[Pos Rank2]])</f>
        <v>RW49</v>
      </c>
      <c r="H217" s="10">
        <f>MAX(_xlfn.IFNA(INDEX(Proj[],MATCH(Table16[[#This Row],[Player]],Proj[Player],0),29),-5000), _xlfn.IFNA(INDEX(Goalie[],MATCH(Table16[[#This Row],[Player]],Goalie[player],0),19),-5000))</f>
        <v>328.53339106437977</v>
      </c>
      <c r="I217" t="str">
        <f>IF(_xlfn.IFNA(INDEX(Proj[],MATCH(Table16[[#This Row],[Player]],Proj[Player],0),31),INDEX(Goalie[],MATCH(Table16[[#This Row],[Player]],Goalie[player],0),20)) = 0, "",_xlfn.IFNA(INDEX(Proj[],MATCH(Table16[[#This Row],[Player]],Proj[Player],0),31),INDEX(Goalie[],MATCH(Table16[[#This Row],[Player]],Goalie[player],0),20)))</f>
        <v/>
      </c>
    </row>
    <row r="218" spans="1:9" x14ac:dyDescent="0.25">
      <c r="A218" t="s">
        <v>925</v>
      </c>
      <c r="B218" s="2" t="s">
        <v>3</v>
      </c>
      <c r="C218" t="str">
        <f t="shared" si="3"/>
        <v>D</v>
      </c>
      <c r="D218" s="10">
        <f>MAX(_xlfn.IFNA(INDEX(Proj[],MATCH(Table16[[#This Row],[Player]],Proj[Player],0),27),-5000), _xlfn.IFNA(INDEX(Goalie[],MATCH(Table16[[#This Row],[Player]],Goalie[player],0),17),-5000))</f>
        <v>-71.738736617065229</v>
      </c>
      <c r="E218">
        <f>_xlfn.RANK.EQ(Table16[[#This Row],[VOR]],Table16[VOR])</f>
        <v>225</v>
      </c>
      <c r="F218" cm="1">
        <f t="array" ref="F218">_xlfn.IFS(C218 = "C",INDEX('C'!$A$2:$L$254,MATCH($A218,'C'!$A$2:$A$254,0),10),C218 = "LW",INDEX(LW!$A$2:$K$180,MATCH($A218,LW!$A$2:$A$180,0),10),C218 = "RW",INDEX('RW'!$A$2:$L$164,MATCH($A218,'RW'!$A$2:$A$164,0),10), C218 = "D",INDEX(D!$A$2:$L$268,MATCH($A218,D!$A$2:$A$268,0),10),C218="G",INDEX(G!$A$2:$Q$78,MATCH($A218,G!$A$2:$A$78,0),16),C218="F",INDEX(F!$A$2:$K$494,MATCH($A218,F!$A$2:$A$494,0),10))</f>
        <v>80</v>
      </c>
      <c r="G218" t="str">
        <f>_xlfn.CONCAT(C218,Table16[[#This Row],[Pos Rank2]])</f>
        <v>D80</v>
      </c>
      <c r="H218" s="10">
        <f>MAX(_xlfn.IFNA(INDEX(Proj[],MATCH(Table16[[#This Row],[Player]],Proj[Player],0),29),-5000), _xlfn.IFNA(INDEX(Goalie[],MATCH(Table16[[#This Row],[Player]],Goalie[player],0),19),-5000))</f>
        <v>35.62603110239926</v>
      </c>
      <c r="I218" t="str">
        <f>IF(_xlfn.IFNA(INDEX(Proj[],MATCH(Table16[[#This Row],[Player]],Proj[Player],0),31),INDEX(Goalie[],MATCH(Table16[[#This Row],[Player]],Goalie[player],0),20)) = 0, "",_xlfn.IFNA(INDEX(Proj[],MATCH(Table16[[#This Row],[Player]],Proj[Player],0),31),INDEX(Goalie[],MATCH(Table16[[#This Row],[Player]],Goalie[player],0),20)))</f>
        <v/>
      </c>
    </row>
    <row r="219" spans="1:9" x14ac:dyDescent="0.25">
      <c r="A219" t="s">
        <v>293</v>
      </c>
      <c r="B219" s="2" t="s">
        <v>74</v>
      </c>
      <c r="C219" t="str">
        <f t="shared" si="3"/>
        <v>C</v>
      </c>
      <c r="D219" s="10">
        <f>MAX(_xlfn.IFNA(INDEX(Proj[],MATCH(Table16[[#This Row],[Player]],Proj[Player],0),27),-5000), _xlfn.IFNA(INDEX(Goalie[],MATCH(Table16[[#This Row],[Player]],Goalie[player],0),17),-5000))</f>
        <v>69.005522715352527</v>
      </c>
      <c r="E219">
        <f>_xlfn.RANK.EQ(Table16[[#This Row],[VOR]],Table16[VOR])</f>
        <v>154</v>
      </c>
      <c r="F219" cm="1">
        <f t="array" ref="F219">_xlfn.IFS(C219 = "C",INDEX('C'!$A$2:$L$254,MATCH($A219,'C'!$A$2:$A$254,0),10),C219 = "LW",INDEX(LW!$A$2:$K$180,MATCH($A219,LW!$A$2:$A$180,0),10),C219 = "RW",INDEX('RW'!$A$2:$L$164,MATCH($A219,'RW'!$A$2:$A$164,0),10), C219 = "D",INDEX(D!$A$2:$L$268,MATCH($A219,D!$A$2:$A$268,0),10),C219="G",INDEX(G!$A$2:$Q$78,MATCH($A219,G!$A$2:$A$78,0),16),C219="F",INDEX(F!$A$2:$K$494,MATCH($A219,F!$A$2:$A$494,0),10))</f>
        <v>37</v>
      </c>
      <c r="G219" t="str">
        <f>_xlfn.CONCAT(C219,Table16[[#This Row],[Pos Rank2]])</f>
        <v>C37</v>
      </c>
      <c r="H219" s="10">
        <f>MAX(_xlfn.IFNA(INDEX(Proj[],MATCH(Table16[[#This Row],[Player]],Proj[Player],0),29),-5000), _xlfn.IFNA(INDEX(Goalie[],MATCH(Table16[[#This Row],[Player]],Goalie[player],0),19),-5000))</f>
        <v>803.63937702565113</v>
      </c>
      <c r="I219" t="str">
        <f>IF(_xlfn.IFNA(INDEX(Proj[],MATCH(Table16[[#This Row],[Player]],Proj[Player],0),31),INDEX(Goalie[],MATCH(Table16[[#This Row],[Player]],Goalie[player],0),20)) = 0, "",_xlfn.IFNA(INDEX(Proj[],MATCH(Table16[[#This Row],[Player]],Proj[Player],0),31),INDEX(Goalie[],MATCH(Table16[[#This Row],[Player]],Goalie[player],0),20)))</f>
        <v/>
      </c>
    </row>
    <row r="220" spans="1:9" x14ac:dyDescent="0.25">
      <c r="A220" t="s">
        <v>753</v>
      </c>
      <c r="B220" s="2" t="s">
        <v>3</v>
      </c>
      <c r="C220" t="str">
        <f t="shared" si="3"/>
        <v>D</v>
      </c>
      <c r="D220" s="10">
        <f>MAX(_xlfn.IFNA(INDEX(Proj[],MATCH(Table16[[#This Row],[Player]],Proj[Player],0),27),-5000), _xlfn.IFNA(INDEX(Goalie[],MATCH(Table16[[#This Row],[Player]],Goalie[player],0),17),-5000))</f>
        <v>-61.56377299172113</v>
      </c>
      <c r="E220">
        <f>_xlfn.RANK.EQ(Table16[[#This Row],[VOR]],Table16[VOR])</f>
        <v>220</v>
      </c>
      <c r="F220" cm="1">
        <f t="array" ref="F220">_xlfn.IFS(C220 = "C",INDEX('C'!$A$2:$L$254,MATCH($A220,'C'!$A$2:$A$254,0),10),C220 = "LW",INDEX(LW!$A$2:$K$180,MATCH($A220,LW!$A$2:$A$180,0),10),C220 = "RW",INDEX('RW'!$A$2:$L$164,MATCH($A220,'RW'!$A$2:$A$164,0),10), C220 = "D",INDEX(D!$A$2:$L$268,MATCH($A220,D!$A$2:$A$268,0),10),C220="G",INDEX(G!$A$2:$Q$78,MATCH($A220,G!$A$2:$A$78,0),16),C220="F",INDEX(F!$A$2:$K$494,MATCH($A220,F!$A$2:$A$494,0),10))</f>
        <v>76</v>
      </c>
      <c r="G220" t="str">
        <f>_xlfn.CONCAT(C220,Table16[[#This Row],[Pos Rank2]])</f>
        <v>D76</v>
      </c>
      <c r="H220" s="10">
        <f>MAX(_xlfn.IFNA(INDEX(Proj[],MATCH(Table16[[#This Row],[Player]],Proj[Player],0),29),-5000), _xlfn.IFNA(INDEX(Goalie[],MATCH(Table16[[#This Row],[Player]],Goalie[player],0),19),-5000))</f>
        <v>45.800994727743351</v>
      </c>
      <c r="I220" t="str">
        <f>IF(_xlfn.IFNA(INDEX(Proj[],MATCH(Table16[[#This Row],[Player]],Proj[Player],0),31),INDEX(Goalie[],MATCH(Table16[[#This Row],[Player]],Goalie[player],0),20)) = 0, "",_xlfn.IFNA(INDEX(Proj[],MATCH(Table16[[#This Row],[Player]],Proj[Player],0),31),INDEX(Goalie[],MATCH(Table16[[#This Row],[Player]],Goalie[player],0),20)))</f>
        <v/>
      </c>
    </row>
    <row r="221" spans="1:9" x14ac:dyDescent="0.25">
      <c r="A221" t="s">
        <v>307</v>
      </c>
      <c r="B221" s="2" t="s">
        <v>74</v>
      </c>
      <c r="C221" t="str">
        <f t="shared" si="3"/>
        <v>C</v>
      </c>
      <c r="D221" s="10">
        <f>MAX(_xlfn.IFNA(INDEX(Proj[],MATCH(Table16[[#This Row],[Player]],Proj[Player],0),27),-5000), _xlfn.IFNA(INDEX(Goalie[],MATCH(Table16[[#This Row],[Player]],Goalie[player],0),17),-5000))</f>
        <v>61.994665711183075</v>
      </c>
      <c r="E221">
        <f>_xlfn.RANK.EQ(Table16[[#This Row],[VOR]],Table16[VOR])</f>
        <v>155</v>
      </c>
      <c r="F221" cm="1">
        <f t="array" ref="F221">_xlfn.IFS(C221 = "C",INDEX('C'!$A$2:$L$254,MATCH($A221,'C'!$A$2:$A$254,0),10),C221 = "LW",INDEX(LW!$A$2:$K$180,MATCH($A221,LW!$A$2:$A$180,0),10),C221 = "RW",INDEX('RW'!$A$2:$L$164,MATCH($A221,'RW'!$A$2:$A$164,0),10), C221 = "D",INDEX(D!$A$2:$L$268,MATCH($A221,D!$A$2:$A$268,0),10),C221="G",INDEX(G!$A$2:$Q$78,MATCH($A221,G!$A$2:$A$78,0),16),C221="F",INDEX(F!$A$2:$K$494,MATCH($A221,F!$A$2:$A$494,0),10))</f>
        <v>38</v>
      </c>
      <c r="G221" t="str">
        <f>_xlfn.CONCAT(C221,Table16[[#This Row],[Pos Rank2]])</f>
        <v>C38</v>
      </c>
      <c r="H221" s="10">
        <f>MAX(_xlfn.IFNA(INDEX(Proj[],MATCH(Table16[[#This Row],[Player]],Proj[Player],0),29),-5000), _xlfn.IFNA(INDEX(Goalie[],MATCH(Table16[[#This Row],[Player]],Goalie[player],0),19),-5000))</f>
        <v>796.62852002148168</v>
      </c>
      <c r="I221" t="str">
        <f>IF(_xlfn.IFNA(INDEX(Proj[],MATCH(Table16[[#This Row],[Player]],Proj[Player],0),31),INDEX(Goalie[],MATCH(Table16[[#This Row],[Player]],Goalie[player],0),20)) = 0, "",_xlfn.IFNA(INDEX(Proj[],MATCH(Table16[[#This Row],[Player]],Proj[Player],0),31),INDEX(Goalie[],MATCH(Table16[[#This Row],[Player]],Goalie[player],0),20)))</f>
        <v/>
      </c>
    </row>
    <row r="222" spans="1:9" x14ac:dyDescent="0.25">
      <c r="A222" t="s">
        <v>1090</v>
      </c>
      <c r="B222" s="2" t="s">
        <v>157</v>
      </c>
      <c r="C222" t="str">
        <f t="shared" si="3"/>
        <v>G</v>
      </c>
      <c r="D222" s="10">
        <f>MAX(_xlfn.IFNA(INDEX(Proj[],MATCH(Table16[[#This Row],[Player]],Proj[Player],0),27),-5000), _xlfn.IFNA(INDEX(Goalie[],MATCH(Table16[[#This Row],[Player]],Goalie[player],0),17),-5000))</f>
        <v>-95.987307103505543</v>
      </c>
      <c r="E222">
        <f>_xlfn.RANK.EQ(Table16[[#This Row],[VOR]],Table16[VOR])</f>
        <v>234</v>
      </c>
      <c r="F222" cm="1">
        <f t="array" ref="F222">_xlfn.IFS(C222 = "C",INDEX('C'!$A$2:$L$254,MATCH($A222,'C'!$A$2:$A$254,0),10),C222 = "LW",INDEX(LW!$A$2:$K$180,MATCH($A222,LW!$A$2:$A$180,0),10),C222 = "RW",INDEX('RW'!$A$2:$L$164,MATCH($A222,'RW'!$A$2:$A$164,0),10), C222 = "D",INDEX(D!$A$2:$L$268,MATCH($A222,D!$A$2:$A$268,0),10),C222="G",INDEX(G!$A$2:$Q$78,MATCH($A222,G!$A$2:$A$78,0),16),C222="F",INDEX(F!$A$2:$K$494,MATCH($A222,F!$A$2:$A$494,0),10))</f>
        <v>36</v>
      </c>
      <c r="G222" t="str">
        <f>_xlfn.CONCAT(C222,Table16[[#This Row],[Pos Rank2]])</f>
        <v>G36</v>
      </c>
      <c r="H222" s="10">
        <f>MAX(_xlfn.IFNA(INDEX(Proj[],MATCH(Table16[[#This Row],[Player]],Proj[Player],0),29),-5000), _xlfn.IFNA(INDEX(Goalie[],MATCH(Table16[[#This Row],[Player]],Goalie[player],0),19),-5000))</f>
        <v>371.33600000000001</v>
      </c>
      <c r="I222" t="str">
        <f>IF(_xlfn.IFNA(INDEX(Proj[],MATCH(Table16[[#This Row],[Player]],Proj[Player],0),31),INDEX(Goalie[],MATCH(Table16[[#This Row],[Player]],Goalie[player],0),20)) = 0, "",_xlfn.IFNA(INDEX(Proj[],MATCH(Table16[[#This Row],[Player]],Proj[Player],0),31),INDEX(Goalie[],MATCH(Table16[[#This Row],[Player]],Goalie[player],0),20)))</f>
        <v/>
      </c>
    </row>
    <row r="223" spans="1:9" x14ac:dyDescent="0.25">
      <c r="A223" t="s">
        <v>388</v>
      </c>
      <c r="B223" s="2" t="s">
        <v>103</v>
      </c>
      <c r="C223" t="str">
        <f t="shared" si="3"/>
        <v>RW</v>
      </c>
      <c r="D223" s="10">
        <f>MAX(_xlfn.IFNA(INDEX(Proj[],MATCH(Table16[[#This Row],[Player]],Proj[Player],0),27),-5000), _xlfn.IFNA(INDEX(Goalie[],MATCH(Table16[[#This Row],[Player]],Goalie[player],0),17),-5000))</f>
        <v>-135.83150823297103</v>
      </c>
      <c r="E223">
        <f>_xlfn.RANK.EQ(Table16[[#This Row],[VOR]],Table16[VOR])</f>
        <v>251</v>
      </c>
      <c r="F223" cm="1">
        <f t="array" ref="F223">_xlfn.IFS(C223 = "C",INDEX('C'!$A$2:$L$254,MATCH($A223,'C'!$A$2:$A$254,0),10),C223 = "LW",INDEX(LW!$A$2:$K$180,MATCH($A223,LW!$A$2:$A$180,0),10),C223 = "RW",INDEX('RW'!$A$2:$L$164,MATCH($A223,'RW'!$A$2:$A$164,0),10), C223 = "D",INDEX(D!$A$2:$L$268,MATCH($A223,D!$A$2:$A$268,0),10),C223="G",INDEX(G!$A$2:$Q$78,MATCH($A223,G!$A$2:$A$78,0),16),C223="F",INDEX(F!$A$2:$K$494,MATCH($A223,F!$A$2:$A$494,0),10))</f>
        <v>51</v>
      </c>
      <c r="G223" t="str">
        <f>_xlfn.CONCAT(C223,Table16[[#This Row],[Pos Rank2]])</f>
        <v>RW51</v>
      </c>
      <c r="H223" s="10">
        <f>MAX(_xlfn.IFNA(INDEX(Proj[],MATCH(Table16[[#This Row],[Player]],Proj[Player],0),29),-5000), _xlfn.IFNA(INDEX(Goalie[],MATCH(Table16[[#This Row],[Player]],Goalie[player],0),19),-5000))</f>
        <v>310.71321615727783</v>
      </c>
      <c r="I223" t="str">
        <f>IF(_xlfn.IFNA(INDEX(Proj[],MATCH(Table16[[#This Row],[Player]],Proj[Player],0),31),INDEX(Goalie[],MATCH(Table16[[#This Row],[Player]],Goalie[player],0),20)) = 0, "",_xlfn.IFNA(INDEX(Proj[],MATCH(Table16[[#This Row],[Player]],Proj[Player],0),31),INDEX(Goalie[],MATCH(Table16[[#This Row],[Player]],Goalie[player],0),20)))</f>
        <v/>
      </c>
    </row>
    <row r="224" spans="1:9" x14ac:dyDescent="0.25">
      <c r="A224" t="s">
        <v>348</v>
      </c>
      <c r="B224" s="2" t="s">
        <v>3</v>
      </c>
      <c r="C224" t="str">
        <f t="shared" si="3"/>
        <v>D</v>
      </c>
      <c r="D224" s="10">
        <f>MAX(_xlfn.IFNA(INDEX(Proj[],MATCH(Table16[[#This Row],[Player]],Proj[Player],0),27),-5000), _xlfn.IFNA(INDEX(Goalie[],MATCH(Table16[[#This Row],[Player]],Goalie[player],0),17),-5000))</f>
        <v>-66.936891861311864</v>
      </c>
      <c r="E224">
        <f>_xlfn.RANK.EQ(Table16[[#This Row],[VOR]],Table16[VOR])</f>
        <v>223</v>
      </c>
      <c r="F224" cm="1">
        <f t="array" ref="F224">_xlfn.IFS(C224 = "C",INDEX('C'!$A$2:$L$254,MATCH($A224,'C'!$A$2:$A$254,0),10),C224 = "LW",INDEX(LW!$A$2:$K$180,MATCH($A224,LW!$A$2:$A$180,0),10),C224 = "RW",INDEX('RW'!$A$2:$L$164,MATCH($A224,'RW'!$A$2:$A$164,0),10), C224 = "D",INDEX(D!$A$2:$L$268,MATCH($A224,D!$A$2:$A$268,0),10),C224="G",INDEX(G!$A$2:$Q$78,MATCH($A224,G!$A$2:$A$78,0),16),C224="F",INDEX(F!$A$2:$K$494,MATCH($A224,F!$A$2:$A$494,0),10))</f>
        <v>78</v>
      </c>
      <c r="G224" t="str">
        <f>_xlfn.CONCAT(C224,Table16[[#This Row],[Pos Rank2]])</f>
        <v>D78</v>
      </c>
      <c r="H224" s="10">
        <f>MAX(_xlfn.IFNA(INDEX(Proj[],MATCH(Table16[[#This Row],[Player]],Proj[Player],0),29),-5000), _xlfn.IFNA(INDEX(Goalie[],MATCH(Table16[[#This Row],[Player]],Goalie[player],0),19),-5000))</f>
        <v>40.427875858152618</v>
      </c>
      <c r="I224" t="str">
        <f>IF(_xlfn.IFNA(INDEX(Proj[],MATCH(Table16[[#This Row],[Player]],Proj[Player],0),31),INDEX(Goalie[],MATCH(Table16[[#This Row],[Player]],Goalie[player],0),20)) = 0, "",_xlfn.IFNA(INDEX(Proj[],MATCH(Table16[[#This Row],[Player]],Proj[Player],0),31),INDEX(Goalie[],MATCH(Table16[[#This Row],[Player]],Goalie[player],0),20)))</f>
        <v/>
      </c>
    </row>
    <row r="225" spans="1:9" x14ac:dyDescent="0.25">
      <c r="A225" t="s">
        <v>519</v>
      </c>
      <c r="B225" s="2" t="s">
        <v>74</v>
      </c>
      <c r="C225" t="str">
        <f t="shared" si="3"/>
        <v>C</v>
      </c>
      <c r="D225" s="10">
        <f>MAX(_xlfn.IFNA(INDEX(Proj[],MATCH(Table16[[#This Row],[Player]],Proj[Player],0),27),-5000), _xlfn.IFNA(INDEX(Goalie[],MATCH(Table16[[#This Row],[Player]],Goalie[player],0),17),-5000))</f>
        <v>-15.998619687775204</v>
      </c>
      <c r="E225">
        <f>_xlfn.RANK.EQ(Table16[[#This Row],[VOR]],Table16[VOR])</f>
        <v>201</v>
      </c>
      <c r="F225" cm="1">
        <f t="array" ref="F225">_xlfn.IFS(C225 = "C",INDEX('C'!$A$2:$L$254,MATCH($A225,'C'!$A$2:$A$254,0),10),C225 = "LW",INDEX(LW!$A$2:$K$180,MATCH($A225,LW!$A$2:$A$180,0),10),C225 = "RW",INDEX('RW'!$A$2:$L$164,MATCH($A225,'RW'!$A$2:$A$164,0),10), C225 = "D",INDEX(D!$A$2:$L$268,MATCH($A225,D!$A$2:$A$268,0),10),C225="G",INDEX(G!$A$2:$Q$78,MATCH($A225,G!$A$2:$A$78,0),16),C225="F",INDEX(F!$A$2:$K$494,MATCH($A225,F!$A$2:$A$494,0),10))</f>
        <v>44</v>
      </c>
      <c r="G225" t="str">
        <f>_xlfn.CONCAT(C225,Table16[[#This Row],[Pos Rank2]])</f>
        <v>C44</v>
      </c>
      <c r="H225" s="10">
        <f>MAX(_xlfn.IFNA(INDEX(Proj[],MATCH(Table16[[#This Row],[Player]],Proj[Player],0),29),-5000), _xlfn.IFNA(INDEX(Goalie[],MATCH(Table16[[#This Row],[Player]],Goalie[player],0),19),-5000))</f>
        <v>718.6352346225234</v>
      </c>
      <c r="I225" t="str">
        <f>IF(_xlfn.IFNA(INDEX(Proj[],MATCH(Table16[[#This Row],[Player]],Proj[Player],0),31),INDEX(Goalie[],MATCH(Table16[[#This Row],[Player]],Goalie[player],0),20)) = 0, "",_xlfn.IFNA(INDEX(Proj[],MATCH(Table16[[#This Row],[Player]],Proj[Player],0),31),INDEX(Goalie[],MATCH(Table16[[#This Row],[Player]],Goalie[player],0),20)))</f>
        <v/>
      </c>
    </row>
    <row r="226" spans="1:9" x14ac:dyDescent="0.25">
      <c r="A226" t="s">
        <v>867</v>
      </c>
      <c r="B226" s="2" t="s">
        <v>3</v>
      </c>
      <c r="C226" t="str">
        <f t="shared" si="3"/>
        <v>D</v>
      </c>
      <c r="D226" s="10">
        <f>MAX(_xlfn.IFNA(INDEX(Proj[],MATCH(Table16[[#This Row],[Player]],Proj[Player],0),27),-5000), _xlfn.IFNA(INDEX(Goalie[],MATCH(Table16[[#This Row],[Player]],Goalie[player],0),17),-5000))</f>
        <v>-69.188539212778963</v>
      </c>
      <c r="E226">
        <f>_xlfn.RANK.EQ(Table16[[#This Row],[VOR]],Table16[VOR])</f>
        <v>224</v>
      </c>
      <c r="F226" cm="1">
        <f t="array" ref="F226">_xlfn.IFS(C226 = "C",INDEX('C'!$A$2:$L$254,MATCH($A226,'C'!$A$2:$A$254,0),10),C226 = "LW",INDEX(LW!$A$2:$K$180,MATCH($A226,LW!$A$2:$A$180,0),10),C226 = "RW",INDEX('RW'!$A$2:$L$164,MATCH($A226,'RW'!$A$2:$A$164,0),10), C226 = "D",INDEX(D!$A$2:$L$268,MATCH($A226,D!$A$2:$A$268,0),10),C226="G",INDEX(G!$A$2:$Q$78,MATCH($A226,G!$A$2:$A$78,0),16),C226="F",INDEX(F!$A$2:$K$494,MATCH($A226,F!$A$2:$A$494,0),10))</f>
        <v>79</v>
      </c>
      <c r="G226" t="str">
        <f>_xlfn.CONCAT(C226,Table16[[#This Row],[Pos Rank2]])</f>
        <v>D79</v>
      </c>
      <c r="H226" s="10">
        <f>MAX(_xlfn.IFNA(INDEX(Proj[],MATCH(Table16[[#This Row],[Player]],Proj[Player],0),29),-5000), _xlfn.IFNA(INDEX(Goalie[],MATCH(Table16[[#This Row],[Player]],Goalie[player],0),19),-5000))</f>
        <v>38.176228506685518</v>
      </c>
      <c r="I226" t="str">
        <f>IF(_xlfn.IFNA(INDEX(Proj[],MATCH(Table16[[#This Row],[Player]],Proj[Player],0),31),INDEX(Goalie[],MATCH(Table16[[#This Row],[Player]],Goalie[player],0),20)) = 0, "",_xlfn.IFNA(INDEX(Proj[],MATCH(Table16[[#This Row],[Player]],Proj[Player],0),31),INDEX(Goalie[],MATCH(Table16[[#This Row],[Player]],Goalie[player],0),20)))</f>
        <v/>
      </c>
    </row>
    <row r="227" spans="1:9" x14ac:dyDescent="0.25">
      <c r="A227" t="s">
        <v>318</v>
      </c>
      <c r="B227" s="2" t="s">
        <v>74</v>
      </c>
      <c r="C227" t="str">
        <f t="shared" si="3"/>
        <v>C</v>
      </c>
      <c r="D227" s="10">
        <f>MAX(_xlfn.IFNA(INDEX(Proj[],MATCH(Table16[[#This Row],[Player]],Proj[Player],0),27),-5000), _xlfn.IFNA(INDEX(Goalie[],MATCH(Table16[[#This Row],[Player]],Goalie[player],0),17),-5000))</f>
        <v>55.306362418821436</v>
      </c>
      <c r="E227">
        <f>_xlfn.RANK.EQ(Table16[[#This Row],[VOR]],Table16[VOR])</f>
        <v>160</v>
      </c>
      <c r="F227" cm="1">
        <f t="array" ref="F227">_xlfn.IFS(C227 = "C",INDEX('C'!$A$2:$L$254,MATCH($A227,'C'!$A$2:$A$254,0),10),C227 = "LW",INDEX(LW!$A$2:$K$180,MATCH($A227,LW!$A$2:$A$180,0),10),C227 = "RW",INDEX('RW'!$A$2:$L$164,MATCH($A227,'RW'!$A$2:$A$164,0),10), C227 = "D",INDEX(D!$A$2:$L$268,MATCH($A227,D!$A$2:$A$268,0),10),C227="G",INDEX(G!$A$2:$Q$78,MATCH($A227,G!$A$2:$A$78,0),16),C227="F",INDEX(F!$A$2:$K$494,MATCH($A227,F!$A$2:$A$494,0),10))</f>
        <v>39</v>
      </c>
      <c r="G227" t="str">
        <f>_xlfn.CONCAT(C227,Table16[[#This Row],[Pos Rank2]])</f>
        <v>C39</v>
      </c>
      <c r="H227" s="10">
        <f>MAX(_xlfn.IFNA(INDEX(Proj[],MATCH(Table16[[#This Row],[Player]],Proj[Player],0),29),-5000), _xlfn.IFNA(INDEX(Goalie[],MATCH(Table16[[#This Row],[Player]],Goalie[player],0),19),-5000))</f>
        <v>789.94021672912004</v>
      </c>
      <c r="I227" t="str">
        <f>IF(_xlfn.IFNA(INDEX(Proj[],MATCH(Table16[[#This Row],[Player]],Proj[Player],0),31),INDEX(Goalie[],MATCH(Table16[[#This Row],[Player]],Goalie[player],0),20)) = 0, "",_xlfn.IFNA(INDEX(Proj[],MATCH(Table16[[#This Row],[Player]],Proj[Player],0),31),INDEX(Goalie[],MATCH(Table16[[#This Row],[Player]],Goalie[player],0),20)))</f>
        <v/>
      </c>
    </row>
    <row r="228" spans="1:9" x14ac:dyDescent="0.25">
      <c r="A228" t="s">
        <v>334</v>
      </c>
      <c r="B228" s="2" t="s">
        <v>3</v>
      </c>
      <c r="C228" t="str">
        <f t="shared" si="3"/>
        <v>D</v>
      </c>
      <c r="D228" s="10">
        <f>MAX(_xlfn.IFNA(INDEX(Proj[],MATCH(Table16[[#This Row],[Player]],Proj[Player],0),27),-5000), _xlfn.IFNA(INDEX(Goalie[],MATCH(Table16[[#This Row],[Player]],Goalie[player],0),17),-5000))</f>
        <v>-62.968520595306906</v>
      </c>
      <c r="E228">
        <f>_xlfn.RANK.EQ(Table16[[#This Row],[VOR]],Table16[VOR])</f>
        <v>221</v>
      </c>
      <c r="F228" cm="1">
        <f t="array" ref="F228">_xlfn.IFS(C228 = "C",INDEX('C'!$A$2:$L$254,MATCH($A228,'C'!$A$2:$A$254,0),10),C228 = "LW",INDEX(LW!$A$2:$K$180,MATCH($A228,LW!$A$2:$A$180,0),10),C228 = "RW",INDEX('RW'!$A$2:$L$164,MATCH($A228,'RW'!$A$2:$A$164,0),10), C228 = "D",INDEX(D!$A$2:$L$268,MATCH($A228,D!$A$2:$A$268,0),10),C228="G",INDEX(G!$A$2:$Q$78,MATCH($A228,G!$A$2:$A$78,0),16),C228="F",INDEX(F!$A$2:$K$494,MATCH($A228,F!$A$2:$A$494,0),10))</f>
        <v>77</v>
      </c>
      <c r="G228" t="str">
        <f>_xlfn.CONCAT(C228,Table16[[#This Row],[Pos Rank2]])</f>
        <v>D77</v>
      </c>
      <c r="H228" s="10">
        <f>MAX(_xlfn.IFNA(INDEX(Proj[],MATCH(Table16[[#This Row],[Player]],Proj[Player],0),29),-5000), _xlfn.IFNA(INDEX(Goalie[],MATCH(Table16[[#This Row],[Player]],Goalie[player],0),19),-5000))</f>
        <v>44.396247124157576</v>
      </c>
      <c r="I228" t="str">
        <f>IF(_xlfn.IFNA(INDEX(Proj[],MATCH(Table16[[#This Row],[Player]],Proj[Player],0),31),INDEX(Goalie[],MATCH(Table16[[#This Row],[Player]],Goalie[player],0),20)) = 0, "",_xlfn.IFNA(INDEX(Proj[],MATCH(Table16[[#This Row],[Player]],Proj[Player],0),31),INDEX(Goalie[],MATCH(Table16[[#This Row],[Player]],Goalie[player],0),20)))</f>
        <v/>
      </c>
    </row>
    <row r="229" spans="1:9" x14ac:dyDescent="0.25">
      <c r="A229" t="s">
        <v>418</v>
      </c>
      <c r="B229" s="2" t="s">
        <v>3</v>
      </c>
      <c r="C229" t="str">
        <f t="shared" si="3"/>
        <v>D</v>
      </c>
      <c r="D229" s="10">
        <f>MAX(_xlfn.IFNA(INDEX(Proj[],MATCH(Table16[[#This Row],[Player]],Proj[Player],0),27),-5000), _xlfn.IFNA(INDEX(Goalie[],MATCH(Table16[[#This Row],[Player]],Goalie[player],0),17),-5000))</f>
        <v>-77.494294514286935</v>
      </c>
      <c r="E229">
        <f>_xlfn.RANK.EQ(Table16[[#This Row],[VOR]],Table16[VOR])</f>
        <v>226</v>
      </c>
      <c r="F229" cm="1">
        <f t="array" ref="F229">_xlfn.IFS(C229 = "C",INDEX('C'!$A$2:$L$254,MATCH($A229,'C'!$A$2:$A$254,0),10),C229 = "LW",INDEX(LW!$A$2:$K$180,MATCH($A229,LW!$A$2:$A$180,0),10),C229 = "RW",INDEX('RW'!$A$2:$L$164,MATCH($A229,'RW'!$A$2:$A$164,0),10), C229 = "D",INDEX(D!$A$2:$L$268,MATCH($A229,D!$A$2:$A$268,0),10),C229="G",INDEX(G!$A$2:$Q$78,MATCH($A229,G!$A$2:$A$78,0),16),C229="F",INDEX(F!$A$2:$K$494,MATCH($A229,F!$A$2:$A$494,0),10))</f>
        <v>81</v>
      </c>
      <c r="G229" t="str">
        <f>_xlfn.CONCAT(C229,Table16[[#This Row],[Pos Rank2]])</f>
        <v>D81</v>
      </c>
      <c r="H229" s="10">
        <f>MAX(_xlfn.IFNA(INDEX(Proj[],MATCH(Table16[[#This Row],[Player]],Proj[Player],0),29),-5000), _xlfn.IFNA(INDEX(Goalie[],MATCH(Table16[[#This Row],[Player]],Goalie[player],0),19),-5000))</f>
        <v>29.87047320517755</v>
      </c>
      <c r="I229" t="str">
        <f>IF(_xlfn.IFNA(INDEX(Proj[],MATCH(Table16[[#This Row],[Player]],Proj[Player],0),31),INDEX(Goalie[],MATCH(Table16[[#This Row],[Player]],Goalie[player],0),20)) = 0, "",_xlfn.IFNA(INDEX(Proj[],MATCH(Table16[[#This Row],[Player]],Proj[Player],0),31),INDEX(Goalie[],MATCH(Table16[[#This Row],[Player]],Goalie[player],0),20)))</f>
        <v/>
      </c>
    </row>
    <row r="230" spans="1:9" x14ac:dyDescent="0.25">
      <c r="A230" t="s">
        <v>430</v>
      </c>
      <c r="B230" s="2" t="s">
        <v>102</v>
      </c>
      <c r="C230" t="str">
        <f t="shared" si="3"/>
        <v>LW</v>
      </c>
      <c r="D230" s="10">
        <f>MAX(_xlfn.IFNA(INDEX(Proj[],MATCH(Table16[[#This Row],[Player]],Proj[Player],0),27),-5000), _xlfn.IFNA(INDEX(Goalie[],MATCH(Table16[[#This Row],[Player]],Goalie[player],0),17),-5000))</f>
        <v>-154.81127164908787</v>
      </c>
      <c r="E230">
        <f>_xlfn.RANK.EQ(Table16[[#This Row],[VOR]],Table16[VOR])</f>
        <v>261</v>
      </c>
      <c r="F230" cm="1">
        <f t="array" ref="F230">_xlfn.IFS(C230 = "C",INDEX('C'!$A$2:$L$254,MATCH($A230,'C'!$A$2:$A$254,0),10),C230 = "LW",INDEX(LW!$A$2:$K$180,MATCH($A230,LW!$A$2:$A$180,0),10),C230 = "RW",INDEX('RW'!$A$2:$L$164,MATCH($A230,'RW'!$A$2:$A$164,0),10), C230 = "D",INDEX(D!$A$2:$L$268,MATCH($A230,D!$A$2:$A$268,0),10),C230="G",INDEX(G!$A$2:$Q$78,MATCH($A230,G!$A$2:$A$78,0),16),C230="F",INDEX(F!$A$2:$K$494,MATCH($A230,F!$A$2:$A$494,0),10))</f>
        <v>56</v>
      </c>
      <c r="G230" t="str">
        <f>_xlfn.CONCAT(C230,Table16[[#This Row],[Pos Rank2]])</f>
        <v>LW56</v>
      </c>
      <c r="H230" s="10">
        <f>MAX(_xlfn.IFNA(INDEX(Proj[],MATCH(Table16[[#This Row],[Player]],Proj[Player],0),29),-5000), _xlfn.IFNA(INDEX(Goalie[],MATCH(Table16[[#This Row],[Player]],Goalie[player],0),19),-5000))</f>
        <v>316.73345274116099</v>
      </c>
      <c r="I230" t="str">
        <f>IF(_xlfn.IFNA(INDEX(Proj[],MATCH(Table16[[#This Row],[Player]],Proj[Player],0),31),INDEX(Goalie[],MATCH(Table16[[#This Row],[Player]],Goalie[player],0),20)) = 0, "",_xlfn.IFNA(INDEX(Proj[],MATCH(Table16[[#This Row],[Player]],Proj[Player],0),31),INDEX(Goalie[],MATCH(Table16[[#This Row],[Player]],Goalie[player],0),20)))</f>
        <v/>
      </c>
    </row>
    <row r="231" spans="1:9" x14ac:dyDescent="0.25">
      <c r="A231" t="s">
        <v>1199</v>
      </c>
      <c r="B231" s="2" t="s">
        <v>3</v>
      </c>
      <c r="C231" t="str">
        <f t="shared" si="3"/>
        <v>D</v>
      </c>
      <c r="D231" s="10">
        <f>MAX(_xlfn.IFNA(INDEX(Proj[],MATCH(Table16[[#This Row],[Player]],Proj[Player],0),27),-5000), _xlfn.IFNA(INDEX(Goalie[],MATCH(Table16[[#This Row],[Player]],Goalie[player],0),17),-5000))</f>
        <v>-86.916249950790188</v>
      </c>
      <c r="E231">
        <f>_xlfn.RANK.EQ(Table16[[#This Row],[VOR]],Table16[VOR])</f>
        <v>229</v>
      </c>
      <c r="F231" cm="1">
        <f t="array" ref="F231">_xlfn.IFS(C231 = "C",INDEX('C'!$A$2:$L$254,MATCH($A231,'C'!$A$2:$A$254,0),10),C231 = "LW",INDEX(LW!$A$2:$K$180,MATCH($A231,LW!$A$2:$A$180,0),10),C231 = "RW",INDEX('RW'!$A$2:$L$164,MATCH($A231,'RW'!$A$2:$A$164,0),10), C231 = "D",INDEX(D!$A$2:$L$268,MATCH($A231,D!$A$2:$A$268,0),10),C231="G",INDEX(G!$A$2:$Q$78,MATCH($A231,G!$A$2:$A$78,0),16),C231="F",INDEX(F!$A$2:$K$494,MATCH($A231,F!$A$2:$A$494,0),10))</f>
        <v>82</v>
      </c>
      <c r="G231" t="str">
        <f>_xlfn.CONCAT(C231,Table16[[#This Row],[Pos Rank2]])</f>
        <v>D82</v>
      </c>
      <c r="H231" s="10">
        <f>MAX(_xlfn.IFNA(INDEX(Proj[],MATCH(Table16[[#This Row],[Player]],Proj[Player],0),29),-5000), _xlfn.IFNA(INDEX(Goalie[],MATCH(Table16[[#This Row],[Player]],Goalie[player],0),19),-5000))</f>
        <v>20.448517768674289</v>
      </c>
      <c r="I231" t="str">
        <f>IF(_xlfn.IFNA(INDEX(Proj[],MATCH(Table16[[#This Row],[Player]],Proj[Player],0),31),INDEX(Goalie[],MATCH(Table16[[#This Row],[Player]],Goalie[player],0),20)) = 0, "",_xlfn.IFNA(INDEX(Proj[],MATCH(Table16[[#This Row],[Player]],Proj[Player],0),31),INDEX(Goalie[],MATCH(Table16[[#This Row],[Player]],Goalie[player],0),20)))</f>
        <v/>
      </c>
    </row>
    <row r="232" spans="1:9" x14ac:dyDescent="0.25">
      <c r="A232" t="s">
        <v>588</v>
      </c>
      <c r="B232" s="2" t="s">
        <v>3</v>
      </c>
      <c r="C232" t="str">
        <f t="shared" si="3"/>
        <v>D</v>
      </c>
      <c r="D232" s="10">
        <f>MAX(_xlfn.IFNA(INDEX(Proj[],MATCH(Table16[[#This Row],[Player]],Proj[Player],0),27),-5000), _xlfn.IFNA(INDEX(Goalie[],MATCH(Table16[[#This Row],[Player]],Goalie[player],0),17),-5000))</f>
        <v>-88.977832289115241</v>
      </c>
      <c r="E232">
        <f>_xlfn.RANK.EQ(Table16[[#This Row],[VOR]],Table16[VOR])</f>
        <v>231</v>
      </c>
      <c r="F232" cm="1">
        <f t="array" ref="F232">_xlfn.IFS(C232 = "C",INDEX('C'!$A$2:$L$254,MATCH($A232,'C'!$A$2:$A$254,0),10),C232 = "LW",INDEX(LW!$A$2:$K$180,MATCH($A232,LW!$A$2:$A$180,0),10),C232 = "RW",INDEX('RW'!$A$2:$L$164,MATCH($A232,'RW'!$A$2:$A$164,0),10), C232 = "D",INDEX(D!$A$2:$L$268,MATCH($A232,D!$A$2:$A$268,0),10),C232="G",INDEX(G!$A$2:$Q$78,MATCH($A232,G!$A$2:$A$78,0),16),C232="F",INDEX(F!$A$2:$K$494,MATCH($A232,F!$A$2:$A$494,0),10))</f>
        <v>83</v>
      </c>
      <c r="G232" t="str">
        <f>_xlfn.CONCAT(C232,Table16[[#This Row],[Pos Rank2]])</f>
        <v>D83</v>
      </c>
      <c r="H232" s="10">
        <f>MAX(_xlfn.IFNA(INDEX(Proj[],MATCH(Table16[[#This Row],[Player]],Proj[Player],0),29),-5000), _xlfn.IFNA(INDEX(Goalie[],MATCH(Table16[[#This Row],[Player]],Goalie[player],0),19),-5000))</f>
        <v>18.38693543034924</v>
      </c>
      <c r="I232" t="str">
        <f>IF(_xlfn.IFNA(INDEX(Proj[],MATCH(Table16[[#This Row],[Player]],Proj[Player],0),31),INDEX(Goalie[],MATCH(Table16[[#This Row],[Player]],Goalie[player],0),20)) = 0, "",_xlfn.IFNA(INDEX(Proj[],MATCH(Table16[[#This Row],[Player]],Proj[Player],0),31),INDEX(Goalie[],MATCH(Table16[[#This Row],[Player]],Goalie[player],0),20)))</f>
        <v/>
      </c>
    </row>
    <row r="233" spans="1:9" x14ac:dyDescent="0.25">
      <c r="A233" t="s">
        <v>311</v>
      </c>
      <c r="B233" s="2" t="s">
        <v>104</v>
      </c>
      <c r="C233" t="str">
        <f t="shared" si="3"/>
        <v>RW</v>
      </c>
      <c r="D233" s="10">
        <f>MAX(_xlfn.IFNA(INDEX(Proj[],MATCH(Table16[[#This Row],[Player]],Proj[Player],0),27),-5000), _xlfn.IFNA(INDEX(Goalie[],MATCH(Table16[[#This Row],[Player]],Goalie[player],0),17),-5000))</f>
        <v>-166.25263983734345</v>
      </c>
      <c r="E233">
        <f>_xlfn.RANK.EQ(Table16[[#This Row],[VOR]],Table16[VOR])</f>
        <v>269</v>
      </c>
      <c r="F233" cm="1">
        <f t="array" ref="F233">_xlfn.IFS(C233 = "C",INDEX('C'!$A$2:$L$254,MATCH($A233,'C'!$A$2:$A$254,0),10),C233 = "LW",INDEX(LW!$A$2:$K$180,MATCH($A233,LW!$A$2:$A$180,0),10),C233 = "RW",INDEX('RW'!$A$2:$L$164,MATCH($A233,'RW'!$A$2:$A$164,0),10), C233 = "D",INDEX(D!$A$2:$L$268,MATCH($A233,D!$A$2:$A$268,0),10),C233="G",INDEX(G!$A$2:$Q$78,MATCH($A233,G!$A$2:$A$78,0),16),C233="F",INDEX(F!$A$2:$K$494,MATCH($A233,F!$A$2:$A$494,0),10))</f>
        <v>54</v>
      </c>
      <c r="G233" t="str">
        <f>_xlfn.CONCAT(C233,Table16[[#This Row],[Pos Rank2]])</f>
        <v>RW54</v>
      </c>
      <c r="H233" s="10">
        <f>MAX(_xlfn.IFNA(INDEX(Proj[],MATCH(Table16[[#This Row],[Player]],Proj[Player],0),29),-5000), _xlfn.IFNA(INDEX(Goalie[],MATCH(Table16[[#This Row],[Player]],Goalie[player],0),19),-5000))</f>
        <v>280.29208455290541</v>
      </c>
      <c r="I233" t="str">
        <f>IF(_xlfn.IFNA(INDEX(Proj[],MATCH(Table16[[#This Row],[Player]],Proj[Player],0),31),INDEX(Goalie[],MATCH(Table16[[#This Row],[Player]],Goalie[player],0),20)) = 0, "",_xlfn.IFNA(INDEX(Proj[],MATCH(Table16[[#This Row],[Player]],Proj[Player],0),31),INDEX(Goalie[],MATCH(Table16[[#This Row],[Player]],Goalie[player],0),20)))</f>
        <v/>
      </c>
    </row>
    <row r="234" spans="1:9" x14ac:dyDescent="0.25">
      <c r="A234" t="s">
        <v>355</v>
      </c>
      <c r="B234" s="2" t="s">
        <v>104</v>
      </c>
      <c r="C234" t="str">
        <f t="shared" si="3"/>
        <v>RW</v>
      </c>
      <c r="D234" s="10">
        <f>MAX(_xlfn.IFNA(INDEX(Proj[],MATCH(Table16[[#This Row],[Player]],Proj[Player],0),27),-5000), _xlfn.IFNA(INDEX(Goalie[],MATCH(Table16[[#This Row],[Player]],Goalie[player],0),17),-5000))</f>
        <v>-168.19189968363332</v>
      </c>
      <c r="E234">
        <f>_xlfn.RANK.EQ(Table16[[#This Row],[VOR]],Table16[VOR])</f>
        <v>270</v>
      </c>
      <c r="F234" cm="1">
        <f t="array" ref="F234">_xlfn.IFS(C234 = "C",INDEX('C'!$A$2:$L$254,MATCH($A234,'C'!$A$2:$A$254,0),10),C234 = "LW",INDEX(LW!$A$2:$K$180,MATCH($A234,LW!$A$2:$A$180,0),10),C234 = "RW",INDEX('RW'!$A$2:$L$164,MATCH($A234,'RW'!$A$2:$A$164,0),10), C234 = "D",INDEX(D!$A$2:$L$268,MATCH($A234,D!$A$2:$A$268,0),10),C234="G",INDEX(G!$A$2:$Q$78,MATCH($A234,G!$A$2:$A$78,0),16),C234="F",INDEX(F!$A$2:$K$494,MATCH($A234,F!$A$2:$A$494,0),10))</f>
        <v>55</v>
      </c>
      <c r="G234" t="str">
        <f>_xlfn.CONCAT(C234,Table16[[#This Row],[Pos Rank2]])</f>
        <v>RW55</v>
      </c>
      <c r="H234" s="10">
        <f>MAX(_xlfn.IFNA(INDEX(Proj[],MATCH(Table16[[#This Row],[Player]],Proj[Player],0),29),-5000), _xlfn.IFNA(INDEX(Goalie[],MATCH(Table16[[#This Row],[Player]],Goalie[player],0),19),-5000))</f>
        <v>278.35282470661554</v>
      </c>
      <c r="I234" t="str">
        <f>IF(_xlfn.IFNA(INDEX(Proj[],MATCH(Table16[[#This Row],[Player]],Proj[Player],0),31),INDEX(Goalie[],MATCH(Table16[[#This Row],[Player]],Goalie[player],0),20)) = 0, "",_xlfn.IFNA(INDEX(Proj[],MATCH(Table16[[#This Row],[Player]],Proj[Player],0),31),INDEX(Goalie[],MATCH(Table16[[#This Row],[Player]],Goalie[player],0),20)))</f>
        <v/>
      </c>
    </row>
    <row r="235" spans="1:9" x14ac:dyDescent="0.25">
      <c r="A235" t="s">
        <v>401</v>
      </c>
      <c r="B235" s="2" t="s">
        <v>3</v>
      </c>
      <c r="C235" t="str">
        <f t="shared" si="3"/>
        <v>D</v>
      </c>
      <c r="D235" s="10">
        <f>MAX(_xlfn.IFNA(INDEX(Proj[],MATCH(Table16[[#This Row],[Player]],Proj[Player],0),27),-5000), _xlfn.IFNA(INDEX(Goalie[],MATCH(Table16[[#This Row],[Player]],Goalie[player],0),17),-5000))</f>
        <v>-93.711237196060139</v>
      </c>
      <c r="E235">
        <f>_xlfn.RANK.EQ(Table16[[#This Row],[VOR]],Table16[VOR])</f>
        <v>233</v>
      </c>
      <c r="F235" cm="1">
        <f t="array" ref="F235">_xlfn.IFS(C235 = "C",INDEX('C'!$A$2:$L$254,MATCH($A235,'C'!$A$2:$A$254,0),10),C235 = "LW",INDEX(LW!$A$2:$K$180,MATCH($A235,LW!$A$2:$A$180,0),10),C235 = "RW",INDEX('RW'!$A$2:$L$164,MATCH($A235,'RW'!$A$2:$A$164,0),10), C235 = "D",INDEX(D!$A$2:$L$268,MATCH($A235,D!$A$2:$A$268,0),10),C235="G",INDEX(G!$A$2:$Q$78,MATCH($A235,G!$A$2:$A$78,0),16),C235="F",INDEX(F!$A$2:$K$494,MATCH($A235,F!$A$2:$A$494,0),10))</f>
        <v>84</v>
      </c>
      <c r="G235" t="str">
        <f>_xlfn.CONCAT(C235,Table16[[#This Row],[Pos Rank2]])</f>
        <v>D84</v>
      </c>
      <c r="H235" s="10">
        <f>MAX(_xlfn.IFNA(INDEX(Proj[],MATCH(Table16[[#This Row],[Player]],Proj[Player],0),29),-5000), _xlfn.IFNA(INDEX(Goalie[],MATCH(Table16[[#This Row],[Player]],Goalie[player],0),19),-5000))</f>
        <v>13.653530523404346</v>
      </c>
      <c r="I235" t="str">
        <f>IF(_xlfn.IFNA(INDEX(Proj[],MATCH(Table16[[#This Row],[Player]],Proj[Player],0),31),INDEX(Goalie[],MATCH(Table16[[#This Row],[Player]],Goalie[player],0),20)) = 0, "",_xlfn.IFNA(INDEX(Proj[],MATCH(Table16[[#This Row],[Player]],Proj[Player],0),31),INDEX(Goalie[],MATCH(Table16[[#This Row],[Player]],Goalie[player],0),20)))</f>
        <v/>
      </c>
    </row>
    <row r="236" spans="1:9" x14ac:dyDescent="0.25">
      <c r="A236" t="s">
        <v>452</v>
      </c>
      <c r="B236" s="2" t="s">
        <v>102</v>
      </c>
      <c r="C236" t="str">
        <f t="shared" si="3"/>
        <v>LW</v>
      </c>
      <c r="D236" s="10">
        <f>MAX(_xlfn.IFNA(INDEX(Proj[],MATCH(Table16[[#This Row],[Player]],Proj[Player],0),27),-5000), _xlfn.IFNA(INDEX(Goalie[],MATCH(Table16[[#This Row],[Player]],Goalie[player],0),17),-5000))</f>
        <v>-172.97687101007767</v>
      </c>
      <c r="E236">
        <f>_xlfn.RANK.EQ(Table16[[#This Row],[VOR]],Table16[VOR])</f>
        <v>274</v>
      </c>
      <c r="F236" cm="1">
        <f t="array" ref="F236">_xlfn.IFS(C236 = "C",INDEX('C'!$A$2:$L$254,MATCH($A236,'C'!$A$2:$A$254,0),10),C236 = "LW",INDEX(LW!$A$2:$K$180,MATCH($A236,LW!$A$2:$A$180,0),10),C236 = "RW",INDEX('RW'!$A$2:$L$164,MATCH($A236,'RW'!$A$2:$A$164,0),10), C236 = "D",INDEX(D!$A$2:$L$268,MATCH($A236,D!$A$2:$A$268,0),10),C236="G",INDEX(G!$A$2:$Q$78,MATCH($A236,G!$A$2:$A$78,0),16),C236="F",INDEX(F!$A$2:$K$494,MATCH($A236,F!$A$2:$A$494,0),10))</f>
        <v>59</v>
      </c>
      <c r="G236" t="str">
        <f>_xlfn.CONCAT(C236,Table16[[#This Row],[Pos Rank2]])</f>
        <v>LW59</v>
      </c>
      <c r="H236" s="10">
        <f>MAX(_xlfn.IFNA(INDEX(Proj[],MATCH(Table16[[#This Row],[Player]],Proj[Player],0),29),-5000), _xlfn.IFNA(INDEX(Goalie[],MATCH(Table16[[#This Row],[Player]],Goalie[player],0),19),-5000))</f>
        <v>298.56785338017119</v>
      </c>
      <c r="I236" t="str">
        <f>IF(_xlfn.IFNA(INDEX(Proj[],MATCH(Table16[[#This Row],[Player]],Proj[Player],0),31),INDEX(Goalie[],MATCH(Table16[[#This Row],[Player]],Goalie[player],0),20)) = 0, "",_xlfn.IFNA(INDEX(Proj[],MATCH(Table16[[#This Row],[Player]],Proj[Player],0),31),INDEX(Goalie[],MATCH(Table16[[#This Row],[Player]],Goalie[player],0),20)))</f>
        <v/>
      </c>
    </row>
    <row r="237" spans="1:9" x14ac:dyDescent="0.25">
      <c r="A237" t="s">
        <v>343</v>
      </c>
      <c r="B237" s="2" t="s">
        <v>3</v>
      </c>
      <c r="C237" t="str">
        <f t="shared" si="3"/>
        <v>D</v>
      </c>
      <c r="D237" s="10">
        <f>MAX(_xlfn.IFNA(INDEX(Proj[],MATCH(Table16[[#This Row],[Player]],Proj[Player],0),27),-5000), _xlfn.IFNA(INDEX(Goalie[],MATCH(Table16[[#This Row],[Player]],Goalie[player],0),17),-5000))</f>
        <v>-101.18165324942966</v>
      </c>
      <c r="E237">
        <f>_xlfn.RANK.EQ(Table16[[#This Row],[VOR]],Table16[VOR])</f>
        <v>235</v>
      </c>
      <c r="F237" cm="1">
        <f t="array" ref="F237">_xlfn.IFS(C237 = "C",INDEX('C'!$A$2:$L$254,MATCH($A237,'C'!$A$2:$A$254,0),10),C237 = "LW",INDEX(LW!$A$2:$K$180,MATCH($A237,LW!$A$2:$A$180,0),10),C237 = "RW",INDEX('RW'!$A$2:$L$164,MATCH($A237,'RW'!$A$2:$A$164,0),10), C237 = "D",INDEX(D!$A$2:$L$268,MATCH($A237,D!$A$2:$A$268,0),10),C237="G",INDEX(G!$A$2:$Q$78,MATCH($A237,G!$A$2:$A$78,0),16),C237="F",INDEX(F!$A$2:$K$494,MATCH($A237,F!$A$2:$A$494,0),10))</f>
        <v>85</v>
      </c>
      <c r="G237" t="str">
        <f>_xlfn.CONCAT(C237,Table16[[#This Row],[Pos Rank2]])</f>
        <v>D85</v>
      </c>
      <c r="H237" s="10">
        <f>MAX(_xlfn.IFNA(INDEX(Proj[],MATCH(Table16[[#This Row],[Player]],Proj[Player],0),29),-5000), _xlfn.IFNA(INDEX(Goalie[],MATCH(Table16[[#This Row],[Player]],Goalie[player],0),19),-5000))</f>
        <v>6.1831144700348233</v>
      </c>
      <c r="I237" t="str">
        <f>IF(_xlfn.IFNA(INDEX(Proj[],MATCH(Table16[[#This Row],[Player]],Proj[Player],0),31),INDEX(Goalie[],MATCH(Table16[[#This Row],[Player]],Goalie[player],0),20)) = 0, "",_xlfn.IFNA(INDEX(Proj[],MATCH(Table16[[#This Row],[Player]],Proj[Player],0),31),INDEX(Goalie[],MATCH(Table16[[#This Row],[Player]],Goalie[player],0),20)))</f>
        <v/>
      </c>
    </row>
    <row r="238" spans="1:9" x14ac:dyDescent="0.25">
      <c r="A238" t="s">
        <v>501</v>
      </c>
      <c r="B238" s="2" t="s">
        <v>102</v>
      </c>
      <c r="C238" t="str">
        <f t="shared" si="3"/>
        <v>LW</v>
      </c>
      <c r="D238" s="10">
        <f>MAX(_xlfn.IFNA(INDEX(Proj[],MATCH(Table16[[#This Row],[Player]],Proj[Player],0),27),-5000), _xlfn.IFNA(INDEX(Goalie[],MATCH(Table16[[#This Row],[Player]],Goalie[player],0),17),-5000))</f>
        <v>-180.71386871515853</v>
      </c>
      <c r="E238">
        <f>_xlfn.RANK.EQ(Table16[[#This Row],[VOR]],Table16[VOR])</f>
        <v>281</v>
      </c>
      <c r="F238" cm="1">
        <f t="array" ref="F238">_xlfn.IFS(C238 = "C",INDEX('C'!$A$2:$L$254,MATCH($A238,'C'!$A$2:$A$254,0),10),C238 = "LW",INDEX(LW!$A$2:$K$180,MATCH($A238,LW!$A$2:$A$180,0),10),C238 = "RW",INDEX('RW'!$A$2:$L$164,MATCH($A238,'RW'!$A$2:$A$164,0),10), C238 = "D",INDEX(D!$A$2:$L$268,MATCH($A238,D!$A$2:$A$268,0),10),C238="G",INDEX(G!$A$2:$Q$78,MATCH($A238,G!$A$2:$A$78,0),16),C238="F",INDEX(F!$A$2:$K$494,MATCH($A238,F!$A$2:$A$494,0),10))</f>
        <v>63</v>
      </c>
      <c r="G238" t="str">
        <f>_xlfn.CONCAT(C238,Table16[[#This Row],[Pos Rank2]])</f>
        <v>LW63</v>
      </c>
      <c r="H238" s="10">
        <f>MAX(_xlfn.IFNA(INDEX(Proj[],MATCH(Table16[[#This Row],[Player]],Proj[Player],0),29),-5000), _xlfn.IFNA(INDEX(Goalie[],MATCH(Table16[[#This Row],[Player]],Goalie[player],0),19),-5000))</f>
        <v>290.83085567509033</v>
      </c>
      <c r="I238" t="str">
        <f>IF(_xlfn.IFNA(INDEX(Proj[],MATCH(Table16[[#This Row],[Player]],Proj[Player],0),31),INDEX(Goalie[],MATCH(Table16[[#This Row],[Player]],Goalie[player],0),20)) = 0, "",_xlfn.IFNA(INDEX(Proj[],MATCH(Table16[[#This Row],[Player]],Proj[Player],0),31),INDEX(Goalie[],MATCH(Table16[[#This Row],[Player]],Goalie[player],0),20)))</f>
        <v/>
      </c>
    </row>
    <row r="239" spans="1:9" x14ac:dyDescent="0.25">
      <c r="A239" t="s">
        <v>560</v>
      </c>
      <c r="B239" s="2" t="s">
        <v>3</v>
      </c>
      <c r="C239" t="str">
        <f t="shared" si="3"/>
        <v>D</v>
      </c>
      <c r="D239" s="10">
        <f>MAX(_xlfn.IFNA(INDEX(Proj[],MATCH(Table16[[#This Row],[Player]],Proj[Player],0),27),-5000), _xlfn.IFNA(INDEX(Goalie[],MATCH(Table16[[#This Row],[Player]],Goalie[player],0),17),-5000))</f>
        <v>-105.7251643285704</v>
      </c>
      <c r="E239">
        <f>_xlfn.RANK.EQ(Table16[[#This Row],[VOR]],Table16[VOR])</f>
        <v>237</v>
      </c>
      <c r="F239" cm="1">
        <f t="array" ref="F239">_xlfn.IFS(C239 = "C",INDEX('C'!$A$2:$L$254,MATCH($A239,'C'!$A$2:$A$254,0),10),C239 = "LW",INDEX(LW!$A$2:$K$180,MATCH($A239,LW!$A$2:$A$180,0),10),C239 = "RW",INDEX('RW'!$A$2:$L$164,MATCH($A239,'RW'!$A$2:$A$164,0),10), C239 = "D",INDEX(D!$A$2:$L$268,MATCH($A239,D!$A$2:$A$268,0),10),C239="G",INDEX(G!$A$2:$Q$78,MATCH($A239,G!$A$2:$A$78,0),16),C239="F",INDEX(F!$A$2:$K$494,MATCH($A239,F!$A$2:$A$494,0),10))</f>
        <v>86</v>
      </c>
      <c r="G239" t="str">
        <f>_xlfn.CONCAT(C239,Table16[[#This Row],[Pos Rank2]])</f>
        <v>D86</v>
      </c>
      <c r="H239" s="10">
        <f>MAX(_xlfn.IFNA(INDEX(Proj[],MATCH(Table16[[#This Row],[Player]],Proj[Player],0),29),-5000), _xlfn.IFNA(INDEX(Goalie[],MATCH(Table16[[#This Row],[Player]],Goalie[player],0),19),-5000))</f>
        <v>1.6396033908940788</v>
      </c>
      <c r="I239" t="str">
        <f>IF(_xlfn.IFNA(INDEX(Proj[],MATCH(Table16[[#This Row],[Player]],Proj[Player],0),31),INDEX(Goalie[],MATCH(Table16[[#This Row],[Player]],Goalie[player],0),20)) = 0, "",_xlfn.IFNA(INDEX(Proj[],MATCH(Table16[[#This Row],[Player]],Proj[Player],0),31),INDEX(Goalie[],MATCH(Table16[[#This Row],[Player]],Goalie[player],0),20)))</f>
        <v/>
      </c>
    </row>
    <row r="240" spans="1:9" x14ac:dyDescent="0.25">
      <c r="A240" t="s">
        <v>305</v>
      </c>
      <c r="B240" s="2" t="s">
        <v>3</v>
      </c>
      <c r="C240" t="str">
        <f t="shared" si="3"/>
        <v>D</v>
      </c>
      <c r="D240" s="10">
        <f>MAX(_xlfn.IFNA(INDEX(Proj[],MATCH(Table16[[#This Row],[Player]],Proj[Player],0),27),-5000), _xlfn.IFNA(INDEX(Goalie[],MATCH(Table16[[#This Row],[Player]],Goalie[player],0),17),-5000))</f>
        <v>-109.60760147538561</v>
      </c>
      <c r="E240">
        <f>_xlfn.RANK.EQ(Table16[[#This Row],[VOR]],Table16[VOR])</f>
        <v>238</v>
      </c>
      <c r="F240" cm="1">
        <f t="array" ref="F240">_xlfn.IFS(C240 = "C",INDEX('C'!$A$2:$L$254,MATCH($A240,'C'!$A$2:$A$254,0),10),C240 = "LW",INDEX(LW!$A$2:$K$180,MATCH($A240,LW!$A$2:$A$180,0),10),C240 = "RW",INDEX('RW'!$A$2:$L$164,MATCH($A240,'RW'!$A$2:$A$164,0),10), C240 = "D",INDEX(D!$A$2:$L$268,MATCH($A240,D!$A$2:$A$268,0),10),C240="G",INDEX(G!$A$2:$Q$78,MATCH($A240,G!$A$2:$A$78,0),16),C240="F",INDEX(F!$A$2:$K$494,MATCH($A240,F!$A$2:$A$494,0),10))</f>
        <v>87</v>
      </c>
      <c r="G240" t="str">
        <f>_xlfn.CONCAT(C240,Table16[[#This Row],[Pos Rank2]])</f>
        <v>D87</v>
      </c>
      <c r="H240" s="10">
        <f>MAX(_xlfn.IFNA(INDEX(Proj[],MATCH(Table16[[#This Row],[Player]],Proj[Player],0),29),-5000), _xlfn.IFNA(INDEX(Goalie[],MATCH(Table16[[#This Row],[Player]],Goalie[player],0),19),-5000))</f>
        <v>-2.2428337559211196</v>
      </c>
      <c r="I240" t="str">
        <f>IF(_xlfn.IFNA(INDEX(Proj[],MATCH(Table16[[#This Row],[Player]],Proj[Player],0),31),INDEX(Goalie[],MATCH(Table16[[#This Row],[Player]],Goalie[player],0),20)) = 0, "",_xlfn.IFNA(INDEX(Proj[],MATCH(Table16[[#This Row],[Player]],Proj[Player],0),31),INDEX(Goalie[],MATCH(Table16[[#This Row],[Player]],Goalie[player],0),20)))</f>
        <v/>
      </c>
    </row>
    <row r="241" spans="1:9" x14ac:dyDescent="0.25">
      <c r="A241" t="s">
        <v>390</v>
      </c>
      <c r="B241" s="2" t="s">
        <v>3</v>
      </c>
      <c r="C241" t="str">
        <f t="shared" si="3"/>
        <v>D</v>
      </c>
      <c r="D241" s="10">
        <f>MAX(_xlfn.IFNA(INDEX(Proj[],MATCH(Table16[[#This Row],[Player]],Proj[Player],0),27),-5000), _xlfn.IFNA(INDEX(Goalie[],MATCH(Table16[[#This Row],[Player]],Goalie[player],0),17),-5000))</f>
        <v>-111.31786372512127</v>
      </c>
      <c r="E241">
        <f>_xlfn.RANK.EQ(Table16[[#This Row],[VOR]],Table16[VOR])</f>
        <v>239</v>
      </c>
      <c r="F241" cm="1">
        <f t="array" ref="F241">_xlfn.IFS(C241 = "C",INDEX('C'!$A$2:$L$254,MATCH($A241,'C'!$A$2:$A$254,0),10),C241 = "LW",INDEX(LW!$A$2:$K$180,MATCH($A241,LW!$A$2:$A$180,0),10),C241 = "RW",INDEX('RW'!$A$2:$L$164,MATCH($A241,'RW'!$A$2:$A$164,0),10), C241 = "D",INDEX(D!$A$2:$L$268,MATCH($A241,D!$A$2:$A$268,0),10),C241="G",INDEX(G!$A$2:$Q$78,MATCH($A241,G!$A$2:$A$78,0),16),C241="F",INDEX(F!$A$2:$K$494,MATCH($A241,F!$A$2:$A$494,0),10))</f>
        <v>88</v>
      </c>
      <c r="G241" t="str">
        <f>_xlfn.CONCAT(C241,Table16[[#This Row],[Pos Rank2]])</f>
        <v>D88</v>
      </c>
      <c r="H241" s="10">
        <f>MAX(_xlfn.IFNA(INDEX(Proj[],MATCH(Table16[[#This Row],[Player]],Proj[Player],0),29),-5000), _xlfn.IFNA(INDEX(Goalie[],MATCH(Table16[[#This Row],[Player]],Goalie[player],0),19),-5000))</f>
        <v>-3.9530960056567839</v>
      </c>
      <c r="I241" t="str">
        <f>IF(_xlfn.IFNA(INDEX(Proj[],MATCH(Table16[[#This Row],[Player]],Proj[Player],0),31),INDEX(Goalie[],MATCH(Table16[[#This Row],[Player]],Goalie[player],0),20)) = 0, "",_xlfn.IFNA(INDEX(Proj[],MATCH(Table16[[#This Row],[Player]],Proj[Player],0),31),INDEX(Goalie[],MATCH(Table16[[#This Row],[Player]],Goalie[player],0),20)))</f>
        <v/>
      </c>
    </row>
    <row r="242" spans="1:9" x14ac:dyDescent="0.25">
      <c r="A242" t="s">
        <v>509</v>
      </c>
      <c r="B242" s="2" t="s">
        <v>3</v>
      </c>
      <c r="C242" t="str">
        <f t="shared" si="3"/>
        <v>D</v>
      </c>
      <c r="D242" s="10">
        <f>MAX(_xlfn.IFNA(INDEX(Proj[],MATCH(Table16[[#This Row],[Player]],Proj[Player],0),27),-5000), _xlfn.IFNA(INDEX(Goalie[],MATCH(Table16[[#This Row],[Player]],Goalie[player],0),17),-5000))</f>
        <v>-111.55558256739219</v>
      </c>
      <c r="E242">
        <f>_xlfn.RANK.EQ(Table16[[#This Row],[VOR]],Table16[VOR])</f>
        <v>240</v>
      </c>
      <c r="F242" cm="1">
        <f t="array" ref="F242">_xlfn.IFS(C242 = "C",INDEX('C'!$A$2:$L$254,MATCH($A242,'C'!$A$2:$A$254,0),10),C242 = "LW",INDEX(LW!$A$2:$K$180,MATCH($A242,LW!$A$2:$A$180,0),10),C242 = "RW",INDEX('RW'!$A$2:$L$164,MATCH($A242,'RW'!$A$2:$A$164,0),10), C242 = "D",INDEX(D!$A$2:$L$268,MATCH($A242,D!$A$2:$A$268,0),10),C242="G",INDEX(G!$A$2:$Q$78,MATCH($A242,G!$A$2:$A$78,0),16),C242="F",INDEX(F!$A$2:$K$494,MATCH($A242,F!$A$2:$A$494,0),10))</f>
        <v>89</v>
      </c>
      <c r="G242" t="str">
        <f>_xlfn.CONCAT(C242,Table16[[#This Row],[Pos Rank2]])</f>
        <v>D89</v>
      </c>
      <c r="H242" s="10">
        <f>MAX(_xlfn.IFNA(INDEX(Proj[],MATCH(Table16[[#This Row],[Player]],Proj[Player],0),29),-5000), _xlfn.IFNA(INDEX(Goalie[],MATCH(Table16[[#This Row],[Player]],Goalie[player],0),19),-5000))</f>
        <v>-4.1908148479277072</v>
      </c>
      <c r="I242" t="str">
        <f>IF(_xlfn.IFNA(INDEX(Proj[],MATCH(Table16[[#This Row],[Player]],Proj[Player],0),31),INDEX(Goalie[],MATCH(Table16[[#This Row],[Player]],Goalie[player],0),20)) = 0, "",_xlfn.IFNA(INDEX(Proj[],MATCH(Table16[[#This Row],[Player]],Proj[Player],0),31),INDEX(Goalie[],MATCH(Table16[[#This Row],[Player]],Goalie[player],0),20)))</f>
        <v/>
      </c>
    </row>
    <row r="243" spans="1:9" x14ac:dyDescent="0.25">
      <c r="A243" t="s">
        <v>1253</v>
      </c>
      <c r="B243" s="2" t="s">
        <v>157</v>
      </c>
      <c r="C243" t="str">
        <f t="shared" si="3"/>
        <v>G</v>
      </c>
      <c r="D243" s="10">
        <f>MAX(_xlfn.IFNA(INDEX(Proj[],MATCH(Table16[[#This Row],[Player]],Proj[Player],0),27),-5000), _xlfn.IFNA(INDEX(Goalie[],MATCH(Table16[[#This Row],[Player]],Goalie[player],0),17),-5000))</f>
        <v>-144.2774033699248</v>
      </c>
      <c r="E243">
        <f>_xlfn.RANK.EQ(Table16[[#This Row],[VOR]],Table16[VOR])</f>
        <v>254</v>
      </c>
      <c r="F243" cm="1">
        <f t="array" ref="F243">_xlfn.IFS(C243 = "C",INDEX('C'!$A$2:$L$254,MATCH($A243,'C'!$A$2:$A$254,0),10),C243 = "LW",INDEX(LW!$A$2:$K$180,MATCH($A243,LW!$A$2:$A$180,0),10),C243 = "RW",INDEX('RW'!$A$2:$L$164,MATCH($A243,'RW'!$A$2:$A$164,0),10), C243 = "D",INDEX(D!$A$2:$L$268,MATCH($A243,D!$A$2:$A$268,0),10),C243="G",INDEX(G!$A$2:$Q$78,MATCH($A243,G!$A$2:$A$78,0),16),C243="F",INDEX(F!$A$2:$K$494,MATCH($A243,F!$A$2:$A$494,0),10))</f>
        <v>37</v>
      </c>
      <c r="G243" t="str">
        <f>_xlfn.CONCAT(C243,Table16[[#This Row],[Pos Rank2]])</f>
        <v>G37</v>
      </c>
      <c r="H243" s="10">
        <f>MAX(_xlfn.IFNA(INDEX(Proj[],MATCH(Table16[[#This Row],[Player]],Proj[Player],0),29),-5000), _xlfn.IFNA(INDEX(Goalie[],MATCH(Table16[[#This Row],[Player]],Goalie[player],0),19),-5000))</f>
        <v>389.65259352963625</v>
      </c>
      <c r="I243" t="str">
        <f>IF(_xlfn.IFNA(INDEX(Proj[],MATCH(Table16[[#This Row],[Player]],Proj[Player],0),31),INDEX(Goalie[],MATCH(Table16[[#This Row],[Player]],Goalie[player],0),20)) = 0, "",_xlfn.IFNA(INDEX(Proj[],MATCH(Table16[[#This Row],[Player]],Proj[Player],0),31),INDEX(Goalie[],MATCH(Table16[[#This Row],[Player]],Goalie[player],0),20)))</f>
        <v/>
      </c>
    </row>
    <row r="244" spans="1:9" x14ac:dyDescent="0.25">
      <c r="A244" t="s">
        <v>424</v>
      </c>
      <c r="B244" s="2" t="s">
        <v>3</v>
      </c>
      <c r="C244" t="str">
        <f t="shared" si="3"/>
        <v>D</v>
      </c>
      <c r="D244" s="10">
        <f>MAX(_xlfn.IFNA(INDEX(Proj[],MATCH(Table16[[#This Row],[Player]],Proj[Player],0),27),-5000), _xlfn.IFNA(INDEX(Goalie[],MATCH(Table16[[#This Row],[Player]],Goalie[player],0),17),-5000))</f>
        <v>-115.19896053607125</v>
      </c>
      <c r="E244">
        <f>_xlfn.RANK.EQ(Table16[[#This Row],[VOR]],Table16[VOR])</f>
        <v>242</v>
      </c>
      <c r="F244" cm="1">
        <f t="array" ref="F244">_xlfn.IFS(C244 = "C",INDEX('C'!$A$2:$L$254,MATCH($A244,'C'!$A$2:$A$254,0),10),C244 = "LW",INDEX(LW!$A$2:$K$180,MATCH($A244,LW!$A$2:$A$180,0),10),C244 = "RW",INDEX('RW'!$A$2:$L$164,MATCH($A244,'RW'!$A$2:$A$164,0),10), C244 = "D",INDEX(D!$A$2:$L$268,MATCH($A244,D!$A$2:$A$268,0),10),C244="G",INDEX(G!$A$2:$Q$78,MATCH($A244,G!$A$2:$A$78,0),16),C244="F",INDEX(F!$A$2:$K$494,MATCH($A244,F!$A$2:$A$494,0),10))</f>
        <v>90</v>
      </c>
      <c r="G244" t="str">
        <f>_xlfn.CONCAT(C244,Table16[[#This Row],[Pos Rank2]])</f>
        <v>D90</v>
      </c>
      <c r="H244" s="10">
        <f>MAX(_xlfn.IFNA(INDEX(Proj[],MATCH(Table16[[#This Row],[Player]],Proj[Player],0),29),-5000), _xlfn.IFNA(INDEX(Goalie[],MATCH(Table16[[#This Row],[Player]],Goalie[player],0),19),-5000))</f>
        <v>-7.8341928166067776</v>
      </c>
      <c r="I244" t="str">
        <f>IF(_xlfn.IFNA(INDEX(Proj[],MATCH(Table16[[#This Row],[Player]],Proj[Player],0),31),INDEX(Goalie[],MATCH(Table16[[#This Row],[Player]],Goalie[player],0),20)) = 0, "",_xlfn.IFNA(INDEX(Proj[],MATCH(Table16[[#This Row],[Player]],Proj[Player],0),31),INDEX(Goalie[],MATCH(Table16[[#This Row],[Player]],Goalie[player],0),20)))</f>
        <v/>
      </c>
    </row>
    <row r="245" spans="1:9" x14ac:dyDescent="0.25">
      <c r="A245" t="s">
        <v>185</v>
      </c>
      <c r="B245" s="2" t="s">
        <v>157</v>
      </c>
      <c r="C245" t="str">
        <f t="shared" si="3"/>
        <v>G</v>
      </c>
      <c r="D245" s="10">
        <f>MAX(_xlfn.IFNA(INDEX(Proj[],MATCH(Table16[[#This Row],[Player]],Proj[Player],0),27),-5000), _xlfn.IFNA(INDEX(Goalie[],MATCH(Table16[[#This Row],[Player]],Goalie[player],0),17),-5000))</f>
        <v>-147.29612479816251</v>
      </c>
      <c r="E245">
        <f>_xlfn.RANK.EQ(Table16[[#This Row],[VOR]],Table16[VOR])</f>
        <v>257</v>
      </c>
      <c r="F245" cm="1">
        <f t="array" ref="F245">_xlfn.IFS(C245 = "C",INDEX('C'!$A$2:$L$254,MATCH($A245,'C'!$A$2:$A$254,0),10),C245 = "LW",INDEX(LW!$A$2:$K$180,MATCH($A245,LW!$A$2:$A$180,0),10),C245 = "RW",INDEX('RW'!$A$2:$L$164,MATCH($A245,'RW'!$A$2:$A$164,0),10), C245 = "D",INDEX(D!$A$2:$L$268,MATCH($A245,D!$A$2:$A$268,0),10),C245="G",INDEX(G!$A$2:$Q$78,MATCH($A245,G!$A$2:$A$78,0),16),C245="F",INDEX(F!$A$2:$K$494,MATCH($A245,F!$A$2:$A$494,0),10))</f>
        <v>38</v>
      </c>
      <c r="G245" t="str">
        <f>_xlfn.CONCAT(C245,Table16[[#This Row],[Pos Rank2]])</f>
        <v>G38</v>
      </c>
      <c r="H245" s="10">
        <f>MAX(_xlfn.IFNA(INDEX(Proj[],MATCH(Table16[[#This Row],[Player]],Proj[Player],0),29),-5000), _xlfn.IFNA(INDEX(Goalie[],MATCH(Table16[[#This Row],[Player]],Goalie[player],0),19),-5000))</f>
        <v>364.52350000000001</v>
      </c>
      <c r="I245" t="str">
        <f>IF(_xlfn.IFNA(INDEX(Proj[],MATCH(Table16[[#This Row],[Player]],Proj[Player],0),31),INDEX(Goalie[],MATCH(Table16[[#This Row],[Player]],Goalie[player],0),20)) = 0, "",_xlfn.IFNA(INDEX(Proj[],MATCH(Table16[[#This Row],[Player]],Proj[Player],0),31),INDEX(Goalie[],MATCH(Table16[[#This Row],[Player]],Goalie[player],0),20)))</f>
        <v/>
      </c>
    </row>
    <row r="246" spans="1:9" x14ac:dyDescent="0.25">
      <c r="A246" t="s">
        <v>410</v>
      </c>
      <c r="B246" s="2" t="s">
        <v>105</v>
      </c>
      <c r="C246" t="str">
        <f t="shared" si="3"/>
        <v>RW</v>
      </c>
      <c r="D246" s="10">
        <f>MAX(_xlfn.IFNA(INDEX(Proj[],MATCH(Table16[[#This Row],[Player]],Proj[Player],0),27),-5000), _xlfn.IFNA(INDEX(Goalie[],MATCH(Table16[[#This Row],[Player]],Goalie[player],0),17),-5000))</f>
        <v>-118.28714792311985</v>
      </c>
      <c r="E246">
        <f>_xlfn.RANK.EQ(Table16[[#This Row],[VOR]],Table16[VOR])</f>
        <v>244</v>
      </c>
      <c r="F246" cm="1">
        <f t="array" ref="F246">_xlfn.IFS(C246 = "C",INDEX('C'!$A$2:$L$254,MATCH($A246,'C'!$A$2:$A$254,0),10),C246 = "LW",INDEX(LW!$A$2:$K$180,MATCH($A246,LW!$A$2:$A$180,0),10),C246 = "RW",INDEX('RW'!$A$2:$L$164,MATCH($A246,'RW'!$A$2:$A$164,0),10), C246 = "D",INDEX(D!$A$2:$L$268,MATCH($A246,D!$A$2:$A$268,0),10),C246="G",INDEX(G!$A$2:$Q$78,MATCH($A246,G!$A$2:$A$78,0),16),C246="F",INDEX(F!$A$2:$K$494,MATCH($A246,F!$A$2:$A$494,0),10))</f>
        <v>50</v>
      </c>
      <c r="G246" t="str">
        <f>_xlfn.CONCAT(C246,Table16[[#This Row],[Pos Rank2]])</f>
        <v>RW50</v>
      </c>
      <c r="H246" s="10">
        <f>MAX(_xlfn.IFNA(INDEX(Proj[],MATCH(Table16[[#This Row],[Player]],Proj[Player],0),29),-5000), _xlfn.IFNA(INDEX(Goalie[],MATCH(Table16[[#This Row],[Player]],Goalie[player],0),19),-5000))</f>
        <v>328.25757646712901</v>
      </c>
      <c r="I246" t="str">
        <f>IF(_xlfn.IFNA(INDEX(Proj[],MATCH(Table16[[#This Row],[Player]],Proj[Player],0),31),INDEX(Goalie[],MATCH(Table16[[#This Row],[Player]],Goalie[player],0),20)) = 0, "",_xlfn.IFNA(INDEX(Proj[],MATCH(Table16[[#This Row],[Player]],Proj[Player],0),31),INDEX(Goalie[],MATCH(Table16[[#This Row],[Player]],Goalie[player],0),20)))</f>
        <v/>
      </c>
    </row>
    <row r="247" spans="1:9" x14ac:dyDescent="0.25">
      <c r="A247" t="s">
        <v>877</v>
      </c>
      <c r="B247" s="2" t="s">
        <v>3</v>
      </c>
      <c r="C247" t="str">
        <f t="shared" si="3"/>
        <v>D</v>
      </c>
      <c r="D247" s="10">
        <f>MAX(_xlfn.IFNA(INDEX(Proj[],MATCH(Table16[[#This Row],[Player]],Proj[Player],0),27),-5000), _xlfn.IFNA(INDEX(Goalie[],MATCH(Table16[[#This Row],[Player]],Goalie[player],0),17),-5000))</f>
        <v>-121.79623565188503</v>
      </c>
      <c r="E247">
        <f>_xlfn.RANK.EQ(Table16[[#This Row],[VOR]],Table16[VOR])</f>
        <v>247</v>
      </c>
      <c r="F247" cm="1">
        <f t="array" ref="F247">_xlfn.IFS(C247 = "C",INDEX('C'!$A$2:$L$254,MATCH($A247,'C'!$A$2:$A$254,0),10),C247 = "LW",INDEX(LW!$A$2:$K$180,MATCH($A247,LW!$A$2:$A$180,0),10),C247 = "RW",INDEX('RW'!$A$2:$L$164,MATCH($A247,'RW'!$A$2:$A$164,0),10), C247 = "D",INDEX(D!$A$2:$L$268,MATCH($A247,D!$A$2:$A$268,0),10),C247="G",INDEX(G!$A$2:$Q$78,MATCH($A247,G!$A$2:$A$78,0),16),C247="F",INDEX(F!$A$2:$K$494,MATCH($A247,F!$A$2:$A$494,0),10))</f>
        <v>92</v>
      </c>
      <c r="G247" t="str">
        <f>_xlfn.CONCAT(C247,Table16[[#This Row],[Pos Rank2]])</f>
        <v>D92</v>
      </c>
      <c r="H247" s="10">
        <f>MAX(_xlfn.IFNA(INDEX(Proj[],MATCH(Table16[[#This Row],[Player]],Proj[Player],0),29),-5000), _xlfn.IFNA(INDEX(Goalie[],MATCH(Table16[[#This Row],[Player]],Goalie[player],0),19),-5000))</f>
        <v>-14.431467932420544</v>
      </c>
      <c r="I247" t="str">
        <f>IF(_xlfn.IFNA(INDEX(Proj[],MATCH(Table16[[#This Row],[Player]],Proj[Player],0),31),INDEX(Goalie[],MATCH(Table16[[#This Row],[Player]],Goalie[player],0),20)) = 0, "",_xlfn.IFNA(INDEX(Proj[],MATCH(Table16[[#This Row],[Player]],Proj[Player],0),31),INDEX(Goalie[],MATCH(Table16[[#This Row],[Player]],Goalie[player],0),20)))</f>
        <v/>
      </c>
    </row>
    <row r="248" spans="1:9" x14ac:dyDescent="0.25">
      <c r="A248" t="s">
        <v>349</v>
      </c>
      <c r="B248" s="2" t="s">
        <v>3</v>
      </c>
      <c r="C248" t="str">
        <f t="shared" si="3"/>
        <v>D</v>
      </c>
      <c r="D248" s="10">
        <f>MAX(_xlfn.IFNA(INDEX(Proj[],MATCH(Table16[[#This Row],[Player]],Proj[Player],0),27),-5000), _xlfn.IFNA(INDEX(Goalie[],MATCH(Table16[[#This Row],[Player]],Goalie[player],0),17),-5000))</f>
        <v>-122.46104432374722</v>
      </c>
      <c r="E248">
        <f>_xlfn.RANK.EQ(Table16[[#This Row],[VOR]],Table16[VOR])</f>
        <v>248</v>
      </c>
      <c r="F248" cm="1">
        <f t="array" ref="F248">_xlfn.IFS(C248 = "C",INDEX('C'!$A$2:$L$254,MATCH($A248,'C'!$A$2:$A$254,0),10),C248 = "LW",INDEX(LW!$A$2:$K$180,MATCH($A248,LW!$A$2:$A$180,0),10),C248 = "RW",INDEX('RW'!$A$2:$L$164,MATCH($A248,'RW'!$A$2:$A$164,0),10), C248 = "D",INDEX(D!$A$2:$L$268,MATCH($A248,D!$A$2:$A$268,0),10),C248="G",INDEX(G!$A$2:$Q$78,MATCH($A248,G!$A$2:$A$78,0),16),C248="F",INDEX(F!$A$2:$K$494,MATCH($A248,F!$A$2:$A$494,0),10))</f>
        <v>93</v>
      </c>
      <c r="G248" t="str">
        <f>_xlfn.CONCAT(C248,Table16[[#This Row],[Pos Rank2]])</f>
        <v>D93</v>
      </c>
      <c r="H248" s="10">
        <f>MAX(_xlfn.IFNA(INDEX(Proj[],MATCH(Table16[[#This Row],[Player]],Proj[Player],0),29),-5000), _xlfn.IFNA(INDEX(Goalie[],MATCH(Table16[[#This Row],[Player]],Goalie[player],0),19),-5000))</f>
        <v>-15.096276604282743</v>
      </c>
      <c r="I248" t="str">
        <f>IF(_xlfn.IFNA(INDEX(Proj[],MATCH(Table16[[#This Row],[Player]],Proj[Player],0),31),INDEX(Goalie[],MATCH(Table16[[#This Row],[Player]],Goalie[player],0),20)) = 0, "",_xlfn.IFNA(INDEX(Proj[],MATCH(Table16[[#This Row],[Player]],Proj[Player],0),31),INDEX(Goalie[],MATCH(Table16[[#This Row],[Player]],Goalie[player],0),20)))</f>
        <v/>
      </c>
    </row>
    <row r="249" spans="1:9" x14ac:dyDescent="0.25">
      <c r="A249" t="s">
        <v>547</v>
      </c>
      <c r="B249" s="2" t="s">
        <v>104</v>
      </c>
      <c r="C249" t="str">
        <f t="shared" si="3"/>
        <v>RW</v>
      </c>
      <c r="D249" s="10">
        <f>MAX(_xlfn.IFNA(INDEX(Proj[],MATCH(Table16[[#This Row],[Player]],Proj[Player],0),27),-5000), _xlfn.IFNA(INDEX(Goalie[],MATCH(Table16[[#This Row],[Player]],Goalie[player],0),17),-5000))</f>
        <v>-191.99362085862995</v>
      </c>
      <c r="E249">
        <f>_xlfn.RANK.EQ(Table16[[#This Row],[VOR]],Table16[VOR])</f>
        <v>282</v>
      </c>
      <c r="F249" cm="1">
        <f t="array" ref="F249">_xlfn.IFS(C249 = "C",INDEX('C'!$A$2:$L$254,MATCH($A249,'C'!$A$2:$A$254,0),10),C249 = "LW",INDEX(LW!$A$2:$K$180,MATCH($A249,LW!$A$2:$A$180,0),10),C249 = "RW",INDEX('RW'!$A$2:$L$164,MATCH($A249,'RW'!$A$2:$A$164,0),10), C249 = "D",INDEX(D!$A$2:$L$268,MATCH($A249,D!$A$2:$A$268,0),10),C249="G",INDEX(G!$A$2:$Q$78,MATCH($A249,G!$A$2:$A$78,0),16),C249="F",INDEX(F!$A$2:$K$494,MATCH($A249,F!$A$2:$A$494,0),10))</f>
        <v>56</v>
      </c>
      <c r="G249" t="str">
        <f>_xlfn.CONCAT(C249,Table16[[#This Row],[Pos Rank2]])</f>
        <v>RW56</v>
      </c>
      <c r="H249" s="10">
        <f>MAX(_xlfn.IFNA(INDEX(Proj[],MATCH(Table16[[#This Row],[Player]],Proj[Player],0),29),-5000), _xlfn.IFNA(INDEX(Goalie[],MATCH(Table16[[#This Row],[Player]],Goalie[player],0),19),-5000))</f>
        <v>254.55110353161891</v>
      </c>
      <c r="I249" t="str">
        <f>IF(_xlfn.IFNA(INDEX(Proj[],MATCH(Table16[[#This Row],[Player]],Proj[Player],0),31),INDEX(Goalie[],MATCH(Table16[[#This Row],[Player]],Goalie[player],0),20)) = 0, "",_xlfn.IFNA(INDEX(Proj[],MATCH(Table16[[#This Row],[Player]],Proj[Player],0),31),INDEX(Goalie[],MATCH(Table16[[#This Row],[Player]],Goalie[player],0),20)))</f>
        <v/>
      </c>
    </row>
    <row r="250" spans="1:9" x14ac:dyDescent="0.25">
      <c r="A250" t="s">
        <v>332</v>
      </c>
      <c r="B250" s="2" t="s">
        <v>3</v>
      </c>
      <c r="C250" t="str">
        <f t="shared" si="3"/>
        <v>D</v>
      </c>
      <c r="D250" s="10">
        <f>MAX(_xlfn.IFNA(INDEX(Proj[],MATCH(Table16[[#This Row],[Player]],Proj[Player],0),27),-5000), _xlfn.IFNA(INDEX(Goalie[],MATCH(Table16[[#This Row],[Player]],Goalie[player],0),17),-5000))</f>
        <v>-126.15851223089834</v>
      </c>
      <c r="E250">
        <f>_xlfn.RANK.EQ(Table16[[#This Row],[VOR]],Table16[VOR])</f>
        <v>250</v>
      </c>
      <c r="F250" cm="1">
        <f t="array" ref="F250">_xlfn.IFS(C250 = "C",INDEX('C'!$A$2:$L$254,MATCH($A250,'C'!$A$2:$A$254,0),10),C250 = "LW",INDEX(LW!$A$2:$K$180,MATCH($A250,LW!$A$2:$A$180,0),10),C250 = "RW",INDEX('RW'!$A$2:$L$164,MATCH($A250,'RW'!$A$2:$A$164,0),10), C250 = "D",INDEX(D!$A$2:$L$268,MATCH($A250,D!$A$2:$A$268,0),10),C250="G",INDEX(G!$A$2:$Q$78,MATCH($A250,G!$A$2:$A$78,0),16),C250="F",INDEX(F!$A$2:$K$494,MATCH($A250,F!$A$2:$A$494,0),10))</f>
        <v>94</v>
      </c>
      <c r="G250" t="str">
        <f>_xlfn.CONCAT(C250,Table16[[#This Row],[Pos Rank2]])</f>
        <v>D94</v>
      </c>
      <c r="H250" s="10">
        <f>MAX(_xlfn.IFNA(INDEX(Proj[],MATCH(Table16[[#This Row],[Player]],Proj[Player],0),29),-5000), _xlfn.IFNA(INDEX(Goalie[],MATCH(Table16[[#This Row],[Player]],Goalie[player],0),19),-5000))</f>
        <v>-18.79374451143385</v>
      </c>
      <c r="I250" t="str">
        <f>IF(_xlfn.IFNA(INDEX(Proj[],MATCH(Table16[[#This Row],[Player]],Proj[Player],0),31),INDEX(Goalie[],MATCH(Table16[[#This Row],[Player]],Goalie[player],0),20)) = 0, "",_xlfn.IFNA(INDEX(Proj[],MATCH(Table16[[#This Row],[Player]],Proj[Player],0),31),INDEX(Goalie[],MATCH(Table16[[#This Row],[Player]],Goalie[player],0),20)))</f>
        <v/>
      </c>
    </row>
    <row r="251" spans="1:9" x14ac:dyDescent="0.25">
      <c r="A251" t="s">
        <v>443</v>
      </c>
      <c r="B251" s="2" t="s">
        <v>3</v>
      </c>
      <c r="C251" t="str">
        <f t="shared" si="3"/>
        <v>D</v>
      </c>
      <c r="D251" s="10">
        <f>MAX(_xlfn.IFNA(INDEX(Proj[],MATCH(Table16[[#This Row],[Player]],Proj[Player],0),27),-5000), _xlfn.IFNA(INDEX(Goalie[],MATCH(Table16[[#This Row],[Player]],Goalie[player],0),17),-5000))</f>
        <v>-120.0541919376894</v>
      </c>
      <c r="E251">
        <f>_xlfn.RANK.EQ(Table16[[#This Row],[VOR]],Table16[VOR])</f>
        <v>245</v>
      </c>
      <c r="F251" cm="1">
        <f t="array" ref="F251">_xlfn.IFS(C251 = "C",INDEX('C'!$A$2:$L$254,MATCH($A251,'C'!$A$2:$A$254,0),10),C251 = "LW",INDEX(LW!$A$2:$K$180,MATCH($A251,LW!$A$2:$A$180,0),10),C251 = "RW",INDEX('RW'!$A$2:$L$164,MATCH($A251,'RW'!$A$2:$A$164,0),10), C251 = "D",INDEX(D!$A$2:$L$268,MATCH($A251,D!$A$2:$A$268,0),10),C251="G",INDEX(G!$A$2:$Q$78,MATCH($A251,G!$A$2:$A$78,0),16),C251="F",INDEX(F!$A$2:$K$494,MATCH($A251,F!$A$2:$A$494,0),10))</f>
        <v>91</v>
      </c>
      <c r="G251" t="str">
        <f>_xlfn.CONCAT(C251,Table16[[#This Row],[Pos Rank2]])</f>
        <v>D91</v>
      </c>
      <c r="H251" s="10">
        <f>MAX(_xlfn.IFNA(INDEX(Proj[],MATCH(Table16[[#This Row],[Player]],Proj[Player],0),29),-5000), _xlfn.IFNA(INDEX(Goalie[],MATCH(Table16[[#This Row],[Player]],Goalie[player],0),19),-5000))</f>
        <v>-12.689424218224909</v>
      </c>
      <c r="I251" t="str">
        <f>IF(_xlfn.IFNA(INDEX(Proj[],MATCH(Table16[[#This Row],[Player]],Proj[Player],0),31),INDEX(Goalie[],MATCH(Table16[[#This Row],[Player]],Goalie[player],0),20)) = 0, "",_xlfn.IFNA(INDEX(Proj[],MATCH(Table16[[#This Row],[Player]],Proj[Player],0),31),INDEX(Goalie[],MATCH(Table16[[#This Row],[Player]],Goalie[player],0),20)))</f>
        <v/>
      </c>
    </row>
    <row r="252" spans="1:9" x14ac:dyDescent="0.25">
      <c r="A252" t="s">
        <v>1250</v>
      </c>
      <c r="B252" s="2" t="s">
        <v>157</v>
      </c>
      <c r="C252" t="str">
        <f t="shared" si="3"/>
        <v>G</v>
      </c>
      <c r="D252" s="10">
        <f>MAX(_xlfn.IFNA(INDEX(Proj[],MATCH(Table16[[#This Row],[Player]],Proj[Player],0),27),-5000), _xlfn.IFNA(INDEX(Goalie[],MATCH(Table16[[#This Row],[Player]],Goalie[player],0),17),-5000))</f>
        <v>-166.15578594796298</v>
      </c>
      <c r="E252">
        <f>_xlfn.RANK.EQ(Table16[[#This Row],[VOR]],Table16[VOR])</f>
        <v>268</v>
      </c>
      <c r="F252" cm="1">
        <f t="array" ref="F252">_xlfn.IFS(C252 = "C",INDEX('C'!$A$2:$L$254,MATCH($A252,'C'!$A$2:$A$254,0),10),C252 = "LW",INDEX(LW!$A$2:$K$180,MATCH($A252,LW!$A$2:$A$180,0),10),C252 = "RW",INDEX('RW'!$A$2:$L$164,MATCH($A252,'RW'!$A$2:$A$164,0),10), C252 = "D",INDEX(D!$A$2:$L$268,MATCH($A252,D!$A$2:$A$268,0),10),C252="G",INDEX(G!$A$2:$Q$78,MATCH($A252,G!$A$2:$A$78,0),16),C252="F",INDEX(F!$A$2:$K$494,MATCH($A252,F!$A$2:$A$494,0),10))</f>
        <v>39</v>
      </c>
      <c r="G252" t="str">
        <f>_xlfn.CONCAT(C252,Table16[[#This Row],[Pos Rank2]])</f>
        <v>G39</v>
      </c>
      <c r="H252" s="10">
        <f>MAX(_xlfn.IFNA(INDEX(Proj[],MATCH(Table16[[#This Row],[Player]],Proj[Player],0),29),-5000), _xlfn.IFNA(INDEX(Goalie[],MATCH(Table16[[#This Row],[Player]],Goalie[player],0),19),-5000))</f>
        <v>271.38750000000005</v>
      </c>
      <c r="I252" t="str">
        <f>IF(_xlfn.IFNA(INDEX(Proj[],MATCH(Table16[[#This Row],[Player]],Proj[Player],0),31),INDEX(Goalie[],MATCH(Table16[[#This Row],[Player]],Goalie[player],0),20)) = 0, "",_xlfn.IFNA(INDEX(Proj[],MATCH(Table16[[#This Row],[Player]],Proj[Player],0),31),INDEX(Goalie[],MATCH(Table16[[#This Row],[Player]],Goalie[player],0),20)))</f>
        <v/>
      </c>
    </row>
    <row r="253" spans="1:9" x14ac:dyDescent="0.25">
      <c r="A253" t="s">
        <v>442</v>
      </c>
      <c r="B253" s="2" t="s">
        <v>74</v>
      </c>
      <c r="C253" t="str">
        <f t="shared" si="3"/>
        <v>C</v>
      </c>
      <c r="D253" s="10">
        <f>MAX(_xlfn.IFNA(INDEX(Proj[],MATCH(Table16[[#This Row],[Player]],Proj[Player],0),27),-5000), _xlfn.IFNA(INDEX(Goalie[],MATCH(Table16[[#This Row],[Player]],Goalie[player],0),17),-5000))</f>
        <v>-343.81234674944079</v>
      </c>
      <c r="E253">
        <f>_xlfn.RANK.EQ(Table16[[#This Row],[VOR]],Table16[VOR])</f>
        <v>395</v>
      </c>
      <c r="F253" cm="1">
        <f t="array" ref="F253">_xlfn.IFS(C253 = "C",INDEX('C'!$A$2:$L$254,MATCH($A253,'C'!$A$2:$A$254,0),10),C253 = "LW",INDEX(LW!$A$2:$K$180,MATCH($A253,LW!$A$2:$A$180,0),10),C253 = "RW",INDEX('RW'!$A$2:$L$164,MATCH($A253,'RW'!$A$2:$A$164,0),10), C253 = "D",INDEX(D!$A$2:$L$268,MATCH($A253,D!$A$2:$A$268,0),10),C253="G",INDEX(G!$A$2:$Q$78,MATCH($A253,G!$A$2:$A$78,0),16),C253="F",INDEX(F!$A$2:$K$494,MATCH($A253,F!$A$2:$A$494,0),10))</f>
        <v>80</v>
      </c>
      <c r="G253" t="str">
        <f>_xlfn.CONCAT(C253,Table16[[#This Row],[Pos Rank2]])</f>
        <v>C80</v>
      </c>
      <c r="H253" s="10">
        <f>MAX(_xlfn.IFNA(INDEX(Proj[],MATCH(Table16[[#This Row],[Player]],Proj[Player],0),29),-5000), _xlfn.IFNA(INDEX(Goalie[],MATCH(Table16[[#This Row],[Player]],Goalie[player],0),19),-5000))</f>
        <v>390.82150756085781</v>
      </c>
      <c r="I253" t="str">
        <f>IF(_xlfn.IFNA(INDEX(Proj[],MATCH(Table16[[#This Row],[Player]],Proj[Player],0),31),INDEX(Goalie[],MATCH(Table16[[#This Row],[Player]],Goalie[player],0),20)) = 0, "",_xlfn.IFNA(INDEX(Proj[],MATCH(Table16[[#This Row],[Player]],Proj[Player],0),31),INDEX(Goalie[],MATCH(Table16[[#This Row],[Player]],Goalie[player],0),20)))</f>
        <v/>
      </c>
    </row>
    <row r="254" spans="1:9" x14ac:dyDescent="0.25">
      <c r="A254" t="s">
        <v>357</v>
      </c>
      <c r="B254" s="2" t="s">
        <v>3</v>
      </c>
      <c r="C254" t="str">
        <f t="shared" si="3"/>
        <v>D</v>
      </c>
      <c r="D254" s="10">
        <f>MAX(_xlfn.IFNA(INDEX(Proj[],MATCH(Table16[[#This Row],[Player]],Proj[Player],0),27),-5000), _xlfn.IFNA(INDEX(Goalie[],MATCH(Table16[[#This Row],[Player]],Goalie[player],0),17),-5000))</f>
        <v>-138.0703385125604</v>
      </c>
      <c r="E254">
        <f>_xlfn.RANK.EQ(Table16[[#This Row],[VOR]],Table16[VOR])</f>
        <v>252</v>
      </c>
      <c r="F254" cm="1">
        <f t="array" ref="F254">_xlfn.IFS(C254 = "C",INDEX('C'!$A$2:$L$254,MATCH($A254,'C'!$A$2:$A$254,0),10),C254 = "LW",INDEX(LW!$A$2:$K$180,MATCH($A254,LW!$A$2:$A$180,0),10),C254 = "RW",INDEX('RW'!$A$2:$L$164,MATCH($A254,'RW'!$A$2:$A$164,0),10), C254 = "D",INDEX(D!$A$2:$L$268,MATCH($A254,D!$A$2:$A$268,0),10),C254="G",INDEX(G!$A$2:$Q$78,MATCH($A254,G!$A$2:$A$78,0),16),C254="F",INDEX(F!$A$2:$K$494,MATCH($A254,F!$A$2:$A$494,0),10))</f>
        <v>95</v>
      </c>
      <c r="G254" t="str">
        <f>_xlfn.CONCAT(C254,Table16[[#This Row],[Pos Rank2]])</f>
        <v>D95</v>
      </c>
      <c r="H254" s="10">
        <f>MAX(_xlfn.IFNA(INDEX(Proj[],MATCH(Table16[[#This Row],[Player]],Proj[Player],0),29),-5000), _xlfn.IFNA(INDEX(Goalie[],MATCH(Table16[[#This Row],[Player]],Goalie[player],0),19),-5000))</f>
        <v>-30.705570793095905</v>
      </c>
      <c r="I254" t="str">
        <f>IF(_xlfn.IFNA(INDEX(Proj[],MATCH(Table16[[#This Row],[Player]],Proj[Player],0),31),INDEX(Goalie[],MATCH(Table16[[#This Row],[Player]],Goalie[player],0),20)) = 0, "",_xlfn.IFNA(INDEX(Proj[],MATCH(Table16[[#This Row],[Player]],Proj[Player],0),31),INDEX(Goalie[],MATCH(Table16[[#This Row],[Player]],Goalie[player],0),20)))</f>
        <v/>
      </c>
    </row>
    <row r="255" spans="1:9" x14ac:dyDescent="0.25">
      <c r="A255" t="s">
        <v>641</v>
      </c>
      <c r="B255" s="2" t="s">
        <v>105</v>
      </c>
      <c r="C255" t="str">
        <f t="shared" si="3"/>
        <v>RW</v>
      </c>
      <c r="D255" s="10">
        <f>MAX(_xlfn.IFNA(INDEX(Proj[],MATCH(Table16[[#This Row],[Player]],Proj[Player],0),27),-5000), _xlfn.IFNA(INDEX(Goalie[],MATCH(Table16[[#This Row],[Player]],Goalie[player],0),17),-5000))</f>
        <v>-162.97779363353015</v>
      </c>
      <c r="E255">
        <f>_xlfn.RANK.EQ(Table16[[#This Row],[VOR]],Table16[VOR])</f>
        <v>264</v>
      </c>
      <c r="F255" cm="1">
        <f t="array" ref="F255">_xlfn.IFS(C255 = "C",INDEX('C'!$A$2:$L$254,MATCH($A255,'C'!$A$2:$A$254,0),10),C255 = "LW",INDEX(LW!$A$2:$K$180,MATCH($A255,LW!$A$2:$A$180,0),10),C255 = "RW",INDEX('RW'!$A$2:$L$164,MATCH($A255,'RW'!$A$2:$A$164,0),10), C255 = "D",INDEX(D!$A$2:$L$268,MATCH($A255,D!$A$2:$A$268,0),10),C255="G",INDEX(G!$A$2:$Q$78,MATCH($A255,G!$A$2:$A$78,0),16),C255="F",INDEX(F!$A$2:$K$494,MATCH($A255,F!$A$2:$A$494,0),10))</f>
        <v>53</v>
      </c>
      <c r="G255" t="str">
        <f>_xlfn.CONCAT(C255,Table16[[#This Row],[Pos Rank2]])</f>
        <v>RW53</v>
      </c>
      <c r="H255" s="10">
        <f>MAX(_xlfn.IFNA(INDEX(Proj[],MATCH(Table16[[#This Row],[Player]],Proj[Player],0),29),-5000), _xlfn.IFNA(INDEX(Goalie[],MATCH(Table16[[#This Row],[Player]],Goalie[player],0),19),-5000))</f>
        <v>283.5669307567187</v>
      </c>
      <c r="I255" t="str">
        <f>IF(_xlfn.IFNA(INDEX(Proj[],MATCH(Table16[[#This Row],[Player]],Proj[Player],0),31),INDEX(Goalie[],MATCH(Table16[[#This Row],[Player]],Goalie[player],0),20)) = 0, "",_xlfn.IFNA(INDEX(Proj[],MATCH(Table16[[#This Row],[Player]],Proj[Player],0),31),INDEX(Goalie[],MATCH(Table16[[#This Row],[Player]],Goalie[player],0),20)))</f>
        <v/>
      </c>
    </row>
    <row r="256" spans="1:9" x14ac:dyDescent="0.25">
      <c r="A256" t="s">
        <v>1001</v>
      </c>
      <c r="B256" s="2" t="s">
        <v>102</v>
      </c>
      <c r="C256" t="str">
        <f t="shared" si="3"/>
        <v>LW</v>
      </c>
      <c r="D256" s="10">
        <f>MAX(_xlfn.IFNA(INDEX(Proj[],MATCH(Table16[[#This Row],[Player]],Proj[Player],0),27),-5000), _xlfn.IFNA(INDEX(Goalie[],MATCH(Table16[[#This Row],[Player]],Goalie[player],0),17),-5000))</f>
        <v>-176.50264074439707</v>
      </c>
      <c r="E256">
        <f>_xlfn.RANK.EQ(Table16[[#This Row],[VOR]],Table16[VOR])</f>
        <v>276</v>
      </c>
      <c r="F256" cm="1">
        <f t="array" ref="F256">_xlfn.IFS(C256 = "C",INDEX('C'!$A$2:$L$254,MATCH($A256,'C'!$A$2:$A$254,0),10),C256 = "LW",INDEX(LW!$A$2:$K$180,MATCH($A256,LW!$A$2:$A$180,0),10),C256 = "RW",INDEX('RW'!$A$2:$L$164,MATCH($A256,'RW'!$A$2:$A$164,0),10), C256 = "D",INDEX(D!$A$2:$L$268,MATCH($A256,D!$A$2:$A$268,0),10),C256="G",INDEX(G!$A$2:$Q$78,MATCH($A256,G!$A$2:$A$78,0),16),C256="F",INDEX(F!$A$2:$K$494,MATCH($A256,F!$A$2:$A$494,0),10))</f>
        <v>60</v>
      </c>
      <c r="G256" t="str">
        <f>_xlfn.CONCAT(C256,Table16[[#This Row],[Pos Rank2]])</f>
        <v>LW60</v>
      </c>
      <c r="H256" s="10">
        <f>MAX(_xlfn.IFNA(INDEX(Proj[],MATCH(Table16[[#This Row],[Player]],Proj[Player],0),29),-5000), _xlfn.IFNA(INDEX(Goalie[],MATCH(Table16[[#This Row],[Player]],Goalie[player],0),19),-5000))</f>
        <v>295.04208364585179</v>
      </c>
      <c r="I256" t="str">
        <f>IF(_xlfn.IFNA(INDEX(Proj[],MATCH(Table16[[#This Row],[Player]],Proj[Player],0),31),INDEX(Goalie[],MATCH(Table16[[#This Row],[Player]],Goalie[player],0),20)) = 0, "",_xlfn.IFNA(INDEX(Proj[],MATCH(Table16[[#This Row],[Player]],Proj[Player],0),31),INDEX(Goalie[],MATCH(Table16[[#This Row],[Player]],Goalie[player],0),20)))</f>
        <v/>
      </c>
    </row>
    <row r="257" spans="1:9" x14ac:dyDescent="0.25">
      <c r="A257" t="s">
        <v>540</v>
      </c>
      <c r="B257" s="2" t="s">
        <v>102</v>
      </c>
      <c r="C257" t="str">
        <f t="shared" si="3"/>
        <v>LW</v>
      </c>
      <c r="D257" s="10">
        <f>MAX(_xlfn.IFNA(INDEX(Proj[],MATCH(Table16[[#This Row],[Player]],Proj[Player],0),27),-5000), _xlfn.IFNA(INDEX(Goalie[],MATCH(Table16[[#This Row],[Player]],Goalie[player],0),17),-5000))</f>
        <v>-219.54304536125767</v>
      </c>
      <c r="E257">
        <f>_xlfn.RANK.EQ(Table16[[#This Row],[VOR]],Table16[VOR])</f>
        <v>306</v>
      </c>
      <c r="F257" cm="1">
        <f t="array" ref="F257">_xlfn.IFS(C257 = "C",INDEX('C'!$A$2:$L$254,MATCH($A257,'C'!$A$2:$A$254,0),10),C257 = "LW",INDEX(LW!$A$2:$K$180,MATCH($A257,LW!$A$2:$A$180,0),10),C257 = "RW",INDEX('RW'!$A$2:$L$164,MATCH($A257,'RW'!$A$2:$A$164,0),10), C257 = "D",INDEX(D!$A$2:$L$268,MATCH($A257,D!$A$2:$A$268,0),10),C257="G",INDEX(G!$A$2:$Q$78,MATCH($A257,G!$A$2:$A$78,0),16),C257="F",INDEX(F!$A$2:$K$494,MATCH($A257,F!$A$2:$A$494,0),10))</f>
        <v>70</v>
      </c>
      <c r="G257" t="str">
        <f>_xlfn.CONCAT(C257,Table16[[#This Row],[Pos Rank2]])</f>
        <v>LW70</v>
      </c>
      <c r="H257" s="10">
        <f>MAX(_xlfn.IFNA(INDEX(Proj[],MATCH(Table16[[#This Row],[Player]],Proj[Player],0),29),-5000), _xlfn.IFNA(INDEX(Goalie[],MATCH(Table16[[#This Row],[Player]],Goalie[player],0),19),-5000))</f>
        <v>252.00167902899119</v>
      </c>
      <c r="I257" t="str">
        <f>IF(_xlfn.IFNA(INDEX(Proj[],MATCH(Table16[[#This Row],[Player]],Proj[Player],0),31),INDEX(Goalie[],MATCH(Table16[[#This Row],[Player]],Goalie[player],0),20)) = 0, "",_xlfn.IFNA(INDEX(Proj[],MATCH(Table16[[#This Row],[Player]],Proj[Player],0),31),INDEX(Goalie[],MATCH(Table16[[#This Row],[Player]],Goalie[player],0),20)))</f>
        <v/>
      </c>
    </row>
    <row r="258" spans="1:9" x14ac:dyDescent="0.25">
      <c r="A258" t="s">
        <v>1073</v>
      </c>
      <c r="B258" s="2" t="s">
        <v>3</v>
      </c>
      <c r="C258" t="str">
        <f t="shared" ref="C258:C321" si="4">SUBSTITUTE(SUBSTITUTE(B258,"C,",""),"LW,","")</f>
        <v>D</v>
      </c>
      <c r="D258" s="10">
        <f>MAX(_xlfn.IFNA(INDEX(Proj[],MATCH(Table16[[#This Row],[Player]],Proj[Player],0),27),-5000), _xlfn.IFNA(INDEX(Goalie[],MATCH(Table16[[#This Row],[Player]],Goalie[player],0),17),-5000))</f>
        <v>-341.57986344425979</v>
      </c>
      <c r="E258">
        <f>_xlfn.RANK.EQ(Table16[[#This Row],[VOR]],Table16[VOR])</f>
        <v>393</v>
      </c>
      <c r="F258" cm="1">
        <f t="array" ref="F258">_xlfn.IFS(C258 = "C",INDEX('C'!$A$2:$L$254,MATCH($A258,'C'!$A$2:$A$254,0),10),C258 = "LW",INDEX(LW!$A$2:$K$180,MATCH($A258,LW!$A$2:$A$180,0),10),C258 = "RW",INDEX('RW'!$A$2:$L$164,MATCH($A258,'RW'!$A$2:$A$164,0),10), C258 = "D",INDEX(D!$A$2:$L$268,MATCH($A258,D!$A$2:$A$268,0),10),C258="G",INDEX(G!$A$2:$Q$78,MATCH($A258,G!$A$2:$A$78,0),16),C258="F",INDEX(F!$A$2:$K$494,MATCH($A258,F!$A$2:$A$494,0),10))</f>
        <v>155</v>
      </c>
      <c r="G258" t="str">
        <f>_xlfn.CONCAT(C258,Table16[[#This Row],[Pos Rank2]])</f>
        <v>D155</v>
      </c>
      <c r="H258" s="10">
        <f>MAX(_xlfn.IFNA(INDEX(Proj[],MATCH(Table16[[#This Row],[Player]],Proj[Player],0),29),-5000), _xlfn.IFNA(INDEX(Goalie[],MATCH(Table16[[#This Row],[Player]],Goalie[player],0),19),-5000))</f>
        <v>-234.2150957247953</v>
      </c>
      <c r="I258" t="str">
        <f>IF(_xlfn.IFNA(INDEX(Proj[],MATCH(Table16[[#This Row],[Player]],Proj[Player],0),31),INDEX(Goalie[],MATCH(Table16[[#This Row],[Player]],Goalie[player],0),20)) = 0, "",_xlfn.IFNA(INDEX(Proj[],MATCH(Table16[[#This Row],[Player]],Proj[Player],0),31),INDEX(Goalie[],MATCH(Table16[[#This Row],[Player]],Goalie[player],0),20)))</f>
        <v/>
      </c>
    </row>
    <row r="259" spans="1:9" x14ac:dyDescent="0.25">
      <c r="A259" t="s">
        <v>584</v>
      </c>
      <c r="B259" s="2" t="s">
        <v>3</v>
      </c>
      <c r="C259" t="str">
        <f t="shared" si="4"/>
        <v>D</v>
      </c>
      <c r="D259" s="10">
        <f>MAX(_xlfn.IFNA(INDEX(Proj[],MATCH(Table16[[#This Row],[Player]],Proj[Player],0),27),-5000), _xlfn.IFNA(INDEX(Goalie[],MATCH(Table16[[#This Row],[Player]],Goalie[player],0),17),-5000))</f>
        <v>-143.96695054446076</v>
      </c>
      <c r="E259">
        <f>_xlfn.RANK.EQ(Table16[[#This Row],[VOR]],Table16[VOR])</f>
        <v>253</v>
      </c>
      <c r="F259" cm="1">
        <f t="array" ref="F259">_xlfn.IFS(C259 = "C",INDEX('C'!$A$2:$L$254,MATCH($A259,'C'!$A$2:$A$254,0),10),C259 = "LW",INDEX(LW!$A$2:$K$180,MATCH($A259,LW!$A$2:$A$180,0),10),C259 = "RW",INDEX('RW'!$A$2:$L$164,MATCH($A259,'RW'!$A$2:$A$164,0),10), C259 = "D",INDEX(D!$A$2:$L$268,MATCH($A259,D!$A$2:$A$268,0),10),C259="G",INDEX(G!$A$2:$Q$78,MATCH($A259,G!$A$2:$A$78,0),16),C259="F",INDEX(F!$A$2:$K$494,MATCH($A259,F!$A$2:$A$494,0),10))</f>
        <v>96</v>
      </c>
      <c r="G259" t="str">
        <f>_xlfn.CONCAT(C259,Table16[[#This Row],[Pos Rank2]])</f>
        <v>D96</v>
      </c>
      <c r="H259" s="10">
        <f>MAX(_xlfn.IFNA(INDEX(Proj[],MATCH(Table16[[#This Row],[Player]],Proj[Player],0),29),-5000), _xlfn.IFNA(INDEX(Goalie[],MATCH(Table16[[#This Row],[Player]],Goalie[player],0),19),-5000))</f>
        <v>-36.602182824996291</v>
      </c>
      <c r="I259" t="str">
        <f>IF(_xlfn.IFNA(INDEX(Proj[],MATCH(Table16[[#This Row],[Player]],Proj[Player],0),31),INDEX(Goalie[],MATCH(Table16[[#This Row],[Player]],Goalie[player],0),20)) = 0, "",_xlfn.IFNA(INDEX(Proj[],MATCH(Table16[[#This Row],[Player]],Proj[Player],0),31),INDEX(Goalie[],MATCH(Table16[[#This Row],[Player]],Goalie[player],0),20)))</f>
        <v/>
      </c>
    </row>
    <row r="260" spans="1:9" x14ac:dyDescent="0.25">
      <c r="A260" t="s">
        <v>457</v>
      </c>
      <c r="B260" s="2" t="s">
        <v>101</v>
      </c>
      <c r="C260" t="str">
        <f t="shared" si="4"/>
        <v>LW</v>
      </c>
      <c r="D260" s="10">
        <f>MAX(_xlfn.IFNA(INDEX(Proj[],MATCH(Table16[[#This Row],[Player]],Proj[Player],0),27),-5000), _xlfn.IFNA(INDEX(Goalie[],MATCH(Table16[[#This Row],[Player]],Goalie[player],0),17),-5000))</f>
        <v>-206.56788182959195</v>
      </c>
      <c r="E260">
        <f>_xlfn.RANK.EQ(Table16[[#This Row],[VOR]],Table16[VOR])</f>
        <v>294</v>
      </c>
      <c r="F260" cm="1">
        <f t="array" ref="F260">_xlfn.IFS(C260 = "C",INDEX('C'!$A$2:$L$254,MATCH($A260,'C'!$A$2:$A$254,0),10),C260 = "LW",INDEX(LW!$A$2:$K$180,MATCH($A260,LW!$A$2:$A$180,0),10),C260 = "RW",INDEX('RW'!$A$2:$L$164,MATCH($A260,'RW'!$A$2:$A$164,0),10), C260 = "D",INDEX(D!$A$2:$L$268,MATCH($A260,D!$A$2:$A$268,0),10),C260="G",INDEX(G!$A$2:$Q$78,MATCH($A260,G!$A$2:$A$78,0),16),C260="F",INDEX(F!$A$2:$K$494,MATCH($A260,F!$A$2:$A$494,0),10))</f>
        <v>67</v>
      </c>
      <c r="G260" t="str">
        <f>_xlfn.CONCAT(C260,Table16[[#This Row],[Pos Rank2]])</f>
        <v>LW67</v>
      </c>
      <c r="H260" s="10">
        <f>MAX(_xlfn.IFNA(INDEX(Proj[],MATCH(Table16[[#This Row],[Player]],Proj[Player],0),29),-5000), _xlfn.IFNA(INDEX(Goalie[],MATCH(Table16[[#This Row],[Player]],Goalie[player],0),19),-5000))</f>
        <v>264.97684256065691</v>
      </c>
      <c r="I260" t="str">
        <f>IF(_xlfn.IFNA(INDEX(Proj[],MATCH(Table16[[#This Row],[Player]],Proj[Player],0),31),INDEX(Goalie[],MATCH(Table16[[#This Row],[Player]],Goalie[player],0),20)) = 0, "",_xlfn.IFNA(INDEX(Proj[],MATCH(Table16[[#This Row],[Player]],Proj[Player],0),31),INDEX(Goalie[],MATCH(Table16[[#This Row],[Player]],Goalie[player],0),20)))</f>
        <v/>
      </c>
    </row>
    <row r="261" spans="1:9" x14ac:dyDescent="0.25">
      <c r="A261" t="s">
        <v>459</v>
      </c>
      <c r="B261" s="2" t="s">
        <v>3</v>
      </c>
      <c r="C261" t="str">
        <f t="shared" si="4"/>
        <v>D</v>
      </c>
      <c r="D261" s="10">
        <f>MAX(_xlfn.IFNA(INDEX(Proj[],MATCH(Table16[[#This Row],[Player]],Proj[Player],0),27),-5000), _xlfn.IFNA(INDEX(Goalie[],MATCH(Table16[[#This Row],[Player]],Goalie[player],0),17),-5000))</f>
        <v>-145.14435940755772</v>
      </c>
      <c r="E261">
        <f>_xlfn.RANK.EQ(Table16[[#This Row],[VOR]],Table16[VOR])</f>
        <v>255</v>
      </c>
      <c r="F261" cm="1">
        <f t="array" ref="F261">_xlfn.IFS(C261 = "C",INDEX('C'!$A$2:$L$254,MATCH($A261,'C'!$A$2:$A$254,0),10),C261 = "LW",INDEX(LW!$A$2:$K$180,MATCH($A261,LW!$A$2:$A$180,0),10),C261 = "RW",INDEX('RW'!$A$2:$L$164,MATCH($A261,'RW'!$A$2:$A$164,0),10), C261 = "D",INDEX(D!$A$2:$L$268,MATCH($A261,D!$A$2:$A$268,0),10),C261="G",INDEX(G!$A$2:$Q$78,MATCH($A261,G!$A$2:$A$78,0),16),C261="F",INDEX(F!$A$2:$K$494,MATCH($A261,F!$A$2:$A$494,0),10))</f>
        <v>97</v>
      </c>
      <c r="G261" t="str">
        <f>_xlfn.CONCAT(C261,Table16[[#This Row],[Pos Rank2]])</f>
        <v>D97</v>
      </c>
      <c r="H261" s="10">
        <f>MAX(_xlfn.IFNA(INDEX(Proj[],MATCH(Table16[[#This Row],[Player]],Proj[Player],0),29),-5000), _xlfn.IFNA(INDEX(Goalie[],MATCH(Table16[[#This Row],[Player]],Goalie[player],0),19),-5000))</f>
        <v>-37.77959168809322</v>
      </c>
      <c r="I261" t="str">
        <f>IF(_xlfn.IFNA(INDEX(Proj[],MATCH(Table16[[#This Row],[Player]],Proj[Player],0),31),INDEX(Goalie[],MATCH(Table16[[#This Row],[Player]],Goalie[player],0),20)) = 0, "",_xlfn.IFNA(INDEX(Proj[],MATCH(Table16[[#This Row],[Player]],Proj[Player],0),31),INDEX(Goalie[],MATCH(Table16[[#This Row],[Player]],Goalie[player],0),20)))</f>
        <v/>
      </c>
    </row>
    <row r="262" spans="1:9" x14ac:dyDescent="0.25">
      <c r="A262" t="s">
        <v>383</v>
      </c>
      <c r="B262" s="2" t="s">
        <v>3</v>
      </c>
      <c r="C262" t="str">
        <f t="shared" si="4"/>
        <v>D</v>
      </c>
      <c r="D262" s="10">
        <f>MAX(_xlfn.IFNA(INDEX(Proj[],MATCH(Table16[[#This Row],[Player]],Proj[Player],0),27),-5000), _xlfn.IFNA(INDEX(Goalie[],MATCH(Table16[[#This Row],[Player]],Goalie[player],0),17),-5000))</f>
        <v>-145.47360533245813</v>
      </c>
      <c r="E262">
        <f>_xlfn.RANK.EQ(Table16[[#This Row],[VOR]],Table16[VOR])</f>
        <v>256</v>
      </c>
      <c r="F262" cm="1">
        <f t="array" ref="F262">_xlfn.IFS(C262 = "C",INDEX('C'!$A$2:$L$254,MATCH($A262,'C'!$A$2:$A$254,0),10),C262 = "LW",INDEX(LW!$A$2:$K$180,MATCH($A262,LW!$A$2:$A$180,0),10),C262 = "RW",INDEX('RW'!$A$2:$L$164,MATCH($A262,'RW'!$A$2:$A$164,0),10), C262 = "D",INDEX(D!$A$2:$L$268,MATCH($A262,D!$A$2:$A$268,0),10),C262="G",INDEX(G!$A$2:$Q$78,MATCH($A262,G!$A$2:$A$78,0),16),C262="F",INDEX(F!$A$2:$K$494,MATCH($A262,F!$A$2:$A$494,0),10))</f>
        <v>98</v>
      </c>
      <c r="G262" t="str">
        <f>_xlfn.CONCAT(C262,Table16[[#This Row],[Pos Rank2]])</f>
        <v>D98</v>
      </c>
      <c r="H262" s="10">
        <f>MAX(_xlfn.IFNA(INDEX(Proj[],MATCH(Table16[[#This Row],[Player]],Proj[Player],0),29),-5000), _xlfn.IFNA(INDEX(Goalie[],MATCH(Table16[[#This Row],[Player]],Goalie[player],0),19),-5000))</f>
        <v>-38.108837612993653</v>
      </c>
      <c r="I262" t="str">
        <f>IF(_xlfn.IFNA(INDEX(Proj[],MATCH(Table16[[#This Row],[Player]],Proj[Player],0),31),INDEX(Goalie[],MATCH(Table16[[#This Row],[Player]],Goalie[player],0),20)) = 0, "",_xlfn.IFNA(INDEX(Proj[],MATCH(Table16[[#This Row],[Player]],Proj[Player],0),31),INDEX(Goalie[],MATCH(Table16[[#This Row],[Player]],Goalie[player],0),20)))</f>
        <v/>
      </c>
    </row>
    <row r="263" spans="1:9" x14ac:dyDescent="0.25">
      <c r="A263" t="s">
        <v>461</v>
      </c>
      <c r="B263" s="2" t="s">
        <v>103</v>
      </c>
      <c r="C263" t="str">
        <f t="shared" si="4"/>
        <v>RW</v>
      </c>
      <c r="D263" s="10">
        <f>MAX(_xlfn.IFNA(INDEX(Proj[],MATCH(Table16[[#This Row],[Player]],Proj[Player],0),27),-5000), _xlfn.IFNA(INDEX(Goalie[],MATCH(Table16[[#This Row],[Player]],Goalie[player],0),17),-5000))</f>
        <v>-215.38770623193403</v>
      </c>
      <c r="E263">
        <f>_xlfn.RANK.EQ(Table16[[#This Row],[VOR]],Table16[VOR])</f>
        <v>304</v>
      </c>
      <c r="F263" cm="1">
        <f t="array" ref="F263">_xlfn.IFS(C263 = "C",INDEX('C'!$A$2:$L$254,MATCH($A263,'C'!$A$2:$A$254,0),10),C263 = "LW",INDEX(LW!$A$2:$K$180,MATCH($A263,LW!$A$2:$A$180,0),10),C263 = "RW",INDEX('RW'!$A$2:$L$164,MATCH($A263,'RW'!$A$2:$A$164,0),10), C263 = "D",INDEX(D!$A$2:$L$268,MATCH($A263,D!$A$2:$A$268,0),10),C263="G",INDEX(G!$A$2:$Q$78,MATCH($A263,G!$A$2:$A$78,0),16),C263="F",INDEX(F!$A$2:$K$494,MATCH($A263,F!$A$2:$A$494,0),10))</f>
        <v>60</v>
      </c>
      <c r="G263" t="str">
        <f>_xlfn.CONCAT(C263,Table16[[#This Row],[Pos Rank2]])</f>
        <v>RW60</v>
      </c>
      <c r="H263" s="10">
        <f>MAX(_xlfn.IFNA(INDEX(Proj[],MATCH(Table16[[#This Row],[Player]],Proj[Player],0),29),-5000), _xlfn.IFNA(INDEX(Goalie[],MATCH(Table16[[#This Row],[Player]],Goalie[player],0),19),-5000))</f>
        <v>231.15701815831483</v>
      </c>
      <c r="I263" t="str">
        <f>IF(_xlfn.IFNA(INDEX(Proj[],MATCH(Table16[[#This Row],[Player]],Proj[Player],0),31),INDEX(Goalie[],MATCH(Table16[[#This Row],[Player]],Goalie[player],0),20)) = 0, "",_xlfn.IFNA(INDEX(Proj[],MATCH(Table16[[#This Row],[Player]],Proj[Player],0),31),INDEX(Goalie[],MATCH(Table16[[#This Row],[Player]],Goalie[player],0),20)))</f>
        <v/>
      </c>
    </row>
    <row r="264" spans="1:9" x14ac:dyDescent="0.25">
      <c r="A264" t="s">
        <v>447</v>
      </c>
      <c r="B264" s="2" t="s">
        <v>105</v>
      </c>
      <c r="C264" t="str">
        <f t="shared" si="4"/>
        <v>RW</v>
      </c>
      <c r="D264" s="10">
        <f>MAX(_xlfn.IFNA(INDEX(Proj[],MATCH(Table16[[#This Row],[Player]],Proj[Player],0),27),-5000), _xlfn.IFNA(INDEX(Goalie[],MATCH(Table16[[#This Row],[Player]],Goalie[player],0),17),-5000))</f>
        <v>23.385574371655878</v>
      </c>
      <c r="E264">
        <f>_xlfn.RANK.EQ(Table16[[#This Row],[VOR]],Table16[VOR])</f>
        <v>172</v>
      </c>
      <c r="F264" cm="1">
        <f t="array" ref="F264">_xlfn.IFS(C264 = "C",INDEX('C'!$A$2:$L$254,MATCH($A264,'C'!$A$2:$A$254,0),10),C264 = "LW",INDEX(LW!$A$2:$K$180,MATCH($A264,LW!$A$2:$A$180,0),10),C264 = "RW",INDEX('RW'!$A$2:$L$164,MATCH($A264,'RW'!$A$2:$A$164,0),10), C264 = "D",INDEX(D!$A$2:$L$268,MATCH($A264,D!$A$2:$A$268,0),10),C264="G",INDEX(G!$A$2:$Q$78,MATCH($A264,G!$A$2:$A$78,0),16),C264="F",INDEX(F!$A$2:$K$494,MATCH($A264,F!$A$2:$A$494,0),10))</f>
        <v>34</v>
      </c>
      <c r="G264" t="str">
        <f>_xlfn.CONCAT(C264,Table16[[#This Row],[Pos Rank2]])</f>
        <v>RW34</v>
      </c>
      <c r="H264" s="10">
        <f>MAX(_xlfn.IFNA(INDEX(Proj[],MATCH(Table16[[#This Row],[Player]],Proj[Player],0),29),-5000), _xlfn.IFNA(INDEX(Goalie[],MATCH(Table16[[#This Row],[Player]],Goalie[player],0),19),-5000))</f>
        <v>469.93029876190474</v>
      </c>
      <c r="I264" t="str">
        <f>IF(_xlfn.IFNA(INDEX(Proj[],MATCH(Table16[[#This Row],[Player]],Proj[Player],0),31),INDEX(Goalie[],MATCH(Table16[[#This Row],[Player]],Goalie[player],0),20)) = 0, "",_xlfn.IFNA(INDEX(Proj[],MATCH(Table16[[#This Row],[Player]],Proj[Player],0),31),INDEX(Goalie[],MATCH(Table16[[#This Row],[Player]],Goalie[player],0),20)))</f>
        <v/>
      </c>
    </row>
    <row r="265" spans="1:9" x14ac:dyDescent="0.25">
      <c r="A265" t="s">
        <v>1244</v>
      </c>
      <c r="B265" s="2" t="s">
        <v>157</v>
      </c>
      <c r="C265" t="str">
        <f t="shared" si="4"/>
        <v>G</v>
      </c>
      <c r="D265" s="10">
        <f>MAX(_xlfn.IFNA(INDEX(Proj[],MATCH(Table16[[#This Row],[Player]],Proj[Player],0),27),-5000), _xlfn.IFNA(INDEX(Goalie[],MATCH(Table16[[#This Row],[Player]],Goalie[player],0),17),-5000))</f>
        <v>-178.63849860101405</v>
      </c>
      <c r="E265">
        <f>_xlfn.RANK.EQ(Table16[[#This Row],[VOR]],Table16[VOR])</f>
        <v>278</v>
      </c>
      <c r="F265" cm="1">
        <f t="array" ref="F265">_xlfn.IFS(C265 = "C",INDEX('C'!$A$2:$L$254,MATCH($A265,'C'!$A$2:$A$254,0),10),C265 = "LW",INDEX(LW!$A$2:$K$180,MATCH($A265,LW!$A$2:$A$180,0),10),C265 = "RW",INDEX('RW'!$A$2:$L$164,MATCH($A265,'RW'!$A$2:$A$164,0),10), C265 = "D",INDEX(D!$A$2:$L$268,MATCH($A265,D!$A$2:$A$268,0),10),C265="G",INDEX(G!$A$2:$Q$78,MATCH($A265,G!$A$2:$A$78,0),16),C265="F",INDEX(F!$A$2:$K$494,MATCH($A265,F!$A$2:$A$494,0),10))</f>
        <v>40</v>
      </c>
      <c r="G265" t="str">
        <f>_xlfn.CONCAT(C265,Table16[[#This Row],[Pos Rank2]])</f>
        <v>G40</v>
      </c>
      <c r="H265" s="10">
        <f>MAX(_xlfn.IFNA(INDEX(Proj[],MATCH(Table16[[#This Row],[Player]],Proj[Player],0),29),-5000), _xlfn.IFNA(INDEX(Goalie[],MATCH(Table16[[#This Row],[Player]],Goalie[player],0),19),-5000))</f>
        <v>442.24599999999992</v>
      </c>
      <c r="I265" t="str">
        <f>IF(_xlfn.IFNA(INDEX(Proj[],MATCH(Table16[[#This Row],[Player]],Proj[Player],0),31),INDEX(Goalie[],MATCH(Table16[[#This Row],[Player]],Goalie[player],0),20)) = 0, "",_xlfn.IFNA(INDEX(Proj[],MATCH(Table16[[#This Row],[Player]],Proj[Player],0),31),INDEX(Goalie[],MATCH(Table16[[#This Row],[Player]],Goalie[player],0),20)))</f>
        <v/>
      </c>
    </row>
    <row r="266" spans="1:9" x14ac:dyDescent="0.25">
      <c r="A266" t="s">
        <v>392</v>
      </c>
      <c r="B266" s="2" t="s">
        <v>3</v>
      </c>
      <c r="C266" t="str">
        <f t="shared" si="4"/>
        <v>D</v>
      </c>
      <c r="D266" s="10">
        <f>MAX(_xlfn.IFNA(INDEX(Proj[],MATCH(Table16[[#This Row],[Player]],Proj[Player],0),27),-5000), _xlfn.IFNA(INDEX(Goalie[],MATCH(Table16[[#This Row],[Player]],Goalie[player],0),17),-5000))</f>
        <v>-148.03405789417863</v>
      </c>
      <c r="E266">
        <f>_xlfn.RANK.EQ(Table16[[#This Row],[VOR]],Table16[VOR])</f>
        <v>258</v>
      </c>
      <c r="F266" cm="1">
        <f t="array" ref="F266">_xlfn.IFS(C266 = "C",INDEX('C'!$A$2:$L$254,MATCH($A266,'C'!$A$2:$A$254,0),10),C266 = "LW",INDEX(LW!$A$2:$K$180,MATCH($A266,LW!$A$2:$A$180,0),10),C266 = "RW",INDEX('RW'!$A$2:$L$164,MATCH($A266,'RW'!$A$2:$A$164,0),10), C266 = "D",INDEX(D!$A$2:$L$268,MATCH($A266,D!$A$2:$A$268,0),10),C266="G",INDEX(G!$A$2:$Q$78,MATCH($A266,G!$A$2:$A$78,0),16),C266="F",INDEX(F!$A$2:$K$494,MATCH($A266,F!$A$2:$A$494,0),10))</f>
        <v>99</v>
      </c>
      <c r="G266" t="str">
        <f>_xlfn.CONCAT(C266,Table16[[#This Row],[Pos Rank2]])</f>
        <v>D99</v>
      </c>
      <c r="H266" s="10">
        <f>MAX(_xlfn.IFNA(INDEX(Proj[],MATCH(Table16[[#This Row],[Player]],Proj[Player],0),29),-5000), _xlfn.IFNA(INDEX(Goalie[],MATCH(Table16[[#This Row],[Player]],Goalie[player],0),19),-5000))</f>
        <v>-40.669290174714156</v>
      </c>
      <c r="I266" t="str">
        <f>IF(_xlfn.IFNA(INDEX(Proj[],MATCH(Table16[[#This Row],[Player]],Proj[Player],0),31),INDEX(Goalie[],MATCH(Table16[[#This Row],[Player]],Goalie[player],0),20)) = 0, "",_xlfn.IFNA(INDEX(Proj[],MATCH(Table16[[#This Row],[Player]],Proj[Player],0),31),INDEX(Goalie[],MATCH(Table16[[#This Row],[Player]],Goalie[player],0),20)))</f>
        <v/>
      </c>
    </row>
    <row r="267" spans="1:9" x14ac:dyDescent="0.25">
      <c r="A267" t="s">
        <v>1098</v>
      </c>
      <c r="B267" s="2" t="s">
        <v>74</v>
      </c>
      <c r="C267" t="str">
        <f t="shared" si="4"/>
        <v>C</v>
      </c>
      <c r="D267" s="10">
        <f>MAX(_xlfn.IFNA(INDEX(Proj[],MATCH(Table16[[#This Row],[Player]],Proj[Player],0),27),-5000), _xlfn.IFNA(INDEX(Goalie[],MATCH(Table16[[#This Row],[Player]],Goalie[player],0),17),-5000))</f>
        <v>-291.98910788406869</v>
      </c>
      <c r="E267">
        <f>_xlfn.RANK.EQ(Table16[[#This Row],[VOR]],Table16[VOR])</f>
        <v>353</v>
      </c>
      <c r="F267" cm="1">
        <f t="array" ref="F267">_xlfn.IFS(C267 = "C",INDEX('C'!$A$2:$L$254,MATCH($A267,'C'!$A$2:$A$254,0),10),C267 = "LW",INDEX(LW!$A$2:$K$180,MATCH($A267,LW!$A$2:$A$180,0),10),C267 = "RW",INDEX('RW'!$A$2:$L$164,MATCH($A267,'RW'!$A$2:$A$164,0),10), C267 = "D",INDEX(D!$A$2:$L$268,MATCH($A267,D!$A$2:$A$268,0),10),C267="G",INDEX(G!$A$2:$Q$78,MATCH($A267,G!$A$2:$A$78,0),16),C267="F",INDEX(F!$A$2:$K$494,MATCH($A267,F!$A$2:$A$494,0),10))</f>
        <v>70</v>
      </c>
      <c r="G267" t="str">
        <f>_xlfn.CONCAT(C267,Table16[[#This Row],[Pos Rank2]])</f>
        <v>C70</v>
      </c>
      <c r="H267" s="10">
        <f>MAX(_xlfn.IFNA(INDEX(Proj[],MATCH(Table16[[#This Row],[Player]],Proj[Player],0),29),-5000), _xlfn.IFNA(INDEX(Goalie[],MATCH(Table16[[#This Row],[Player]],Goalie[player],0),19),-5000))</f>
        <v>442.64474642622991</v>
      </c>
      <c r="I267" t="str">
        <f>IF(_xlfn.IFNA(INDEX(Proj[],MATCH(Table16[[#This Row],[Player]],Proj[Player],0),31),INDEX(Goalie[],MATCH(Table16[[#This Row],[Player]],Goalie[player],0),20)) = 0, "",_xlfn.IFNA(INDEX(Proj[],MATCH(Table16[[#This Row],[Player]],Proj[Player],0),31),INDEX(Goalie[],MATCH(Table16[[#This Row],[Player]],Goalie[player],0),20)))</f>
        <v/>
      </c>
    </row>
    <row r="268" spans="1:9" x14ac:dyDescent="0.25">
      <c r="A268" t="s">
        <v>1002</v>
      </c>
      <c r="B268" s="2" t="s">
        <v>104</v>
      </c>
      <c r="C268" t="str">
        <f t="shared" si="4"/>
        <v>RW</v>
      </c>
      <c r="D268" s="10">
        <f>MAX(_xlfn.IFNA(INDEX(Proj[],MATCH(Table16[[#This Row],[Player]],Proj[Player],0),27),-5000), _xlfn.IFNA(INDEX(Goalie[],MATCH(Table16[[#This Row],[Player]],Goalie[player],0),17),-5000))</f>
        <v>-214.06582556118349</v>
      </c>
      <c r="E268">
        <f>_xlfn.RANK.EQ(Table16[[#This Row],[VOR]],Table16[VOR])</f>
        <v>303</v>
      </c>
      <c r="F268" cm="1">
        <f t="array" ref="F268">_xlfn.IFS(C268 = "C",INDEX('C'!$A$2:$L$254,MATCH($A268,'C'!$A$2:$A$254,0),10),C268 = "LW",INDEX(LW!$A$2:$K$180,MATCH($A268,LW!$A$2:$A$180,0),10),C268 = "RW",INDEX('RW'!$A$2:$L$164,MATCH($A268,'RW'!$A$2:$A$164,0),10), C268 = "D",INDEX(D!$A$2:$L$268,MATCH($A268,D!$A$2:$A$268,0),10),C268="G",INDEX(G!$A$2:$Q$78,MATCH($A268,G!$A$2:$A$78,0),16),C268="F",INDEX(F!$A$2:$K$494,MATCH($A268,F!$A$2:$A$494,0),10))</f>
        <v>59</v>
      </c>
      <c r="G268" t="str">
        <f>_xlfn.CONCAT(C268,Table16[[#This Row],[Pos Rank2]])</f>
        <v>RW59</v>
      </c>
      <c r="H268" s="10">
        <f>MAX(_xlfn.IFNA(INDEX(Proj[],MATCH(Table16[[#This Row],[Player]],Proj[Player],0),29),-5000), _xlfn.IFNA(INDEX(Goalie[],MATCH(Table16[[#This Row],[Player]],Goalie[player],0),19),-5000))</f>
        <v>232.47889882906537</v>
      </c>
      <c r="I268" t="str">
        <f>IF(_xlfn.IFNA(INDEX(Proj[],MATCH(Table16[[#This Row],[Player]],Proj[Player],0),31),INDEX(Goalie[],MATCH(Table16[[#This Row],[Player]],Goalie[player],0),20)) = 0, "",_xlfn.IFNA(INDEX(Proj[],MATCH(Table16[[#This Row],[Player]],Proj[Player],0),31),INDEX(Goalie[],MATCH(Table16[[#This Row],[Player]],Goalie[player],0),20)))</f>
        <v/>
      </c>
    </row>
    <row r="269" spans="1:9" x14ac:dyDescent="0.25">
      <c r="A269" t="s">
        <v>468</v>
      </c>
      <c r="B269" s="2" t="s">
        <v>3</v>
      </c>
      <c r="C269" t="str">
        <f t="shared" si="4"/>
        <v>D</v>
      </c>
      <c r="D269" s="10">
        <f>MAX(_xlfn.IFNA(INDEX(Proj[],MATCH(Table16[[#This Row],[Player]],Proj[Player],0),27),-5000), _xlfn.IFNA(INDEX(Goalie[],MATCH(Table16[[#This Row],[Player]],Goalie[player],0),17),-5000))</f>
        <v>-150.52643235963427</v>
      </c>
      <c r="E269">
        <f>_xlfn.RANK.EQ(Table16[[#This Row],[VOR]],Table16[VOR])</f>
        <v>259</v>
      </c>
      <c r="F269" cm="1">
        <f t="array" ref="F269">_xlfn.IFS(C269 = "C",INDEX('C'!$A$2:$L$254,MATCH($A269,'C'!$A$2:$A$254,0),10),C269 = "LW",INDEX(LW!$A$2:$K$180,MATCH($A269,LW!$A$2:$A$180,0),10),C269 = "RW",INDEX('RW'!$A$2:$L$164,MATCH($A269,'RW'!$A$2:$A$164,0),10), C269 = "D",INDEX(D!$A$2:$L$268,MATCH($A269,D!$A$2:$A$268,0),10),C269="G",INDEX(G!$A$2:$Q$78,MATCH($A269,G!$A$2:$A$78,0),16),C269="F",INDEX(F!$A$2:$K$494,MATCH($A269,F!$A$2:$A$494,0),10))</f>
        <v>100</v>
      </c>
      <c r="G269" t="str">
        <f>_xlfn.CONCAT(C269,Table16[[#This Row],[Pos Rank2]])</f>
        <v>D100</v>
      </c>
      <c r="H269" s="10">
        <f>MAX(_xlfn.IFNA(INDEX(Proj[],MATCH(Table16[[#This Row],[Player]],Proj[Player],0),29),-5000), _xlfn.IFNA(INDEX(Goalie[],MATCH(Table16[[#This Row],[Player]],Goalie[player],0),19),-5000))</f>
        <v>-43.161664640169803</v>
      </c>
      <c r="I269" t="str">
        <f>IF(_xlfn.IFNA(INDEX(Proj[],MATCH(Table16[[#This Row],[Player]],Proj[Player],0),31),INDEX(Goalie[],MATCH(Table16[[#This Row],[Player]],Goalie[player],0),20)) = 0, "",_xlfn.IFNA(INDEX(Proj[],MATCH(Table16[[#This Row],[Player]],Proj[Player],0),31),INDEX(Goalie[],MATCH(Table16[[#This Row],[Player]],Goalie[player],0),20)))</f>
        <v/>
      </c>
    </row>
    <row r="270" spans="1:9" x14ac:dyDescent="0.25">
      <c r="A270" t="s">
        <v>451</v>
      </c>
      <c r="B270" s="2" t="s">
        <v>105</v>
      </c>
      <c r="C270" t="str">
        <f t="shared" si="4"/>
        <v>RW</v>
      </c>
      <c r="D270" s="10">
        <f>MAX(_xlfn.IFNA(INDEX(Proj[],MATCH(Table16[[#This Row],[Player]],Proj[Player],0),27),-5000), _xlfn.IFNA(INDEX(Goalie[],MATCH(Table16[[#This Row],[Player]],Goalie[player],0),17),-5000))</f>
        <v>-225.94483465282633</v>
      </c>
      <c r="E270">
        <f>_xlfn.RANK.EQ(Table16[[#This Row],[VOR]],Table16[VOR])</f>
        <v>311</v>
      </c>
      <c r="F270" cm="1">
        <f t="array" ref="F270">_xlfn.IFS(C270 = "C",INDEX('C'!$A$2:$L$254,MATCH($A270,'C'!$A$2:$A$254,0),10),C270 = "LW",INDEX(LW!$A$2:$K$180,MATCH($A270,LW!$A$2:$A$180,0),10),C270 = "RW",INDEX('RW'!$A$2:$L$164,MATCH($A270,'RW'!$A$2:$A$164,0),10), C270 = "D",INDEX(D!$A$2:$L$268,MATCH($A270,D!$A$2:$A$268,0),10),C270="G",INDEX(G!$A$2:$Q$78,MATCH($A270,G!$A$2:$A$78,0),16),C270="F",INDEX(F!$A$2:$K$494,MATCH($A270,F!$A$2:$A$494,0),10))</f>
        <v>62</v>
      </c>
      <c r="G270" t="str">
        <f>_xlfn.CONCAT(C270,Table16[[#This Row],[Pos Rank2]])</f>
        <v>RW62</v>
      </c>
      <c r="H270" s="10">
        <f>MAX(_xlfn.IFNA(INDEX(Proj[],MATCH(Table16[[#This Row],[Player]],Proj[Player],0),29),-5000), _xlfn.IFNA(INDEX(Goalie[],MATCH(Table16[[#This Row],[Player]],Goalie[player],0),19),-5000))</f>
        <v>220.59988973742253</v>
      </c>
      <c r="I270" t="str">
        <f>IF(_xlfn.IFNA(INDEX(Proj[],MATCH(Table16[[#This Row],[Player]],Proj[Player],0),31),INDEX(Goalie[],MATCH(Table16[[#This Row],[Player]],Goalie[player],0),20)) = 0, "",_xlfn.IFNA(INDEX(Proj[],MATCH(Table16[[#This Row],[Player]],Proj[Player],0),31),INDEX(Goalie[],MATCH(Table16[[#This Row],[Player]],Goalie[player],0),20)))</f>
        <v/>
      </c>
    </row>
    <row r="271" spans="1:9" x14ac:dyDescent="0.25">
      <c r="A271" t="s">
        <v>364</v>
      </c>
      <c r="B271" s="2" t="s">
        <v>105</v>
      </c>
      <c r="C271" t="str">
        <f t="shared" si="4"/>
        <v>RW</v>
      </c>
      <c r="D271" s="10">
        <f>MAX(_xlfn.IFNA(INDEX(Proj[],MATCH(Table16[[#This Row],[Player]],Proj[Player],0),27),-5000), _xlfn.IFNA(INDEX(Goalie[],MATCH(Table16[[#This Row],[Player]],Goalie[player],0),17),-5000))</f>
        <v>-86.12623833710586</v>
      </c>
      <c r="E271">
        <f>_xlfn.RANK.EQ(Table16[[#This Row],[VOR]],Table16[VOR])</f>
        <v>228</v>
      </c>
      <c r="F271" cm="1">
        <f t="array" ref="F271">_xlfn.IFS(C271 = "C",INDEX('C'!$A$2:$L$254,MATCH($A271,'C'!$A$2:$A$254,0),10),C271 = "LW",INDEX(LW!$A$2:$K$180,MATCH($A271,LW!$A$2:$A$180,0),10),C271 = "RW",INDEX('RW'!$A$2:$L$164,MATCH($A271,'RW'!$A$2:$A$164,0),10), C271 = "D",INDEX(D!$A$2:$L$268,MATCH($A271,D!$A$2:$A$268,0),10),C271="G",INDEX(G!$A$2:$Q$78,MATCH($A271,G!$A$2:$A$78,0),16),C271="F",INDEX(F!$A$2:$K$494,MATCH($A271,F!$A$2:$A$494,0),10))</f>
        <v>45</v>
      </c>
      <c r="G271" t="str">
        <f>_xlfn.CONCAT(C271,Table16[[#This Row],[Pos Rank2]])</f>
        <v>RW45</v>
      </c>
      <c r="H271" s="10">
        <f>MAX(_xlfn.IFNA(INDEX(Proj[],MATCH(Table16[[#This Row],[Player]],Proj[Player],0),29),-5000), _xlfn.IFNA(INDEX(Goalie[],MATCH(Table16[[#This Row],[Player]],Goalie[player],0),19),-5000))</f>
        <v>360.418486053143</v>
      </c>
      <c r="I271" t="str">
        <f>IF(_xlfn.IFNA(INDEX(Proj[],MATCH(Table16[[#This Row],[Player]],Proj[Player],0),31),INDEX(Goalie[],MATCH(Table16[[#This Row],[Player]],Goalie[player],0),20)) = 0, "",_xlfn.IFNA(INDEX(Proj[],MATCH(Table16[[#This Row],[Player]],Proj[Player],0),31),INDEX(Goalie[],MATCH(Table16[[#This Row],[Player]],Goalie[player],0),20)))</f>
        <v/>
      </c>
    </row>
    <row r="272" spans="1:9" x14ac:dyDescent="0.25">
      <c r="A272" t="s">
        <v>518</v>
      </c>
      <c r="B272" s="2" t="s">
        <v>102</v>
      </c>
      <c r="C272" t="str">
        <f t="shared" si="4"/>
        <v>LW</v>
      </c>
      <c r="D272" s="10">
        <f>MAX(_xlfn.IFNA(INDEX(Proj[],MATCH(Table16[[#This Row],[Player]],Proj[Player],0),27),-5000), _xlfn.IFNA(INDEX(Goalie[],MATCH(Table16[[#This Row],[Player]],Goalie[player],0),17),-5000))</f>
        <v>-204.62639078765523</v>
      </c>
      <c r="E272">
        <f>_xlfn.RANK.EQ(Table16[[#This Row],[VOR]],Table16[VOR])</f>
        <v>289</v>
      </c>
      <c r="F272" cm="1">
        <f t="array" ref="F272">_xlfn.IFS(C272 = "C",INDEX('C'!$A$2:$L$254,MATCH($A272,'C'!$A$2:$A$254,0),10),C272 = "LW",INDEX(LW!$A$2:$K$180,MATCH($A272,LW!$A$2:$A$180,0),10),C272 = "RW",INDEX('RW'!$A$2:$L$164,MATCH($A272,'RW'!$A$2:$A$164,0),10), C272 = "D",INDEX(D!$A$2:$L$268,MATCH($A272,D!$A$2:$A$268,0),10),C272="G",INDEX(G!$A$2:$Q$78,MATCH($A272,G!$A$2:$A$78,0),16),C272="F",INDEX(F!$A$2:$K$494,MATCH($A272,F!$A$2:$A$494,0),10))</f>
        <v>66</v>
      </c>
      <c r="G272" t="str">
        <f>_xlfn.CONCAT(C272,Table16[[#This Row],[Pos Rank2]])</f>
        <v>LW66</v>
      </c>
      <c r="H272" s="10">
        <f>MAX(_xlfn.IFNA(INDEX(Proj[],MATCH(Table16[[#This Row],[Player]],Proj[Player],0),29),-5000), _xlfn.IFNA(INDEX(Goalie[],MATCH(Table16[[#This Row],[Player]],Goalie[player],0),19),-5000))</f>
        <v>266.91833360259363</v>
      </c>
      <c r="I272" t="str">
        <f>IF(_xlfn.IFNA(INDEX(Proj[],MATCH(Table16[[#This Row],[Player]],Proj[Player],0),31),INDEX(Goalie[],MATCH(Table16[[#This Row],[Player]],Goalie[player],0),20)) = 0, "",_xlfn.IFNA(INDEX(Proj[],MATCH(Table16[[#This Row],[Player]],Proj[Player],0),31),INDEX(Goalie[],MATCH(Table16[[#This Row],[Player]],Goalie[player],0),20)))</f>
        <v/>
      </c>
    </row>
    <row r="273" spans="1:9" x14ac:dyDescent="0.25">
      <c r="A273" t="s">
        <v>347</v>
      </c>
      <c r="B273" s="2" t="s">
        <v>3</v>
      </c>
      <c r="C273" t="str">
        <f t="shared" si="4"/>
        <v>D</v>
      </c>
      <c r="D273" s="10">
        <f>MAX(_xlfn.IFNA(INDEX(Proj[],MATCH(Table16[[#This Row],[Player]],Proj[Player],0),27),-5000), _xlfn.IFNA(INDEX(Goalie[],MATCH(Table16[[#This Row],[Player]],Goalie[player],0),17),-5000))</f>
        <v>-163.80382395845922</v>
      </c>
      <c r="E273">
        <f>_xlfn.RANK.EQ(Table16[[#This Row],[VOR]],Table16[VOR])</f>
        <v>265</v>
      </c>
      <c r="F273" cm="1">
        <f t="array" ref="F273">_xlfn.IFS(C273 = "C",INDEX('C'!$A$2:$L$254,MATCH($A273,'C'!$A$2:$A$254,0),10),C273 = "LW",INDEX(LW!$A$2:$K$180,MATCH($A273,LW!$A$2:$A$180,0),10),C273 = "RW",INDEX('RW'!$A$2:$L$164,MATCH($A273,'RW'!$A$2:$A$164,0),10), C273 = "D",INDEX(D!$A$2:$L$268,MATCH($A273,D!$A$2:$A$268,0),10),C273="G",INDEX(G!$A$2:$Q$78,MATCH($A273,G!$A$2:$A$78,0),16),C273="F",INDEX(F!$A$2:$K$494,MATCH($A273,F!$A$2:$A$494,0),10))</f>
        <v>102</v>
      </c>
      <c r="G273" t="str">
        <f>_xlfn.CONCAT(C273,Table16[[#This Row],[Pos Rank2]])</f>
        <v>D102</v>
      </c>
      <c r="H273" s="10">
        <f>MAX(_xlfn.IFNA(INDEX(Proj[],MATCH(Table16[[#This Row],[Player]],Proj[Player],0),29),-5000), _xlfn.IFNA(INDEX(Goalie[],MATCH(Table16[[#This Row],[Player]],Goalie[player],0),19),-5000))</f>
        <v>-56.439056238994745</v>
      </c>
      <c r="I273" t="str">
        <f>IF(_xlfn.IFNA(INDEX(Proj[],MATCH(Table16[[#This Row],[Player]],Proj[Player],0),31),INDEX(Goalie[],MATCH(Table16[[#This Row],[Player]],Goalie[player],0),20)) = 0, "",_xlfn.IFNA(INDEX(Proj[],MATCH(Table16[[#This Row],[Player]],Proj[Player],0),31),INDEX(Goalie[],MATCH(Table16[[#This Row],[Player]],Goalie[player],0),20)))</f>
        <v/>
      </c>
    </row>
    <row r="274" spans="1:9" x14ac:dyDescent="0.25">
      <c r="A274" t="s">
        <v>342</v>
      </c>
      <c r="B274" s="2" t="s">
        <v>3</v>
      </c>
      <c r="C274" t="str">
        <f t="shared" si="4"/>
        <v>D</v>
      </c>
      <c r="D274" s="10">
        <f>MAX(_xlfn.IFNA(INDEX(Proj[],MATCH(Table16[[#This Row],[Player]],Proj[Player],0),27),-5000), _xlfn.IFNA(INDEX(Goalie[],MATCH(Table16[[#This Row],[Player]],Goalie[player],0),17),-5000))</f>
        <v>-164.38114182651788</v>
      </c>
      <c r="E274">
        <f>_xlfn.RANK.EQ(Table16[[#This Row],[VOR]],Table16[VOR])</f>
        <v>266</v>
      </c>
      <c r="F274" cm="1">
        <f t="array" ref="F274">_xlfn.IFS(C274 = "C",INDEX('C'!$A$2:$L$254,MATCH($A274,'C'!$A$2:$A$254,0),10),C274 = "LW",INDEX(LW!$A$2:$K$180,MATCH($A274,LW!$A$2:$A$180,0),10),C274 = "RW",INDEX('RW'!$A$2:$L$164,MATCH($A274,'RW'!$A$2:$A$164,0),10), C274 = "D",INDEX(D!$A$2:$L$268,MATCH($A274,D!$A$2:$A$268,0),10),C274="G",INDEX(G!$A$2:$Q$78,MATCH($A274,G!$A$2:$A$78,0),16),C274="F",INDEX(F!$A$2:$K$494,MATCH($A274,F!$A$2:$A$494,0),10))</f>
        <v>103</v>
      </c>
      <c r="G274" t="str">
        <f>_xlfn.CONCAT(C274,Table16[[#This Row],[Pos Rank2]])</f>
        <v>D103</v>
      </c>
      <c r="H274" s="10">
        <f>MAX(_xlfn.IFNA(INDEX(Proj[],MATCH(Table16[[#This Row],[Player]],Proj[Player],0),29),-5000), _xlfn.IFNA(INDEX(Goalie[],MATCH(Table16[[#This Row],[Player]],Goalie[player],0),19),-5000))</f>
        <v>-57.016374107053402</v>
      </c>
      <c r="I274" t="str">
        <f>IF(_xlfn.IFNA(INDEX(Proj[],MATCH(Table16[[#This Row],[Player]],Proj[Player],0),31),INDEX(Goalie[],MATCH(Table16[[#This Row],[Player]],Goalie[player],0),20)) = 0, "",_xlfn.IFNA(INDEX(Proj[],MATCH(Table16[[#This Row],[Player]],Proj[Player],0),31),INDEX(Goalie[],MATCH(Table16[[#This Row],[Player]],Goalie[player],0),20)))</f>
        <v/>
      </c>
    </row>
    <row r="275" spans="1:9" x14ac:dyDescent="0.25">
      <c r="A275" t="s">
        <v>912</v>
      </c>
      <c r="B275" s="2" t="s">
        <v>3</v>
      </c>
      <c r="C275" t="str">
        <f t="shared" si="4"/>
        <v>D</v>
      </c>
      <c r="D275" s="10">
        <f>MAX(_xlfn.IFNA(INDEX(Proj[],MATCH(Table16[[#This Row],[Player]],Proj[Player],0),27),-5000), _xlfn.IFNA(INDEX(Goalie[],MATCH(Table16[[#This Row],[Player]],Goalie[player],0),17),-5000))</f>
        <v>-164.69991358577829</v>
      </c>
      <c r="E275">
        <f>_xlfn.RANK.EQ(Table16[[#This Row],[VOR]],Table16[VOR])</f>
        <v>267</v>
      </c>
      <c r="F275" cm="1">
        <f t="array" ref="F275">_xlfn.IFS(C275 = "C",INDEX('C'!$A$2:$L$254,MATCH($A275,'C'!$A$2:$A$254,0),10),C275 = "LW",INDEX(LW!$A$2:$K$180,MATCH($A275,LW!$A$2:$A$180,0),10),C275 = "RW",INDEX('RW'!$A$2:$L$164,MATCH($A275,'RW'!$A$2:$A$164,0),10), C275 = "D",INDEX(D!$A$2:$L$268,MATCH($A275,D!$A$2:$A$268,0),10),C275="G",INDEX(G!$A$2:$Q$78,MATCH($A275,G!$A$2:$A$78,0),16),C275="F",INDEX(F!$A$2:$K$494,MATCH($A275,F!$A$2:$A$494,0),10))</f>
        <v>104</v>
      </c>
      <c r="G275" t="str">
        <f>_xlfn.CONCAT(C275,Table16[[#This Row],[Pos Rank2]])</f>
        <v>D104</v>
      </c>
      <c r="H275" s="10">
        <f>MAX(_xlfn.IFNA(INDEX(Proj[],MATCH(Table16[[#This Row],[Player]],Proj[Player],0),29),-5000), _xlfn.IFNA(INDEX(Goalie[],MATCH(Table16[[#This Row],[Player]],Goalie[player],0),19),-5000))</f>
        <v>-57.335145866313816</v>
      </c>
      <c r="I275" t="str">
        <f>IF(_xlfn.IFNA(INDEX(Proj[],MATCH(Table16[[#This Row],[Player]],Proj[Player],0),31),INDEX(Goalie[],MATCH(Table16[[#This Row],[Player]],Goalie[player],0),20)) = 0, "",_xlfn.IFNA(INDEX(Proj[],MATCH(Table16[[#This Row],[Player]],Proj[Player],0),31),INDEX(Goalie[],MATCH(Table16[[#This Row],[Player]],Goalie[player],0),20)))</f>
        <v/>
      </c>
    </row>
    <row r="276" spans="1:9" x14ac:dyDescent="0.25">
      <c r="A276" t="s">
        <v>362</v>
      </c>
      <c r="B276" s="2" t="s">
        <v>104</v>
      </c>
      <c r="C276" t="str">
        <f t="shared" si="4"/>
        <v>RW</v>
      </c>
      <c r="D276" s="10">
        <f>MAX(_xlfn.IFNA(INDEX(Proj[],MATCH(Table16[[#This Row],[Player]],Proj[Player],0),27),-5000), _xlfn.IFNA(INDEX(Goalie[],MATCH(Table16[[#This Row],[Player]],Goalie[player],0),17),-5000))</f>
        <v>-250.46843328610635</v>
      </c>
      <c r="E276">
        <f>_xlfn.RANK.EQ(Table16[[#This Row],[VOR]],Table16[VOR])</f>
        <v>326</v>
      </c>
      <c r="F276" cm="1">
        <f t="array" ref="F276">_xlfn.IFS(C276 = "C",INDEX('C'!$A$2:$L$254,MATCH($A276,'C'!$A$2:$A$254,0),10),C276 = "LW",INDEX(LW!$A$2:$K$180,MATCH($A276,LW!$A$2:$A$180,0),10),C276 = "RW",INDEX('RW'!$A$2:$L$164,MATCH($A276,'RW'!$A$2:$A$164,0),10), C276 = "D",INDEX(D!$A$2:$L$268,MATCH($A276,D!$A$2:$A$268,0),10),C276="G",INDEX(G!$A$2:$Q$78,MATCH($A276,G!$A$2:$A$78,0),16),C276="F",INDEX(F!$A$2:$K$494,MATCH($A276,F!$A$2:$A$494,0),10))</f>
        <v>65</v>
      </c>
      <c r="G276" t="str">
        <f>_xlfn.CONCAT(C276,Table16[[#This Row],[Pos Rank2]])</f>
        <v>RW65</v>
      </c>
      <c r="H276" s="10">
        <f>MAX(_xlfn.IFNA(INDEX(Proj[],MATCH(Table16[[#This Row],[Player]],Proj[Player],0),29),-5000), _xlfn.IFNA(INDEX(Goalie[],MATCH(Table16[[#This Row],[Player]],Goalie[player],0),19),-5000))</f>
        <v>196.07629110414254</v>
      </c>
      <c r="I276" t="str">
        <f>IF(_xlfn.IFNA(INDEX(Proj[],MATCH(Table16[[#This Row],[Player]],Proj[Player],0),31),INDEX(Goalie[],MATCH(Table16[[#This Row],[Player]],Goalie[player],0),20)) = 0, "",_xlfn.IFNA(INDEX(Proj[],MATCH(Table16[[#This Row],[Player]],Proj[Player],0),31),INDEX(Goalie[],MATCH(Table16[[#This Row],[Player]],Goalie[player],0),20)))</f>
        <v/>
      </c>
    </row>
    <row r="277" spans="1:9" x14ac:dyDescent="0.25">
      <c r="A277" t="s">
        <v>1078</v>
      </c>
      <c r="B277" s="2" t="s">
        <v>157</v>
      </c>
      <c r="C277" t="str">
        <f t="shared" si="4"/>
        <v>G</v>
      </c>
      <c r="D277" s="10">
        <f>MAX(_xlfn.IFNA(INDEX(Proj[],MATCH(Table16[[#This Row],[Player]],Proj[Player],0),27),-5000), _xlfn.IFNA(INDEX(Goalie[],MATCH(Table16[[#This Row],[Player]],Goalie[player],0),17),-5000))</f>
        <v>-197.59301446405053</v>
      </c>
      <c r="E277">
        <f>_xlfn.RANK.EQ(Table16[[#This Row],[VOR]],Table16[VOR])</f>
        <v>285</v>
      </c>
      <c r="F277" cm="1">
        <f t="array" ref="F277">_xlfn.IFS(C277 = "C",INDEX('C'!$A$2:$L$254,MATCH($A277,'C'!$A$2:$A$254,0),10),C277 = "LW",INDEX(LW!$A$2:$K$180,MATCH($A277,LW!$A$2:$A$180,0),10),C277 = "RW",INDEX('RW'!$A$2:$L$164,MATCH($A277,'RW'!$A$2:$A$164,0),10), C277 = "D",INDEX(D!$A$2:$L$268,MATCH($A277,D!$A$2:$A$268,0),10),C277="G",INDEX(G!$A$2:$Q$78,MATCH($A277,G!$A$2:$A$78,0),16),C277="F",INDEX(F!$A$2:$K$494,MATCH($A277,F!$A$2:$A$494,0),10))</f>
        <v>41</v>
      </c>
      <c r="G277" t="str">
        <f>_xlfn.CONCAT(C277,Table16[[#This Row],[Pos Rank2]])</f>
        <v>G41</v>
      </c>
      <c r="H277" s="10">
        <f>MAX(_xlfn.IFNA(INDEX(Proj[],MATCH(Table16[[#This Row],[Player]],Proj[Player],0),29),-5000), _xlfn.IFNA(INDEX(Goalie[],MATCH(Table16[[#This Row],[Player]],Goalie[player],0),19),-5000))</f>
        <v>325.88100000000003</v>
      </c>
      <c r="I277" t="str">
        <f>IF(_xlfn.IFNA(INDEX(Proj[],MATCH(Table16[[#This Row],[Player]],Proj[Player],0),31),INDEX(Goalie[],MATCH(Table16[[#This Row],[Player]],Goalie[player],0),20)) = 0, "",_xlfn.IFNA(INDEX(Proj[],MATCH(Table16[[#This Row],[Player]],Proj[Player],0),31),INDEX(Goalie[],MATCH(Table16[[#This Row],[Player]],Goalie[player],0),20)))</f>
        <v/>
      </c>
    </row>
    <row r="278" spans="1:9" x14ac:dyDescent="0.25">
      <c r="A278" t="s">
        <v>855</v>
      </c>
      <c r="B278" s="2" t="s">
        <v>74</v>
      </c>
      <c r="C278" t="str">
        <f t="shared" si="4"/>
        <v>C</v>
      </c>
      <c r="D278" s="10">
        <f>MAX(_xlfn.IFNA(INDEX(Proj[],MATCH(Table16[[#This Row],[Player]],Proj[Player],0),27),-5000), _xlfn.IFNA(INDEX(Goalie[],MATCH(Table16[[#This Row],[Player]],Goalie[player],0),17),-5000))</f>
        <v>-207.60622137879909</v>
      </c>
      <c r="E278">
        <f>_xlfn.RANK.EQ(Table16[[#This Row],[VOR]],Table16[VOR])</f>
        <v>297</v>
      </c>
      <c r="F278" cm="1">
        <f t="array" ref="F278">_xlfn.IFS(C278 = "C",INDEX('C'!$A$2:$L$254,MATCH($A278,'C'!$A$2:$A$254,0),10),C278 = "LW",INDEX(LW!$A$2:$K$180,MATCH($A278,LW!$A$2:$A$180,0),10),C278 = "RW",INDEX('RW'!$A$2:$L$164,MATCH($A278,'RW'!$A$2:$A$164,0),10), C278 = "D",INDEX(D!$A$2:$L$268,MATCH($A278,D!$A$2:$A$268,0),10),C278="G",INDEX(G!$A$2:$Q$78,MATCH($A278,G!$A$2:$A$78,0),16),C278="F",INDEX(F!$A$2:$K$494,MATCH($A278,F!$A$2:$A$494,0),10))</f>
        <v>61</v>
      </c>
      <c r="G278" t="str">
        <f>_xlfn.CONCAT(C278,Table16[[#This Row],[Pos Rank2]])</f>
        <v>C61</v>
      </c>
      <c r="H278" s="10">
        <f>MAX(_xlfn.IFNA(INDEX(Proj[],MATCH(Table16[[#This Row],[Player]],Proj[Player],0),29),-5000), _xlfn.IFNA(INDEX(Goalie[],MATCH(Table16[[#This Row],[Player]],Goalie[player],0),19),-5000))</f>
        <v>527.02763293149951</v>
      </c>
      <c r="I278" t="str">
        <f>IF(_xlfn.IFNA(INDEX(Proj[],MATCH(Table16[[#This Row],[Player]],Proj[Player],0),31),INDEX(Goalie[],MATCH(Table16[[#This Row],[Player]],Goalie[player],0),20)) = 0, "",_xlfn.IFNA(INDEX(Proj[],MATCH(Table16[[#This Row],[Player]],Proj[Player],0),31),INDEX(Goalie[],MATCH(Table16[[#This Row],[Player]],Goalie[player],0),20)))</f>
        <v/>
      </c>
    </row>
    <row r="279" spans="1:9" x14ac:dyDescent="0.25">
      <c r="A279" t="s">
        <v>936</v>
      </c>
      <c r="B279" s="2" t="s">
        <v>3</v>
      </c>
      <c r="C279" t="str">
        <f t="shared" si="4"/>
        <v>D</v>
      </c>
      <c r="D279" s="10">
        <f>MAX(_xlfn.IFNA(INDEX(Proj[],MATCH(Table16[[#This Row],[Player]],Proj[Player],0),27),-5000), _xlfn.IFNA(INDEX(Goalie[],MATCH(Table16[[#This Row],[Player]],Goalie[player],0),17),-5000))</f>
        <v>-160.20639677350005</v>
      </c>
      <c r="E279">
        <f>_xlfn.RANK.EQ(Table16[[#This Row],[VOR]],Table16[VOR])</f>
        <v>262</v>
      </c>
      <c r="F279" cm="1">
        <f t="array" ref="F279">_xlfn.IFS(C279 = "C",INDEX('C'!$A$2:$L$254,MATCH($A279,'C'!$A$2:$A$254,0),10),C279 = "LW",INDEX(LW!$A$2:$K$180,MATCH($A279,LW!$A$2:$A$180,0),10),C279 = "RW",INDEX('RW'!$A$2:$L$164,MATCH($A279,'RW'!$A$2:$A$164,0),10), C279 = "D",INDEX(D!$A$2:$L$268,MATCH($A279,D!$A$2:$A$268,0),10),C279="G",INDEX(G!$A$2:$Q$78,MATCH($A279,G!$A$2:$A$78,0),16),C279="F",INDEX(F!$A$2:$K$494,MATCH($A279,F!$A$2:$A$494,0),10))</f>
        <v>101</v>
      </c>
      <c r="G279" t="str">
        <f>_xlfn.CONCAT(C279,Table16[[#This Row],[Pos Rank2]])</f>
        <v>D101</v>
      </c>
      <c r="H279" s="10">
        <f>MAX(_xlfn.IFNA(INDEX(Proj[],MATCH(Table16[[#This Row],[Player]],Proj[Player],0),29),-5000), _xlfn.IFNA(INDEX(Goalie[],MATCH(Table16[[#This Row],[Player]],Goalie[player],0),19),-5000))</f>
        <v>-52.841629054035558</v>
      </c>
      <c r="I279" t="str">
        <f>IF(_xlfn.IFNA(INDEX(Proj[],MATCH(Table16[[#This Row],[Player]],Proj[Player],0),31),INDEX(Goalie[],MATCH(Table16[[#This Row],[Player]],Goalie[player],0),20)) = 0, "",_xlfn.IFNA(INDEX(Proj[],MATCH(Table16[[#This Row],[Player]],Proj[Player],0),31),INDEX(Goalie[],MATCH(Table16[[#This Row],[Player]],Goalie[player],0),20)))</f>
        <v/>
      </c>
    </row>
    <row r="280" spans="1:9" x14ac:dyDescent="0.25">
      <c r="A280" t="s">
        <v>495</v>
      </c>
      <c r="B280" s="2" t="s">
        <v>3</v>
      </c>
      <c r="C280" t="str">
        <f t="shared" si="4"/>
        <v>D</v>
      </c>
      <c r="D280" s="10">
        <f>MAX(_xlfn.IFNA(INDEX(Proj[],MATCH(Table16[[#This Row],[Player]],Proj[Player],0),27),-5000), _xlfn.IFNA(INDEX(Goalie[],MATCH(Table16[[#This Row],[Player]],Goalie[player],0),17),-5000))</f>
        <v>-171.87861582093575</v>
      </c>
      <c r="E280">
        <f>_xlfn.RANK.EQ(Table16[[#This Row],[VOR]],Table16[VOR])</f>
        <v>272</v>
      </c>
      <c r="F280" cm="1">
        <f t="array" ref="F280">_xlfn.IFS(C280 = "C",INDEX('C'!$A$2:$L$254,MATCH($A280,'C'!$A$2:$A$254,0),10),C280 = "LW",INDEX(LW!$A$2:$K$180,MATCH($A280,LW!$A$2:$A$180,0),10),C280 = "RW",INDEX('RW'!$A$2:$L$164,MATCH($A280,'RW'!$A$2:$A$164,0),10), C280 = "D",INDEX(D!$A$2:$L$268,MATCH($A280,D!$A$2:$A$268,0),10),C280="G",INDEX(G!$A$2:$Q$78,MATCH($A280,G!$A$2:$A$78,0),16),C280="F",INDEX(F!$A$2:$K$494,MATCH($A280,F!$A$2:$A$494,0),10))</f>
        <v>105</v>
      </c>
      <c r="G280" t="str">
        <f>_xlfn.CONCAT(C280,Table16[[#This Row],[Pos Rank2]])</f>
        <v>D105</v>
      </c>
      <c r="H280" s="10">
        <f>MAX(_xlfn.IFNA(INDEX(Proj[],MATCH(Table16[[#This Row],[Player]],Proj[Player],0),29),-5000), _xlfn.IFNA(INDEX(Goalie[],MATCH(Table16[[#This Row],[Player]],Goalie[player],0),19),-5000))</f>
        <v>-64.513848101471254</v>
      </c>
      <c r="I280" t="str">
        <f>IF(_xlfn.IFNA(INDEX(Proj[],MATCH(Table16[[#This Row],[Player]],Proj[Player],0),31),INDEX(Goalie[],MATCH(Table16[[#This Row],[Player]],Goalie[player],0),20)) = 0, "",_xlfn.IFNA(INDEX(Proj[],MATCH(Table16[[#This Row],[Player]],Proj[Player],0),31),INDEX(Goalie[],MATCH(Table16[[#This Row],[Player]],Goalie[player],0),20)))</f>
        <v/>
      </c>
    </row>
    <row r="281" spans="1:9" x14ac:dyDescent="0.25">
      <c r="A281" t="s">
        <v>522</v>
      </c>
      <c r="B281" s="2" t="s">
        <v>104</v>
      </c>
      <c r="C281" t="str">
        <f t="shared" si="4"/>
        <v>RW</v>
      </c>
      <c r="D281" s="10">
        <f>MAX(_xlfn.IFNA(INDEX(Proj[],MATCH(Table16[[#This Row],[Player]],Proj[Player],0),27),-5000), _xlfn.IFNA(INDEX(Goalie[],MATCH(Table16[[#This Row],[Player]],Goalie[player],0),17),-5000))</f>
        <v>-245.27532828519094</v>
      </c>
      <c r="E281">
        <f>_xlfn.RANK.EQ(Table16[[#This Row],[VOR]],Table16[VOR])</f>
        <v>323</v>
      </c>
      <c r="F281" cm="1">
        <f t="array" ref="F281">_xlfn.IFS(C281 = "C",INDEX('C'!$A$2:$L$254,MATCH($A281,'C'!$A$2:$A$254,0),10),C281 = "LW",INDEX(LW!$A$2:$K$180,MATCH($A281,LW!$A$2:$A$180,0),10),C281 = "RW",INDEX('RW'!$A$2:$L$164,MATCH($A281,'RW'!$A$2:$A$164,0),10), C281 = "D",INDEX(D!$A$2:$L$268,MATCH($A281,D!$A$2:$A$268,0),10),C281="G",INDEX(G!$A$2:$Q$78,MATCH($A281,G!$A$2:$A$78,0),16),C281="F",INDEX(F!$A$2:$K$494,MATCH($A281,F!$A$2:$A$494,0),10))</f>
        <v>63</v>
      </c>
      <c r="G281" t="str">
        <f>_xlfn.CONCAT(C281,Table16[[#This Row],[Pos Rank2]])</f>
        <v>RW63</v>
      </c>
      <c r="H281" s="10">
        <f>MAX(_xlfn.IFNA(INDEX(Proj[],MATCH(Table16[[#This Row],[Player]],Proj[Player],0),29),-5000), _xlfn.IFNA(INDEX(Goalie[],MATCH(Table16[[#This Row],[Player]],Goalie[player],0),19),-5000))</f>
        <v>201.26939610505792</v>
      </c>
      <c r="I281" t="str">
        <f>IF(_xlfn.IFNA(INDEX(Proj[],MATCH(Table16[[#This Row],[Player]],Proj[Player],0),31),INDEX(Goalie[],MATCH(Table16[[#This Row],[Player]],Goalie[player],0),20)) = 0, "",_xlfn.IFNA(INDEX(Proj[],MATCH(Table16[[#This Row],[Player]],Proj[Player],0),31),INDEX(Goalie[],MATCH(Table16[[#This Row],[Player]],Goalie[player],0),20)))</f>
        <v/>
      </c>
    </row>
    <row r="282" spans="1:9" x14ac:dyDescent="0.25">
      <c r="A282" t="s">
        <v>353</v>
      </c>
      <c r="B282" s="2" t="s">
        <v>101</v>
      </c>
      <c r="C282" t="str">
        <f t="shared" si="4"/>
        <v>LW</v>
      </c>
      <c r="D282" s="10">
        <f>MAX(_xlfn.IFNA(INDEX(Proj[],MATCH(Table16[[#This Row],[Player]],Proj[Player],0),27),-5000), _xlfn.IFNA(INDEX(Goalie[],MATCH(Table16[[#This Row],[Player]],Goalie[player],0),17),-5000))</f>
        <v>-243.99209286687756</v>
      </c>
      <c r="E282">
        <f>_xlfn.RANK.EQ(Table16[[#This Row],[VOR]],Table16[VOR])</f>
        <v>321</v>
      </c>
      <c r="F282" cm="1">
        <f t="array" ref="F282">_xlfn.IFS(C282 = "C",INDEX('C'!$A$2:$L$254,MATCH($A282,'C'!$A$2:$A$254,0),10),C282 = "LW",INDEX(LW!$A$2:$K$180,MATCH($A282,LW!$A$2:$A$180,0),10),C282 = "RW",INDEX('RW'!$A$2:$L$164,MATCH($A282,'RW'!$A$2:$A$164,0),10), C282 = "D",INDEX(D!$A$2:$L$268,MATCH($A282,D!$A$2:$A$268,0),10),C282="G",INDEX(G!$A$2:$Q$78,MATCH($A282,G!$A$2:$A$78,0),16),C282="F",INDEX(F!$A$2:$K$494,MATCH($A282,F!$A$2:$A$494,0),10))</f>
        <v>74</v>
      </c>
      <c r="G282" t="str">
        <f>_xlfn.CONCAT(C282,Table16[[#This Row],[Pos Rank2]])</f>
        <v>LW74</v>
      </c>
      <c r="H282" s="10">
        <f>MAX(_xlfn.IFNA(INDEX(Proj[],MATCH(Table16[[#This Row],[Player]],Proj[Player],0),29),-5000), _xlfn.IFNA(INDEX(Goalie[],MATCH(Table16[[#This Row],[Player]],Goalie[player],0),19),-5000))</f>
        <v>227.5526315233713</v>
      </c>
      <c r="I282" t="str">
        <f>IF(_xlfn.IFNA(INDEX(Proj[],MATCH(Table16[[#This Row],[Player]],Proj[Player],0),31),INDEX(Goalie[],MATCH(Table16[[#This Row],[Player]],Goalie[player],0),20)) = 0, "",_xlfn.IFNA(INDEX(Proj[],MATCH(Table16[[#This Row],[Player]],Proj[Player],0),31),INDEX(Goalie[],MATCH(Table16[[#This Row],[Player]],Goalie[player],0),20)))</f>
        <v/>
      </c>
    </row>
    <row r="283" spans="1:9" x14ac:dyDescent="0.25">
      <c r="A283" t="s">
        <v>933</v>
      </c>
      <c r="B283" s="2" t="s">
        <v>101</v>
      </c>
      <c r="C283" t="str">
        <f t="shared" si="4"/>
        <v>LW</v>
      </c>
      <c r="D283" s="10">
        <f>MAX(_xlfn.IFNA(INDEX(Proj[],MATCH(Table16[[#This Row],[Player]],Proj[Player],0),27),-5000), _xlfn.IFNA(INDEX(Goalie[],MATCH(Table16[[#This Row],[Player]],Goalie[player],0),17),-5000))</f>
        <v>-224.88261518486007</v>
      </c>
      <c r="E283">
        <f>_xlfn.RANK.EQ(Table16[[#This Row],[VOR]],Table16[VOR])</f>
        <v>310</v>
      </c>
      <c r="F283" cm="1">
        <f t="array" ref="F283">_xlfn.IFS(C283 = "C",INDEX('C'!$A$2:$L$254,MATCH($A283,'C'!$A$2:$A$254,0),10),C283 = "LW",INDEX(LW!$A$2:$K$180,MATCH($A283,LW!$A$2:$A$180,0),10),C283 = "RW",INDEX('RW'!$A$2:$L$164,MATCH($A283,'RW'!$A$2:$A$164,0),10), C283 = "D",INDEX(D!$A$2:$L$268,MATCH($A283,D!$A$2:$A$268,0),10),C283="G",INDEX(G!$A$2:$Q$78,MATCH($A283,G!$A$2:$A$78,0),16),C283="F",INDEX(F!$A$2:$K$494,MATCH($A283,F!$A$2:$A$494,0),10))</f>
        <v>71</v>
      </c>
      <c r="G283" t="str">
        <f>_xlfn.CONCAT(C283,Table16[[#This Row],[Pos Rank2]])</f>
        <v>LW71</v>
      </c>
      <c r="H283" s="10">
        <f>MAX(_xlfn.IFNA(INDEX(Proj[],MATCH(Table16[[#This Row],[Player]],Proj[Player],0),29),-5000), _xlfn.IFNA(INDEX(Goalie[],MATCH(Table16[[#This Row],[Player]],Goalie[player],0),19),-5000))</f>
        <v>246.66210920538879</v>
      </c>
      <c r="I283" t="str">
        <f>IF(_xlfn.IFNA(INDEX(Proj[],MATCH(Table16[[#This Row],[Player]],Proj[Player],0),31),INDEX(Goalie[],MATCH(Table16[[#This Row],[Player]],Goalie[player],0),20)) = 0, "",_xlfn.IFNA(INDEX(Proj[],MATCH(Table16[[#This Row],[Player]],Proj[Player],0),31),INDEX(Goalie[],MATCH(Table16[[#This Row],[Player]],Goalie[player],0),20)))</f>
        <v/>
      </c>
    </row>
    <row r="284" spans="1:9" x14ac:dyDescent="0.25">
      <c r="A284" t="s">
        <v>612</v>
      </c>
      <c r="B284" s="2" t="s">
        <v>102</v>
      </c>
      <c r="C284" t="str">
        <f t="shared" si="4"/>
        <v>LW</v>
      </c>
      <c r="D284" s="10">
        <f>MAX(_xlfn.IFNA(INDEX(Proj[],MATCH(Table16[[#This Row],[Player]],Proj[Player],0),27),-5000), _xlfn.IFNA(INDEX(Goalie[],MATCH(Table16[[#This Row],[Player]],Goalie[player],0),17),-5000))</f>
        <v>-170.95374385434849</v>
      </c>
      <c r="E284">
        <f>_xlfn.RANK.EQ(Table16[[#This Row],[VOR]],Table16[VOR])</f>
        <v>271</v>
      </c>
      <c r="F284" cm="1">
        <f t="array" ref="F284">_xlfn.IFS(C284 = "C",INDEX('C'!$A$2:$L$254,MATCH($A284,'C'!$A$2:$A$254,0),10),C284 = "LW",INDEX(LW!$A$2:$K$180,MATCH($A284,LW!$A$2:$A$180,0),10),C284 = "RW",INDEX('RW'!$A$2:$L$164,MATCH($A284,'RW'!$A$2:$A$164,0),10), C284 = "D",INDEX(D!$A$2:$L$268,MATCH($A284,D!$A$2:$A$268,0),10),C284="G",INDEX(G!$A$2:$Q$78,MATCH($A284,G!$A$2:$A$78,0),16),C284="F",INDEX(F!$A$2:$K$494,MATCH($A284,F!$A$2:$A$494,0),10))</f>
        <v>58</v>
      </c>
      <c r="G284" t="str">
        <f>_xlfn.CONCAT(C284,Table16[[#This Row],[Pos Rank2]])</f>
        <v>LW58</v>
      </c>
      <c r="H284" s="10">
        <f>MAX(_xlfn.IFNA(INDEX(Proj[],MATCH(Table16[[#This Row],[Player]],Proj[Player],0),29),-5000), _xlfn.IFNA(INDEX(Goalie[],MATCH(Table16[[#This Row],[Player]],Goalie[player],0),19),-5000))</f>
        <v>300.59098053590037</v>
      </c>
      <c r="I284" t="str">
        <f>IF(_xlfn.IFNA(INDEX(Proj[],MATCH(Table16[[#This Row],[Player]],Proj[Player],0),31),INDEX(Goalie[],MATCH(Table16[[#This Row],[Player]],Goalie[player],0),20)) = 0, "",_xlfn.IFNA(INDEX(Proj[],MATCH(Table16[[#This Row],[Player]],Proj[Player],0),31),INDEX(Goalie[],MATCH(Table16[[#This Row],[Player]],Goalie[player],0),20)))</f>
        <v/>
      </c>
    </row>
    <row r="285" spans="1:9" x14ac:dyDescent="0.25">
      <c r="A285" t="s">
        <v>634</v>
      </c>
      <c r="B285" s="2" t="s">
        <v>74</v>
      </c>
      <c r="C285" t="str">
        <f t="shared" si="4"/>
        <v>C</v>
      </c>
      <c r="D285" s="10">
        <f>MAX(_xlfn.IFNA(INDEX(Proj[],MATCH(Table16[[#This Row],[Player]],Proj[Player],0),27),-5000), _xlfn.IFNA(INDEX(Goalie[],MATCH(Table16[[#This Row],[Player]],Goalie[player],0),17),-5000))</f>
        <v>-179.7104720058901</v>
      </c>
      <c r="E285">
        <f>_xlfn.RANK.EQ(Table16[[#This Row],[VOR]],Table16[VOR])</f>
        <v>279</v>
      </c>
      <c r="F285" cm="1">
        <f t="array" ref="F285">_xlfn.IFS(C285 = "C",INDEX('C'!$A$2:$L$254,MATCH($A285,'C'!$A$2:$A$254,0),10),C285 = "LW",INDEX(LW!$A$2:$K$180,MATCH($A285,LW!$A$2:$A$180,0),10),C285 = "RW",INDEX('RW'!$A$2:$L$164,MATCH($A285,'RW'!$A$2:$A$164,0),10), C285 = "D",INDEX(D!$A$2:$L$268,MATCH($A285,D!$A$2:$A$268,0),10),C285="G",INDEX(G!$A$2:$Q$78,MATCH($A285,G!$A$2:$A$78,0),16),C285="F",INDEX(F!$A$2:$K$494,MATCH($A285,F!$A$2:$A$494,0),10))</f>
        <v>57</v>
      </c>
      <c r="G285" t="str">
        <f>_xlfn.CONCAT(C285,Table16[[#This Row],[Pos Rank2]])</f>
        <v>C57</v>
      </c>
      <c r="H285" s="10">
        <f>MAX(_xlfn.IFNA(INDEX(Proj[],MATCH(Table16[[#This Row],[Player]],Proj[Player],0),29),-5000), _xlfn.IFNA(INDEX(Goalie[],MATCH(Table16[[#This Row],[Player]],Goalie[player],0),19),-5000))</f>
        <v>554.92338230440851</v>
      </c>
      <c r="I285" t="str">
        <f>IF(_xlfn.IFNA(INDEX(Proj[],MATCH(Table16[[#This Row],[Player]],Proj[Player],0),31),INDEX(Goalie[],MATCH(Table16[[#This Row],[Player]],Goalie[player],0),20)) = 0, "",_xlfn.IFNA(INDEX(Proj[],MATCH(Table16[[#This Row],[Player]],Proj[Player],0),31),INDEX(Goalie[],MATCH(Table16[[#This Row],[Player]],Goalie[player],0),20)))</f>
        <v/>
      </c>
    </row>
    <row r="286" spans="1:9" x14ac:dyDescent="0.25">
      <c r="A286" t="s">
        <v>177</v>
      </c>
      <c r="B286" s="2" t="s">
        <v>157</v>
      </c>
      <c r="C286" t="str">
        <f t="shared" si="4"/>
        <v>G</v>
      </c>
      <c r="D286" s="10">
        <f>MAX(_xlfn.IFNA(INDEX(Proj[],MATCH(Table16[[#This Row],[Player]],Proj[Player],0),27),-5000), _xlfn.IFNA(INDEX(Goalie[],MATCH(Table16[[#This Row],[Player]],Goalie[player],0),17),-5000))</f>
        <v>-204.85261819706025</v>
      </c>
      <c r="E286">
        <f>_xlfn.RANK.EQ(Table16[[#This Row],[VOR]],Table16[VOR])</f>
        <v>290</v>
      </c>
      <c r="F286" cm="1">
        <f t="array" ref="F286">_xlfn.IFS(C286 = "C",INDEX('C'!$A$2:$L$254,MATCH($A286,'C'!$A$2:$A$254,0),10),C286 = "LW",INDEX(LW!$A$2:$K$180,MATCH($A286,LW!$A$2:$A$180,0),10),C286 = "RW",INDEX('RW'!$A$2:$L$164,MATCH($A286,'RW'!$A$2:$A$164,0),10), C286 = "D",INDEX(D!$A$2:$L$268,MATCH($A286,D!$A$2:$A$268,0),10),C286="G",INDEX(G!$A$2:$Q$78,MATCH($A286,G!$A$2:$A$78,0),16),C286="F",INDEX(F!$A$2:$K$494,MATCH($A286,F!$A$2:$A$494,0),10))</f>
        <v>42</v>
      </c>
      <c r="G286" t="str">
        <f>_xlfn.CONCAT(C286,Table16[[#This Row],[Pos Rank2]])</f>
        <v>G42</v>
      </c>
      <c r="H286" s="10">
        <f>MAX(_xlfn.IFNA(INDEX(Proj[],MATCH(Table16[[#This Row],[Player]],Proj[Player],0),29),-5000), _xlfn.IFNA(INDEX(Goalie[],MATCH(Table16[[#This Row],[Player]],Goalie[player],0),19),-5000))</f>
        <v>322.13399999999996</v>
      </c>
      <c r="I286" t="str">
        <f>IF(_xlfn.IFNA(INDEX(Proj[],MATCH(Table16[[#This Row],[Player]],Proj[Player],0),31),INDEX(Goalie[],MATCH(Table16[[#This Row],[Player]],Goalie[player],0),20)) = 0, "",_xlfn.IFNA(INDEX(Proj[],MATCH(Table16[[#This Row],[Player]],Proj[Player],0),31),INDEX(Goalie[],MATCH(Table16[[#This Row],[Player]],Goalie[player],0),20)))</f>
        <v/>
      </c>
    </row>
    <row r="287" spans="1:9" x14ac:dyDescent="0.25">
      <c r="A287" t="s">
        <v>807</v>
      </c>
      <c r="B287" s="2" t="s">
        <v>105</v>
      </c>
      <c r="C287" t="str">
        <f t="shared" si="4"/>
        <v>RW</v>
      </c>
      <c r="D287" s="10">
        <f>MAX(_xlfn.IFNA(INDEX(Proj[],MATCH(Table16[[#This Row],[Player]],Proj[Player],0),27),-5000), _xlfn.IFNA(INDEX(Goalie[],MATCH(Table16[[#This Row],[Player]],Goalie[player],0),17),-5000))</f>
        <v>-217.23743135688815</v>
      </c>
      <c r="E287">
        <f>_xlfn.RANK.EQ(Table16[[#This Row],[VOR]],Table16[VOR])</f>
        <v>305</v>
      </c>
      <c r="F287" cm="1">
        <f t="array" ref="F287">_xlfn.IFS(C287 = "C",INDEX('C'!$A$2:$L$254,MATCH($A287,'C'!$A$2:$A$254,0),10),C287 = "LW",INDEX(LW!$A$2:$K$180,MATCH($A287,LW!$A$2:$A$180,0),10),C287 = "RW",INDEX('RW'!$A$2:$L$164,MATCH($A287,'RW'!$A$2:$A$164,0),10), C287 = "D",INDEX(D!$A$2:$L$268,MATCH($A287,D!$A$2:$A$268,0),10),C287="G",INDEX(G!$A$2:$Q$78,MATCH($A287,G!$A$2:$A$78,0),16),C287="F",INDEX(F!$A$2:$K$494,MATCH($A287,F!$A$2:$A$494,0),10))</f>
        <v>61</v>
      </c>
      <c r="G287" t="str">
        <f>_xlfn.CONCAT(C287,Table16[[#This Row],[Pos Rank2]])</f>
        <v>RW61</v>
      </c>
      <c r="H287" s="10">
        <f>MAX(_xlfn.IFNA(INDEX(Proj[],MATCH(Table16[[#This Row],[Player]],Proj[Player],0),29),-5000), _xlfn.IFNA(INDEX(Goalie[],MATCH(Table16[[#This Row],[Player]],Goalie[player],0),19),-5000))</f>
        <v>229.30729303336071</v>
      </c>
      <c r="I287" t="str">
        <f>IF(_xlfn.IFNA(INDEX(Proj[],MATCH(Table16[[#This Row],[Player]],Proj[Player],0),31),INDEX(Goalie[],MATCH(Table16[[#This Row],[Player]],Goalie[player],0),20)) = 0, "",_xlfn.IFNA(INDEX(Proj[],MATCH(Table16[[#This Row],[Player]],Proj[Player],0),31),INDEX(Goalie[],MATCH(Table16[[#This Row],[Player]],Goalie[player],0),20)))</f>
        <v/>
      </c>
    </row>
    <row r="288" spans="1:9" x14ac:dyDescent="0.25">
      <c r="A288" t="s">
        <v>179</v>
      </c>
      <c r="B288" s="2" t="s">
        <v>157</v>
      </c>
      <c r="C288" t="str">
        <f t="shared" si="4"/>
        <v>G</v>
      </c>
      <c r="D288" s="10">
        <f>MAX(_xlfn.IFNA(INDEX(Proj[],MATCH(Table16[[#This Row],[Player]],Proj[Player],0),27),-5000), _xlfn.IFNA(INDEX(Goalie[],MATCH(Table16[[#This Row],[Player]],Goalie[player],0),17),-5000))</f>
        <v>-207.0559061533655</v>
      </c>
      <c r="E288">
        <f>_xlfn.RANK.EQ(Table16[[#This Row],[VOR]],Table16[VOR])</f>
        <v>295</v>
      </c>
      <c r="F288" cm="1">
        <f t="array" ref="F288">_xlfn.IFS(C288 = "C",INDEX('C'!$A$2:$L$254,MATCH($A288,'C'!$A$2:$A$254,0),10),C288 = "LW",INDEX(LW!$A$2:$K$180,MATCH($A288,LW!$A$2:$A$180,0),10),C288 = "RW",INDEX('RW'!$A$2:$L$164,MATCH($A288,'RW'!$A$2:$A$164,0),10), C288 = "D",INDEX(D!$A$2:$L$268,MATCH($A288,D!$A$2:$A$268,0),10),C288="G",INDEX(G!$A$2:$Q$78,MATCH($A288,G!$A$2:$A$78,0),16),C288="F",INDEX(F!$A$2:$K$494,MATCH($A288,F!$A$2:$A$494,0),10))</f>
        <v>43</v>
      </c>
      <c r="G288" t="str">
        <f>_xlfn.CONCAT(C288,Table16[[#This Row],[Pos Rank2]])</f>
        <v>G43</v>
      </c>
      <c r="H288" s="10">
        <f>MAX(_xlfn.IFNA(INDEX(Proj[],MATCH(Table16[[#This Row],[Player]],Proj[Player],0),29),-5000), _xlfn.IFNA(INDEX(Goalie[],MATCH(Table16[[#This Row],[Player]],Goalie[player],0),19),-5000))</f>
        <v>275.9076</v>
      </c>
      <c r="I288" t="str">
        <f>IF(_xlfn.IFNA(INDEX(Proj[],MATCH(Table16[[#This Row],[Player]],Proj[Player],0),31),INDEX(Goalie[],MATCH(Table16[[#This Row],[Player]],Goalie[player],0),20)) = 0, "",_xlfn.IFNA(INDEX(Proj[],MATCH(Table16[[#This Row],[Player]],Proj[Player],0),31),INDEX(Goalie[],MATCH(Table16[[#This Row],[Player]],Goalie[player],0),20)))</f>
        <v/>
      </c>
    </row>
    <row r="289" spans="1:9" x14ac:dyDescent="0.25">
      <c r="A289" t="s">
        <v>412</v>
      </c>
      <c r="B289" s="2" t="s">
        <v>74</v>
      </c>
      <c r="C289" t="str">
        <f t="shared" si="4"/>
        <v>C</v>
      </c>
      <c r="D289" s="10">
        <f>MAX(_xlfn.IFNA(INDEX(Proj[],MATCH(Table16[[#This Row],[Player]],Proj[Player],0),27),-5000), _xlfn.IFNA(INDEX(Goalie[],MATCH(Table16[[#This Row],[Player]],Goalie[player],0),17),-5000))</f>
        <v>-172.79365155455162</v>
      </c>
      <c r="E289">
        <f>_xlfn.RANK.EQ(Table16[[#This Row],[VOR]],Table16[VOR])</f>
        <v>273</v>
      </c>
      <c r="F289" cm="1">
        <f t="array" ref="F289">_xlfn.IFS(C289 = "C",INDEX('C'!$A$2:$L$254,MATCH($A289,'C'!$A$2:$A$254,0),10),C289 = "LW",INDEX(LW!$A$2:$K$180,MATCH($A289,LW!$A$2:$A$180,0),10),C289 = "RW",INDEX('RW'!$A$2:$L$164,MATCH($A289,'RW'!$A$2:$A$164,0),10), C289 = "D",INDEX(D!$A$2:$L$268,MATCH($A289,D!$A$2:$A$268,0),10),C289="G",INDEX(G!$A$2:$Q$78,MATCH($A289,G!$A$2:$A$78,0),16),C289="F",INDEX(F!$A$2:$K$494,MATCH($A289,F!$A$2:$A$494,0),10))</f>
        <v>55</v>
      </c>
      <c r="G289" t="str">
        <f>_xlfn.CONCAT(C289,Table16[[#This Row],[Pos Rank2]])</f>
        <v>C55</v>
      </c>
      <c r="H289" s="10">
        <f>MAX(_xlfn.IFNA(INDEX(Proj[],MATCH(Table16[[#This Row],[Player]],Proj[Player],0),29),-5000), _xlfn.IFNA(INDEX(Goalie[],MATCH(Table16[[#This Row],[Player]],Goalie[player],0),19),-5000))</f>
        <v>561.84020275574699</v>
      </c>
      <c r="I289" t="str">
        <f>IF(_xlfn.IFNA(INDEX(Proj[],MATCH(Table16[[#This Row],[Player]],Proj[Player],0),31),INDEX(Goalie[],MATCH(Table16[[#This Row],[Player]],Goalie[player],0),20)) = 0, "",_xlfn.IFNA(INDEX(Proj[],MATCH(Table16[[#This Row],[Player]],Proj[Player],0),31),INDEX(Goalie[],MATCH(Table16[[#This Row],[Player]],Goalie[player],0),20)))</f>
        <v/>
      </c>
    </row>
    <row r="290" spans="1:9" x14ac:dyDescent="0.25">
      <c r="A290" t="s">
        <v>779</v>
      </c>
      <c r="B290" s="2" t="s">
        <v>3</v>
      </c>
      <c r="C290" t="str">
        <f t="shared" si="4"/>
        <v>D</v>
      </c>
      <c r="D290" s="10">
        <f>MAX(_xlfn.IFNA(INDEX(Proj[],MATCH(Table16[[#This Row],[Player]],Proj[Player],0),27),-5000), _xlfn.IFNA(INDEX(Goalie[],MATCH(Table16[[#This Row],[Player]],Goalie[player],0),17),-5000))</f>
        <v>-176.03613259042095</v>
      </c>
      <c r="E290">
        <f>_xlfn.RANK.EQ(Table16[[#This Row],[VOR]],Table16[VOR])</f>
        <v>275</v>
      </c>
      <c r="F290" cm="1">
        <f t="array" ref="F290">_xlfn.IFS(C290 = "C",INDEX('C'!$A$2:$L$254,MATCH($A290,'C'!$A$2:$A$254,0),10),C290 = "LW",INDEX(LW!$A$2:$K$180,MATCH($A290,LW!$A$2:$A$180,0),10),C290 = "RW",INDEX('RW'!$A$2:$L$164,MATCH($A290,'RW'!$A$2:$A$164,0),10), C290 = "D",INDEX(D!$A$2:$L$268,MATCH($A290,D!$A$2:$A$268,0),10),C290="G",INDEX(G!$A$2:$Q$78,MATCH($A290,G!$A$2:$A$78,0),16),C290="F",INDEX(F!$A$2:$K$494,MATCH($A290,F!$A$2:$A$494,0),10))</f>
        <v>106</v>
      </c>
      <c r="G290" t="str">
        <f>_xlfn.CONCAT(C290,Table16[[#This Row],[Pos Rank2]])</f>
        <v>D106</v>
      </c>
      <c r="H290" s="10">
        <f>MAX(_xlfn.IFNA(INDEX(Proj[],MATCH(Table16[[#This Row],[Player]],Proj[Player],0),29),-5000), _xlfn.IFNA(INDEX(Goalie[],MATCH(Table16[[#This Row],[Player]],Goalie[player],0),19),-5000))</f>
        <v>-68.671364870956481</v>
      </c>
      <c r="I290" t="str">
        <f>IF(_xlfn.IFNA(INDEX(Proj[],MATCH(Table16[[#This Row],[Player]],Proj[Player],0),31),INDEX(Goalie[],MATCH(Table16[[#This Row],[Player]],Goalie[player],0),20)) = 0, "",_xlfn.IFNA(INDEX(Proj[],MATCH(Table16[[#This Row],[Player]],Proj[Player],0),31),INDEX(Goalie[],MATCH(Table16[[#This Row],[Player]],Goalie[player],0),20)))</f>
        <v/>
      </c>
    </row>
    <row r="291" spans="1:9" x14ac:dyDescent="0.25">
      <c r="A291" t="s">
        <v>434</v>
      </c>
      <c r="B291" s="2" t="s">
        <v>101</v>
      </c>
      <c r="C291" t="str">
        <f t="shared" si="4"/>
        <v>LW</v>
      </c>
      <c r="D291" s="10">
        <f>MAX(_xlfn.IFNA(INDEX(Proj[],MATCH(Table16[[#This Row],[Player]],Proj[Player],0),27),-5000), _xlfn.IFNA(INDEX(Goalie[],MATCH(Table16[[#This Row],[Player]],Goalie[player],0),17),-5000))</f>
        <v>-9.4413227415683991</v>
      </c>
      <c r="E291">
        <f>_xlfn.RANK.EQ(Table16[[#This Row],[VOR]],Table16[VOR])</f>
        <v>196</v>
      </c>
      <c r="F291" cm="1">
        <f t="array" ref="F291">_xlfn.IFS(C291 = "C",INDEX('C'!$A$2:$L$254,MATCH($A291,'C'!$A$2:$A$254,0),10),C291 = "LW",INDEX(LW!$A$2:$K$180,MATCH($A291,LW!$A$2:$A$180,0),10),C291 = "RW",INDEX('RW'!$A$2:$L$164,MATCH($A291,'RW'!$A$2:$A$164,0),10), C291 = "D",INDEX(D!$A$2:$L$268,MATCH($A291,D!$A$2:$A$268,0),10),C291="G",INDEX(G!$A$2:$Q$78,MATCH($A291,G!$A$2:$A$78,0),16),C291="F",INDEX(F!$A$2:$K$494,MATCH($A291,F!$A$2:$A$494,0),10))</f>
        <v>45</v>
      </c>
      <c r="G291" t="str">
        <f>_xlfn.CONCAT(C291,Table16[[#This Row],[Pos Rank2]])</f>
        <v>LW45</v>
      </c>
      <c r="H291" s="10">
        <f>MAX(_xlfn.IFNA(INDEX(Proj[],MATCH(Table16[[#This Row],[Player]],Proj[Player],0),29),-5000), _xlfn.IFNA(INDEX(Goalie[],MATCH(Table16[[#This Row],[Player]],Goalie[player],0),19),-5000))</f>
        <v>462.10340164868046</v>
      </c>
      <c r="I291" t="str">
        <f>IF(_xlfn.IFNA(INDEX(Proj[],MATCH(Table16[[#This Row],[Player]],Proj[Player],0),31),INDEX(Goalie[],MATCH(Table16[[#This Row],[Player]],Goalie[player],0),20)) = 0, "",_xlfn.IFNA(INDEX(Proj[],MATCH(Table16[[#This Row],[Player]],Proj[Player],0),31),INDEX(Goalie[],MATCH(Table16[[#This Row],[Player]],Goalie[player],0),20)))</f>
        <v/>
      </c>
    </row>
    <row r="292" spans="1:9" x14ac:dyDescent="0.25">
      <c r="A292" t="s">
        <v>176</v>
      </c>
      <c r="B292" s="2" t="s">
        <v>157</v>
      </c>
      <c r="C292" t="str">
        <f t="shared" si="4"/>
        <v>G</v>
      </c>
      <c r="D292" s="10">
        <f>MAX(_xlfn.IFNA(INDEX(Proj[],MATCH(Table16[[#This Row],[Player]],Proj[Player],0),27),-5000), _xlfn.IFNA(INDEX(Goalie[],MATCH(Table16[[#This Row],[Player]],Goalie[player],0),17),-5000))</f>
        <v>-211.3989098784491</v>
      </c>
      <c r="E292">
        <f>_xlfn.RANK.EQ(Table16[[#This Row],[VOR]],Table16[VOR])</f>
        <v>301</v>
      </c>
      <c r="F292" cm="1">
        <f t="array" ref="F292">_xlfn.IFS(C292 = "C",INDEX('C'!$A$2:$L$254,MATCH($A292,'C'!$A$2:$A$254,0),10),C292 = "LW",INDEX(LW!$A$2:$K$180,MATCH($A292,LW!$A$2:$A$180,0),10),C292 = "RW",INDEX('RW'!$A$2:$L$164,MATCH($A292,'RW'!$A$2:$A$164,0),10), C292 = "D",INDEX(D!$A$2:$L$268,MATCH($A292,D!$A$2:$A$268,0),10),C292="G",INDEX(G!$A$2:$Q$78,MATCH($A292,G!$A$2:$A$78,0),16),C292="F",INDEX(F!$A$2:$K$494,MATCH($A292,F!$A$2:$A$494,0),10))</f>
        <v>44</v>
      </c>
      <c r="G292" t="str">
        <f>_xlfn.CONCAT(C292,Table16[[#This Row],[Pos Rank2]])</f>
        <v>G44</v>
      </c>
      <c r="H292" s="10">
        <f>MAX(_xlfn.IFNA(INDEX(Proj[],MATCH(Table16[[#This Row],[Player]],Proj[Player],0),29),-5000), _xlfn.IFNA(INDEX(Goalie[],MATCH(Table16[[#This Row],[Player]],Goalie[player],0),19),-5000))</f>
        <v>319.30399999999992</v>
      </c>
      <c r="I292" t="str">
        <f>IF(_xlfn.IFNA(INDEX(Proj[],MATCH(Table16[[#This Row],[Player]],Proj[Player],0),31),INDEX(Goalie[],MATCH(Table16[[#This Row],[Player]],Goalie[player],0),20)) = 0, "",_xlfn.IFNA(INDEX(Proj[],MATCH(Table16[[#This Row],[Player]],Proj[Player],0),31),INDEX(Goalie[],MATCH(Table16[[#This Row],[Player]],Goalie[player],0),20)))</f>
        <v/>
      </c>
    </row>
    <row r="293" spans="1:9" x14ac:dyDescent="0.25">
      <c r="A293" t="s">
        <v>1147</v>
      </c>
      <c r="B293" s="2" t="s">
        <v>74</v>
      </c>
      <c r="C293" t="str">
        <f t="shared" si="4"/>
        <v>C</v>
      </c>
      <c r="D293" s="10">
        <f>MAX(_xlfn.IFNA(INDEX(Proj[],MATCH(Table16[[#This Row],[Player]],Proj[Player],0),27),-5000), _xlfn.IFNA(INDEX(Goalie[],MATCH(Table16[[#This Row],[Player]],Goalie[player],0),17),-5000))</f>
        <v>-414.89778488133572</v>
      </c>
      <c r="E293">
        <f>_xlfn.RANK.EQ(Table16[[#This Row],[VOR]],Table16[VOR])</f>
        <v>441</v>
      </c>
      <c r="F293" cm="1">
        <f t="array" ref="F293">_xlfn.IFS(C293 = "C",INDEX('C'!$A$2:$L$254,MATCH($A293,'C'!$A$2:$A$254,0),10),C293 = "LW",INDEX(LW!$A$2:$K$180,MATCH($A293,LW!$A$2:$A$180,0),10),C293 = "RW",INDEX('RW'!$A$2:$L$164,MATCH($A293,'RW'!$A$2:$A$164,0),10), C293 = "D",INDEX(D!$A$2:$L$268,MATCH($A293,D!$A$2:$A$268,0),10),C293="G",INDEX(G!$A$2:$Q$78,MATCH($A293,G!$A$2:$A$78,0),16),C293="F",INDEX(F!$A$2:$K$494,MATCH($A293,F!$A$2:$A$494,0),10))</f>
        <v>89</v>
      </c>
      <c r="G293" t="str">
        <f>_xlfn.CONCAT(C293,Table16[[#This Row],[Pos Rank2]])</f>
        <v>C89</v>
      </c>
      <c r="H293" s="10">
        <f>MAX(_xlfn.IFNA(INDEX(Proj[],MATCH(Table16[[#This Row],[Player]],Proj[Player],0),29),-5000), _xlfn.IFNA(INDEX(Goalie[],MATCH(Table16[[#This Row],[Player]],Goalie[player],0),19),-5000))</f>
        <v>319.73606942896288</v>
      </c>
      <c r="I293" t="str">
        <f>IF(_xlfn.IFNA(INDEX(Proj[],MATCH(Table16[[#This Row],[Player]],Proj[Player],0),31),INDEX(Goalie[],MATCH(Table16[[#This Row],[Player]],Goalie[player],0),20)) = 0, "",_xlfn.IFNA(INDEX(Proj[],MATCH(Table16[[#This Row],[Player]],Proj[Player],0),31),INDEX(Goalie[],MATCH(Table16[[#This Row],[Player]],Goalie[player],0),20)))</f>
        <v/>
      </c>
    </row>
    <row r="294" spans="1:9" x14ac:dyDescent="0.25">
      <c r="A294" t="s">
        <v>449</v>
      </c>
      <c r="B294" s="2" t="s">
        <v>3</v>
      </c>
      <c r="C294" t="str">
        <f t="shared" si="4"/>
        <v>D</v>
      </c>
      <c r="D294" s="10">
        <f>MAX(_xlfn.IFNA(INDEX(Proj[],MATCH(Table16[[#This Row],[Player]],Proj[Player],0),27),-5000), _xlfn.IFNA(INDEX(Goalie[],MATCH(Table16[[#This Row],[Player]],Goalie[player],0),17),-5000))</f>
        <v>-180.60650024682923</v>
      </c>
      <c r="E294">
        <f>_xlfn.RANK.EQ(Table16[[#This Row],[VOR]],Table16[VOR])</f>
        <v>280</v>
      </c>
      <c r="F294" cm="1">
        <f t="array" ref="F294">_xlfn.IFS(C294 = "C",INDEX('C'!$A$2:$L$254,MATCH($A294,'C'!$A$2:$A$254,0),10),C294 = "LW",INDEX(LW!$A$2:$K$180,MATCH($A294,LW!$A$2:$A$180,0),10),C294 = "RW",INDEX('RW'!$A$2:$L$164,MATCH($A294,'RW'!$A$2:$A$164,0),10), C294 = "D",INDEX(D!$A$2:$L$268,MATCH($A294,D!$A$2:$A$268,0),10),C294="G",INDEX(G!$A$2:$Q$78,MATCH($A294,G!$A$2:$A$78,0),16),C294="F",INDEX(F!$A$2:$K$494,MATCH($A294,F!$A$2:$A$494,0),10))</f>
        <v>107</v>
      </c>
      <c r="G294" t="str">
        <f>_xlfn.CONCAT(C294,Table16[[#This Row],[Pos Rank2]])</f>
        <v>D107</v>
      </c>
      <c r="H294" s="10">
        <f>MAX(_xlfn.IFNA(INDEX(Proj[],MATCH(Table16[[#This Row],[Player]],Proj[Player],0),29),-5000), _xlfn.IFNA(INDEX(Goalie[],MATCH(Table16[[#This Row],[Player]],Goalie[player],0),19),-5000))</f>
        <v>-73.241732527364761</v>
      </c>
      <c r="I294" t="str">
        <f>IF(_xlfn.IFNA(INDEX(Proj[],MATCH(Table16[[#This Row],[Player]],Proj[Player],0),31),INDEX(Goalie[],MATCH(Table16[[#This Row],[Player]],Goalie[player],0),20)) = 0, "",_xlfn.IFNA(INDEX(Proj[],MATCH(Table16[[#This Row],[Player]],Proj[Player],0),31),INDEX(Goalie[],MATCH(Table16[[#This Row],[Player]],Goalie[player],0),20)))</f>
        <v/>
      </c>
    </row>
    <row r="295" spans="1:9" x14ac:dyDescent="0.25">
      <c r="A295" t="s">
        <v>1004</v>
      </c>
      <c r="B295" s="2" t="s">
        <v>104</v>
      </c>
      <c r="C295" t="str">
        <f t="shared" si="4"/>
        <v>RW</v>
      </c>
      <c r="D295" s="10">
        <f>MAX(_xlfn.IFNA(INDEX(Proj[],MATCH(Table16[[#This Row],[Player]],Proj[Player],0),27),-5000), _xlfn.IFNA(INDEX(Goalie[],MATCH(Table16[[#This Row],[Player]],Goalie[player],0),17),-5000))</f>
        <v>-258.451469805589</v>
      </c>
      <c r="E295">
        <f>_xlfn.RANK.EQ(Table16[[#This Row],[VOR]],Table16[VOR])</f>
        <v>333</v>
      </c>
      <c r="F295" cm="1">
        <f t="array" ref="F295">_xlfn.IFS(C295 = "C",INDEX('C'!$A$2:$L$254,MATCH($A295,'C'!$A$2:$A$254,0),10),C295 = "LW",INDEX(LW!$A$2:$K$180,MATCH($A295,LW!$A$2:$A$180,0),10),C295 = "RW",INDEX('RW'!$A$2:$L$164,MATCH($A295,'RW'!$A$2:$A$164,0),10), C295 = "D",INDEX(D!$A$2:$L$268,MATCH($A295,D!$A$2:$A$268,0),10),C295="G",INDEX(G!$A$2:$Q$78,MATCH($A295,G!$A$2:$A$78,0),16),C295="F",INDEX(F!$A$2:$K$494,MATCH($A295,F!$A$2:$A$494,0),10))</f>
        <v>67</v>
      </c>
      <c r="G295" t="str">
        <f>_xlfn.CONCAT(C295,Table16[[#This Row],[Pos Rank2]])</f>
        <v>RW67</v>
      </c>
      <c r="H295" s="10">
        <f>MAX(_xlfn.IFNA(INDEX(Proj[],MATCH(Table16[[#This Row],[Player]],Proj[Player],0),29),-5000), _xlfn.IFNA(INDEX(Goalie[],MATCH(Table16[[#This Row],[Player]],Goalie[player],0),19),-5000))</f>
        <v>188.09325458465986</v>
      </c>
      <c r="I295" t="str">
        <f>IF(_xlfn.IFNA(INDEX(Proj[],MATCH(Table16[[#This Row],[Player]],Proj[Player],0),31),INDEX(Goalie[],MATCH(Table16[[#This Row],[Player]],Goalie[player],0),20)) = 0, "",_xlfn.IFNA(INDEX(Proj[],MATCH(Table16[[#This Row],[Player]],Proj[Player],0),31),INDEX(Goalie[],MATCH(Table16[[#This Row],[Player]],Goalie[player],0),20)))</f>
        <v/>
      </c>
    </row>
    <row r="296" spans="1:9" x14ac:dyDescent="0.25">
      <c r="A296" t="s">
        <v>879</v>
      </c>
      <c r="B296" s="2" t="s">
        <v>104</v>
      </c>
      <c r="C296" t="str">
        <f t="shared" si="4"/>
        <v>RW</v>
      </c>
      <c r="D296" s="10">
        <f>MAX(_xlfn.IFNA(INDEX(Proj[],MATCH(Table16[[#This Row],[Player]],Proj[Player],0),27),-5000), _xlfn.IFNA(INDEX(Goalie[],MATCH(Table16[[#This Row],[Player]],Goalie[player],0),17),-5000))</f>
        <v>-257.7057833294723</v>
      </c>
      <c r="E296">
        <f>_xlfn.RANK.EQ(Table16[[#This Row],[VOR]],Table16[VOR])</f>
        <v>331</v>
      </c>
      <c r="F296" cm="1">
        <f t="array" ref="F296">_xlfn.IFS(C296 = "C",INDEX('C'!$A$2:$L$254,MATCH($A296,'C'!$A$2:$A$254,0),10),C296 = "LW",INDEX(LW!$A$2:$K$180,MATCH($A296,LW!$A$2:$A$180,0),10),C296 = "RW",INDEX('RW'!$A$2:$L$164,MATCH($A296,'RW'!$A$2:$A$164,0),10), C296 = "D",INDEX(D!$A$2:$L$268,MATCH($A296,D!$A$2:$A$268,0),10),C296="G",INDEX(G!$A$2:$Q$78,MATCH($A296,G!$A$2:$A$78,0),16),C296="F",INDEX(F!$A$2:$K$494,MATCH($A296,F!$A$2:$A$494,0),10))</f>
        <v>66</v>
      </c>
      <c r="G296" t="str">
        <f>_xlfn.CONCAT(C296,Table16[[#This Row],[Pos Rank2]])</f>
        <v>RW66</v>
      </c>
      <c r="H296" s="10">
        <f>MAX(_xlfn.IFNA(INDEX(Proj[],MATCH(Table16[[#This Row],[Player]],Proj[Player],0),29),-5000), _xlfn.IFNA(INDEX(Goalie[],MATCH(Table16[[#This Row],[Player]],Goalie[player],0),19),-5000))</f>
        <v>188.83894106077656</v>
      </c>
      <c r="I296" t="str">
        <f>IF(_xlfn.IFNA(INDEX(Proj[],MATCH(Table16[[#This Row],[Player]],Proj[Player],0),31),INDEX(Goalie[],MATCH(Table16[[#This Row],[Player]],Goalie[player],0),20)) = 0, "",_xlfn.IFNA(INDEX(Proj[],MATCH(Table16[[#This Row],[Player]],Proj[Player],0),31),INDEX(Goalie[],MATCH(Table16[[#This Row],[Player]],Goalie[player],0),20)))</f>
        <v/>
      </c>
    </row>
    <row r="297" spans="1:9" x14ac:dyDescent="0.25">
      <c r="A297" t="s">
        <v>1126</v>
      </c>
      <c r="B297" s="2" t="s">
        <v>102</v>
      </c>
      <c r="C297" t="str">
        <f t="shared" si="4"/>
        <v>LW</v>
      </c>
      <c r="D297" s="10">
        <f>MAX(_xlfn.IFNA(INDEX(Proj[],MATCH(Table16[[#This Row],[Player]],Proj[Player],0),27),-5000), _xlfn.IFNA(INDEX(Goalie[],MATCH(Table16[[#This Row],[Player]],Goalie[player],0),17),-5000))</f>
        <v>-123.72353939314468</v>
      </c>
      <c r="E297">
        <f>_xlfn.RANK.EQ(Table16[[#This Row],[VOR]],Table16[VOR])</f>
        <v>249</v>
      </c>
      <c r="F297" cm="1">
        <f t="array" ref="F297">_xlfn.IFS(C297 = "C",INDEX('C'!$A$2:$L$254,MATCH($A297,'C'!$A$2:$A$254,0),10),C297 = "LW",INDEX(LW!$A$2:$K$180,MATCH($A297,LW!$A$2:$A$180,0),10),C297 = "RW",INDEX('RW'!$A$2:$L$164,MATCH($A297,'RW'!$A$2:$A$164,0),10), C297 = "D",INDEX(D!$A$2:$L$268,MATCH($A297,D!$A$2:$A$268,0),10),C297="G",INDEX(G!$A$2:$Q$78,MATCH($A297,G!$A$2:$A$78,0),16),C297="F",INDEX(F!$A$2:$K$494,MATCH($A297,F!$A$2:$A$494,0),10))</f>
        <v>54</v>
      </c>
      <c r="G297" t="str">
        <f>_xlfn.CONCAT(C297,Table16[[#This Row],[Pos Rank2]])</f>
        <v>LW54</v>
      </c>
      <c r="H297" s="10">
        <f>MAX(_xlfn.IFNA(INDEX(Proj[],MATCH(Table16[[#This Row],[Player]],Proj[Player],0),29),-5000), _xlfn.IFNA(INDEX(Goalie[],MATCH(Table16[[#This Row],[Player]],Goalie[player],0),19),-5000))</f>
        <v>347.82118499710418</v>
      </c>
      <c r="I297" t="str">
        <f>IF(_xlfn.IFNA(INDEX(Proj[],MATCH(Table16[[#This Row],[Player]],Proj[Player],0),31),INDEX(Goalie[],MATCH(Table16[[#This Row],[Player]],Goalie[player],0),20)) = 0, "",_xlfn.IFNA(INDEX(Proj[],MATCH(Table16[[#This Row],[Player]],Proj[Player],0),31),INDEX(Goalie[],MATCH(Table16[[#This Row],[Player]],Goalie[player],0),20)))</f>
        <v/>
      </c>
    </row>
    <row r="298" spans="1:9" x14ac:dyDescent="0.25">
      <c r="A298" t="s">
        <v>331</v>
      </c>
      <c r="B298" s="2" t="s">
        <v>103</v>
      </c>
      <c r="C298" t="str">
        <f t="shared" si="4"/>
        <v>RW</v>
      </c>
      <c r="D298" s="10">
        <f>MAX(_xlfn.IFNA(INDEX(Proj[],MATCH(Table16[[#This Row],[Player]],Proj[Player],0),27),-5000), _xlfn.IFNA(INDEX(Goalie[],MATCH(Table16[[#This Row],[Player]],Goalie[player],0),17),-5000))</f>
        <v>-263.98189317018466</v>
      </c>
      <c r="E298">
        <f>_xlfn.RANK.EQ(Table16[[#This Row],[VOR]],Table16[VOR])</f>
        <v>336</v>
      </c>
      <c r="F298" cm="1">
        <f t="array" ref="F298">_xlfn.IFS(C298 = "C",INDEX('C'!$A$2:$L$254,MATCH($A298,'C'!$A$2:$A$254,0),10),C298 = "LW",INDEX(LW!$A$2:$K$180,MATCH($A298,LW!$A$2:$A$180,0),10),C298 = "RW",INDEX('RW'!$A$2:$L$164,MATCH($A298,'RW'!$A$2:$A$164,0),10), C298 = "D",INDEX(D!$A$2:$L$268,MATCH($A298,D!$A$2:$A$268,0),10),C298="G",INDEX(G!$A$2:$Q$78,MATCH($A298,G!$A$2:$A$78,0),16),C298="F",INDEX(F!$A$2:$K$494,MATCH($A298,F!$A$2:$A$494,0),10))</f>
        <v>69</v>
      </c>
      <c r="G298" t="str">
        <f>_xlfn.CONCAT(C298,Table16[[#This Row],[Pos Rank2]])</f>
        <v>RW69</v>
      </c>
      <c r="H298" s="10">
        <f>MAX(_xlfn.IFNA(INDEX(Proj[],MATCH(Table16[[#This Row],[Player]],Proj[Player],0),29),-5000), _xlfn.IFNA(INDEX(Goalie[],MATCH(Table16[[#This Row],[Player]],Goalie[player],0),19),-5000))</f>
        <v>182.56283122006417</v>
      </c>
      <c r="I298" t="str">
        <f>IF(_xlfn.IFNA(INDEX(Proj[],MATCH(Table16[[#This Row],[Player]],Proj[Player],0),31),INDEX(Goalie[],MATCH(Table16[[#This Row],[Player]],Goalie[player],0),20)) = 0, "",_xlfn.IFNA(INDEX(Proj[],MATCH(Table16[[#This Row],[Player]],Proj[Player],0),31),INDEX(Goalie[],MATCH(Table16[[#This Row],[Player]],Goalie[player],0),20)))</f>
        <v/>
      </c>
    </row>
    <row r="299" spans="1:9" x14ac:dyDescent="0.25">
      <c r="A299" t="s">
        <v>1083</v>
      </c>
      <c r="B299" s="2" t="s">
        <v>157</v>
      </c>
      <c r="C299" t="str">
        <f t="shared" si="4"/>
        <v>G</v>
      </c>
      <c r="D299" s="10">
        <f>MAX(_xlfn.IFNA(INDEX(Proj[],MATCH(Table16[[#This Row],[Player]],Proj[Player],0),27),-5000), _xlfn.IFNA(INDEX(Goalie[],MATCH(Table16[[#This Row],[Player]],Goalie[player],0),17),-5000))</f>
        <v>-223.23423811245777</v>
      </c>
      <c r="E299">
        <f>_xlfn.RANK.EQ(Table16[[#This Row],[VOR]],Table16[VOR])</f>
        <v>308</v>
      </c>
      <c r="F299" cm="1">
        <f t="array" ref="F299">_xlfn.IFS(C299 = "C",INDEX('C'!$A$2:$L$254,MATCH($A299,'C'!$A$2:$A$254,0),10),C299 = "LW",INDEX(LW!$A$2:$K$180,MATCH($A299,LW!$A$2:$A$180,0),10),C299 = "RW",INDEX('RW'!$A$2:$L$164,MATCH($A299,'RW'!$A$2:$A$164,0),10), C299 = "D",INDEX(D!$A$2:$L$268,MATCH($A299,D!$A$2:$A$268,0),10),C299="G",INDEX(G!$A$2:$Q$78,MATCH($A299,G!$A$2:$A$78,0),16),C299="F",INDEX(F!$A$2:$K$494,MATCH($A299,F!$A$2:$A$494,0),10))</f>
        <v>45</v>
      </c>
      <c r="G299" t="str">
        <f>_xlfn.CONCAT(C299,Table16[[#This Row],[Pos Rank2]])</f>
        <v>G45</v>
      </c>
      <c r="H299" s="10">
        <f>MAX(_xlfn.IFNA(INDEX(Proj[],MATCH(Table16[[#This Row],[Player]],Proj[Player],0),29),-5000), _xlfn.IFNA(INDEX(Goalie[],MATCH(Table16[[#This Row],[Player]],Goalie[player],0),19),-5000))</f>
        <v>362.98849999999999</v>
      </c>
      <c r="I299" t="str">
        <f>IF(_xlfn.IFNA(INDEX(Proj[],MATCH(Table16[[#This Row],[Player]],Proj[Player],0),31),INDEX(Goalie[],MATCH(Table16[[#This Row],[Player]],Goalie[player],0),20)) = 0, "",_xlfn.IFNA(INDEX(Proj[],MATCH(Table16[[#This Row],[Player]],Proj[Player],0),31),INDEX(Goalie[],MATCH(Table16[[#This Row],[Player]],Goalie[player],0),20)))</f>
        <v/>
      </c>
    </row>
    <row r="300" spans="1:9" x14ac:dyDescent="0.25">
      <c r="A300" t="s">
        <v>636</v>
      </c>
      <c r="B300" s="2" t="s">
        <v>104</v>
      </c>
      <c r="C300" t="str">
        <f t="shared" si="4"/>
        <v>RW</v>
      </c>
      <c r="D300" s="10">
        <f>MAX(_xlfn.IFNA(INDEX(Proj[],MATCH(Table16[[#This Row],[Player]],Proj[Player],0),27),-5000), _xlfn.IFNA(INDEX(Goalie[],MATCH(Table16[[#This Row],[Player]],Goalie[player],0),17),-5000))</f>
        <v>-261.34639207788803</v>
      </c>
      <c r="E300">
        <f>_xlfn.RANK.EQ(Table16[[#This Row],[VOR]],Table16[VOR])</f>
        <v>335</v>
      </c>
      <c r="F300" cm="1">
        <f t="array" ref="F300">_xlfn.IFS(C300 = "C",INDEX('C'!$A$2:$L$254,MATCH($A300,'C'!$A$2:$A$254,0),10),C300 = "LW",INDEX(LW!$A$2:$K$180,MATCH($A300,LW!$A$2:$A$180,0),10),C300 = "RW",INDEX('RW'!$A$2:$L$164,MATCH($A300,'RW'!$A$2:$A$164,0),10), C300 = "D",INDEX(D!$A$2:$L$268,MATCH($A300,D!$A$2:$A$268,0),10),C300="G",INDEX(G!$A$2:$Q$78,MATCH($A300,G!$A$2:$A$78,0),16),C300="F",INDEX(F!$A$2:$K$494,MATCH($A300,F!$A$2:$A$494,0),10))</f>
        <v>68</v>
      </c>
      <c r="G300" t="str">
        <f>_xlfn.CONCAT(C300,Table16[[#This Row],[Pos Rank2]])</f>
        <v>RW68</v>
      </c>
      <c r="H300" s="10">
        <f>MAX(_xlfn.IFNA(INDEX(Proj[],MATCH(Table16[[#This Row],[Player]],Proj[Player],0),29),-5000), _xlfn.IFNA(INDEX(Goalie[],MATCH(Table16[[#This Row],[Player]],Goalie[player],0),19),-5000))</f>
        <v>185.19833231236086</v>
      </c>
      <c r="I300" t="str">
        <f>IF(_xlfn.IFNA(INDEX(Proj[],MATCH(Table16[[#This Row],[Player]],Proj[Player],0),31),INDEX(Goalie[],MATCH(Table16[[#This Row],[Player]],Goalie[player],0),20)) = 0, "",_xlfn.IFNA(INDEX(Proj[],MATCH(Table16[[#This Row],[Player]],Proj[Player],0),31),INDEX(Goalie[],MATCH(Table16[[#This Row],[Player]],Goalie[player],0),20)))</f>
        <v/>
      </c>
    </row>
    <row r="301" spans="1:9" x14ac:dyDescent="0.25">
      <c r="A301" t="s">
        <v>920</v>
      </c>
      <c r="B301" s="2" t="s">
        <v>3</v>
      </c>
      <c r="C301" t="str">
        <f t="shared" si="4"/>
        <v>D</v>
      </c>
      <c r="D301" s="10">
        <f>MAX(_xlfn.IFNA(INDEX(Proj[],MATCH(Table16[[#This Row],[Player]],Proj[Player],0),27),-5000), _xlfn.IFNA(INDEX(Goalie[],MATCH(Table16[[#This Row],[Player]],Goalie[player],0),17),-5000))</f>
        <v>-193.2868392138312</v>
      </c>
      <c r="E301">
        <f>_xlfn.RANK.EQ(Table16[[#This Row],[VOR]],Table16[VOR])</f>
        <v>283</v>
      </c>
      <c r="F301" cm="1">
        <f t="array" ref="F301">_xlfn.IFS(C301 = "C",INDEX('C'!$A$2:$L$254,MATCH($A301,'C'!$A$2:$A$254,0),10),C301 = "LW",INDEX(LW!$A$2:$K$180,MATCH($A301,LW!$A$2:$A$180,0),10),C301 = "RW",INDEX('RW'!$A$2:$L$164,MATCH($A301,'RW'!$A$2:$A$164,0),10), C301 = "D",INDEX(D!$A$2:$L$268,MATCH($A301,D!$A$2:$A$268,0),10),C301="G",INDEX(G!$A$2:$Q$78,MATCH($A301,G!$A$2:$A$78,0),16),C301="F",INDEX(F!$A$2:$K$494,MATCH($A301,F!$A$2:$A$494,0),10))</f>
        <v>108</v>
      </c>
      <c r="G301" t="str">
        <f>_xlfn.CONCAT(C301,Table16[[#This Row],[Pos Rank2]])</f>
        <v>D108</v>
      </c>
      <c r="H301" s="10">
        <f>MAX(_xlfn.IFNA(INDEX(Proj[],MATCH(Table16[[#This Row],[Player]],Proj[Player],0),29),-5000), _xlfn.IFNA(INDEX(Goalie[],MATCH(Table16[[#This Row],[Player]],Goalie[player],0),19),-5000))</f>
        <v>-85.922071494366719</v>
      </c>
      <c r="I301" t="str">
        <f>IF(_xlfn.IFNA(INDEX(Proj[],MATCH(Table16[[#This Row],[Player]],Proj[Player],0),31),INDEX(Goalie[],MATCH(Table16[[#This Row],[Player]],Goalie[player],0),20)) = 0, "",_xlfn.IFNA(INDEX(Proj[],MATCH(Table16[[#This Row],[Player]],Proj[Player],0),31),INDEX(Goalie[],MATCH(Table16[[#This Row],[Player]],Goalie[player],0),20)))</f>
        <v/>
      </c>
    </row>
    <row r="302" spans="1:9" x14ac:dyDescent="0.25">
      <c r="A302" t="s">
        <v>1092</v>
      </c>
      <c r="B302" s="2" t="s">
        <v>157</v>
      </c>
      <c r="C302" t="str">
        <f t="shared" si="4"/>
        <v>G</v>
      </c>
      <c r="D302" s="10">
        <f>MAX(_xlfn.IFNA(INDEX(Proj[],MATCH(Table16[[#This Row],[Player]],Proj[Player],0),27),-5000), _xlfn.IFNA(INDEX(Goalie[],MATCH(Table16[[#This Row],[Player]],Goalie[player],0),17),-5000))</f>
        <v>-226.48495506370895</v>
      </c>
      <c r="E302">
        <f>_xlfn.RANK.EQ(Table16[[#This Row],[VOR]],Table16[VOR])</f>
        <v>312</v>
      </c>
      <c r="F302" cm="1">
        <f t="array" ref="F302">_xlfn.IFS(C302 = "C",INDEX('C'!$A$2:$L$254,MATCH($A302,'C'!$A$2:$A$254,0),10),C302 = "LW",INDEX(LW!$A$2:$K$180,MATCH($A302,LW!$A$2:$A$180,0),10),C302 = "RW",INDEX('RW'!$A$2:$L$164,MATCH($A302,'RW'!$A$2:$A$164,0),10), C302 = "D",INDEX(D!$A$2:$L$268,MATCH($A302,D!$A$2:$A$268,0),10),C302="G",INDEX(G!$A$2:$Q$78,MATCH($A302,G!$A$2:$A$78,0),16),C302="F",INDEX(F!$A$2:$K$494,MATCH($A302,F!$A$2:$A$494,0),10))</f>
        <v>46</v>
      </c>
      <c r="G302" t="str">
        <f>_xlfn.CONCAT(C302,Table16[[#This Row],[Pos Rank2]])</f>
        <v>G46</v>
      </c>
      <c r="H302" s="10">
        <f>MAX(_xlfn.IFNA(INDEX(Proj[],MATCH(Table16[[#This Row],[Player]],Proj[Player],0),29),-5000), _xlfn.IFNA(INDEX(Goalie[],MATCH(Table16[[#This Row],[Player]],Goalie[player],0),19),-5000))</f>
        <v>408.03339999999992</v>
      </c>
      <c r="I302" t="str">
        <f>IF(_xlfn.IFNA(INDEX(Proj[],MATCH(Table16[[#This Row],[Player]],Proj[Player],0),31),INDEX(Goalie[],MATCH(Table16[[#This Row],[Player]],Goalie[player],0),20)) = 0, "",_xlfn.IFNA(INDEX(Proj[],MATCH(Table16[[#This Row],[Player]],Proj[Player],0),31),INDEX(Goalie[],MATCH(Table16[[#This Row],[Player]],Goalie[player],0),20)))</f>
        <v/>
      </c>
    </row>
    <row r="303" spans="1:9" x14ac:dyDescent="0.25">
      <c r="A303" t="s">
        <v>1007</v>
      </c>
      <c r="B303" s="2" t="s">
        <v>103</v>
      </c>
      <c r="C303" t="str">
        <f t="shared" si="4"/>
        <v>RW</v>
      </c>
      <c r="D303" s="10">
        <f>MAX(_xlfn.IFNA(INDEX(Proj[],MATCH(Table16[[#This Row],[Player]],Proj[Player],0),27),-5000), _xlfn.IFNA(INDEX(Goalie[],MATCH(Table16[[#This Row],[Player]],Goalie[player],0),17),-5000))</f>
        <v>-280.09115237838091</v>
      </c>
      <c r="E303">
        <f>_xlfn.RANK.EQ(Table16[[#This Row],[VOR]],Table16[VOR])</f>
        <v>347</v>
      </c>
      <c r="F303" cm="1">
        <f t="array" ref="F303">_xlfn.IFS(C303 = "C",INDEX('C'!$A$2:$L$254,MATCH($A303,'C'!$A$2:$A$254,0),10),C303 = "LW",INDEX(LW!$A$2:$K$180,MATCH($A303,LW!$A$2:$A$180,0),10),C303 = "RW",INDEX('RW'!$A$2:$L$164,MATCH($A303,'RW'!$A$2:$A$164,0),10), C303 = "D",INDEX(D!$A$2:$L$268,MATCH($A303,D!$A$2:$A$268,0),10),C303="G",INDEX(G!$A$2:$Q$78,MATCH($A303,G!$A$2:$A$78,0),16),C303="F",INDEX(F!$A$2:$K$494,MATCH($A303,F!$A$2:$A$494,0),10))</f>
        <v>74</v>
      </c>
      <c r="G303" t="str">
        <f>_xlfn.CONCAT(C303,Table16[[#This Row],[Pos Rank2]])</f>
        <v>RW74</v>
      </c>
      <c r="H303" s="10">
        <f>MAX(_xlfn.IFNA(INDEX(Proj[],MATCH(Table16[[#This Row],[Player]],Proj[Player],0),29),-5000), _xlfn.IFNA(INDEX(Goalie[],MATCH(Table16[[#This Row],[Player]],Goalie[player],0),19),-5000))</f>
        <v>166.45357201186798</v>
      </c>
      <c r="I303" t="str">
        <f>IF(_xlfn.IFNA(INDEX(Proj[],MATCH(Table16[[#This Row],[Player]],Proj[Player],0),31),INDEX(Goalie[],MATCH(Table16[[#This Row],[Player]],Goalie[player],0),20)) = 0, "",_xlfn.IFNA(INDEX(Proj[],MATCH(Table16[[#This Row],[Player]],Proj[Player],0),31),INDEX(Goalie[],MATCH(Table16[[#This Row],[Player]],Goalie[player],0),20)))</f>
        <v/>
      </c>
    </row>
    <row r="304" spans="1:9" x14ac:dyDescent="0.25">
      <c r="A304" t="s">
        <v>572</v>
      </c>
      <c r="B304" s="2" t="s">
        <v>3</v>
      </c>
      <c r="C304" t="str">
        <f t="shared" si="4"/>
        <v>D</v>
      </c>
      <c r="D304" s="10">
        <f>MAX(_xlfn.IFNA(INDEX(Proj[],MATCH(Table16[[#This Row],[Player]],Proj[Player],0),27),-5000), _xlfn.IFNA(INDEX(Goalie[],MATCH(Table16[[#This Row],[Player]],Goalie[player],0),17),-5000))</f>
        <v>-208.27994908197678</v>
      </c>
      <c r="E304">
        <f>_xlfn.RANK.EQ(Table16[[#This Row],[VOR]],Table16[VOR])</f>
        <v>298</v>
      </c>
      <c r="F304" cm="1">
        <f t="array" ref="F304">_xlfn.IFS(C304 = "C",INDEX('C'!$A$2:$L$254,MATCH($A304,'C'!$A$2:$A$254,0),10),C304 = "LW",INDEX(LW!$A$2:$K$180,MATCH($A304,LW!$A$2:$A$180,0),10),C304 = "RW",INDEX('RW'!$A$2:$L$164,MATCH($A304,'RW'!$A$2:$A$164,0),10), C304 = "D",INDEX(D!$A$2:$L$268,MATCH($A304,D!$A$2:$A$268,0),10),C304="G",INDEX(G!$A$2:$Q$78,MATCH($A304,G!$A$2:$A$78,0),16),C304="F",INDEX(F!$A$2:$K$494,MATCH($A304,F!$A$2:$A$494,0),10))</f>
        <v>114</v>
      </c>
      <c r="G304" t="str">
        <f>_xlfn.CONCAT(C304,Table16[[#This Row],[Pos Rank2]])</f>
        <v>D114</v>
      </c>
      <c r="H304" s="10">
        <f>MAX(_xlfn.IFNA(INDEX(Proj[],MATCH(Table16[[#This Row],[Player]],Proj[Player],0),29),-5000), _xlfn.IFNA(INDEX(Goalie[],MATCH(Table16[[#This Row],[Player]],Goalie[player],0),19),-5000))</f>
        <v>-100.91518136251231</v>
      </c>
      <c r="I304" t="str">
        <f>IF(_xlfn.IFNA(INDEX(Proj[],MATCH(Table16[[#This Row],[Player]],Proj[Player],0),31),INDEX(Goalie[],MATCH(Table16[[#This Row],[Player]],Goalie[player],0),20)) = 0, "",_xlfn.IFNA(INDEX(Proj[],MATCH(Table16[[#This Row],[Player]],Proj[Player],0),31),INDEX(Goalie[],MATCH(Table16[[#This Row],[Player]],Goalie[player],0),20)))</f>
        <v/>
      </c>
    </row>
    <row r="305" spans="1:9" x14ac:dyDescent="0.25">
      <c r="A305" t="s">
        <v>897</v>
      </c>
      <c r="B305" s="2" t="s">
        <v>3</v>
      </c>
      <c r="C305" t="str">
        <f t="shared" si="4"/>
        <v>D</v>
      </c>
      <c r="D305" s="10">
        <f>MAX(_xlfn.IFNA(INDEX(Proj[],MATCH(Table16[[#This Row],[Player]],Proj[Player],0),27),-5000), _xlfn.IFNA(INDEX(Goalie[],MATCH(Table16[[#This Row],[Player]],Goalie[player],0),17),-5000))</f>
        <v>-198.83182001097549</v>
      </c>
      <c r="E305">
        <f>_xlfn.RANK.EQ(Table16[[#This Row],[VOR]],Table16[VOR])</f>
        <v>286</v>
      </c>
      <c r="F305" cm="1">
        <f t="array" ref="F305">_xlfn.IFS(C305 = "C",INDEX('C'!$A$2:$L$254,MATCH($A305,'C'!$A$2:$A$254,0),10),C305 = "LW",INDEX(LW!$A$2:$K$180,MATCH($A305,LW!$A$2:$A$180,0),10),C305 = "RW",INDEX('RW'!$A$2:$L$164,MATCH($A305,'RW'!$A$2:$A$164,0),10), C305 = "D",INDEX(D!$A$2:$L$268,MATCH($A305,D!$A$2:$A$268,0),10),C305="G",INDEX(G!$A$2:$Q$78,MATCH($A305,G!$A$2:$A$78,0),16),C305="F",INDEX(F!$A$2:$K$494,MATCH($A305,F!$A$2:$A$494,0),10))</f>
        <v>110</v>
      </c>
      <c r="G305" t="str">
        <f>_xlfn.CONCAT(C305,Table16[[#This Row],[Pos Rank2]])</f>
        <v>D110</v>
      </c>
      <c r="H305" s="10">
        <f>MAX(_xlfn.IFNA(INDEX(Proj[],MATCH(Table16[[#This Row],[Player]],Proj[Player],0),29),-5000), _xlfn.IFNA(INDEX(Goalie[],MATCH(Table16[[#This Row],[Player]],Goalie[player],0),19),-5000))</f>
        <v>-91.46705229151101</v>
      </c>
      <c r="I305" t="str">
        <f>IF(_xlfn.IFNA(INDEX(Proj[],MATCH(Table16[[#This Row],[Player]],Proj[Player],0),31),INDEX(Goalie[],MATCH(Table16[[#This Row],[Player]],Goalie[player],0),20)) = 0, "",_xlfn.IFNA(INDEX(Proj[],MATCH(Table16[[#This Row],[Player]],Proj[Player],0),31),INDEX(Goalie[],MATCH(Table16[[#This Row],[Player]],Goalie[player],0),20)))</f>
        <v/>
      </c>
    </row>
    <row r="306" spans="1:9" x14ac:dyDescent="0.25">
      <c r="A306" t="s">
        <v>564</v>
      </c>
      <c r="B306" s="2" t="s">
        <v>74</v>
      </c>
      <c r="C306" t="str">
        <f t="shared" si="4"/>
        <v>C</v>
      </c>
      <c r="D306" s="10">
        <f>MAX(_xlfn.IFNA(INDEX(Proj[],MATCH(Table16[[#This Row],[Player]],Proj[Player],0),27),-5000), _xlfn.IFNA(INDEX(Goalie[],MATCH(Table16[[#This Row],[Player]],Goalie[player],0),17),-5000))</f>
        <v>-232.84862604222587</v>
      </c>
      <c r="E306">
        <f>_xlfn.RANK.EQ(Table16[[#This Row],[VOR]],Table16[VOR])</f>
        <v>315</v>
      </c>
      <c r="F306" cm="1">
        <f t="array" ref="F306">_xlfn.IFS(C306 = "C",INDEX('C'!$A$2:$L$254,MATCH($A306,'C'!$A$2:$A$254,0),10),C306 = "LW",INDEX(LW!$A$2:$K$180,MATCH($A306,LW!$A$2:$A$180,0),10),C306 = "RW",INDEX('RW'!$A$2:$L$164,MATCH($A306,'RW'!$A$2:$A$164,0),10), C306 = "D",INDEX(D!$A$2:$L$268,MATCH($A306,D!$A$2:$A$268,0),10),C306="G",INDEX(G!$A$2:$Q$78,MATCH($A306,G!$A$2:$A$78,0),16),C306="F",INDEX(F!$A$2:$K$494,MATCH($A306,F!$A$2:$A$494,0),10))</f>
        <v>63</v>
      </c>
      <c r="G306" t="str">
        <f>_xlfn.CONCAT(C306,Table16[[#This Row],[Pos Rank2]])</f>
        <v>C63</v>
      </c>
      <c r="H306" s="10">
        <f>MAX(_xlfn.IFNA(INDEX(Proj[],MATCH(Table16[[#This Row],[Player]],Proj[Player],0),29),-5000), _xlfn.IFNA(INDEX(Goalie[],MATCH(Table16[[#This Row],[Player]],Goalie[player],0),19),-5000))</f>
        <v>501.78522826807273</v>
      </c>
      <c r="I306" t="str">
        <f>IF(_xlfn.IFNA(INDEX(Proj[],MATCH(Table16[[#This Row],[Player]],Proj[Player],0),31),INDEX(Goalie[],MATCH(Table16[[#This Row],[Player]],Goalie[player],0),20)) = 0, "",_xlfn.IFNA(INDEX(Proj[],MATCH(Table16[[#This Row],[Player]],Proj[Player],0),31),INDEX(Goalie[],MATCH(Table16[[#This Row],[Player]],Goalie[player],0),20)))</f>
        <v/>
      </c>
    </row>
    <row r="307" spans="1:9" x14ac:dyDescent="0.25">
      <c r="A307" t="s">
        <v>1177</v>
      </c>
      <c r="B307" s="2" t="s">
        <v>3</v>
      </c>
      <c r="C307" t="str">
        <f t="shared" si="4"/>
        <v>D</v>
      </c>
      <c r="D307" s="10">
        <f>MAX(_xlfn.IFNA(INDEX(Proj[],MATCH(Table16[[#This Row],[Player]],Proj[Player],0),27),-5000), _xlfn.IFNA(INDEX(Goalie[],MATCH(Table16[[#This Row],[Player]],Goalie[player],0),17),-5000))</f>
        <v>-200.62747520458879</v>
      </c>
      <c r="E307">
        <f>_xlfn.RANK.EQ(Table16[[#This Row],[VOR]],Table16[VOR])</f>
        <v>287</v>
      </c>
      <c r="F307" cm="1">
        <f t="array" ref="F307">_xlfn.IFS(C307 = "C",INDEX('C'!$A$2:$L$254,MATCH($A307,'C'!$A$2:$A$254,0),10),C307 = "LW",INDEX(LW!$A$2:$K$180,MATCH($A307,LW!$A$2:$A$180,0),10),C307 = "RW",INDEX('RW'!$A$2:$L$164,MATCH($A307,'RW'!$A$2:$A$164,0),10), C307 = "D",INDEX(D!$A$2:$L$268,MATCH($A307,D!$A$2:$A$268,0),10),C307="G",INDEX(G!$A$2:$Q$78,MATCH($A307,G!$A$2:$A$78,0),16),C307="F",INDEX(F!$A$2:$K$494,MATCH($A307,F!$A$2:$A$494,0),10))</f>
        <v>111</v>
      </c>
      <c r="G307" t="str">
        <f>_xlfn.CONCAT(C307,Table16[[#This Row],[Pos Rank2]])</f>
        <v>D111</v>
      </c>
      <c r="H307" s="10">
        <f>MAX(_xlfn.IFNA(INDEX(Proj[],MATCH(Table16[[#This Row],[Player]],Proj[Player],0),29),-5000), _xlfn.IFNA(INDEX(Goalie[],MATCH(Table16[[#This Row],[Player]],Goalie[player],0),19),-5000))</f>
        <v>-93.262707485124324</v>
      </c>
      <c r="I307" t="str">
        <f>IF(_xlfn.IFNA(INDEX(Proj[],MATCH(Table16[[#This Row],[Player]],Proj[Player],0),31),INDEX(Goalie[],MATCH(Table16[[#This Row],[Player]],Goalie[player],0),20)) = 0, "",_xlfn.IFNA(INDEX(Proj[],MATCH(Table16[[#This Row],[Player]],Proj[Player],0),31),INDEX(Goalie[],MATCH(Table16[[#This Row],[Player]],Goalie[player],0),20)))</f>
        <v/>
      </c>
    </row>
    <row r="308" spans="1:9" x14ac:dyDescent="0.25">
      <c r="A308" t="s">
        <v>198</v>
      </c>
      <c r="B308" s="2" t="s">
        <v>157</v>
      </c>
      <c r="C308" t="str">
        <f t="shared" si="4"/>
        <v>G</v>
      </c>
      <c r="D308" s="10">
        <f>MAX(_xlfn.IFNA(INDEX(Proj[],MATCH(Table16[[#This Row],[Player]],Proj[Player],0),27),-5000), _xlfn.IFNA(INDEX(Goalie[],MATCH(Table16[[#This Row],[Player]],Goalie[player],0),17),-5000))</f>
        <v>-235.56888203789362</v>
      </c>
      <c r="E308">
        <f>_xlfn.RANK.EQ(Table16[[#This Row],[VOR]],Table16[VOR])</f>
        <v>318</v>
      </c>
      <c r="F308" cm="1">
        <f t="array" ref="F308">_xlfn.IFS(C308 = "C",INDEX('C'!$A$2:$L$254,MATCH($A308,'C'!$A$2:$A$254,0),10),C308 = "LW",INDEX(LW!$A$2:$K$180,MATCH($A308,LW!$A$2:$A$180,0),10),C308 = "RW",INDEX('RW'!$A$2:$L$164,MATCH($A308,'RW'!$A$2:$A$164,0),10), C308 = "D",INDEX(D!$A$2:$L$268,MATCH($A308,D!$A$2:$A$268,0),10),C308="G",INDEX(G!$A$2:$Q$78,MATCH($A308,G!$A$2:$A$78,0),16),C308="F",INDEX(F!$A$2:$K$494,MATCH($A308,F!$A$2:$A$494,0),10))</f>
        <v>47</v>
      </c>
      <c r="G308" t="str">
        <f>_xlfn.CONCAT(C308,Table16[[#This Row],[Pos Rank2]])</f>
        <v>G47</v>
      </c>
      <c r="H308" s="10">
        <f>MAX(_xlfn.IFNA(INDEX(Proj[],MATCH(Table16[[#This Row],[Player]],Proj[Player],0),29),-5000), _xlfn.IFNA(INDEX(Goalie[],MATCH(Table16[[#This Row],[Player]],Goalie[player],0),19),-5000))</f>
        <v>287.55279999999993</v>
      </c>
      <c r="I308" t="str">
        <f>IF(_xlfn.IFNA(INDEX(Proj[],MATCH(Table16[[#This Row],[Player]],Proj[Player],0),31),INDEX(Goalie[],MATCH(Table16[[#This Row],[Player]],Goalie[player],0),20)) = 0, "",_xlfn.IFNA(INDEX(Proj[],MATCH(Table16[[#This Row],[Player]],Proj[Player],0),31),INDEX(Goalie[],MATCH(Table16[[#This Row],[Player]],Goalie[player],0),20)))</f>
        <v/>
      </c>
    </row>
    <row r="309" spans="1:9" x14ac:dyDescent="0.25">
      <c r="A309" t="s">
        <v>982</v>
      </c>
      <c r="B309" s="2" t="s">
        <v>103</v>
      </c>
      <c r="C309" t="str">
        <f t="shared" si="4"/>
        <v>RW</v>
      </c>
      <c r="D309" s="10">
        <f>MAX(_xlfn.IFNA(INDEX(Proj[],MATCH(Table16[[#This Row],[Player]],Proj[Player],0),27),-5000), _xlfn.IFNA(INDEX(Goalie[],MATCH(Table16[[#This Row],[Player]],Goalie[player],0),17),-5000))</f>
        <v>-391.04873621639302</v>
      </c>
      <c r="E309">
        <f>_xlfn.RANK.EQ(Table16[[#This Row],[VOR]],Table16[VOR])</f>
        <v>430</v>
      </c>
      <c r="F309" cm="1">
        <f t="array" ref="F309">_xlfn.IFS(C309 = "C",INDEX('C'!$A$2:$L$254,MATCH($A309,'C'!$A$2:$A$254,0),10),C309 = "LW",INDEX(LW!$A$2:$K$180,MATCH($A309,LW!$A$2:$A$180,0),10),C309 = "RW",INDEX('RW'!$A$2:$L$164,MATCH($A309,'RW'!$A$2:$A$164,0),10), C309 = "D",INDEX(D!$A$2:$L$268,MATCH($A309,D!$A$2:$A$268,0),10),C309="G",INDEX(G!$A$2:$Q$78,MATCH($A309,G!$A$2:$A$78,0),16),C309="F",INDEX(F!$A$2:$K$494,MATCH($A309,F!$A$2:$A$494,0),10))</f>
        <v>88</v>
      </c>
      <c r="G309" t="str">
        <f>_xlfn.CONCAT(C309,Table16[[#This Row],[Pos Rank2]])</f>
        <v>RW88</v>
      </c>
      <c r="H309" s="10">
        <f>MAX(_xlfn.IFNA(INDEX(Proj[],MATCH(Table16[[#This Row],[Player]],Proj[Player],0),29),-5000), _xlfn.IFNA(INDEX(Goalie[],MATCH(Table16[[#This Row],[Player]],Goalie[player],0),19),-5000))</f>
        <v>55.495988173855835</v>
      </c>
      <c r="I309" t="str">
        <f>IF(_xlfn.IFNA(INDEX(Proj[],MATCH(Table16[[#This Row],[Player]],Proj[Player],0),31),INDEX(Goalie[],MATCH(Table16[[#This Row],[Player]],Goalie[player],0),20)) = 0, "",_xlfn.IFNA(INDEX(Proj[],MATCH(Table16[[#This Row],[Player]],Proj[Player],0),31),INDEX(Goalie[],MATCH(Table16[[#This Row],[Player]],Goalie[player],0),20)))</f>
        <v/>
      </c>
    </row>
    <row r="310" spans="1:9" x14ac:dyDescent="0.25">
      <c r="A310" t="s">
        <v>864</v>
      </c>
      <c r="B310" s="2" t="s">
        <v>3</v>
      </c>
      <c r="C310" t="str">
        <f t="shared" si="4"/>
        <v>D</v>
      </c>
      <c r="D310" s="10">
        <f>MAX(_xlfn.IFNA(INDEX(Proj[],MATCH(Table16[[#This Row],[Player]],Proj[Player],0),27),-5000), _xlfn.IFNA(INDEX(Goalie[],MATCH(Table16[[#This Row],[Player]],Goalie[player],0),17),-5000))</f>
        <v>-194.39949852740736</v>
      </c>
      <c r="E310">
        <f>_xlfn.RANK.EQ(Table16[[#This Row],[VOR]],Table16[VOR])</f>
        <v>284</v>
      </c>
      <c r="F310" cm="1">
        <f t="array" ref="F310">_xlfn.IFS(C310 = "C",INDEX('C'!$A$2:$L$254,MATCH($A310,'C'!$A$2:$A$254,0),10),C310 = "LW",INDEX(LW!$A$2:$K$180,MATCH($A310,LW!$A$2:$A$180,0),10),C310 = "RW",INDEX('RW'!$A$2:$L$164,MATCH($A310,'RW'!$A$2:$A$164,0),10), C310 = "D",INDEX(D!$A$2:$L$268,MATCH($A310,D!$A$2:$A$268,0),10),C310="G",INDEX(G!$A$2:$Q$78,MATCH($A310,G!$A$2:$A$78,0),16),C310="F",INDEX(F!$A$2:$K$494,MATCH($A310,F!$A$2:$A$494,0),10))</f>
        <v>109</v>
      </c>
      <c r="G310" t="str">
        <f>_xlfn.CONCAT(C310,Table16[[#This Row],[Pos Rank2]])</f>
        <v>D109</v>
      </c>
      <c r="H310" s="10">
        <f>MAX(_xlfn.IFNA(INDEX(Proj[],MATCH(Table16[[#This Row],[Player]],Proj[Player],0),29),-5000), _xlfn.IFNA(INDEX(Goalie[],MATCH(Table16[[#This Row],[Player]],Goalie[player],0),19),-5000))</f>
        <v>-87.034730807942879</v>
      </c>
      <c r="I310" t="str">
        <f>IF(_xlfn.IFNA(INDEX(Proj[],MATCH(Table16[[#This Row],[Player]],Proj[Player],0),31),INDEX(Goalie[],MATCH(Table16[[#This Row],[Player]],Goalie[player],0),20)) = 0, "",_xlfn.IFNA(INDEX(Proj[],MATCH(Table16[[#This Row],[Player]],Proj[Player],0),31),INDEX(Goalie[],MATCH(Table16[[#This Row],[Player]],Goalie[player],0),20)))</f>
        <v/>
      </c>
    </row>
    <row r="311" spans="1:9" x14ac:dyDescent="0.25">
      <c r="A311" t="s">
        <v>378</v>
      </c>
      <c r="B311" s="2" t="s">
        <v>3</v>
      </c>
      <c r="C311" t="str">
        <f t="shared" si="4"/>
        <v>D</v>
      </c>
      <c r="D311" s="10">
        <f>MAX(_xlfn.IFNA(INDEX(Proj[],MATCH(Table16[[#This Row],[Player]],Proj[Player],0),27),-5000), _xlfn.IFNA(INDEX(Goalie[],MATCH(Table16[[#This Row],[Player]],Goalie[player],0),17),-5000))</f>
        <v>-206.35649961536927</v>
      </c>
      <c r="E311">
        <f>_xlfn.RANK.EQ(Table16[[#This Row],[VOR]],Table16[VOR])</f>
        <v>293</v>
      </c>
      <c r="F311" cm="1">
        <f t="array" ref="F311">_xlfn.IFS(C311 = "C",INDEX('C'!$A$2:$L$254,MATCH($A311,'C'!$A$2:$A$254,0),10),C311 = "LW",INDEX(LW!$A$2:$K$180,MATCH($A311,LW!$A$2:$A$180,0),10),C311 = "RW",INDEX('RW'!$A$2:$L$164,MATCH($A311,'RW'!$A$2:$A$164,0),10), C311 = "D",INDEX(D!$A$2:$L$268,MATCH($A311,D!$A$2:$A$268,0),10),C311="G",INDEX(G!$A$2:$Q$78,MATCH($A311,G!$A$2:$A$78,0),16),C311="F",INDEX(F!$A$2:$K$494,MATCH($A311,F!$A$2:$A$494,0),10))</f>
        <v>112</v>
      </c>
      <c r="G311" t="str">
        <f>_xlfn.CONCAT(C311,Table16[[#This Row],[Pos Rank2]])</f>
        <v>D112</v>
      </c>
      <c r="H311" s="10">
        <f>MAX(_xlfn.IFNA(INDEX(Proj[],MATCH(Table16[[#This Row],[Player]],Proj[Player],0),29),-5000), _xlfn.IFNA(INDEX(Goalie[],MATCH(Table16[[#This Row],[Player]],Goalie[player],0),19),-5000))</f>
        <v>-98.991731895904806</v>
      </c>
      <c r="I311" t="str">
        <f>IF(_xlfn.IFNA(INDEX(Proj[],MATCH(Table16[[#This Row],[Player]],Proj[Player],0),31),INDEX(Goalie[],MATCH(Table16[[#This Row],[Player]],Goalie[player],0),20)) = 0, "",_xlfn.IFNA(INDEX(Proj[],MATCH(Table16[[#This Row],[Player]],Proj[Player],0),31),INDEX(Goalie[],MATCH(Table16[[#This Row],[Player]],Goalie[player],0),20)))</f>
        <v/>
      </c>
    </row>
    <row r="312" spans="1:9" x14ac:dyDescent="0.25">
      <c r="A312" t="s">
        <v>403</v>
      </c>
      <c r="B312" s="2" t="s">
        <v>3</v>
      </c>
      <c r="C312" t="str">
        <f t="shared" si="4"/>
        <v>D</v>
      </c>
      <c r="D312" s="10">
        <f>MAX(_xlfn.IFNA(INDEX(Proj[],MATCH(Table16[[#This Row],[Player]],Proj[Player],0),27),-5000), _xlfn.IFNA(INDEX(Goalie[],MATCH(Table16[[#This Row],[Player]],Goalie[player],0),17),-5000))</f>
        <v>-207.31284303305836</v>
      </c>
      <c r="E312">
        <f>_xlfn.RANK.EQ(Table16[[#This Row],[VOR]],Table16[VOR])</f>
        <v>296</v>
      </c>
      <c r="F312" cm="1">
        <f t="array" ref="F312">_xlfn.IFS(C312 = "C",INDEX('C'!$A$2:$L$254,MATCH($A312,'C'!$A$2:$A$254,0),10),C312 = "LW",INDEX(LW!$A$2:$K$180,MATCH($A312,LW!$A$2:$A$180,0),10),C312 = "RW",INDEX('RW'!$A$2:$L$164,MATCH($A312,'RW'!$A$2:$A$164,0),10), C312 = "D",INDEX(D!$A$2:$L$268,MATCH($A312,D!$A$2:$A$268,0),10),C312="G",INDEX(G!$A$2:$Q$78,MATCH($A312,G!$A$2:$A$78,0),16),C312="F",INDEX(F!$A$2:$K$494,MATCH($A312,F!$A$2:$A$494,0),10))</f>
        <v>113</v>
      </c>
      <c r="G312" t="str">
        <f>_xlfn.CONCAT(C312,Table16[[#This Row],[Pos Rank2]])</f>
        <v>D113</v>
      </c>
      <c r="H312" s="10">
        <f>MAX(_xlfn.IFNA(INDEX(Proj[],MATCH(Table16[[#This Row],[Player]],Proj[Player],0),29),-5000), _xlfn.IFNA(INDEX(Goalie[],MATCH(Table16[[#This Row],[Player]],Goalie[player],0),19),-5000))</f>
        <v>-99.948075313593861</v>
      </c>
      <c r="I312" t="str">
        <f>IF(_xlfn.IFNA(INDEX(Proj[],MATCH(Table16[[#This Row],[Player]],Proj[Player],0),31),INDEX(Goalie[],MATCH(Table16[[#This Row],[Player]],Goalie[player],0),20)) = 0, "",_xlfn.IFNA(INDEX(Proj[],MATCH(Table16[[#This Row],[Player]],Proj[Player],0),31),INDEX(Goalie[],MATCH(Table16[[#This Row],[Player]],Goalie[player],0),20)))</f>
        <v/>
      </c>
    </row>
    <row r="313" spans="1:9" x14ac:dyDescent="0.25">
      <c r="A313" t="s">
        <v>1070</v>
      </c>
      <c r="B313" s="2" t="s">
        <v>105</v>
      </c>
      <c r="C313" t="str">
        <f t="shared" si="4"/>
        <v>RW</v>
      </c>
      <c r="D313" s="10">
        <f>MAX(_xlfn.IFNA(INDEX(Proj[],MATCH(Table16[[#This Row],[Player]],Proj[Player],0),27),-5000), _xlfn.IFNA(INDEX(Goalie[],MATCH(Table16[[#This Row],[Player]],Goalie[player],0),17),-5000))</f>
        <v>-276.90267804009045</v>
      </c>
      <c r="E313">
        <f>_xlfn.RANK.EQ(Table16[[#This Row],[VOR]],Table16[VOR])</f>
        <v>345</v>
      </c>
      <c r="F313" cm="1">
        <f t="array" ref="F313">_xlfn.IFS(C313 = "C",INDEX('C'!$A$2:$L$254,MATCH($A313,'C'!$A$2:$A$254,0),10),C313 = "LW",INDEX(LW!$A$2:$K$180,MATCH($A313,LW!$A$2:$A$180,0),10),C313 = "RW",INDEX('RW'!$A$2:$L$164,MATCH($A313,'RW'!$A$2:$A$164,0),10), C313 = "D",INDEX(D!$A$2:$L$268,MATCH($A313,D!$A$2:$A$268,0),10),C313="G",INDEX(G!$A$2:$Q$78,MATCH($A313,G!$A$2:$A$78,0),16),C313="F",INDEX(F!$A$2:$K$494,MATCH($A313,F!$A$2:$A$494,0),10))</f>
        <v>73</v>
      </c>
      <c r="G313" t="str">
        <f>_xlfn.CONCAT(C313,Table16[[#This Row],[Pos Rank2]])</f>
        <v>RW73</v>
      </c>
      <c r="H313" s="10">
        <f>MAX(_xlfn.IFNA(INDEX(Proj[],MATCH(Table16[[#This Row],[Player]],Proj[Player],0),29),-5000), _xlfn.IFNA(INDEX(Goalie[],MATCH(Table16[[#This Row],[Player]],Goalie[player],0),19),-5000))</f>
        <v>169.64204635015844</v>
      </c>
      <c r="I313" t="str">
        <f>IF(_xlfn.IFNA(INDEX(Proj[],MATCH(Table16[[#This Row],[Player]],Proj[Player],0),31),INDEX(Goalie[],MATCH(Table16[[#This Row],[Player]],Goalie[player],0),20)) = 0, "",_xlfn.IFNA(INDEX(Proj[],MATCH(Table16[[#This Row],[Player]],Proj[Player],0),31),INDEX(Goalie[],MATCH(Table16[[#This Row],[Player]],Goalie[player],0),20)))</f>
        <v/>
      </c>
    </row>
    <row r="314" spans="1:9" x14ac:dyDescent="0.25">
      <c r="A314" t="s">
        <v>598</v>
      </c>
      <c r="B314" s="2" t="s">
        <v>105</v>
      </c>
      <c r="C314" t="str">
        <f t="shared" si="4"/>
        <v>RW</v>
      </c>
      <c r="D314" s="10">
        <f>MAX(_xlfn.IFNA(INDEX(Proj[],MATCH(Table16[[#This Row],[Player]],Proj[Player],0),27),-5000), _xlfn.IFNA(INDEX(Goalie[],MATCH(Table16[[#This Row],[Player]],Goalie[player],0),17),-5000))</f>
        <v>-295.9344007652652</v>
      </c>
      <c r="E314">
        <f>_xlfn.RANK.EQ(Table16[[#This Row],[VOR]],Table16[VOR])</f>
        <v>358</v>
      </c>
      <c r="F314" cm="1">
        <f t="array" ref="F314">_xlfn.IFS(C314 = "C",INDEX('C'!$A$2:$L$254,MATCH($A314,'C'!$A$2:$A$254,0),10),C314 = "LW",INDEX(LW!$A$2:$K$180,MATCH($A314,LW!$A$2:$A$180,0),10),C314 = "RW",INDEX('RW'!$A$2:$L$164,MATCH($A314,'RW'!$A$2:$A$164,0),10), C314 = "D",INDEX(D!$A$2:$L$268,MATCH($A314,D!$A$2:$A$268,0),10),C314="G",INDEX(G!$A$2:$Q$78,MATCH($A314,G!$A$2:$A$78,0),16),C314="F",INDEX(F!$A$2:$K$494,MATCH($A314,F!$A$2:$A$494,0),10))</f>
        <v>75</v>
      </c>
      <c r="G314" t="str">
        <f>_xlfn.CONCAT(C314,Table16[[#This Row],[Pos Rank2]])</f>
        <v>RW75</v>
      </c>
      <c r="H314" s="10">
        <f>MAX(_xlfn.IFNA(INDEX(Proj[],MATCH(Table16[[#This Row],[Player]],Proj[Player],0),29),-5000), _xlfn.IFNA(INDEX(Goalie[],MATCH(Table16[[#This Row],[Player]],Goalie[player],0),19),-5000))</f>
        <v>150.61032362498366</v>
      </c>
      <c r="I314" t="str">
        <f>IF(_xlfn.IFNA(INDEX(Proj[],MATCH(Table16[[#This Row],[Player]],Proj[Player],0),31),INDEX(Goalie[],MATCH(Table16[[#This Row],[Player]],Goalie[player],0),20)) = 0, "",_xlfn.IFNA(INDEX(Proj[],MATCH(Table16[[#This Row],[Player]],Proj[Player],0),31),INDEX(Goalie[],MATCH(Table16[[#This Row],[Player]],Goalie[player],0),20)))</f>
        <v/>
      </c>
    </row>
    <row r="315" spans="1:9" x14ac:dyDescent="0.25">
      <c r="A315" t="s">
        <v>429</v>
      </c>
      <c r="B315" s="2" t="s">
        <v>104</v>
      </c>
      <c r="C315" t="str">
        <f t="shared" si="4"/>
        <v>RW</v>
      </c>
      <c r="D315" s="10">
        <f>MAX(_xlfn.IFNA(INDEX(Proj[],MATCH(Table16[[#This Row],[Player]],Proj[Player],0),27),-5000), _xlfn.IFNA(INDEX(Goalie[],MATCH(Table16[[#This Row],[Player]],Goalie[player],0),17),-5000))</f>
        <v>-276.74767632136917</v>
      </c>
      <c r="E315">
        <f>_xlfn.RANK.EQ(Table16[[#This Row],[VOR]],Table16[VOR])</f>
        <v>344</v>
      </c>
      <c r="F315" cm="1">
        <f t="array" ref="F315">_xlfn.IFS(C315 = "C",INDEX('C'!$A$2:$L$254,MATCH($A315,'C'!$A$2:$A$254,0),10),C315 = "LW",INDEX(LW!$A$2:$K$180,MATCH($A315,LW!$A$2:$A$180,0),10),C315 = "RW",INDEX('RW'!$A$2:$L$164,MATCH($A315,'RW'!$A$2:$A$164,0),10), C315 = "D",INDEX(D!$A$2:$L$268,MATCH($A315,D!$A$2:$A$268,0),10),C315="G",INDEX(G!$A$2:$Q$78,MATCH($A315,G!$A$2:$A$78,0),16),C315="F",INDEX(F!$A$2:$K$494,MATCH($A315,F!$A$2:$A$494,0),10))</f>
        <v>72</v>
      </c>
      <c r="G315" t="str">
        <f>_xlfn.CONCAT(C315,Table16[[#This Row],[Pos Rank2]])</f>
        <v>RW72</v>
      </c>
      <c r="H315" s="10">
        <f>MAX(_xlfn.IFNA(INDEX(Proj[],MATCH(Table16[[#This Row],[Player]],Proj[Player],0),29),-5000), _xlfn.IFNA(INDEX(Goalie[],MATCH(Table16[[#This Row],[Player]],Goalie[player],0),19),-5000))</f>
        <v>169.79704806887969</v>
      </c>
      <c r="I315" t="str">
        <f>IF(_xlfn.IFNA(INDEX(Proj[],MATCH(Table16[[#This Row],[Player]],Proj[Player],0),31),INDEX(Goalie[],MATCH(Table16[[#This Row],[Player]],Goalie[player],0),20)) = 0, "",_xlfn.IFNA(INDEX(Proj[],MATCH(Table16[[#This Row],[Player]],Proj[Player],0),31),INDEX(Goalie[],MATCH(Table16[[#This Row],[Player]],Goalie[player],0),20)))</f>
        <v/>
      </c>
    </row>
    <row r="316" spans="1:9" x14ac:dyDescent="0.25">
      <c r="A316" t="s">
        <v>529</v>
      </c>
      <c r="B316" s="2" t="s">
        <v>101</v>
      </c>
      <c r="C316" t="str">
        <f t="shared" si="4"/>
        <v>LW</v>
      </c>
      <c r="D316" s="10">
        <f>MAX(_xlfn.IFNA(INDEX(Proj[],MATCH(Table16[[#This Row],[Player]],Proj[Player],0),27),-5000), _xlfn.IFNA(INDEX(Goalie[],MATCH(Table16[[#This Row],[Player]],Goalie[player],0),17),-5000))</f>
        <v>88.930415128863785</v>
      </c>
      <c r="E316">
        <f>_xlfn.RANK.EQ(Table16[[#This Row],[VOR]],Table16[VOR])</f>
        <v>151</v>
      </c>
      <c r="F316" cm="1">
        <f t="array" ref="F316">_xlfn.IFS(C316 = "C",INDEX('C'!$A$2:$L$254,MATCH($A316,'C'!$A$2:$A$254,0),10),C316 = "LW",INDEX(LW!$A$2:$K$180,MATCH($A316,LW!$A$2:$A$180,0),10),C316 = "RW",INDEX('RW'!$A$2:$L$164,MATCH($A316,'RW'!$A$2:$A$164,0),10), C316 = "D",INDEX(D!$A$2:$L$268,MATCH($A316,D!$A$2:$A$268,0),10),C316="G",INDEX(G!$A$2:$Q$78,MATCH($A316,G!$A$2:$A$78,0),16),C316="F",INDEX(F!$A$2:$K$494,MATCH($A316,F!$A$2:$A$494,0),10))</f>
        <v>36</v>
      </c>
      <c r="G316" t="str">
        <f>_xlfn.CONCAT(C316,Table16[[#This Row],[Pos Rank2]])</f>
        <v>LW36</v>
      </c>
      <c r="H316" s="10">
        <f>MAX(_xlfn.IFNA(INDEX(Proj[],MATCH(Table16[[#This Row],[Player]],Proj[Player],0),29),-5000), _xlfn.IFNA(INDEX(Goalie[],MATCH(Table16[[#This Row],[Player]],Goalie[player],0),19),-5000))</f>
        <v>560.47513951911264</v>
      </c>
      <c r="I316" t="str">
        <f>IF(_xlfn.IFNA(INDEX(Proj[],MATCH(Table16[[#This Row],[Player]],Proj[Player],0),31),INDEX(Goalie[],MATCH(Table16[[#This Row],[Player]],Goalie[player],0),20)) = 0, "",_xlfn.IFNA(INDEX(Proj[],MATCH(Table16[[#This Row],[Player]],Proj[Player],0),31),INDEX(Goalie[],MATCH(Table16[[#This Row],[Player]],Goalie[player],0),20)))</f>
        <v/>
      </c>
    </row>
    <row r="317" spans="1:9" x14ac:dyDescent="0.25">
      <c r="A317" t="s">
        <v>369</v>
      </c>
      <c r="B317" s="2" t="s">
        <v>3</v>
      </c>
      <c r="C317" t="str">
        <f t="shared" si="4"/>
        <v>D</v>
      </c>
      <c r="D317" s="10">
        <f>MAX(_xlfn.IFNA(INDEX(Proj[],MATCH(Table16[[#This Row],[Player]],Proj[Player],0),27),-5000), _xlfn.IFNA(INDEX(Goalie[],MATCH(Table16[[#This Row],[Player]],Goalie[player],0),17),-5000))</f>
        <v>-229.8725249666366</v>
      </c>
      <c r="E317">
        <f>_xlfn.RANK.EQ(Table16[[#This Row],[VOR]],Table16[VOR])</f>
        <v>314</v>
      </c>
      <c r="F317" cm="1">
        <f t="array" ref="F317">_xlfn.IFS(C317 = "C",INDEX('C'!$A$2:$L$254,MATCH($A317,'C'!$A$2:$A$254,0),10),C317 = "LW",INDEX(LW!$A$2:$K$180,MATCH($A317,LW!$A$2:$A$180,0),10),C317 = "RW",INDEX('RW'!$A$2:$L$164,MATCH($A317,'RW'!$A$2:$A$164,0),10), C317 = "D",INDEX(D!$A$2:$L$268,MATCH($A317,D!$A$2:$A$268,0),10),C317="G",INDEX(G!$A$2:$Q$78,MATCH($A317,G!$A$2:$A$78,0),16),C317="F",INDEX(F!$A$2:$K$494,MATCH($A317,F!$A$2:$A$494,0),10))</f>
        <v>118</v>
      </c>
      <c r="G317" t="str">
        <f>_xlfn.CONCAT(C317,Table16[[#This Row],[Pos Rank2]])</f>
        <v>D118</v>
      </c>
      <c r="H317" s="10">
        <f>MAX(_xlfn.IFNA(INDEX(Proj[],MATCH(Table16[[#This Row],[Player]],Proj[Player],0),29),-5000), _xlfn.IFNA(INDEX(Goalie[],MATCH(Table16[[#This Row],[Player]],Goalie[player],0),19),-5000))</f>
        <v>-122.50775724717211</v>
      </c>
      <c r="I317" t="str">
        <f>IF(_xlfn.IFNA(INDEX(Proj[],MATCH(Table16[[#This Row],[Player]],Proj[Player],0),31),INDEX(Goalie[],MATCH(Table16[[#This Row],[Player]],Goalie[player],0),20)) = 0, "",_xlfn.IFNA(INDEX(Proj[],MATCH(Table16[[#This Row],[Player]],Proj[Player],0),31),INDEX(Goalie[],MATCH(Table16[[#This Row],[Player]],Goalie[player],0),20)))</f>
        <v/>
      </c>
    </row>
    <row r="318" spans="1:9" x14ac:dyDescent="0.25">
      <c r="A318" t="s">
        <v>445</v>
      </c>
      <c r="B318" s="2" t="s">
        <v>3</v>
      </c>
      <c r="C318" t="str">
        <f t="shared" si="4"/>
        <v>D</v>
      </c>
      <c r="D318" s="10">
        <f>MAX(_xlfn.IFNA(INDEX(Proj[],MATCH(Table16[[#This Row],[Player]],Proj[Player],0),27),-5000), _xlfn.IFNA(INDEX(Goalie[],MATCH(Table16[[#This Row],[Player]],Goalie[player],0),17),-5000))</f>
        <v>-220.89992202657274</v>
      </c>
      <c r="E318">
        <f>_xlfn.RANK.EQ(Table16[[#This Row],[VOR]],Table16[VOR])</f>
        <v>307</v>
      </c>
      <c r="F318" cm="1">
        <f t="array" ref="F318">_xlfn.IFS(C318 = "C",INDEX('C'!$A$2:$L$254,MATCH($A318,'C'!$A$2:$A$254,0),10),C318 = "LW",INDEX(LW!$A$2:$K$180,MATCH($A318,LW!$A$2:$A$180,0),10),C318 = "RW",INDEX('RW'!$A$2:$L$164,MATCH($A318,'RW'!$A$2:$A$164,0),10), C318 = "D",INDEX(D!$A$2:$L$268,MATCH($A318,D!$A$2:$A$268,0),10),C318="G",INDEX(G!$A$2:$Q$78,MATCH($A318,G!$A$2:$A$78,0),16),C318="F",INDEX(F!$A$2:$K$494,MATCH($A318,F!$A$2:$A$494,0),10))</f>
        <v>115</v>
      </c>
      <c r="G318" t="str">
        <f>_xlfn.CONCAT(C318,Table16[[#This Row],[Pos Rank2]])</f>
        <v>D115</v>
      </c>
      <c r="H318" s="10">
        <f>MAX(_xlfn.IFNA(INDEX(Proj[],MATCH(Table16[[#This Row],[Player]],Proj[Player],0),29),-5000), _xlfn.IFNA(INDEX(Goalie[],MATCH(Table16[[#This Row],[Player]],Goalie[player],0),19),-5000))</f>
        <v>-113.53515430710826</v>
      </c>
      <c r="I318" t="str">
        <f>IF(_xlfn.IFNA(INDEX(Proj[],MATCH(Table16[[#This Row],[Player]],Proj[Player],0),31),INDEX(Goalie[],MATCH(Table16[[#This Row],[Player]],Goalie[player],0),20)) = 0, "",_xlfn.IFNA(INDEX(Proj[],MATCH(Table16[[#This Row],[Player]],Proj[Player],0),31),INDEX(Goalie[],MATCH(Table16[[#This Row],[Player]],Goalie[player],0),20)))</f>
        <v/>
      </c>
    </row>
    <row r="319" spans="1:9" x14ac:dyDescent="0.25">
      <c r="A319" t="s">
        <v>396</v>
      </c>
      <c r="B319" s="2" t="s">
        <v>104</v>
      </c>
      <c r="C319" t="str">
        <f t="shared" si="4"/>
        <v>RW</v>
      </c>
      <c r="D319" s="10">
        <f>MAX(_xlfn.IFNA(INDEX(Proj[],MATCH(Table16[[#This Row],[Player]],Proj[Player],0),27),-5000), _xlfn.IFNA(INDEX(Goalie[],MATCH(Table16[[#This Row],[Player]],Goalie[player],0),17),-5000))</f>
        <v>-267.66626432241128</v>
      </c>
      <c r="E319">
        <f>_xlfn.RANK.EQ(Table16[[#This Row],[VOR]],Table16[VOR])</f>
        <v>340</v>
      </c>
      <c r="F319" cm="1">
        <f t="array" ref="F319">_xlfn.IFS(C319 = "C",INDEX('C'!$A$2:$L$254,MATCH($A319,'C'!$A$2:$A$254,0),10),C319 = "LW",INDEX(LW!$A$2:$K$180,MATCH($A319,LW!$A$2:$A$180,0),10),C319 = "RW",INDEX('RW'!$A$2:$L$164,MATCH($A319,'RW'!$A$2:$A$164,0),10), C319 = "D",INDEX(D!$A$2:$L$268,MATCH($A319,D!$A$2:$A$268,0),10),C319="G",INDEX(G!$A$2:$Q$78,MATCH($A319,G!$A$2:$A$78,0),16),C319="F",INDEX(F!$A$2:$K$494,MATCH($A319,F!$A$2:$A$494,0),10))</f>
        <v>70</v>
      </c>
      <c r="G319" t="str">
        <f>_xlfn.CONCAT(C319,Table16[[#This Row],[Pos Rank2]])</f>
        <v>RW70</v>
      </c>
      <c r="H319" s="10">
        <f>MAX(_xlfn.IFNA(INDEX(Proj[],MATCH(Table16[[#This Row],[Player]],Proj[Player],0),29),-5000), _xlfn.IFNA(INDEX(Goalie[],MATCH(Table16[[#This Row],[Player]],Goalie[player],0),19),-5000))</f>
        <v>178.87846006783761</v>
      </c>
      <c r="I319" t="str">
        <f>IF(_xlfn.IFNA(INDEX(Proj[],MATCH(Table16[[#This Row],[Player]],Proj[Player],0),31),INDEX(Goalie[],MATCH(Table16[[#This Row],[Player]],Goalie[player],0),20)) = 0, "",_xlfn.IFNA(INDEX(Proj[],MATCH(Table16[[#This Row],[Player]],Proj[Player],0),31),INDEX(Goalie[],MATCH(Table16[[#This Row],[Player]],Goalie[player],0),20)))</f>
        <v/>
      </c>
    </row>
    <row r="320" spans="1:9" x14ac:dyDescent="0.25">
      <c r="A320" t="s">
        <v>1205</v>
      </c>
      <c r="B320" s="2" t="s">
        <v>3</v>
      </c>
      <c r="C320" t="str">
        <f t="shared" si="4"/>
        <v>D</v>
      </c>
      <c r="D320" s="10">
        <f>MAX(_xlfn.IFNA(INDEX(Proj[],MATCH(Table16[[#This Row],[Player]],Proj[Player],0),27),-5000), _xlfn.IFNA(INDEX(Goalie[],MATCH(Table16[[#This Row],[Player]],Goalie[player],0),17),-5000))</f>
        <v>-223.86251506457336</v>
      </c>
      <c r="E320">
        <f>_xlfn.RANK.EQ(Table16[[#This Row],[VOR]],Table16[VOR])</f>
        <v>309</v>
      </c>
      <c r="F320" cm="1">
        <f t="array" ref="F320">_xlfn.IFS(C320 = "C",INDEX('C'!$A$2:$L$254,MATCH($A320,'C'!$A$2:$A$254,0),10),C320 = "LW",INDEX(LW!$A$2:$K$180,MATCH($A320,LW!$A$2:$A$180,0),10),C320 = "RW",INDEX('RW'!$A$2:$L$164,MATCH($A320,'RW'!$A$2:$A$164,0),10), C320 = "D",INDEX(D!$A$2:$L$268,MATCH($A320,D!$A$2:$A$268,0),10),C320="G",INDEX(G!$A$2:$Q$78,MATCH($A320,G!$A$2:$A$78,0),16),C320="F",INDEX(F!$A$2:$K$494,MATCH($A320,F!$A$2:$A$494,0),10))</f>
        <v>116</v>
      </c>
      <c r="G320" t="str">
        <f>_xlfn.CONCAT(C320,Table16[[#This Row],[Pos Rank2]])</f>
        <v>D116</v>
      </c>
      <c r="H320" s="10">
        <f>MAX(_xlfn.IFNA(INDEX(Proj[],MATCH(Table16[[#This Row],[Player]],Proj[Player],0),29),-5000), _xlfn.IFNA(INDEX(Goalie[],MATCH(Table16[[#This Row],[Player]],Goalie[player],0),19),-5000))</f>
        <v>-116.49774734510889</v>
      </c>
      <c r="I320" t="str">
        <f>IF(_xlfn.IFNA(INDEX(Proj[],MATCH(Table16[[#This Row],[Player]],Proj[Player],0),31),INDEX(Goalie[],MATCH(Table16[[#This Row],[Player]],Goalie[player],0),20)) = 0, "",_xlfn.IFNA(INDEX(Proj[],MATCH(Table16[[#This Row],[Player]],Proj[Player],0),31),INDEX(Goalie[],MATCH(Table16[[#This Row],[Player]],Goalie[player],0),20)))</f>
        <v/>
      </c>
    </row>
    <row r="321" spans="1:9" x14ac:dyDescent="0.25">
      <c r="A321" t="s">
        <v>617</v>
      </c>
      <c r="B321" s="2" t="s">
        <v>74</v>
      </c>
      <c r="C321" t="str">
        <f t="shared" si="4"/>
        <v>C</v>
      </c>
      <c r="D321" s="10">
        <f>MAX(_xlfn.IFNA(INDEX(Proj[],MATCH(Table16[[#This Row],[Player]],Proj[Player],0),27),-5000), _xlfn.IFNA(INDEX(Goalie[],MATCH(Table16[[#This Row],[Player]],Goalie[player],0),17),-5000))</f>
        <v>-501.31024766900873</v>
      </c>
      <c r="E321">
        <f>_xlfn.RANK.EQ(Table16[[#This Row],[VOR]],Table16[VOR])</f>
        <v>488</v>
      </c>
      <c r="F321" cm="1">
        <f t="array" ref="F321">_xlfn.IFS(C321 = "C",INDEX('C'!$A$2:$L$254,MATCH($A321,'C'!$A$2:$A$254,0),10),C321 = "LW",INDEX(LW!$A$2:$K$180,MATCH($A321,LW!$A$2:$A$180,0),10),C321 = "RW",INDEX('RW'!$A$2:$L$164,MATCH($A321,'RW'!$A$2:$A$164,0),10), C321 = "D",INDEX(D!$A$2:$L$268,MATCH($A321,D!$A$2:$A$268,0),10),C321="G",INDEX(G!$A$2:$Q$78,MATCH($A321,G!$A$2:$A$78,0),16),C321="F",INDEX(F!$A$2:$K$494,MATCH($A321,F!$A$2:$A$494,0),10))</f>
        <v>106</v>
      </c>
      <c r="G321" t="str">
        <f>_xlfn.CONCAT(C321,Table16[[#This Row],[Pos Rank2]])</f>
        <v>C106</v>
      </c>
      <c r="H321" s="10">
        <f>MAX(_xlfn.IFNA(INDEX(Proj[],MATCH(Table16[[#This Row],[Player]],Proj[Player],0),29),-5000), _xlfn.IFNA(INDEX(Goalie[],MATCH(Table16[[#This Row],[Player]],Goalie[player],0),19),-5000))</f>
        <v>233.3236066412899</v>
      </c>
      <c r="I321" t="str">
        <f>IF(_xlfn.IFNA(INDEX(Proj[],MATCH(Table16[[#This Row],[Player]],Proj[Player],0),31),INDEX(Goalie[],MATCH(Table16[[#This Row],[Player]],Goalie[player],0),20)) = 0, "",_xlfn.IFNA(INDEX(Proj[],MATCH(Table16[[#This Row],[Player]],Proj[Player],0),31),INDEX(Goalie[],MATCH(Table16[[#This Row],[Player]],Goalie[player],0),20)))</f>
        <v/>
      </c>
    </row>
    <row r="322" spans="1:9" x14ac:dyDescent="0.25">
      <c r="A322" t="s">
        <v>891</v>
      </c>
      <c r="B322" s="2" t="s">
        <v>101</v>
      </c>
      <c r="C322" t="str">
        <f t="shared" ref="C322:C385" si="5">SUBSTITUTE(SUBSTITUTE(B322,"C,",""),"LW,","")</f>
        <v>LW</v>
      </c>
      <c r="D322" s="10">
        <f>MAX(_xlfn.IFNA(INDEX(Proj[],MATCH(Table16[[#This Row],[Player]],Proj[Player],0),27),-5000), _xlfn.IFNA(INDEX(Goalie[],MATCH(Table16[[#This Row],[Player]],Goalie[player],0),17),-5000))</f>
        <v>-44.415984654904946</v>
      </c>
      <c r="E322">
        <f>_xlfn.RANK.EQ(Table16[[#This Row],[VOR]],Table16[VOR])</f>
        <v>213</v>
      </c>
      <c r="F322" cm="1">
        <f t="array" ref="F322">_xlfn.IFS(C322 = "C",INDEX('C'!$A$2:$L$254,MATCH($A322,'C'!$A$2:$A$254,0),10),C322 = "LW",INDEX(LW!$A$2:$K$180,MATCH($A322,LW!$A$2:$A$180,0),10),C322 = "RW",INDEX('RW'!$A$2:$L$164,MATCH($A322,'RW'!$A$2:$A$164,0),10), C322 = "D",INDEX(D!$A$2:$L$268,MATCH($A322,D!$A$2:$A$268,0),10),C322="G",INDEX(G!$A$2:$Q$78,MATCH($A322,G!$A$2:$A$78,0),16),C322="F",INDEX(F!$A$2:$K$494,MATCH($A322,F!$A$2:$A$494,0),10))</f>
        <v>49</v>
      </c>
      <c r="G322" t="str">
        <f>_xlfn.CONCAT(C322,Table16[[#This Row],[Pos Rank2]])</f>
        <v>LW49</v>
      </c>
      <c r="H322" s="10">
        <f>MAX(_xlfn.IFNA(INDEX(Proj[],MATCH(Table16[[#This Row],[Player]],Proj[Player],0),29),-5000), _xlfn.IFNA(INDEX(Goalie[],MATCH(Table16[[#This Row],[Player]],Goalie[player],0),19),-5000))</f>
        <v>427.12873973534391</v>
      </c>
      <c r="I322" t="str">
        <f>IF(_xlfn.IFNA(INDEX(Proj[],MATCH(Table16[[#This Row],[Player]],Proj[Player],0),31),INDEX(Goalie[],MATCH(Table16[[#This Row],[Player]],Goalie[player],0),20)) = 0, "",_xlfn.IFNA(INDEX(Proj[],MATCH(Table16[[#This Row],[Player]],Proj[Player],0),31),INDEX(Goalie[],MATCH(Table16[[#This Row],[Player]],Goalie[player],0),20)))</f>
        <v/>
      </c>
    </row>
    <row r="323" spans="1:9" x14ac:dyDescent="0.25">
      <c r="A323" t="s">
        <v>352</v>
      </c>
      <c r="B323" s="2" t="s">
        <v>105</v>
      </c>
      <c r="C323" t="str">
        <f t="shared" si="5"/>
        <v>RW</v>
      </c>
      <c r="D323" s="10">
        <f>MAX(_xlfn.IFNA(INDEX(Proj[],MATCH(Table16[[#This Row],[Player]],Proj[Player],0),27),-5000), _xlfn.IFNA(INDEX(Goalie[],MATCH(Table16[[#This Row],[Player]],Goalie[player],0),17),-5000))</f>
        <v>-91.663034272350103</v>
      </c>
      <c r="E323">
        <f>_xlfn.RANK.EQ(Table16[[#This Row],[VOR]],Table16[VOR])</f>
        <v>232</v>
      </c>
      <c r="F323" cm="1">
        <f t="array" ref="F323">_xlfn.IFS(C323 = "C",INDEX('C'!$A$2:$L$254,MATCH($A323,'C'!$A$2:$A$254,0),10),C323 = "LW",INDEX(LW!$A$2:$K$180,MATCH($A323,LW!$A$2:$A$180,0),10),C323 = "RW",INDEX('RW'!$A$2:$L$164,MATCH($A323,'RW'!$A$2:$A$164,0),10), C323 = "D",INDEX(D!$A$2:$L$268,MATCH($A323,D!$A$2:$A$268,0),10),C323="G",INDEX(G!$A$2:$Q$78,MATCH($A323,G!$A$2:$A$78,0),16),C323="F",INDEX(F!$A$2:$K$494,MATCH($A323,F!$A$2:$A$494,0),10))</f>
        <v>47</v>
      </c>
      <c r="G323" t="str">
        <f>_xlfn.CONCAT(C323,Table16[[#This Row],[Pos Rank2]])</f>
        <v>RW47</v>
      </c>
      <c r="H323" s="10">
        <f>MAX(_xlfn.IFNA(INDEX(Proj[],MATCH(Table16[[#This Row],[Player]],Proj[Player],0),29),-5000), _xlfn.IFNA(INDEX(Goalie[],MATCH(Table16[[#This Row],[Player]],Goalie[player],0),19),-5000))</f>
        <v>354.88169011789876</v>
      </c>
      <c r="I323" t="str">
        <f>IF(_xlfn.IFNA(INDEX(Proj[],MATCH(Table16[[#This Row],[Player]],Proj[Player],0),31),INDEX(Goalie[],MATCH(Table16[[#This Row],[Player]],Goalie[player],0),20)) = 0, "",_xlfn.IFNA(INDEX(Proj[],MATCH(Table16[[#This Row],[Player]],Proj[Player],0),31),INDEX(Goalie[],MATCH(Table16[[#This Row],[Player]],Goalie[player],0),20)))</f>
        <v/>
      </c>
    </row>
    <row r="324" spans="1:9" x14ac:dyDescent="0.25">
      <c r="A324" t="s">
        <v>1249</v>
      </c>
      <c r="B324" s="2" t="s">
        <v>157</v>
      </c>
      <c r="C324" t="str">
        <f t="shared" si="5"/>
        <v>G</v>
      </c>
      <c r="D324" s="10">
        <f>MAX(_xlfn.IFNA(INDEX(Proj[],MATCH(Table16[[#This Row],[Player]],Proj[Player],0),27),-5000), _xlfn.IFNA(INDEX(Goalie[],MATCH(Table16[[#This Row],[Player]],Goalie[player],0),17),-5000))</f>
        <v>-257.70521883039714</v>
      </c>
      <c r="E324">
        <f>_xlfn.RANK.EQ(Table16[[#This Row],[VOR]],Table16[VOR])</f>
        <v>330</v>
      </c>
      <c r="F324" cm="1">
        <f t="array" ref="F324">_xlfn.IFS(C324 = "C",INDEX('C'!$A$2:$L$254,MATCH($A324,'C'!$A$2:$A$254,0),10),C324 = "LW",INDEX(LW!$A$2:$K$180,MATCH($A324,LW!$A$2:$A$180,0),10),C324 = "RW",INDEX('RW'!$A$2:$L$164,MATCH($A324,'RW'!$A$2:$A$164,0),10), C324 = "D",INDEX(D!$A$2:$L$268,MATCH($A324,D!$A$2:$A$268,0),10),C324="G",INDEX(G!$A$2:$Q$78,MATCH($A324,G!$A$2:$A$78,0),16),C324="F",INDEX(F!$A$2:$K$494,MATCH($A324,F!$A$2:$A$494,0),10))</f>
        <v>48</v>
      </c>
      <c r="G324" t="str">
        <f>_xlfn.CONCAT(C324,Table16[[#This Row],[Pos Rank2]])</f>
        <v>G48</v>
      </c>
      <c r="H324" s="10">
        <f>MAX(_xlfn.IFNA(INDEX(Proj[],MATCH(Table16[[#This Row],[Player]],Proj[Player],0),29),-5000), _xlfn.IFNA(INDEX(Goalie[],MATCH(Table16[[#This Row],[Player]],Goalie[player],0),19),-5000))</f>
        <v>358.20930027200029</v>
      </c>
      <c r="I324" t="str">
        <f>IF(_xlfn.IFNA(INDEX(Proj[],MATCH(Table16[[#This Row],[Player]],Proj[Player],0),31),INDEX(Goalie[],MATCH(Table16[[#This Row],[Player]],Goalie[player],0),20)) = 0, "",_xlfn.IFNA(INDEX(Proj[],MATCH(Table16[[#This Row],[Player]],Proj[Player],0),31),INDEX(Goalie[],MATCH(Table16[[#This Row],[Player]],Goalie[player],0),20)))</f>
        <v/>
      </c>
    </row>
    <row r="325" spans="1:9" x14ac:dyDescent="0.25">
      <c r="A325" t="s">
        <v>169</v>
      </c>
      <c r="B325" s="2" t="s">
        <v>157</v>
      </c>
      <c r="C325" t="str">
        <f t="shared" si="5"/>
        <v>G</v>
      </c>
      <c r="D325" s="10">
        <f>MAX(_xlfn.IFNA(INDEX(Proj[],MATCH(Table16[[#This Row],[Player]],Proj[Player],0),27),-5000), _xlfn.IFNA(INDEX(Goalie[],MATCH(Table16[[#This Row],[Player]],Goalie[player],0),17),-5000))</f>
        <v>-258.35046241480165</v>
      </c>
      <c r="E325">
        <f>_xlfn.RANK.EQ(Table16[[#This Row],[VOR]],Table16[VOR])</f>
        <v>332</v>
      </c>
      <c r="F325" cm="1">
        <f t="array" ref="F325">_xlfn.IFS(C325 = "C",INDEX('C'!$A$2:$L$254,MATCH($A325,'C'!$A$2:$A$254,0),10),C325 = "LW",INDEX(LW!$A$2:$K$180,MATCH($A325,LW!$A$2:$A$180,0),10),C325 = "RW",INDEX('RW'!$A$2:$L$164,MATCH($A325,'RW'!$A$2:$A$164,0),10), C325 = "D",INDEX(D!$A$2:$L$268,MATCH($A325,D!$A$2:$A$268,0),10),C325="G",INDEX(G!$A$2:$Q$78,MATCH($A325,G!$A$2:$A$78,0),16),C325="F",INDEX(F!$A$2:$K$494,MATCH($A325,F!$A$2:$A$494,0),10))</f>
        <v>49</v>
      </c>
      <c r="G325" t="str">
        <f>_xlfn.CONCAT(C325,Table16[[#This Row],[Pos Rank2]])</f>
        <v>G49</v>
      </c>
      <c r="H325" s="10">
        <f>MAX(_xlfn.IFNA(INDEX(Proj[],MATCH(Table16[[#This Row],[Player]],Proj[Player],0),29),-5000), _xlfn.IFNA(INDEX(Goalie[],MATCH(Table16[[#This Row],[Player]],Goalie[player],0),19),-5000))</f>
        <v>435.0846055856959</v>
      </c>
      <c r="I325" t="str">
        <f>IF(_xlfn.IFNA(INDEX(Proj[],MATCH(Table16[[#This Row],[Player]],Proj[Player],0),31),INDEX(Goalie[],MATCH(Table16[[#This Row],[Player]],Goalie[player],0),20)) = 0, "",_xlfn.IFNA(INDEX(Proj[],MATCH(Table16[[#This Row],[Player]],Proj[Player],0),31),INDEX(Goalie[],MATCH(Table16[[#This Row],[Player]],Goalie[player],0),20)))</f>
        <v/>
      </c>
    </row>
    <row r="326" spans="1:9" x14ac:dyDescent="0.25">
      <c r="A326" t="s">
        <v>861</v>
      </c>
      <c r="B326" s="2" t="s">
        <v>3</v>
      </c>
      <c r="C326" t="str">
        <f t="shared" si="5"/>
        <v>D</v>
      </c>
      <c r="D326" s="10">
        <f>MAX(_xlfn.IFNA(INDEX(Proj[],MATCH(Table16[[#This Row],[Player]],Proj[Player],0),27),-5000), _xlfn.IFNA(INDEX(Goalie[],MATCH(Table16[[#This Row],[Player]],Goalie[player],0),17),-5000))</f>
        <v>-227.94749177869187</v>
      </c>
      <c r="E326">
        <f>_xlfn.RANK.EQ(Table16[[#This Row],[VOR]],Table16[VOR])</f>
        <v>313</v>
      </c>
      <c r="F326" cm="1">
        <f t="array" ref="F326">_xlfn.IFS(C326 = "C",INDEX('C'!$A$2:$L$254,MATCH($A326,'C'!$A$2:$A$254,0),10),C326 = "LW",INDEX(LW!$A$2:$K$180,MATCH($A326,LW!$A$2:$A$180,0),10),C326 = "RW",INDEX('RW'!$A$2:$L$164,MATCH($A326,'RW'!$A$2:$A$164,0),10), C326 = "D",INDEX(D!$A$2:$L$268,MATCH($A326,D!$A$2:$A$268,0),10),C326="G",INDEX(G!$A$2:$Q$78,MATCH($A326,G!$A$2:$A$78,0),16),C326="F",INDEX(F!$A$2:$K$494,MATCH($A326,F!$A$2:$A$494,0),10))</f>
        <v>117</v>
      </c>
      <c r="G326" t="str">
        <f>_xlfn.CONCAT(C326,Table16[[#This Row],[Pos Rank2]])</f>
        <v>D117</v>
      </c>
      <c r="H326" s="10">
        <f>MAX(_xlfn.IFNA(INDEX(Proj[],MATCH(Table16[[#This Row],[Player]],Proj[Player],0),29),-5000), _xlfn.IFNA(INDEX(Goalie[],MATCH(Table16[[#This Row],[Player]],Goalie[player],0),19),-5000))</f>
        <v>-120.58272405922739</v>
      </c>
      <c r="I326" t="str">
        <f>IF(_xlfn.IFNA(INDEX(Proj[],MATCH(Table16[[#This Row],[Player]],Proj[Player],0),31),INDEX(Goalie[],MATCH(Table16[[#This Row],[Player]],Goalie[player],0),20)) = 0, "",_xlfn.IFNA(INDEX(Proj[],MATCH(Table16[[#This Row],[Player]],Proj[Player],0),31),INDEX(Goalie[],MATCH(Table16[[#This Row],[Player]],Goalie[player],0),20)))</f>
        <v/>
      </c>
    </row>
    <row r="327" spans="1:9" x14ac:dyDescent="0.25">
      <c r="A327" t="s">
        <v>414</v>
      </c>
      <c r="B327" s="2" t="s">
        <v>3</v>
      </c>
      <c r="C327" t="str">
        <f t="shared" si="5"/>
        <v>D</v>
      </c>
      <c r="D327" s="10">
        <f>MAX(_xlfn.IFNA(INDEX(Proj[],MATCH(Table16[[#This Row],[Player]],Proj[Player],0),27),-5000), _xlfn.IFNA(INDEX(Goalie[],MATCH(Table16[[#This Row],[Player]],Goalie[player],0),17),-5000))</f>
        <v>-239.14961111710485</v>
      </c>
      <c r="E327">
        <f>_xlfn.RANK.EQ(Table16[[#This Row],[VOR]],Table16[VOR])</f>
        <v>320</v>
      </c>
      <c r="F327" cm="1">
        <f t="array" ref="F327">_xlfn.IFS(C327 = "C",INDEX('C'!$A$2:$L$254,MATCH($A327,'C'!$A$2:$A$254,0),10),C327 = "LW",INDEX(LW!$A$2:$K$180,MATCH($A327,LW!$A$2:$A$180,0),10),C327 = "RW",INDEX('RW'!$A$2:$L$164,MATCH($A327,'RW'!$A$2:$A$164,0),10), C327 = "D",INDEX(D!$A$2:$L$268,MATCH($A327,D!$A$2:$A$268,0),10),C327="G",INDEX(G!$A$2:$Q$78,MATCH($A327,G!$A$2:$A$78,0),16),C327="F",INDEX(F!$A$2:$K$494,MATCH($A327,F!$A$2:$A$494,0),10))</f>
        <v>121</v>
      </c>
      <c r="G327" t="str">
        <f>_xlfn.CONCAT(C327,Table16[[#This Row],[Pos Rank2]])</f>
        <v>D121</v>
      </c>
      <c r="H327" s="10">
        <f>MAX(_xlfn.IFNA(INDEX(Proj[],MATCH(Table16[[#This Row],[Player]],Proj[Player],0),29),-5000), _xlfn.IFNA(INDEX(Goalie[],MATCH(Table16[[#This Row],[Player]],Goalie[player],0),19),-5000))</f>
        <v>-131.78484339764037</v>
      </c>
      <c r="I327" t="str">
        <f>IF(_xlfn.IFNA(INDEX(Proj[],MATCH(Table16[[#This Row],[Player]],Proj[Player],0),31),INDEX(Goalie[],MATCH(Table16[[#This Row],[Player]],Goalie[player],0),20)) = 0, "",_xlfn.IFNA(INDEX(Proj[],MATCH(Table16[[#This Row],[Player]],Proj[Player],0),31),INDEX(Goalie[],MATCH(Table16[[#This Row],[Player]],Goalie[player],0),20)))</f>
        <v/>
      </c>
    </row>
    <row r="328" spans="1:9" x14ac:dyDescent="0.25">
      <c r="A328" t="s">
        <v>593</v>
      </c>
      <c r="B328" s="2" t="s">
        <v>105</v>
      </c>
      <c r="C328" t="str">
        <f t="shared" si="5"/>
        <v>RW</v>
      </c>
      <c r="D328" s="10">
        <f>MAX(_xlfn.IFNA(INDEX(Proj[],MATCH(Table16[[#This Row],[Player]],Proj[Player],0),27),-5000), _xlfn.IFNA(INDEX(Goalie[],MATCH(Table16[[#This Row],[Player]],Goalie[player],0),17),-5000))</f>
        <v>-248.93848970243374</v>
      </c>
      <c r="E328">
        <f>_xlfn.RANK.EQ(Table16[[#This Row],[VOR]],Table16[VOR])</f>
        <v>325</v>
      </c>
      <c r="F328" cm="1">
        <f t="array" ref="F328">_xlfn.IFS(C328 = "C",INDEX('C'!$A$2:$L$254,MATCH($A328,'C'!$A$2:$A$254,0),10),C328 = "LW",INDEX(LW!$A$2:$K$180,MATCH($A328,LW!$A$2:$A$180,0),10),C328 = "RW",INDEX('RW'!$A$2:$L$164,MATCH($A328,'RW'!$A$2:$A$164,0),10), C328 = "D",INDEX(D!$A$2:$L$268,MATCH($A328,D!$A$2:$A$268,0),10),C328="G",INDEX(G!$A$2:$Q$78,MATCH($A328,G!$A$2:$A$78,0),16),C328="F",INDEX(F!$A$2:$K$494,MATCH($A328,F!$A$2:$A$494,0),10))</f>
        <v>64</v>
      </c>
      <c r="G328" t="str">
        <f>_xlfn.CONCAT(C328,Table16[[#This Row],[Pos Rank2]])</f>
        <v>RW64</v>
      </c>
      <c r="H328" s="10">
        <f>MAX(_xlfn.IFNA(INDEX(Proj[],MATCH(Table16[[#This Row],[Player]],Proj[Player],0),29),-5000), _xlfn.IFNA(INDEX(Goalie[],MATCH(Table16[[#This Row],[Player]],Goalie[player],0),19),-5000))</f>
        <v>197.60623468781512</v>
      </c>
      <c r="I328" t="str">
        <f>IF(_xlfn.IFNA(INDEX(Proj[],MATCH(Table16[[#This Row],[Player]],Proj[Player],0),31),INDEX(Goalie[],MATCH(Table16[[#This Row],[Player]],Goalie[player],0),20)) = 0, "",_xlfn.IFNA(INDEX(Proj[],MATCH(Table16[[#This Row],[Player]],Proj[Player],0),31),INDEX(Goalie[],MATCH(Table16[[#This Row],[Player]],Goalie[player],0),20)))</f>
        <v/>
      </c>
    </row>
    <row r="329" spans="1:9" x14ac:dyDescent="0.25">
      <c r="A329" t="s">
        <v>327</v>
      </c>
      <c r="B329" s="2" t="s">
        <v>104</v>
      </c>
      <c r="C329" t="str">
        <f t="shared" si="5"/>
        <v>RW</v>
      </c>
      <c r="D329" s="10">
        <f>MAX(_xlfn.IFNA(INDEX(Proj[],MATCH(Table16[[#This Row],[Player]],Proj[Player],0),27),-5000), _xlfn.IFNA(INDEX(Goalie[],MATCH(Table16[[#This Row],[Player]],Goalie[player],0),17),-5000))</f>
        <v>-304.10367522431227</v>
      </c>
      <c r="E329">
        <f>_xlfn.RANK.EQ(Table16[[#This Row],[VOR]],Table16[VOR])</f>
        <v>364</v>
      </c>
      <c r="F329" cm="1">
        <f t="array" ref="F329">_xlfn.IFS(C329 = "C",INDEX('C'!$A$2:$L$254,MATCH($A329,'C'!$A$2:$A$254,0),10),C329 = "LW",INDEX(LW!$A$2:$K$180,MATCH($A329,LW!$A$2:$A$180,0),10),C329 = "RW",INDEX('RW'!$A$2:$L$164,MATCH($A329,'RW'!$A$2:$A$164,0),10), C329 = "D",INDEX(D!$A$2:$L$268,MATCH($A329,D!$A$2:$A$268,0),10),C329="G",INDEX(G!$A$2:$Q$78,MATCH($A329,G!$A$2:$A$78,0),16),C329="F",INDEX(F!$A$2:$K$494,MATCH($A329,F!$A$2:$A$494,0),10))</f>
        <v>76</v>
      </c>
      <c r="G329" t="str">
        <f>_xlfn.CONCAT(C329,Table16[[#This Row],[Pos Rank2]])</f>
        <v>RW76</v>
      </c>
      <c r="H329" s="10">
        <f>MAX(_xlfn.IFNA(INDEX(Proj[],MATCH(Table16[[#This Row],[Player]],Proj[Player],0),29),-5000), _xlfn.IFNA(INDEX(Goalie[],MATCH(Table16[[#This Row],[Player]],Goalie[player],0),19),-5000))</f>
        <v>142.44104916593662</v>
      </c>
      <c r="I329" t="str">
        <f>IF(_xlfn.IFNA(INDEX(Proj[],MATCH(Table16[[#This Row],[Player]],Proj[Player],0),31),INDEX(Goalie[],MATCH(Table16[[#This Row],[Player]],Goalie[player],0),20)) = 0, "",_xlfn.IFNA(INDEX(Proj[],MATCH(Table16[[#This Row],[Player]],Proj[Player],0),31),INDEX(Goalie[],MATCH(Table16[[#This Row],[Player]],Goalie[player],0),20)))</f>
        <v/>
      </c>
    </row>
    <row r="330" spans="1:9" x14ac:dyDescent="0.25">
      <c r="A330" t="s">
        <v>427</v>
      </c>
      <c r="B330" s="2" t="s">
        <v>3</v>
      </c>
      <c r="C330" t="str">
        <f t="shared" si="5"/>
        <v>D</v>
      </c>
      <c r="D330" s="10">
        <f>MAX(_xlfn.IFNA(INDEX(Proj[],MATCH(Table16[[#This Row],[Player]],Proj[Player],0),27),-5000), _xlfn.IFNA(INDEX(Goalie[],MATCH(Table16[[#This Row],[Player]],Goalie[player],0),17),-5000))</f>
        <v>-233.60863042231631</v>
      </c>
      <c r="E330">
        <f>_xlfn.RANK.EQ(Table16[[#This Row],[VOR]],Table16[VOR])</f>
        <v>317</v>
      </c>
      <c r="F330" cm="1">
        <f t="array" ref="F330">_xlfn.IFS(C330 = "C",INDEX('C'!$A$2:$L$254,MATCH($A330,'C'!$A$2:$A$254,0),10),C330 = "LW",INDEX(LW!$A$2:$K$180,MATCH($A330,LW!$A$2:$A$180,0),10),C330 = "RW",INDEX('RW'!$A$2:$L$164,MATCH($A330,'RW'!$A$2:$A$164,0),10), C330 = "D",INDEX(D!$A$2:$L$268,MATCH($A330,D!$A$2:$A$268,0),10),C330="G",INDEX(G!$A$2:$Q$78,MATCH($A330,G!$A$2:$A$78,0),16),C330="F",INDEX(F!$A$2:$K$494,MATCH($A330,F!$A$2:$A$494,0),10))</f>
        <v>120</v>
      </c>
      <c r="G330" t="str">
        <f>_xlfn.CONCAT(C330,Table16[[#This Row],[Pos Rank2]])</f>
        <v>D120</v>
      </c>
      <c r="H330" s="10">
        <f>MAX(_xlfn.IFNA(INDEX(Proj[],MATCH(Table16[[#This Row],[Player]],Proj[Player],0),29),-5000), _xlfn.IFNA(INDEX(Goalie[],MATCH(Table16[[#This Row],[Player]],Goalie[player],0),19),-5000))</f>
        <v>-126.24386270285181</v>
      </c>
      <c r="I330" t="str">
        <f>IF(_xlfn.IFNA(INDEX(Proj[],MATCH(Table16[[#This Row],[Player]],Proj[Player],0),31),INDEX(Goalie[],MATCH(Table16[[#This Row],[Player]],Goalie[player],0),20)) = 0, "",_xlfn.IFNA(INDEX(Proj[],MATCH(Table16[[#This Row],[Player]],Proj[Player],0),31),INDEX(Goalie[],MATCH(Table16[[#This Row],[Player]],Goalie[player],0),20)))</f>
        <v/>
      </c>
    </row>
    <row r="331" spans="1:9" x14ac:dyDescent="0.25">
      <c r="A331" t="s">
        <v>666</v>
      </c>
      <c r="B331" s="2" t="s">
        <v>3</v>
      </c>
      <c r="C331" t="str">
        <f t="shared" si="5"/>
        <v>D</v>
      </c>
      <c r="D331" s="10">
        <f>MAX(_xlfn.IFNA(INDEX(Proj[],MATCH(Table16[[#This Row],[Player]],Proj[Player],0),27),-5000), _xlfn.IFNA(INDEX(Goalie[],MATCH(Table16[[#This Row],[Player]],Goalie[player],0),17),-5000))</f>
        <v>-233.54498677076884</v>
      </c>
      <c r="E331">
        <f>_xlfn.RANK.EQ(Table16[[#This Row],[VOR]],Table16[VOR])</f>
        <v>316</v>
      </c>
      <c r="F331" cm="1">
        <f t="array" ref="F331">_xlfn.IFS(C331 = "C",INDEX('C'!$A$2:$L$254,MATCH($A331,'C'!$A$2:$A$254,0),10),C331 = "LW",INDEX(LW!$A$2:$K$180,MATCH($A331,LW!$A$2:$A$180,0),10),C331 = "RW",INDEX('RW'!$A$2:$L$164,MATCH($A331,'RW'!$A$2:$A$164,0),10), C331 = "D",INDEX(D!$A$2:$L$268,MATCH($A331,D!$A$2:$A$268,0),10),C331="G",INDEX(G!$A$2:$Q$78,MATCH($A331,G!$A$2:$A$78,0),16),C331="F",INDEX(F!$A$2:$K$494,MATCH($A331,F!$A$2:$A$494,0),10))</f>
        <v>119</v>
      </c>
      <c r="G331" t="str">
        <f>_xlfn.CONCAT(C331,Table16[[#This Row],[Pos Rank2]])</f>
        <v>D119</v>
      </c>
      <c r="H331" s="10">
        <f>MAX(_xlfn.IFNA(INDEX(Proj[],MATCH(Table16[[#This Row],[Player]],Proj[Player],0),29),-5000), _xlfn.IFNA(INDEX(Goalie[],MATCH(Table16[[#This Row],[Player]],Goalie[player],0),19),-5000))</f>
        <v>-126.18021905130435</v>
      </c>
      <c r="I331" t="str">
        <f>IF(_xlfn.IFNA(INDEX(Proj[],MATCH(Table16[[#This Row],[Player]],Proj[Player],0),31),INDEX(Goalie[],MATCH(Table16[[#This Row],[Player]],Goalie[player],0),20)) = 0, "",_xlfn.IFNA(INDEX(Proj[],MATCH(Table16[[#This Row],[Player]],Proj[Player],0),31),INDEX(Goalie[],MATCH(Table16[[#This Row],[Player]],Goalie[player],0),20)))</f>
        <v/>
      </c>
    </row>
    <row r="332" spans="1:9" x14ac:dyDescent="0.25">
      <c r="A332" t="s">
        <v>167</v>
      </c>
      <c r="B332" s="2" t="s">
        <v>157</v>
      </c>
      <c r="C332" t="str">
        <f t="shared" si="5"/>
        <v>G</v>
      </c>
      <c r="D332" s="10">
        <f>MAX(_xlfn.IFNA(INDEX(Proj[],MATCH(Table16[[#This Row],[Player]],Proj[Player],0),27),-5000), _xlfn.IFNA(INDEX(Goalie[],MATCH(Table16[[#This Row],[Player]],Goalie[player],0),17),-5000))</f>
        <v>-266.75544633669824</v>
      </c>
      <c r="E332">
        <f>_xlfn.RANK.EQ(Table16[[#This Row],[VOR]],Table16[VOR])</f>
        <v>338</v>
      </c>
      <c r="F332" cm="1">
        <f t="array" ref="F332">_xlfn.IFS(C332 = "C",INDEX('C'!$A$2:$L$254,MATCH($A332,'C'!$A$2:$A$254,0),10),C332 = "LW",INDEX(LW!$A$2:$K$180,MATCH($A332,LW!$A$2:$A$180,0),10),C332 = "RW",INDEX('RW'!$A$2:$L$164,MATCH($A332,'RW'!$A$2:$A$164,0),10), C332 = "D",INDEX(D!$A$2:$L$268,MATCH($A332,D!$A$2:$A$268,0),10),C332="G",INDEX(G!$A$2:$Q$78,MATCH($A332,G!$A$2:$A$78,0),16),C332="F",INDEX(F!$A$2:$K$494,MATCH($A332,F!$A$2:$A$494,0),10))</f>
        <v>50</v>
      </c>
      <c r="G332" t="str">
        <f>_xlfn.CONCAT(C332,Table16[[#This Row],[Pos Rank2]])</f>
        <v>G50</v>
      </c>
      <c r="H332" s="10">
        <f>MAX(_xlfn.IFNA(INDEX(Proj[],MATCH(Table16[[#This Row],[Player]],Proj[Player],0),29),-5000), _xlfn.IFNA(INDEX(Goalie[],MATCH(Table16[[#This Row],[Player]],Goalie[player],0),19),-5000))</f>
        <v>286.57249999999999</v>
      </c>
      <c r="I332" t="str">
        <f>IF(_xlfn.IFNA(INDEX(Proj[],MATCH(Table16[[#This Row],[Player]],Proj[Player],0),31),INDEX(Goalie[],MATCH(Table16[[#This Row],[Player]],Goalie[player],0),20)) = 0, "",_xlfn.IFNA(INDEX(Proj[],MATCH(Table16[[#This Row],[Player]],Proj[Player],0),31),INDEX(Goalie[],MATCH(Table16[[#This Row],[Player]],Goalie[player],0),20)))</f>
        <v/>
      </c>
    </row>
    <row r="333" spans="1:9" x14ac:dyDescent="0.25">
      <c r="A333" t="s">
        <v>482</v>
      </c>
      <c r="B333" s="2" t="s">
        <v>74</v>
      </c>
      <c r="C333" t="str">
        <f t="shared" si="5"/>
        <v>C</v>
      </c>
      <c r="D333" s="10">
        <f>MAX(_xlfn.IFNA(INDEX(Proj[],MATCH(Table16[[#This Row],[Player]],Proj[Player],0),27),-5000), _xlfn.IFNA(INDEX(Goalie[],MATCH(Table16[[#This Row],[Player]],Goalie[player],0),17),-5000))</f>
        <v>-202.65266870414041</v>
      </c>
      <c r="E333">
        <f>_xlfn.RANK.EQ(Table16[[#This Row],[VOR]],Table16[VOR])</f>
        <v>288</v>
      </c>
      <c r="F333" cm="1">
        <f t="array" ref="F333">_xlfn.IFS(C333 = "C",INDEX('C'!$A$2:$L$254,MATCH($A333,'C'!$A$2:$A$254,0),10),C333 = "LW",INDEX(LW!$A$2:$K$180,MATCH($A333,LW!$A$2:$A$180,0),10),C333 = "RW",INDEX('RW'!$A$2:$L$164,MATCH($A333,'RW'!$A$2:$A$164,0),10), C333 = "D",INDEX(D!$A$2:$L$268,MATCH($A333,D!$A$2:$A$268,0),10),C333="G",INDEX(G!$A$2:$Q$78,MATCH($A333,G!$A$2:$A$78,0),16),C333="F",INDEX(F!$A$2:$K$494,MATCH($A333,F!$A$2:$A$494,0),10))</f>
        <v>59</v>
      </c>
      <c r="G333" t="str">
        <f>_xlfn.CONCAT(C333,Table16[[#This Row],[Pos Rank2]])</f>
        <v>C59</v>
      </c>
      <c r="H333" s="10">
        <f>MAX(_xlfn.IFNA(INDEX(Proj[],MATCH(Table16[[#This Row],[Player]],Proj[Player],0),29),-5000), _xlfn.IFNA(INDEX(Goalie[],MATCH(Table16[[#This Row],[Player]],Goalie[player],0),19),-5000))</f>
        <v>531.98118560615819</v>
      </c>
      <c r="I333" t="str">
        <f>IF(_xlfn.IFNA(INDEX(Proj[],MATCH(Table16[[#This Row],[Player]],Proj[Player],0),31),INDEX(Goalie[],MATCH(Table16[[#This Row],[Player]],Goalie[player],0),20)) = 0, "",_xlfn.IFNA(INDEX(Proj[],MATCH(Table16[[#This Row],[Player]],Proj[Player],0),31),INDEX(Goalie[],MATCH(Table16[[#This Row],[Player]],Goalie[player],0),20)))</f>
        <v/>
      </c>
    </row>
    <row r="334" spans="1:9" x14ac:dyDescent="0.25">
      <c r="A334" t="s">
        <v>466</v>
      </c>
      <c r="B334" s="2" t="s">
        <v>74</v>
      </c>
      <c r="C334" t="str">
        <f t="shared" si="5"/>
        <v>C</v>
      </c>
      <c r="D334" s="10">
        <f>MAX(_xlfn.IFNA(INDEX(Proj[],MATCH(Table16[[#This Row],[Player]],Proj[Player],0),27),-5000), _xlfn.IFNA(INDEX(Goalie[],MATCH(Table16[[#This Row],[Player]],Goalie[player],0),17),-5000))</f>
        <v>-120.47137981777155</v>
      </c>
      <c r="E334">
        <f>_xlfn.RANK.EQ(Table16[[#This Row],[VOR]],Table16[VOR])</f>
        <v>246</v>
      </c>
      <c r="F334" cm="1">
        <f t="array" ref="F334">_xlfn.IFS(C334 = "C",INDEX('C'!$A$2:$L$254,MATCH($A334,'C'!$A$2:$A$254,0),10),C334 = "LW",INDEX(LW!$A$2:$K$180,MATCH($A334,LW!$A$2:$A$180,0),10),C334 = "RW",INDEX('RW'!$A$2:$L$164,MATCH($A334,'RW'!$A$2:$A$164,0),10), C334 = "D",INDEX(D!$A$2:$L$268,MATCH($A334,D!$A$2:$A$268,0),10),C334="G",INDEX(G!$A$2:$Q$78,MATCH($A334,G!$A$2:$A$78,0),16),C334="F",INDEX(F!$A$2:$K$494,MATCH($A334,F!$A$2:$A$494,0),10))</f>
        <v>49</v>
      </c>
      <c r="G334" t="str">
        <f>_xlfn.CONCAT(C334,Table16[[#This Row],[Pos Rank2]])</f>
        <v>C49</v>
      </c>
      <c r="H334" s="10">
        <f>MAX(_xlfn.IFNA(INDEX(Proj[],MATCH(Table16[[#This Row],[Player]],Proj[Player],0),29),-5000), _xlfn.IFNA(INDEX(Goalie[],MATCH(Table16[[#This Row],[Player]],Goalie[player],0),19),-5000))</f>
        <v>614.16247449252705</v>
      </c>
      <c r="I334" t="str">
        <f>IF(_xlfn.IFNA(INDEX(Proj[],MATCH(Table16[[#This Row],[Player]],Proj[Player],0),31),INDEX(Goalie[],MATCH(Table16[[#This Row],[Player]],Goalie[player],0),20)) = 0, "",_xlfn.IFNA(INDEX(Proj[],MATCH(Table16[[#This Row],[Player]],Proj[Player],0),31),INDEX(Goalie[],MATCH(Table16[[#This Row],[Player]],Goalie[player],0),20)))</f>
        <v/>
      </c>
    </row>
    <row r="335" spans="1:9" x14ac:dyDescent="0.25">
      <c r="A335" t="s">
        <v>444</v>
      </c>
      <c r="B335" s="2" t="s">
        <v>3</v>
      </c>
      <c r="C335" t="str">
        <f t="shared" si="5"/>
        <v>D</v>
      </c>
      <c r="D335" s="10">
        <f>MAX(_xlfn.IFNA(INDEX(Proj[],MATCH(Table16[[#This Row],[Player]],Proj[Player],0),27),-5000), _xlfn.IFNA(INDEX(Goalie[],MATCH(Table16[[#This Row],[Player]],Goalie[player],0),17),-5000))</f>
        <v>-244.75404643266498</v>
      </c>
      <c r="E335">
        <f>_xlfn.RANK.EQ(Table16[[#This Row],[VOR]],Table16[VOR])</f>
        <v>322</v>
      </c>
      <c r="F335" cm="1">
        <f t="array" ref="F335">_xlfn.IFS(C335 = "C",INDEX('C'!$A$2:$L$254,MATCH($A335,'C'!$A$2:$A$254,0),10),C335 = "LW",INDEX(LW!$A$2:$K$180,MATCH($A335,LW!$A$2:$A$180,0),10),C335 = "RW",INDEX('RW'!$A$2:$L$164,MATCH($A335,'RW'!$A$2:$A$164,0),10), C335 = "D",INDEX(D!$A$2:$L$268,MATCH($A335,D!$A$2:$A$268,0),10),C335="G",INDEX(G!$A$2:$Q$78,MATCH($A335,G!$A$2:$A$78,0),16),C335="F",INDEX(F!$A$2:$K$494,MATCH($A335,F!$A$2:$A$494,0),10))</f>
        <v>122</v>
      </c>
      <c r="G335" t="str">
        <f>_xlfn.CONCAT(C335,Table16[[#This Row],[Pos Rank2]])</f>
        <v>D122</v>
      </c>
      <c r="H335" s="10">
        <f>MAX(_xlfn.IFNA(INDEX(Proj[],MATCH(Table16[[#This Row],[Player]],Proj[Player],0),29),-5000), _xlfn.IFNA(INDEX(Goalie[],MATCH(Table16[[#This Row],[Player]],Goalie[player],0),19),-5000))</f>
        <v>-137.3892787132005</v>
      </c>
      <c r="I335" t="str">
        <f>IF(_xlfn.IFNA(INDEX(Proj[],MATCH(Table16[[#This Row],[Player]],Proj[Player],0),31),INDEX(Goalie[],MATCH(Table16[[#This Row],[Player]],Goalie[player],0),20)) = 0, "",_xlfn.IFNA(INDEX(Proj[],MATCH(Table16[[#This Row],[Player]],Proj[Player],0),31),INDEX(Goalie[],MATCH(Table16[[#This Row],[Player]],Goalie[player],0),20)))</f>
        <v/>
      </c>
    </row>
    <row r="336" spans="1:9" x14ac:dyDescent="0.25">
      <c r="A336" t="s">
        <v>565</v>
      </c>
      <c r="B336" s="2" t="s">
        <v>74</v>
      </c>
      <c r="C336" t="str">
        <f t="shared" si="5"/>
        <v>C</v>
      </c>
      <c r="D336" s="10">
        <f>MAX(_xlfn.IFNA(INDEX(Proj[],MATCH(Table16[[#This Row],[Player]],Proj[Player],0),27),-5000), _xlfn.IFNA(INDEX(Goalie[],MATCH(Table16[[#This Row],[Player]],Goalie[player],0),17),-5000))</f>
        <v>-335.22001568455198</v>
      </c>
      <c r="E336">
        <f>_xlfn.RANK.EQ(Table16[[#This Row],[VOR]],Table16[VOR])</f>
        <v>385</v>
      </c>
      <c r="F336" cm="1">
        <f t="array" ref="F336">_xlfn.IFS(C336 = "C",INDEX('C'!$A$2:$L$254,MATCH($A336,'C'!$A$2:$A$254,0),10),C336 = "LW",INDEX(LW!$A$2:$K$180,MATCH($A336,LW!$A$2:$A$180,0),10),C336 = "RW",INDEX('RW'!$A$2:$L$164,MATCH($A336,'RW'!$A$2:$A$164,0),10), C336 = "D",INDEX(D!$A$2:$L$268,MATCH($A336,D!$A$2:$A$268,0),10),C336="G",INDEX(G!$A$2:$Q$78,MATCH($A336,G!$A$2:$A$78,0),16),C336="F",INDEX(F!$A$2:$K$494,MATCH($A336,F!$A$2:$A$494,0),10))</f>
        <v>79</v>
      </c>
      <c r="G336" t="str">
        <f>_xlfn.CONCAT(C336,Table16[[#This Row],[Pos Rank2]])</f>
        <v>C79</v>
      </c>
      <c r="H336" s="10">
        <f>MAX(_xlfn.IFNA(INDEX(Proj[],MATCH(Table16[[#This Row],[Player]],Proj[Player],0),29),-5000), _xlfn.IFNA(INDEX(Goalie[],MATCH(Table16[[#This Row],[Player]],Goalie[player],0),19),-5000))</f>
        <v>399.41383862574662</v>
      </c>
      <c r="I336" t="str">
        <f>IF(_xlfn.IFNA(INDEX(Proj[],MATCH(Table16[[#This Row],[Player]],Proj[Player],0),31),INDEX(Goalie[],MATCH(Table16[[#This Row],[Player]],Goalie[player],0),20)) = 0, "",_xlfn.IFNA(INDEX(Proj[],MATCH(Table16[[#This Row],[Player]],Proj[Player],0),31),INDEX(Goalie[],MATCH(Table16[[#This Row],[Player]],Goalie[player],0),20)))</f>
        <v/>
      </c>
    </row>
    <row r="337" spans="1:9" x14ac:dyDescent="0.25">
      <c r="A337" t="s">
        <v>170</v>
      </c>
      <c r="B337" s="2" t="s">
        <v>157</v>
      </c>
      <c r="C337" t="str">
        <f t="shared" si="5"/>
        <v>G</v>
      </c>
      <c r="D337" s="10">
        <f>MAX(_xlfn.IFNA(INDEX(Proj[],MATCH(Table16[[#This Row],[Player]],Proj[Player],0),27),-5000), _xlfn.IFNA(INDEX(Goalie[],MATCH(Table16[[#This Row],[Player]],Goalie[player],0),17),-5000))</f>
        <v>-278.07318524280737</v>
      </c>
      <c r="E337">
        <f>_xlfn.RANK.EQ(Table16[[#This Row],[VOR]],Table16[VOR])</f>
        <v>346</v>
      </c>
      <c r="F337" cm="1">
        <f t="array" ref="F337">_xlfn.IFS(C337 = "C",INDEX('C'!$A$2:$L$254,MATCH($A337,'C'!$A$2:$A$254,0),10),C337 = "LW",INDEX(LW!$A$2:$K$180,MATCH($A337,LW!$A$2:$A$180,0),10),C337 = "RW",INDEX('RW'!$A$2:$L$164,MATCH($A337,'RW'!$A$2:$A$164,0),10), C337 = "D",INDEX(D!$A$2:$L$268,MATCH($A337,D!$A$2:$A$268,0),10),C337="G",INDEX(G!$A$2:$Q$78,MATCH($A337,G!$A$2:$A$78,0),16),C337="F",INDEX(F!$A$2:$K$494,MATCH($A337,F!$A$2:$A$494,0),10))</f>
        <v>51</v>
      </c>
      <c r="G337" t="str">
        <f>_xlfn.CONCAT(C337,Table16[[#This Row],[Pos Rank2]])</f>
        <v>G51</v>
      </c>
      <c r="H337" s="10">
        <f>MAX(_xlfn.IFNA(INDEX(Proj[],MATCH(Table16[[#This Row],[Player]],Proj[Player],0),29),-5000), _xlfn.IFNA(INDEX(Goalie[],MATCH(Table16[[#This Row],[Player]],Goalie[player],0),19),-5000))</f>
        <v>293.92359999999996</v>
      </c>
      <c r="I337" t="str">
        <f>IF(_xlfn.IFNA(INDEX(Proj[],MATCH(Table16[[#This Row],[Player]],Proj[Player],0),31),INDEX(Goalie[],MATCH(Table16[[#This Row],[Player]],Goalie[player],0),20)) = 0, "",_xlfn.IFNA(INDEX(Proj[],MATCH(Table16[[#This Row],[Player]],Proj[Player],0),31),INDEX(Goalie[],MATCH(Table16[[#This Row],[Player]],Goalie[player],0),20)))</f>
        <v/>
      </c>
    </row>
    <row r="338" spans="1:9" x14ac:dyDescent="0.25">
      <c r="A338" t="s">
        <v>580</v>
      </c>
      <c r="B338" s="2" t="s">
        <v>102</v>
      </c>
      <c r="C338" t="str">
        <f t="shared" si="5"/>
        <v>LW</v>
      </c>
      <c r="D338" s="10">
        <f>MAX(_xlfn.IFNA(INDEX(Proj[],MATCH(Table16[[#This Row],[Player]],Proj[Player],0),27),-5000), _xlfn.IFNA(INDEX(Goalie[],MATCH(Table16[[#This Row],[Player]],Goalie[player],0),17),-5000))</f>
        <v>-287.46989276278555</v>
      </c>
      <c r="E338">
        <f>_xlfn.RANK.EQ(Table16[[#This Row],[VOR]],Table16[VOR])</f>
        <v>351</v>
      </c>
      <c r="F338" cm="1">
        <f t="array" ref="F338">_xlfn.IFS(C338 = "C",INDEX('C'!$A$2:$L$254,MATCH($A338,'C'!$A$2:$A$254,0),10),C338 = "LW",INDEX(LW!$A$2:$K$180,MATCH($A338,LW!$A$2:$A$180,0),10),C338 = "RW",INDEX('RW'!$A$2:$L$164,MATCH($A338,'RW'!$A$2:$A$164,0),10), C338 = "D",INDEX(D!$A$2:$L$268,MATCH($A338,D!$A$2:$A$268,0),10),C338="G",INDEX(G!$A$2:$Q$78,MATCH($A338,G!$A$2:$A$78,0),16),C338="F",INDEX(F!$A$2:$K$494,MATCH($A338,F!$A$2:$A$494,0),10))</f>
        <v>80</v>
      </c>
      <c r="G338" t="str">
        <f>_xlfn.CONCAT(C338,Table16[[#This Row],[Pos Rank2]])</f>
        <v>LW80</v>
      </c>
      <c r="H338" s="10">
        <f>MAX(_xlfn.IFNA(INDEX(Proj[],MATCH(Table16[[#This Row],[Player]],Proj[Player],0),29),-5000), _xlfn.IFNA(INDEX(Goalie[],MATCH(Table16[[#This Row],[Player]],Goalie[player],0),19),-5000))</f>
        <v>184.07483162746331</v>
      </c>
      <c r="I338" t="str">
        <f>IF(_xlfn.IFNA(INDEX(Proj[],MATCH(Table16[[#This Row],[Player]],Proj[Player],0),31),INDEX(Goalie[],MATCH(Table16[[#This Row],[Player]],Goalie[player],0),20)) = 0, "",_xlfn.IFNA(INDEX(Proj[],MATCH(Table16[[#This Row],[Player]],Proj[Player],0),31),INDEX(Goalie[],MATCH(Table16[[#This Row],[Player]],Goalie[player],0),20)))</f>
        <v/>
      </c>
    </row>
    <row r="339" spans="1:9" x14ac:dyDescent="0.25">
      <c r="A339" t="s">
        <v>863</v>
      </c>
      <c r="B339" s="2" t="s">
        <v>74</v>
      </c>
      <c r="C339" t="str">
        <f t="shared" si="5"/>
        <v>C</v>
      </c>
      <c r="D339" s="10">
        <f>MAX(_xlfn.IFNA(INDEX(Proj[],MATCH(Table16[[#This Row],[Player]],Proj[Player],0),27),-5000), _xlfn.IFNA(INDEX(Goalie[],MATCH(Table16[[#This Row],[Player]],Goalie[player],0),17),-5000))</f>
        <v>-288.86410639170157</v>
      </c>
      <c r="E339">
        <f>_xlfn.RANK.EQ(Table16[[#This Row],[VOR]],Table16[VOR])</f>
        <v>352</v>
      </c>
      <c r="F339" cm="1">
        <f t="array" ref="F339">_xlfn.IFS(C339 = "C",INDEX('C'!$A$2:$L$254,MATCH($A339,'C'!$A$2:$A$254,0),10),C339 = "LW",INDEX(LW!$A$2:$K$180,MATCH($A339,LW!$A$2:$A$180,0),10),C339 = "RW",INDEX('RW'!$A$2:$L$164,MATCH($A339,'RW'!$A$2:$A$164,0),10), C339 = "D",INDEX(D!$A$2:$L$268,MATCH($A339,D!$A$2:$A$268,0),10),C339="G",INDEX(G!$A$2:$Q$78,MATCH($A339,G!$A$2:$A$78,0),16),C339="F",INDEX(F!$A$2:$K$494,MATCH($A339,F!$A$2:$A$494,0),10))</f>
        <v>69</v>
      </c>
      <c r="G339" t="str">
        <f>_xlfn.CONCAT(C339,Table16[[#This Row],[Pos Rank2]])</f>
        <v>C69</v>
      </c>
      <c r="H339" s="10">
        <f>MAX(_xlfn.IFNA(INDEX(Proj[],MATCH(Table16[[#This Row],[Player]],Proj[Player],0),29),-5000), _xlfn.IFNA(INDEX(Goalie[],MATCH(Table16[[#This Row],[Player]],Goalie[player],0),19),-5000))</f>
        <v>445.76974791859703</v>
      </c>
      <c r="I339" t="str">
        <f>IF(_xlfn.IFNA(INDEX(Proj[],MATCH(Table16[[#This Row],[Player]],Proj[Player],0),31),INDEX(Goalie[],MATCH(Table16[[#This Row],[Player]],Goalie[player],0),20)) = 0, "",_xlfn.IFNA(INDEX(Proj[],MATCH(Table16[[#This Row],[Player]],Proj[Player],0),31),INDEX(Goalie[],MATCH(Table16[[#This Row],[Player]],Goalie[player],0),20)))</f>
        <v/>
      </c>
    </row>
    <row r="340" spans="1:9" x14ac:dyDescent="0.25">
      <c r="A340" t="s">
        <v>1206</v>
      </c>
      <c r="B340" s="2" t="s">
        <v>3</v>
      </c>
      <c r="C340" t="str">
        <f t="shared" si="5"/>
        <v>D</v>
      </c>
      <c r="D340" s="10">
        <f>MAX(_xlfn.IFNA(INDEX(Proj[],MATCH(Table16[[#This Row],[Player]],Proj[Player],0),27),-5000), _xlfn.IFNA(INDEX(Goalie[],MATCH(Table16[[#This Row],[Player]],Goalie[player],0),17),-5000))</f>
        <v>-248.53474254182439</v>
      </c>
      <c r="E340">
        <f>_xlfn.RANK.EQ(Table16[[#This Row],[VOR]],Table16[VOR])</f>
        <v>324</v>
      </c>
      <c r="F340" cm="1">
        <f t="array" ref="F340">_xlfn.IFS(C340 = "C",INDEX('C'!$A$2:$L$254,MATCH($A340,'C'!$A$2:$A$254,0),10),C340 = "LW",INDEX(LW!$A$2:$K$180,MATCH($A340,LW!$A$2:$A$180,0),10),C340 = "RW",INDEX('RW'!$A$2:$L$164,MATCH($A340,'RW'!$A$2:$A$164,0),10), C340 = "D",INDEX(D!$A$2:$L$268,MATCH($A340,D!$A$2:$A$268,0),10),C340="G",INDEX(G!$A$2:$Q$78,MATCH($A340,G!$A$2:$A$78,0),16),C340="F",INDEX(F!$A$2:$K$494,MATCH($A340,F!$A$2:$A$494,0),10))</f>
        <v>123</v>
      </c>
      <c r="G340" t="str">
        <f>_xlfn.CONCAT(C340,Table16[[#This Row],[Pos Rank2]])</f>
        <v>D123</v>
      </c>
      <c r="H340" s="10">
        <f>MAX(_xlfn.IFNA(INDEX(Proj[],MATCH(Table16[[#This Row],[Player]],Proj[Player],0),29),-5000), _xlfn.IFNA(INDEX(Goalie[],MATCH(Table16[[#This Row],[Player]],Goalie[player],0),19),-5000))</f>
        <v>-141.1699748223599</v>
      </c>
      <c r="I340" t="str">
        <f>IF(_xlfn.IFNA(INDEX(Proj[],MATCH(Table16[[#This Row],[Player]],Proj[Player],0),31),INDEX(Goalie[],MATCH(Table16[[#This Row],[Player]],Goalie[player],0),20)) = 0, "",_xlfn.IFNA(INDEX(Proj[],MATCH(Table16[[#This Row],[Player]],Proj[Player],0),31),INDEX(Goalie[],MATCH(Table16[[#This Row],[Player]],Goalie[player],0),20)))</f>
        <v/>
      </c>
    </row>
    <row r="341" spans="1:9" x14ac:dyDescent="0.25">
      <c r="A341" t="s">
        <v>563</v>
      </c>
      <c r="B341" s="2" t="s">
        <v>101</v>
      </c>
      <c r="C341" t="str">
        <f t="shared" si="5"/>
        <v>LW</v>
      </c>
      <c r="D341" s="10">
        <f>MAX(_xlfn.IFNA(INDEX(Proj[],MATCH(Table16[[#This Row],[Player]],Proj[Player],0),27),-5000), _xlfn.IFNA(INDEX(Goalie[],MATCH(Table16[[#This Row],[Player]],Goalie[player],0),17),-5000))</f>
        <v>-54.628372736503024</v>
      </c>
      <c r="E341">
        <f>_xlfn.RANK.EQ(Table16[[#This Row],[VOR]],Table16[VOR])</f>
        <v>217</v>
      </c>
      <c r="F341" cm="1">
        <f t="array" ref="F341">_xlfn.IFS(C341 = "C",INDEX('C'!$A$2:$L$254,MATCH($A341,'C'!$A$2:$A$254,0),10),C341 = "LW",INDEX(LW!$A$2:$K$180,MATCH($A341,LW!$A$2:$A$180,0),10),C341 = "RW",INDEX('RW'!$A$2:$L$164,MATCH($A341,'RW'!$A$2:$A$164,0),10), C341 = "D",INDEX(D!$A$2:$L$268,MATCH($A341,D!$A$2:$A$268,0),10),C341="G",INDEX(G!$A$2:$Q$78,MATCH($A341,G!$A$2:$A$78,0),16),C341="F",INDEX(F!$A$2:$K$494,MATCH($A341,F!$A$2:$A$494,0),10))</f>
        <v>51</v>
      </c>
      <c r="G341" t="str">
        <f>_xlfn.CONCAT(C341,Table16[[#This Row],[Pos Rank2]])</f>
        <v>LW51</v>
      </c>
      <c r="H341" s="10">
        <f>MAX(_xlfn.IFNA(INDEX(Proj[],MATCH(Table16[[#This Row],[Player]],Proj[Player],0),29),-5000), _xlfn.IFNA(INDEX(Goalie[],MATCH(Table16[[#This Row],[Player]],Goalie[player],0),19),-5000))</f>
        <v>416.91635165374583</v>
      </c>
      <c r="I341" t="str">
        <f>IF(_xlfn.IFNA(INDEX(Proj[],MATCH(Table16[[#This Row],[Player]],Proj[Player],0),31),INDEX(Goalie[],MATCH(Table16[[#This Row],[Player]],Goalie[player],0),20)) = 0, "",_xlfn.IFNA(INDEX(Proj[],MATCH(Table16[[#This Row],[Player]],Proj[Player],0),31),INDEX(Goalie[],MATCH(Table16[[#This Row],[Player]],Goalie[player],0),20)))</f>
        <v/>
      </c>
    </row>
    <row r="342" spans="1:9" x14ac:dyDescent="0.25">
      <c r="A342" t="s">
        <v>868</v>
      </c>
      <c r="B342" s="2" t="s">
        <v>3</v>
      </c>
      <c r="C342" t="str">
        <f t="shared" si="5"/>
        <v>D</v>
      </c>
      <c r="D342" s="10">
        <f>MAX(_xlfn.IFNA(INDEX(Proj[],MATCH(Table16[[#This Row],[Player]],Proj[Player],0),27),-5000), _xlfn.IFNA(INDEX(Goalie[],MATCH(Table16[[#This Row],[Player]],Goalie[player],0),17),-5000))</f>
        <v>-250.85321626324568</v>
      </c>
      <c r="E342">
        <f>_xlfn.RANK.EQ(Table16[[#This Row],[VOR]],Table16[VOR])</f>
        <v>327</v>
      </c>
      <c r="F342" cm="1">
        <f t="array" ref="F342">_xlfn.IFS(C342 = "C",INDEX('C'!$A$2:$L$254,MATCH($A342,'C'!$A$2:$A$254,0),10),C342 = "LW",INDEX(LW!$A$2:$K$180,MATCH($A342,LW!$A$2:$A$180,0),10),C342 = "RW",INDEX('RW'!$A$2:$L$164,MATCH($A342,'RW'!$A$2:$A$164,0),10), C342 = "D",INDEX(D!$A$2:$L$268,MATCH($A342,D!$A$2:$A$268,0),10),C342="G",INDEX(G!$A$2:$Q$78,MATCH($A342,G!$A$2:$A$78,0),16),C342="F",INDEX(F!$A$2:$K$494,MATCH($A342,F!$A$2:$A$494,0),10))</f>
        <v>124</v>
      </c>
      <c r="G342" t="str">
        <f>_xlfn.CONCAT(C342,Table16[[#This Row],[Pos Rank2]])</f>
        <v>D124</v>
      </c>
      <c r="H342" s="10">
        <f>MAX(_xlfn.IFNA(INDEX(Proj[],MATCH(Table16[[#This Row],[Player]],Proj[Player],0),29),-5000), _xlfn.IFNA(INDEX(Goalie[],MATCH(Table16[[#This Row],[Player]],Goalie[player],0),19),-5000))</f>
        <v>-143.4884485437812</v>
      </c>
      <c r="I342" t="str">
        <f>IF(_xlfn.IFNA(INDEX(Proj[],MATCH(Table16[[#This Row],[Player]],Proj[Player],0),31),INDEX(Goalie[],MATCH(Table16[[#This Row],[Player]],Goalie[player],0),20)) = 0, "",_xlfn.IFNA(INDEX(Proj[],MATCH(Table16[[#This Row],[Player]],Proj[Player],0),31),INDEX(Goalie[],MATCH(Table16[[#This Row],[Player]],Goalie[player],0),20)))</f>
        <v/>
      </c>
    </row>
    <row r="343" spans="1:9" x14ac:dyDescent="0.25">
      <c r="A343" t="s">
        <v>322</v>
      </c>
      <c r="B343" s="2" t="s">
        <v>3</v>
      </c>
      <c r="C343" t="str">
        <f t="shared" si="5"/>
        <v>D</v>
      </c>
      <c r="D343" s="10">
        <f>MAX(_xlfn.IFNA(INDEX(Proj[],MATCH(Table16[[#This Row],[Player]],Proj[Player],0),27),-5000), _xlfn.IFNA(INDEX(Goalie[],MATCH(Table16[[#This Row],[Player]],Goalie[player],0),17),-5000))</f>
        <v>-251.88762476933084</v>
      </c>
      <c r="E343">
        <f>_xlfn.RANK.EQ(Table16[[#This Row],[VOR]],Table16[VOR])</f>
        <v>328</v>
      </c>
      <c r="F343" cm="1">
        <f t="array" ref="F343">_xlfn.IFS(C343 = "C",INDEX('C'!$A$2:$L$254,MATCH($A343,'C'!$A$2:$A$254,0),10),C343 = "LW",INDEX(LW!$A$2:$K$180,MATCH($A343,LW!$A$2:$A$180,0),10),C343 = "RW",INDEX('RW'!$A$2:$L$164,MATCH($A343,'RW'!$A$2:$A$164,0),10), C343 = "D",INDEX(D!$A$2:$L$268,MATCH($A343,D!$A$2:$A$268,0),10),C343="G",INDEX(G!$A$2:$Q$78,MATCH($A343,G!$A$2:$A$78,0),16),C343="F",INDEX(F!$A$2:$K$494,MATCH($A343,F!$A$2:$A$494,0),10))</f>
        <v>125</v>
      </c>
      <c r="G343" t="str">
        <f>_xlfn.CONCAT(C343,Table16[[#This Row],[Pos Rank2]])</f>
        <v>D125</v>
      </c>
      <c r="H343" s="10">
        <f>MAX(_xlfn.IFNA(INDEX(Proj[],MATCH(Table16[[#This Row],[Player]],Proj[Player],0),29),-5000), _xlfn.IFNA(INDEX(Goalie[],MATCH(Table16[[#This Row],[Player]],Goalie[player],0),19),-5000))</f>
        <v>-144.52285704986636</v>
      </c>
      <c r="I343" t="str">
        <f>IF(_xlfn.IFNA(INDEX(Proj[],MATCH(Table16[[#This Row],[Player]],Proj[Player],0),31),INDEX(Goalie[],MATCH(Table16[[#This Row],[Player]],Goalie[player],0),20)) = 0, "",_xlfn.IFNA(INDEX(Proj[],MATCH(Table16[[#This Row],[Player]],Proj[Player],0),31),INDEX(Goalie[],MATCH(Table16[[#This Row],[Player]],Goalie[player],0),20)))</f>
        <v/>
      </c>
    </row>
    <row r="344" spans="1:9" x14ac:dyDescent="0.25">
      <c r="A344" t="s">
        <v>1072</v>
      </c>
      <c r="B344" s="2" t="s">
        <v>102</v>
      </c>
      <c r="C344" t="str">
        <f t="shared" si="5"/>
        <v>LW</v>
      </c>
      <c r="D344" s="10">
        <f>MAX(_xlfn.IFNA(INDEX(Proj[],MATCH(Table16[[#This Row],[Player]],Proj[Player],0),27),-5000), _xlfn.IFNA(INDEX(Goalie[],MATCH(Table16[[#This Row],[Player]],Goalie[player],0),17),-5000))</f>
        <v>-318.59396627848935</v>
      </c>
      <c r="E344">
        <f>_xlfn.RANK.EQ(Table16[[#This Row],[VOR]],Table16[VOR])</f>
        <v>375</v>
      </c>
      <c r="F344" cm="1">
        <f t="array" ref="F344">_xlfn.IFS(C344 = "C",INDEX('C'!$A$2:$L$254,MATCH($A344,'C'!$A$2:$A$254,0),10),C344 = "LW",INDEX(LW!$A$2:$K$180,MATCH($A344,LW!$A$2:$A$180,0),10),C344 = "RW",INDEX('RW'!$A$2:$L$164,MATCH($A344,'RW'!$A$2:$A$164,0),10), C344 = "D",INDEX(D!$A$2:$L$268,MATCH($A344,D!$A$2:$A$268,0),10),C344="G",INDEX(G!$A$2:$Q$78,MATCH($A344,G!$A$2:$A$78,0),16),C344="F",INDEX(F!$A$2:$K$494,MATCH($A344,F!$A$2:$A$494,0),10))</f>
        <v>85</v>
      </c>
      <c r="G344" t="str">
        <f>_xlfn.CONCAT(C344,Table16[[#This Row],[Pos Rank2]])</f>
        <v>LW85</v>
      </c>
      <c r="H344" s="10">
        <f>MAX(_xlfn.IFNA(INDEX(Proj[],MATCH(Table16[[#This Row],[Player]],Proj[Player],0),29),-5000), _xlfn.IFNA(INDEX(Goalie[],MATCH(Table16[[#This Row],[Player]],Goalie[player],0),19),-5000))</f>
        <v>152.95075811175951</v>
      </c>
      <c r="I344" t="str">
        <f>IF(_xlfn.IFNA(INDEX(Proj[],MATCH(Table16[[#This Row],[Player]],Proj[Player],0),31),INDEX(Goalie[],MATCH(Table16[[#This Row],[Player]],Goalie[player],0),20)) = 0, "",_xlfn.IFNA(INDEX(Proj[],MATCH(Table16[[#This Row],[Player]],Proj[Player],0),31),INDEX(Goalie[],MATCH(Table16[[#This Row],[Player]],Goalie[player],0),20)))</f>
        <v/>
      </c>
    </row>
    <row r="345" spans="1:9" x14ac:dyDescent="0.25">
      <c r="A345" t="s">
        <v>1013</v>
      </c>
      <c r="B345" s="2" t="s">
        <v>74</v>
      </c>
      <c r="C345" t="str">
        <f t="shared" si="5"/>
        <v>C</v>
      </c>
      <c r="D345" s="10">
        <f>MAX(_xlfn.IFNA(INDEX(Proj[],MATCH(Table16[[#This Row],[Player]],Proj[Player],0),27),-5000), _xlfn.IFNA(INDEX(Goalie[],MATCH(Table16[[#This Row],[Player]],Goalie[player],0),17),-5000))</f>
        <v>-525.75538720771954</v>
      </c>
      <c r="E345">
        <f>_xlfn.RANK.EQ(Table16[[#This Row],[VOR]],Table16[VOR])</f>
        <v>507</v>
      </c>
      <c r="F345" cm="1">
        <f t="array" ref="F345">_xlfn.IFS(C345 = "C",INDEX('C'!$A$2:$L$254,MATCH($A345,'C'!$A$2:$A$254,0),10),C345 = "LW",INDEX(LW!$A$2:$K$180,MATCH($A345,LW!$A$2:$A$180,0),10),C345 = "RW",INDEX('RW'!$A$2:$L$164,MATCH($A345,'RW'!$A$2:$A$164,0),10), C345 = "D",INDEX(D!$A$2:$L$268,MATCH($A345,D!$A$2:$A$268,0),10),C345="G",INDEX(G!$A$2:$Q$78,MATCH($A345,G!$A$2:$A$78,0),16),C345="F",INDEX(F!$A$2:$K$494,MATCH($A345,F!$A$2:$A$494,0),10))</f>
        <v>114</v>
      </c>
      <c r="G345" t="str">
        <f>_xlfn.CONCAT(C345,Table16[[#This Row],[Pos Rank2]])</f>
        <v>C114</v>
      </c>
      <c r="H345" s="10">
        <f>MAX(_xlfn.IFNA(INDEX(Proj[],MATCH(Table16[[#This Row],[Player]],Proj[Player],0),29),-5000), _xlfn.IFNA(INDEX(Goalie[],MATCH(Table16[[#This Row],[Player]],Goalie[player],0),19),-5000))</f>
        <v>208.87846710257904</v>
      </c>
      <c r="I345" t="str">
        <f>IF(_xlfn.IFNA(INDEX(Proj[],MATCH(Table16[[#This Row],[Player]],Proj[Player],0),31),INDEX(Goalie[],MATCH(Table16[[#This Row],[Player]],Goalie[player],0),20)) = 0, "",_xlfn.IFNA(INDEX(Proj[],MATCH(Table16[[#This Row],[Player]],Proj[Player],0),31),INDEX(Goalie[],MATCH(Table16[[#This Row],[Player]],Goalie[player],0),20)))</f>
        <v/>
      </c>
    </row>
    <row r="346" spans="1:9" x14ac:dyDescent="0.25">
      <c r="A346" t="s">
        <v>200</v>
      </c>
      <c r="B346" s="2" t="s">
        <v>157</v>
      </c>
      <c r="C346" t="str">
        <f t="shared" si="5"/>
        <v>G</v>
      </c>
      <c r="D346" s="10">
        <f>MAX(_xlfn.IFNA(INDEX(Proj[],MATCH(Table16[[#This Row],[Player]],Proj[Player],0),27),-5000), _xlfn.IFNA(INDEX(Goalie[],MATCH(Table16[[#This Row],[Player]],Goalie[player],0),17),-5000))</f>
        <v>-285.79484379053844</v>
      </c>
      <c r="E346">
        <f>_xlfn.RANK.EQ(Table16[[#This Row],[VOR]],Table16[VOR])</f>
        <v>349</v>
      </c>
      <c r="F346" cm="1">
        <f t="array" ref="F346">_xlfn.IFS(C346 = "C",INDEX('C'!$A$2:$L$254,MATCH($A346,'C'!$A$2:$A$254,0),10),C346 = "LW",INDEX(LW!$A$2:$K$180,MATCH($A346,LW!$A$2:$A$180,0),10),C346 = "RW",INDEX('RW'!$A$2:$L$164,MATCH($A346,'RW'!$A$2:$A$164,0),10), C346 = "D",INDEX(D!$A$2:$L$268,MATCH($A346,D!$A$2:$A$268,0),10),C346="G",INDEX(G!$A$2:$Q$78,MATCH($A346,G!$A$2:$A$78,0),16),C346="F",INDEX(F!$A$2:$K$494,MATCH($A346,F!$A$2:$A$494,0),10))</f>
        <v>52</v>
      </c>
      <c r="G346" t="str">
        <f>_xlfn.CONCAT(C346,Table16[[#This Row],[Pos Rank2]])</f>
        <v>G52</v>
      </c>
      <c r="H346" s="10">
        <f>MAX(_xlfn.IFNA(INDEX(Proj[],MATCH(Table16[[#This Row],[Player]],Proj[Player],0),29),-5000), _xlfn.IFNA(INDEX(Goalie[],MATCH(Table16[[#This Row],[Player]],Goalie[player],0),19),-5000))</f>
        <v>430.33160000000004</v>
      </c>
      <c r="I346" t="str">
        <f>IF(_xlfn.IFNA(INDEX(Proj[],MATCH(Table16[[#This Row],[Player]],Proj[Player],0),31),INDEX(Goalie[],MATCH(Table16[[#This Row],[Player]],Goalie[player],0),20)) = 0, "",_xlfn.IFNA(INDEX(Proj[],MATCH(Table16[[#This Row],[Player]],Proj[Player],0),31),INDEX(Goalie[],MATCH(Table16[[#This Row],[Player]],Goalie[player],0),20)))</f>
        <v/>
      </c>
    </row>
    <row r="347" spans="1:9" x14ac:dyDescent="0.25">
      <c r="A347" t="s">
        <v>480</v>
      </c>
      <c r="B347" s="2" t="s">
        <v>3</v>
      </c>
      <c r="C347" t="str">
        <f t="shared" si="5"/>
        <v>D</v>
      </c>
      <c r="D347" s="10">
        <f>MAX(_xlfn.IFNA(INDEX(Proj[],MATCH(Table16[[#This Row],[Player]],Proj[Player],0),27),-5000), _xlfn.IFNA(INDEX(Goalie[],MATCH(Table16[[#This Row],[Player]],Goalie[player],0),17),-5000))</f>
        <v>-255.69857315707753</v>
      </c>
      <c r="E347">
        <f>_xlfn.RANK.EQ(Table16[[#This Row],[VOR]],Table16[VOR])</f>
        <v>329</v>
      </c>
      <c r="F347" cm="1">
        <f t="array" ref="F347">_xlfn.IFS(C347 = "C",INDEX('C'!$A$2:$L$254,MATCH($A347,'C'!$A$2:$A$254,0),10),C347 = "LW",INDEX(LW!$A$2:$K$180,MATCH($A347,LW!$A$2:$A$180,0),10),C347 = "RW",INDEX('RW'!$A$2:$L$164,MATCH($A347,'RW'!$A$2:$A$164,0),10), C347 = "D",INDEX(D!$A$2:$L$268,MATCH($A347,D!$A$2:$A$268,0),10),C347="G",INDEX(G!$A$2:$Q$78,MATCH($A347,G!$A$2:$A$78,0),16),C347="F",INDEX(F!$A$2:$K$494,MATCH($A347,F!$A$2:$A$494,0),10))</f>
        <v>126</v>
      </c>
      <c r="G347" t="str">
        <f>_xlfn.CONCAT(C347,Table16[[#This Row],[Pos Rank2]])</f>
        <v>D126</v>
      </c>
      <c r="H347" s="10">
        <f>MAX(_xlfn.IFNA(INDEX(Proj[],MATCH(Table16[[#This Row],[Player]],Proj[Player],0),29),-5000), _xlfn.IFNA(INDEX(Goalie[],MATCH(Table16[[#This Row],[Player]],Goalie[player],0),19),-5000))</f>
        <v>-148.33380543761305</v>
      </c>
      <c r="I347" t="str">
        <f>IF(_xlfn.IFNA(INDEX(Proj[],MATCH(Table16[[#This Row],[Player]],Proj[Player],0),31),INDEX(Goalie[],MATCH(Table16[[#This Row],[Player]],Goalie[player],0),20)) = 0, "",_xlfn.IFNA(INDEX(Proj[],MATCH(Table16[[#This Row],[Player]],Proj[Player],0),31),INDEX(Goalie[],MATCH(Table16[[#This Row],[Player]],Goalie[player],0),20)))</f>
        <v/>
      </c>
    </row>
    <row r="348" spans="1:9" x14ac:dyDescent="0.25">
      <c r="A348" t="s">
        <v>402</v>
      </c>
      <c r="B348" s="2" t="s">
        <v>103</v>
      </c>
      <c r="C348" t="str">
        <f t="shared" si="5"/>
        <v>RW</v>
      </c>
      <c r="D348" s="10">
        <f>MAX(_xlfn.IFNA(INDEX(Proj[],MATCH(Table16[[#This Row],[Player]],Proj[Player],0),27),-5000), _xlfn.IFNA(INDEX(Goalie[],MATCH(Table16[[#This Row],[Player]],Goalie[player],0),17),-5000))</f>
        <v>-336.37733106607533</v>
      </c>
      <c r="E348">
        <f>_xlfn.RANK.EQ(Table16[[#This Row],[VOR]],Table16[VOR])</f>
        <v>387</v>
      </c>
      <c r="F348" cm="1">
        <f t="array" ref="F348">_xlfn.IFS(C348 = "C",INDEX('C'!$A$2:$L$254,MATCH($A348,'C'!$A$2:$A$254,0),10),C348 = "LW",INDEX(LW!$A$2:$K$180,MATCH($A348,LW!$A$2:$A$180,0),10),C348 = "RW",INDEX('RW'!$A$2:$L$164,MATCH($A348,'RW'!$A$2:$A$164,0),10), C348 = "D",INDEX(D!$A$2:$L$268,MATCH($A348,D!$A$2:$A$268,0),10),C348="G",INDEX(G!$A$2:$Q$78,MATCH($A348,G!$A$2:$A$78,0),16),C348="F",INDEX(F!$A$2:$K$494,MATCH($A348,F!$A$2:$A$494,0),10))</f>
        <v>77</v>
      </c>
      <c r="G348" t="str">
        <f>_xlfn.CONCAT(C348,Table16[[#This Row],[Pos Rank2]])</f>
        <v>RW77</v>
      </c>
      <c r="H348" s="10">
        <f>MAX(_xlfn.IFNA(INDEX(Proj[],MATCH(Table16[[#This Row],[Player]],Proj[Player],0),29),-5000), _xlfn.IFNA(INDEX(Goalie[],MATCH(Table16[[#This Row],[Player]],Goalie[player],0),19),-5000))</f>
        <v>110.16739332417353</v>
      </c>
      <c r="I348" t="str">
        <f>IF(_xlfn.IFNA(INDEX(Proj[],MATCH(Table16[[#This Row],[Player]],Proj[Player],0),31),INDEX(Goalie[],MATCH(Table16[[#This Row],[Player]],Goalie[player],0),20)) = 0, "",_xlfn.IFNA(INDEX(Proj[],MATCH(Table16[[#This Row],[Player]],Proj[Player],0),31),INDEX(Goalie[],MATCH(Table16[[#This Row],[Player]],Goalie[player],0),20)))</f>
        <v/>
      </c>
    </row>
    <row r="349" spans="1:9" x14ac:dyDescent="0.25">
      <c r="A349" t="s">
        <v>524</v>
      </c>
      <c r="B349" s="2" t="s">
        <v>3</v>
      </c>
      <c r="C349" t="str">
        <f t="shared" si="5"/>
        <v>D</v>
      </c>
      <c r="D349" s="10">
        <f>MAX(_xlfn.IFNA(INDEX(Proj[],MATCH(Table16[[#This Row],[Player]],Proj[Player],0),27),-5000), _xlfn.IFNA(INDEX(Goalie[],MATCH(Table16[[#This Row],[Player]],Goalie[player],0),17),-5000))</f>
        <v>-260.76103758390559</v>
      </c>
      <c r="E349">
        <f>_xlfn.RANK.EQ(Table16[[#This Row],[VOR]],Table16[VOR])</f>
        <v>334</v>
      </c>
      <c r="F349" cm="1">
        <f t="array" ref="F349">_xlfn.IFS(C349 = "C",INDEX('C'!$A$2:$L$254,MATCH($A349,'C'!$A$2:$A$254,0),10),C349 = "LW",INDEX(LW!$A$2:$K$180,MATCH($A349,LW!$A$2:$A$180,0),10),C349 = "RW",INDEX('RW'!$A$2:$L$164,MATCH($A349,'RW'!$A$2:$A$164,0),10), C349 = "D",INDEX(D!$A$2:$L$268,MATCH($A349,D!$A$2:$A$268,0),10),C349="G",INDEX(G!$A$2:$Q$78,MATCH($A349,G!$A$2:$A$78,0),16),C349="F",INDEX(F!$A$2:$K$494,MATCH($A349,F!$A$2:$A$494,0),10))</f>
        <v>127</v>
      </c>
      <c r="G349" t="str">
        <f>_xlfn.CONCAT(C349,Table16[[#This Row],[Pos Rank2]])</f>
        <v>D127</v>
      </c>
      <c r="H349" s="10">
        <f>MAX(_xlfn.IFNA(INDEX(Proj[],MATCH(Table16[[#This Row],[Player]],Proj[Player],0),29),-5000), _xlfn.IFNA(INDEX(Goalie[],MATCH(Table16[[#This Row],[Player]],Goalie[player],0),19),-5000))</f>
        <v>-153.39626986444111</v>
      </c>
      <c r="I349" t="str">
        <f>IF(_xlfn.IFNA(INDEX(Proj[],MATCH(Table16[[#This Row],[Player]],Proj[Player],0),31),INDEX(Goalie[],MATCH(Table16[[#This Row],[Player]],Goalie[player],0),20)) = 0, "",_xlfn.IFNA(INDEX(Proj[],MATCH(Table16[[#This Row],[Player]],Proj[Player],0),31),INDEX(Goalie[],MATCH(Table16[[#This Row],[Player]],Goalie[player],0),20)))</f>
        <v/>
      </c>
    </row>
    <row r="350" spans="1:9" x14ac:dyDescent="0.25">
      <c r="A350" t="s">
        <v>1082</v>
      </c>
      <c r="B350" s="2" t="s">
        <v>157</v>
      </c>
      <c r="C350" t="str">
        <f t="shared" si="5"/>
        <v>G</v>
      </c>
      <c r="D350" s="10">
        <f>MAX(_xlfn.IFNA(INDEX(Proj[],MATCH(Table16[[#This Row],[Player]],Proj[Player],0),27),-5000), _xlfn.IFNA(INDEX(Goalie[],MATCH(Table16[[#This Row],[Player]],Goalie[player],0),17),-5000))</f>
        <v>-292.0118607861483</v>
      </c>
      <c r="E350">
        <f>_xlfn.RANK.EQ(Table16[[#This Row],[VOR]],Table16[VOR])</f>
        <v>354</v>
      </c>
      <c r="F350" cm="1">
        <f t="array" ref="F350">_xlfn.IFS(C350 = "C",INDEX('C'!$A$2:$L$254,MATCH($A350,'C'!$A$2:$A$254,0),10),C350 = "LW",INDEX(LW!$A$2:$K$180,MATCH($A350,LW!$A$2:$A$180,0),10),C350 = "RW",INDEX('RW'!$A$2:$L$164,MATCH($A350,'RW'!$A$2:$A$164,0),10), C350 = "D",INDEX(D!$A$2:$L$268,MATCH($A350,D!$A$2:$A$268,0),10),C350="G",INDEX(G!$A$2:$Q$78,MATCH($A350,G!$A$2:$A$78,0),16),C350="F",INDEX(F!$A$2:$K$494,MATCH($A350,F!$A$2:$A$494,0),10))</f>
        <v>53</v>
      </c>
      <c r="G350" t="str">
        <f>_xlfn.CONCAT(C350,Table16[[#This Row],[Pos Rank2]])</f>
        <v>G53</v>
      </c>
      <c r="H350" s="10">
        <f>MAX(_xlfn.IFNA(INDEX(Proj[],MATCH(Table16[[#This Row],[Player]],Proj[Player],0),29),-5000), _xlfn.IFNA(INDEX(Goalie[],MATCH(Table16[[#This Row],[Player]],Goalie[player],0),19),-5000))</f>
        <v>358.85750000000002</v>
      </c>
      <c r="I350" t="str">
        <f>IF(_xlfn.IFNA(INDEX(Proj[],MATCH(Table16[[#This Row],[Player]],Proj[Player],0),31),INDEX(Goalie[],MATCH(Table16[[#This Row],[Player]],Goalie[player],0),20)) = 0, "",_xlfn.IFNA(INDEX(Proj[],MATCH(Table16[[#This Row],[Player]],Proj[Player],0),31),INDEX(Goalie[],MATCH(Table16[[#This Row],[Player]],Goalie[player],0),20)))</f>
        <v/>
      </c>
    </row>
    <row r="351" spans="1:9" x14ac:dyDescent="0.25">
      <c r="A351" t="s">
        <v>507</v>
      </c>
      <c r="B351" s="2" t="s">
        <v>102</v>
      </c>
      <c r="C351" t="str">
        <f t="shared" si="5"/>
        <v>LW</v>
      </c>
      <c r="D351" s="10">
        <f>MAX(_xlfn.IFNA(INDEX(Proj[],MATCH(Table16[[#This Row],[Player]],Proj[Player],0),27),-5000), _xlfn.IFNA(INDEX(Goalie[],MATCH(Table16[[#This Row],[Player]],Goalie[player],0),17),-5000))</f>
        <v>-334.64012511238553</v>
      </c>
      <c r="E351">
        <f>_xlfn.RANK.EQ(Table16[[#This Row],[VOR]],Table16[VOR])</f>
        <v>384</v>
      </c>
      <c r="F351" cm="1">
        <f t="array" ref="F351">_xlfn.IFS(C351 = "C",INDEX('C'!$A$2:$L$254,MATCH($A351,'C'!$A$2:$A$254,0),10),C351 = "LW",INDEX(LW!$A$2:$K$180,MATCH($A351,LW!$A$2:$A$180,0),10),C351 = "RW",INDEX('RW'!$A$2:$L$164,MATCH($A351,'RW'!$A$2:$A$164,0),10), C351 = "D",INDEX(D!$A$2:$L$268,MATCH($A351,D!$A$2:$A$268,0),10),C351="G",INDEX(G!$A$2:$Q$78,MATCH($A351,G!$A$2:$A$78,0),16),C351="F",INDEX(F!$A$2:$K$494,MATCH($A351,F!$A$2:$A$494,0),10))</f>
        <v>88</v>
      </c>
      <c r="G351" t="str">
        <f>_xlfn.CONCAT(C351,Table16[[#This Row],[Pos Rank2]])</f>
        <v>LW88</v>
      </c>
      <c r="H351" s="10">
        <f>MAX(_xlfn.IFNA(INDEX(Proj[],MATCH(Table16[[#This Row],[Player]],Proj[Player],0),29),-5000), _xlfn.IFNA(INDEX(Goalie[],MATCH(Table16[[#This Row],[Player]],Goalie[player],0),19),-5000))</f>
        <v>136.90459927786333</v>
      </c>
      <c r="I351" t="str">
        <f>IF(_xlfn.IFNA(INDEX(Proj[],MATCH(Table16[[#This Row],[Player]],Proj[Player],0),31),INDEX(Goalie[],MATCH(Table16[[#This Row],[Player]],Goalie[player],0),20)) = 0, "",_xlfn.IFNA(INDEX(Proj[],MATCH(Table16[[#This Row],[Player]],Proj[Player],0),31),INDEX(Goalie[],MATCH(Table16[[#This Row],[Player]],Goalie[player],0),20)))</f>
        <v/>
      </c>
    </row>
    <row r="352" spans="1:9" x14ac:dyDescent="0.25">
      <c r="A352" t="s">
        <v>971</v>
      </c>
      <c r="B352" s="2" t="s">
        <v>3</v>
      </c>
      <c r="C352" t="str">
        <f t="shared" si="5"/>
        <v>D</v>
      </c>
      <c r="D352" s="10">
        <f>MAX(_xlfn.IFNA(INDEX(Proj[],MATCH(Table16[[#This Row],[Player]],Proj[Player],0),27),-5000), _xlfn.IFNA(INDEX(Goalie[],MATCH(Table16[[#This Row],[Player]],Goalie[player],0),17),-5000))</f>
        <v>-265.17201364593041</v>
      </c>
      <c r="E352">
        <f>_xlfn.RANK.EQ(Table16[[#This Row],[VOR]],Table16[VOR])</f>
        <v>337</v>
      </c>
      <c r="F352" cm="1">
        <f t="array" ref="F352">_xlfn.IFS(C352 = "C",INDEX('C'!$A$2:$L$254,MATCH($A352,'C'!$A$2:$A$254,0),10),C352 = "LW",INDEX(LW!$A$2:$K$180,MATCH($A352,LW!$A$2:$A$180,0),10),C352 = "RW",INDEX('RW'!$A$2:$L$164,MATCH($A352,'RW'!$A$2:$A$164,0),10), C352 = "D",INDEX(D!$A$2:$L$268,MATCH($A352,D!$A$2:$A$268,0),10),C352="G",INDEX(G!$A$2:$Q$78,MATCH($A352,G!$A$2:$A$78,0),16),C352="F",INDEX(F!$A$2:$K$494,MATCH($A352,F!$A$2:$A$494,0),10))</f>
        <v>128</v>
      </c>
      <c r="G352" t="str">
        <f>_xlfn.CONCAT(C352,Table16[[#This Row],[Pos Rank2]])</f>
        <v>D128</v>
      </c>
      <c r="H352" s="10">
        <f>MAX(_xlfn.IFNA(INDEX(Proj[],MATCH(Table16[[#This Row],[Player]],Proj[Player],0),29),-5000), _xlfn.IFNA(INDEX(Goalie[],MATCH(Table16[[#This Row],[Player]],Goalie[player],0),19),-5000))</f>
        <v>-157.80724592646592</v>
      </c>
      <c r="I352" t="str">
        <f>IF(_xlfn.IFNA(INDEX(Proj[],MATCH(Table16[[#This Row],[Player]],Proj[Player],0),31),INDEX(Goalie[],MATCH(Table16[[#This Row],[Player]],Goalie[player],0),20)) = 0, "",_xlfn.IFNA(INDEX(Proj[],MATCH(Table16[[#This Row],[Player]],Proj[Player],0),31),INDEX(Goalie[],MATCH(Table16[[#This Row],[Player]],Goalie[player],0),20)))</f>
        <v/>
      </c>
    </row>
    <row r="353" spans="1:9" x14ac:dyDescent="0.25">
      <c r="A353" t="s">
        <v>1010</v>
      </c>
      <c r="B353" s="2" t="s">
        <v>102</v>
      </c>
      <c r="C353" t="str">
        <f t="shared" si="5"/>
        <v>LW</v>
      </c>
      <c r="D353" s="10">
        <f>MAX(_xlfn.IFNA(INDEX(Proj[],MATCH(Table16[[#This Row],[Player]],Proj[Player],0),27),-5000), _xlfn.IFNA(INDEX(Goalie[],MATCH(Table16[[#This Row],[Player]],Goalie[player],0),17),-5000))</f>
        <v>-328.90143350766516</v>
      </c>
      <c r="E353">
        <f>_xlfn.RANK.EQ(Table16[[#This Row],[VOR]],Table16[VOR])</f>
        <v>382</v>
      </c>
      <c r="F353" cm="1">
        <f t="array" ref="F353">_xlfn.IFS(C353 = "C",INDEX('C'!$A$2:$L$254,MATCH($A353,'C'!$A$2:$A$254,0),10),C353 = "LW",INDEX(LW!$A$2:$K$180,MATCH($A353,LW!$A$2:$A$180,0),10),C353 = "RW",INDEX('RW'!$A$2:$L$164,MATCH($A353,'RW'!$A$2:$A$164,0),10), C353 = "D",INDEX(D!$A$2:$L$268,MATCH($A353,D!$A$2:$A$268,0),10),C353="G",INDEX(G!$A$2:$Q$78,MATCH($A353,G!$A$2:$A$78,0),16),C353="F",INDEX(F!$A$2:$K$494,MATCH($A353,F!$A$2:$A$494,0),10))</f>
        <v>86</v>
      </c>
      <c r="G353" t="str">
        <f>_xlfn.CONCAT(C353,Table16[[#This Row],[Pos Rank2]])</f>
        <v>LW86</v>
      </c>
      <c r="H353" s="10">
        <f>MAX(_xlfn.IFNA(INDEX(Proj[],MATCH(Table16[[#This Row],[Player]],Proj[Player],0),29),-5000), _xlfn.IFNA(INDEX(Goalie[],MATCH(Table16[[#This Row],[Player]],Goalie[player],0),19),-5000))</f>
        <v>142.64329088258367</v>
      </c>
      <c r="I353" t="str">
        <f>IF(_xlfn.IFNA(INDEX(Proj[],MATCH(Table16[[#This Row],[Player]],Proj[Player],0),31),INDEX(Goalie[],MATCH(Table16[[#This Row],[Player]],Goalie[player],0),20)) = 0, "",_xlfn.IFNA(INDEX(Proj[],MATCH(Table16[[#This Row],[Player]],Proj[Player],0),31),INDEX(Goalie[],MATCH(Table16[[#This Row],[Player]],Goalie[player],0),20)))</f>
        <v/>
      </c>
    </row>
    <row r="354" spans="1:9" x14ac:dyDescent="0.25">
      <c r="A354" t="s">
        <v>476</v>
      </c>
      <c r="B354" s="2" t="s">
        <v>102</v>
      </c>
      <c r="C354" t="str">
        <f t="shared" si="5"/>
        <v>LW</v>
      </c>
      <c r="D354" s="10">
        <f>MAX(_xlfn.IFNA(INDEX(Proj[],MATCH(Table16[[#This Row],[Player]],Proj[Player],0),27),-5000), _xlfn.IFNA(INDEX(Goalie[],MATCH(Table16[[#This Row],[Player]],Goalie[player],0),17),-5000))</f>
        <v>-346.65287069375302</v>
      </c>
      <c r="E354">
        <f>_xlfn.RANK.EQ(Table16[[#This Row],[VOR]],Table16[VOR])</f>
        <v>402</v>
      </c>
      <c r="F354" cm="1">
        <f t="array" ref="F354">_xlfn.IFS(C354 = "C",INDEX('C'!$A$2:$L$254,MATCH($A354,'C'!$A$2:$A$254,0),10),C354 = "LW",INDEX(LW!$A$2:$K$180,MATCH($A354,LW!$A$2:$A$180,0),10),C354 = "RW",INDEX('RW'!$A$2:$L$164,MATCH($A354,'RW'!$A$2:$A$164,0),10), C354 = "D",INDEX(D!$A$2:$L$268,MATCH($A354,D!$A$2:$A$268,0),10),C354="G",INDEX(G!$A$2:$Q$78,MATCH($A354,G!$A$2:$A$78,0),16),C354="F",INDEX(F!$A$2:$K$494,MATCH($A354,F!$A$2:$A$494,0),10))</f>
        <v>90</v>
      </c>
      <c r="G354" t="str">
        <f>_xlfn.CONCAT(C354,Table16[[#This Row],[Pos Rank2]])</f>
        <v>LW90</v>
      </c>
      <c r="H354" s="10">
        <f>MAX(_xlfn.IFNA(INDEX(Proj[],MATCH(Table16[[#This Row],[Player]],Proj[Player],0),29),-5000), _xlfn.IFNA(INDEX(Goalie[],MATCH(Table16[[#This Row],[Player]],Goalie[player],0),19),-5000))</f>
        <v>124.89185369649583</v>
      </c>
      <c r="I354" t="str">
        <f>IF(_xlfn.IFNA(INDEX(Proj[],MATCH(Table16[[#This Row],[Player]],Proj[Player],0),31),INDEX(Goalie[],MATCH(Table16[[#This Row],[Player]],Goalie[player],0),20)) = 0, "",_xlfn.IFNA(INDEX(Proj[],MATCH(Table16[[#This Row],[Player]],Proj[Player],0),31),INDEX(Goalie[],MATCH(Table16[[#This Row],[Player]],Goalie[player],0),20)))</f>
        <v/>
      </c>
    </row>
    <row r="355" spans="1:9" x14ac:dyDescent="0.25">
      <c r="A355" t="s">
        <v>557</v>
      </c>
      <c r="B355" s="2" t="s">
        <v>3</v>
      </c>
      <c r="C355" t="str">
        <f t="shared" si="5"/>
        <v>D</v>
      </c>
      <c r="D355" s="10">
        <f>MAX(_xlfn.IFNA(INDEX(Proj[],MATCH(Table16[[#This Row],[Player]],Proj[Player],0),27),-5000), _xlfn.IFNA(INDEX(Goalie[],MATCH(Table16[[#This Row],[Player]],Goalie[player],0),17),-5000))</f>
        <v>-266.87538724689841</v>
      </c>
      <c r="E355">
        <f>_xlfn.RANK.EQ(Table16[[#This Row],[VOR]],Table16[VOR])</f>
        <v>339</v>
      </c>
      <c r="F355" cm="1">
        <f t="array" ref="F355">_xlfn.IFS(C355 = "C",INDEX('C'!$A$2:$L$254,MATCH($A355,'C'!$A$2:$A$254,0),10),C355 = "LW",INDEX(LW!$A$2:$K$180,MATCH($A355,LW!$A$2:$A$180,0),10),C355 = "RW",INDEX('RW'!$A$2:$L$164,MATCH($A355,'RW'!$A$2:$A$164,0),10), C355 = "D",INDEX(D!$A$2:$L$268,MATCH($A355,D!$A$2:$A$268,0),10),C355="G",INDEX(G!$A$2:$Q$78,MATCH($A355,G!$A$2:$A$78,0),16),C355="F",INDEX(F!$A$2:$K$494,MATCH($A355,F!$A$2:$A$494,0),10))</f>
        <v>129</v>
      </c>
      <c r="G355" t="str">
        <f>_xlfn.CONCAT(C355,Table16[[#This Row],[Pos Rank2]])</f>
        <v>D129</v>
      </c>
      <c r="H355" s="10">
        <f>MAX(_xlfn.IFNA(INDEX(Proj[],MATCH(Table16[[#This Row],[Player]],Proj[Player],0),29),-5000), _xlfn.IFNA(INDEX(Goalie[],MATCH(Table16[[#This Row],[Player]],Goalie[player],0),19),-5000))</f>
        <v>-159.5106195274339</v>
      </c>
      <c r="I355" t="str">
        <f>IF(_xlfn.IFNA(INDEX(Proj[],MATCH(Table16[[#This Row],[Player]],Proj[Player],0),31),INDEX(Goalie[],MATCH(Table16[[#This Row],[Player]],Goalie[player],0),20)) = 0, "",_xlfn.IFNA(INDEX(Proj[],MATCH(Table16[[#This Row],[Player]],Proj[Player],0),31),INDEX(Goalie[],MATCH(Table16[[#This Row],[Player]],Goalie[player],0),20)))</f>
        <v/>
      </c>
    </row>
    <row r="356" spans="1:9" x14ac:dyDescent="0.25">
      <c r="A356" t="s">
        <v>596</v>
      </c>
      <c r="B356" s="2" t="s">
        <v>74</v>
      </c>
      <c r="C356" t="str">
        <f t="shared" si="5"/>
        <v>C</v>
      </c>
      <c r="D356" s="10">
        <f>MAX(_xlfn.IFNA(INDEX(Proj[],MATCH(Table16[[#This Row],[Player]],Proj[Player],0),27),-5000), _xlfn.IFNA(INDEX(Goalie[],MATCH(Table16[[#This Row],[Player]],Goalie[player],0),17),-5000))</f>
        <v>-204.8583866336196</v>
      </c>
      <c r="E356">
        <f>_xlfn.RANK.EQ(Table16[[#This Row],[VOR]],Table16[VOR])</f>
        <v>291</v>
      </c>
      <c r="F356" cm="1">
        <f t="array" ref="F356">_xlfn.IFS(C356 = "C",INDEX('C'!$A$2:$L$254,MATCH($A356,'C'!$A$2:$A$254,0),10),C356 = "LW",INDEX(LW!$A$2:$K$180,MATCH($A356,LW!$A$2:$A$180,0),10),C356 = "RW",INDEX('RW'!$A$2:$L$164,MATCH($A356,'RW'!$A$2:$A$164,0),10), C356 = "D",INDEX(D!$A$2:$L$268,MATCH($A356,D!$A$2:$A$268,0),10),C356="G",INDEX(G!$A$2:$Q$78,MATCH($A356,G!$A$2:$A$78,0),16),C356="F",INDEX(F!$A$2:$K$494,MATCH($A356,F!$A$2:$A$494,0),10))</f>
        <v>60</v>
      </c>
      <c r="G356" t="str">
        <f>_xlfn.CONCAT(C356,Table16[[#This Row],[Pos Rank2]])</f>
        <v>C60</v>
      </c>
      <c r="H356" s="10">
        <f>MAX(_xlfn.IFNA(INDEX(Proj[],MATCH(Table16[[#This Row],[Player]],Proj[Player],0),29),-5000), _xlfn.IFNA(INDEX(Goalie[],MATCH(Table16[[#This Row],[Player]],Goalie[player],0),19),-5000))</f>
        <v>529.775467676679</v>
      </c>
      <c r="I356" t="str">
        <f>IF(_xlfn.IFNA(INDEX(Proj[],MATCH(Table16[[#This Row],[Player]],Proj[Player],0),31),INDEX(Goalie[],MATCH(Table16[[#This Row],[Player]],Goalie[player],0),20)) = 0, "",_xlfn.IFNA(INDEX(Proj[],MATCH(Table16[[#This Row],[Player]],Proj[Player],0),31),INDEX(Goalie[],MATCH(Table16[[#This Row],[Player]],Goalie[player],0),20)))</f>
        <v/>
      </c>
    </row>
    <row r="357" spans="1:9" x14ac:dyDescent="0.25">
      <c r="A357" t="s">
        <v>698</v>
      </c>
      <c r="B357" s="2" t="s">
        <v>104</v>
      </c>
      <c r="C357" t="str">
        <f t="shared" si="5"/>
        <v>RW</v>
      </c>
      <c r="D357" s="10">
        <f>MAX(_xlfn.IFNA(INDEX(Proj[],MATCH(Table16[[#This Row],[Player]],Proj[Player],0),27),-5000), _xlfn.IFNA(INDEX(Goalie[],MATCH(Table16[[#This Row],[Player]],Goalie[player],0),17),-5000))</f>
        <v>-346.13034767443071</v>
      </c>
      <c r="E357">
        <f>_xlfn.RANK.EQ(Table16[[#This Row],[VOR]],Table16[VOR])</f>
        <v>398</v>
      </c>
      <c r="F357" cm="1">
        <f t="array" ref="F357">_xlfn.IFS(C357 = "C",INDEX('C'!$A$2:$L$254,MATCH($A357,'C'!$A$2:$A$254,0),10),C357 = "LW",INDEX(LW!$A$2:$K$180,MATCH($A357,LW!$A$2:$A$180,0),10),C357 = "RW",INDEX('RW'!$A$2:$L$164,MATCH($A357,'RW'!$A$2:$A$164,0),10), C357 = "D",INDEX(D!$A$2:$L$268,MATCH($A357,D!$A$2:$A$268,0),10),C357="G",INDEX(G!$A$2:$Q$78,MATCH($A357,G!$A$2:$A$78,0),16),C357="F",INDEX(F!$A$2:$K$494,MATCH($A357,F!$A$2:$A$494,0),10))</f>
        <v>78</v>
      </c>
      <c r="G357" t="str">
        <f>_xlfn.CONCAT(C357,Table16[[#This Row],[Pos Rank2]])</f>
        <v>RW78</v>
      </c>
      <c r="H357" s="10">
        <f>MAX(_xlfn.IFNA(INDEX(Proj[],MATCH(Table16[[#This Row],[Player]],Proj[Player],0),29),-5000), _xlfn.IFNA(INDEX(Goalie[],MATCH(Table16[[#This Row],[Player]],Goalie[player],0),19),-5000))</f>
        <v>100.41437671581815</v>
      </c>
      <c r="I357" t="str">
        <f>IF(_xlfn.IFNA(INDEX(Proj[],MATCH(Table16[[#This Row],[Player]],Proj[Player],0),31),INDEX(Goalie[],MATCH(Table16[[#This Row],[Player]],Goalie[player],0),20)) = 0, "",_xlfn.IFNA(INDEX(Proj[],MATCH(Table16[[#This Row],[Player]],Proj[Player],0),31),INDEX(Goalie[],MATCH(Table16[[#This Row],[Player]],Goalie[player],0),20)))</f>
        <v/>
      </c>
    </row>
    <row r="358" spans="1:9" x14ac:dyDescent="0.25">
      <c r="A358" t="s">
        <v>498</v>
      </c>
      <c r="B358" s="2" t="s">
        <v>3</v>
      </c>
      <c r="C358" t="str">
        <f t="shared" si="5"/>
        <v>D</v>
      </c>
      <c r="D358" s="10">
        <f>MAX(_xlfn.IFNA(INDEX(Proj[],MATCH(Table16[[#This Row],[Player]],Proj[Player],0),27),-5000), _xlfn.IFNA(INDEX(Goalie[],MATCH(Table16[[#This Row],[Player]],Goalie[player],0),17),-5000))</f>
        <v>-271.42155081178896</v>
      </c>
      <c r="E358">
        <f>_xlfn.RANK.EQ(Table16[[#This Row],[VOR]],Table16[VOR])</f>
        <v>341</v>
      </c>
      <c r="F358" cm="1">
        <f t="array" ref="F358">_xlfn.IFS(C358 = "C",INDEX('C'!$A$2:$L$254,MATCH($A358,'C'!$A$2:$A$254,0),10),C358 = "LW",INDEX(LW!$A$2:$K$180,MATCH($A358,LW!$A$2:$A$180,0),10),C358 = "RW",INDEX('RW'!$A$2:$L$164,MATCH($A358,'RW'!$A$2:$A$164,0),10), C358 = "D",INDEX(D!$A$2:$L$268,MATCH($A358,D!$A$2:$A$268,0),10),C358="G",INDEX(G!$A$2:$Q$78,MATCH($A358,G!$A$2:$A$78,0),16),C358="F",INDEX(F!$A$2:$K$494,MATCH($A358,F!$A$2:$A$494,0),10))</f>
        <v>130</v>
      </c>
      <c r="G358" t="str">
        <f>_xlfn.CONCAT(C358,Table16[[#This Row],[Pos Rank2]])</f>
        <v>D130</v>
      </c>
      <c r="H358" s="10">
        <f>MAX(_xlfn.IFNA(INDEX(Proj[],MATCH(Table16[[#This Row],[Player]],Proj[Player],0),29),-5000), _xlfn.IFNA(INDEX(Goalie[],MATCH(Table16[[#This Row],[Player]],Goalie[player],0),19),-5000))</f>
        <v>-164.05678309232445</v>
      </c>
      <c r="I358" t="str">
        <f>IF(_xlfn.IFNA(INDEX(Proj[],MATCH(Table16[[#This Row],[Player]],Proj[Player],0),31),INDEX(Goalie[],MATCH(Table16[[#This Row],[Player]],Goalie[player],0),20)) = 0, "",_xlfn.IFNA(INDEX(Proj[],MATCH(Table16[[#This Row],[Player]],Proj[Player],0),31),INDEX(Goalie[],MATCH(Table16[[#This Row],[Player]],Goalie[player],0),20)))</f>
        <v/>
      </c>
    </row>
    <row r="359" spans="1:9" x14ac:dyDescent="0.25">
      <c r="A359" t="s">
        <v>385</v>
      </c>
      <c r="B359" s="2" t="s">
        <v>3</v>
      </c>
      <c r="C359" t="str">
        <f t="shared" si="5"/>
        <v>D</v>
      </c>
      <c r="D359" s="10">
        <f>MAX(_xlfn.IFNA(INDEX(Proj[],MATCH(Table16[[#This Row],[Player]],Proj[Player],0),27),-5000), _xlfn.IFNA(INDEX(Goalie[],MATCH(Table16[[#This Row],[Player]],Goalie[player],0),17),-5000))</f>
        <v>-272.47076617263957</v>
      </c>
      <c r="E359">
        <f>_xlfn.RANK.EQ(Table16[[#This Row],[VOR]],Table16[VOR])</f>
        <v>342</v>
      </c>
      <c r="F359" cm="1">
        <f t="array" ref="F359">_xlfn.IFS(C359 = "C",INDEX('C'!$A$2:$L$254,MATCH($A359,'C'!$A$2:$A$254,0),10),C359 = "LW",INDEX(LW!$A$2:$K$180,MATCH($A359,LW!$A$2:$A$180,0),10),C359 = "RW",INDEX('RW'!$A$2:$L$164,MATCH($A359,'RW'!$A$2:$A$164,0),10), C359 = "D",INDEX(D!$A$2:$L$268,MATCH($A359,D!$A$2:$A$268,0),10),C359="G",INDEX(G!$A$2:$Q$78,MATCH($A359,G!$A$2:$A$78,0),16),C359="F",INDEX(F!$A$2:$K$494,MATCH($A359,F!$A$2:$A$494,0),10))</f>
        <v>131</v>
      </c>
      <c r="G359" t="str">
        <f>_xlfn.CONCAT(C359,Table16[[#This Row],[Pos Rank2]])</f>
        <v>D131</v>
      </c>
      <c r="H359" s="10">
        <f>MAX(_xlfn.IFNA(INDEX(Proj[],MATCH(Table16[[#This Row],[Player]],Proj[Player],0),29),-5000), _xlfn.IFNA(INDEX(Goalie[],MATCH(Table16[[#This Row],[Player]],Goalie[player],0),19),-5000))</f>
        <v>-165.10599845317509</v>
      </c>
      <c r="I359" t="str">
        <f>IF(_xlfn.IFNA(INDEX(Proj[],MATCH(Table16[[#This Row],[Player]],Proj[Player],0),31),INDEX(Goalie[],MATCH(Table16[[#This Row],[Player]],Goalie[player],0),20)) = 0, "",_xlfn.IFNA(INDEX(Proj[],MATCH(Table16[[#This Row],[Player]],Proj[Player],0),31),INDEX(Goalie[],MATCH(Table16[[#This Row],[Player]],Goalie[player],0),20)))</f>
        <v/>
      </c>
    </row>
    <row r="360" spans="1:9" x14ac:dyDescent="0.25">
      <c r="A360" t="s">
        <v>458</v>
      </c>
      <c r="B360" s="2" t="s">
        <v>102</v>
      </c>
      <c r="C360" t="str">
        <f t="shared" si="5"/>
        <v>LW</v>
      </c>
      <c r="D360" s="10">
        <f>MAX(_xlfn.IFNA(INDEX(Proj[],MATCH(Table16[[#This Row],[Player]],Proj[Player],0),27),-5000), _xlfn.IFNA(INDEX(Goalie[],MATCH(Table16[[#This Row],[Player]],Goalie[player],0),17),-5000))</f>
        <v>-348.02038110004213</v>
      </c>
      <c r="E360">
        <f>_xlfn.RANK.EQ(Table16[[#This Row],[VOR]],Table16[VOR])</f>
        <v>403</v>
      </c>
      <c r="F360" cm="1">
        <f t="array" ref="F360">_xlfn.IFS(C360 = "C",INDEX('C'!$A$2:$L$254,MATCH($A360,'C'!$A$2:$A$254,0),10),C360 = "LW",INDEX(LW!$A$2:$K$180,MATCH($A360,LW!$A$2:$A$180,0),10),C360 = "RW",INDEX('RW'!$A$2:$L$164,MATCH($A360,'RW'!$A$2:$A$164,0),10), C360 = "D",INDEX(D!$A$2:$L$268,MATCH($A360,D!$A$2:$A$268,0),10),C360="G",INDEX(G!$A$2:$Q$78,MATCH($A360,G!$A$2:$A$78,0),16),C360="F",INDEX(F!$A$2:$K$494,MATCH($A360,F!$A$2:$A$494,0),10))</f>
        <v>91</v>
      </c>
      <c r="G360" t="str">
        <f>_xlfn.CONCAT(C360,Table16[[#This Row],[Pos Rank2]])</f>
        <v>LW91</v>
      </c>
      <c r="H360" s="10">
        <f>MAX(_xlfn.IFNA(INDEX(Proj[],MATCH(Table16[[#This Row],[Player]],Proj[Player],0),29),-5000), _xlfn.IFNA(INDEX(Goalie[],MATCH(Table16[[#This Row],[Player]],Goalie[player],0),19),-5000))</f>
        <v>123.52434329020674</v>
      </c>
      <c r="I360" t="str">
        <f>IF(_xlfn.IFNA(INDEX(Proj[],MATCH(Table16[[#This Row],[Player]],Proj[Player],0),31),INDEX(Goalie[],MATCH(Table16[[#This Row],[Player]],Goalie[player],0),20)) = 0, "",_xlfn.IFNA(INDEX(Proj[],MATCH(Table16[[#This Row],[Player]],Proj[Player],0),31),INDEX(Goalie[],MATCH(Table16[[#This Row],[Player]],Goalie[player],0),20)))</f>
        <v/>
      </c>
    </row>
    <row r="361" spans="1:9" x14ac:dyDescent="0.25">
      <c r="A361" t="s">
        <v>404</v>
      </c>
      <c r="B361" s="2" t="s">
        <v>103</v>
      </c>
      <c r="C361" t="str">
        <f t="shared" si="5"/>
        <v>RW</v>
      </c>
      <c r="D361" s="10">
        <f>MAX(_xlfn.IFNA(INDEX(Proj[],MATCH(Table16[[#This Row],[Player]],Proj[Player],0),27),-5000), _xlfn.IFNA(INDEX(Goalie[],MATCH(Table16[[#This Row],[Player]],Goalie[player],0),17),-5000))</f>
        <v>-354.43363184497071</v>
      </c>
      <c r="E361">
        <f>_xlfn.RANK.EQ(Table16[[#This Row],[VOR]],Table16[VOR])</f>
        <v>406</v>
      </c>
      <c r="F361" cm="1">
        <f t="array" ref="F361">_xlfn.IFS(C361 = "C",INDEX('C'!$A$2:$L$254,MATCH($A361,'C'!$A$2:$A$254,0),10),C361 = "LW",INDEX(LW!$A$2:$K$180,MATCH($A361,LW!$A$2:$A$180,0),10),C361 = "RW",INDEX('RW'!$A$2:$L$164,MATCH($A361,'RW'!$A$2:$A$164,0),10), C361 = "D",INDEX(D!$A$2:$L$268,MATCH($A361,D!$A$2:$A$268,0),10),C361="G",INDEX(G!$A$2:$Q$78,MATCH($A361,G!$A$2:$A$78,0),16),C361="F",INDEX(F!$A$2:$K$494,MATCH($A361,F!$A$2:$A$494,0),10))</f>
        <v>80</v>
      </c>
      <c r="G361" t="str">
        <f>_xlfn.CONCAT(C361,Table16[[#This Row],[Pos Rank2]])</f>
        <v>RW80</v>
      </c>
      <c r="H361" s="10">
        <f>MAX(_xlfn.IFNA(INDEX(Proj[],MATCH(Table16[[#This Row],[Player]],Proj[Player],0),29),-5000), _xlfn.IFNA(INDEX(Goalie[],MATCH(Table16[[#This Row],[Player]],Goalie[player],0),19),-5000))</f>
        <v>92.111092545278183</v>
      </c>
      <c r="I361" t="str">
        <f>IF(_xlfn.IFNA(INDEX(Proj[],MATCH(Table16[[#This Row],[Player]],Proj[Player],0),31),INDEX(Goalie[],MATCH(Table16[[#This Row],[Player]],Goalie[player],0),20)) = 0, "",_xlfn.IFNA(INDEX(Proj[],MATCH(Table16[[#This Row],[Player]],Proj[Player],0),31),INDEX(Goalie[],MATCH(Table16[[#This Row],[Player]],Goalie[player],0),20)))</f>
        <v/>
      </c>
    </row>
    <row r="362" spans="1:9" x14ac:dyDescent="0.25">
      <c r="A362" t="s">
        <v>649</v>
      </c>
      <c r="B362" s="2" t="s">
        <v>101</v>
      </c>
      <c r="C362" t="str">
        <f t="shared" si="5"/>
        <v>LW</v>
      </c>
      <c r="D362" s="10">
        <f>MAX(_xlfn.IFNA(INDEX(Proj[],MATCH(Table16[[#This Row],[Player]],Proj[Player],0),27),-5000), _xlfn.IFNA(INDEX(Goalie[],MATCH(Table16[[#This Row],[Player]],Goalie[player],0),17),-5000))</f>
        <v>-236.30452925516022</v>
      </c>
      <c r="E362">
        <f>_xlfn.RANK.EQ(Table16[[#This Row],[VOR]],Table16[VOR])</f>
        <v>319</v>
      </c>
      <c r="F362" cm="1">
        <f t="array" ref="F362">_xlfn.IFS(C362 = "C",INDEX('C'!$A$2:$L$254,MATCH($A362,'C'!$A$2:$A$254,0),10),C362 = "LW",INDEX(LW!$A$2:$K$180,MATCH($A362,LW!$A$2:$A$180,0),10),C362 = "RW",INDEX('RW'!$A$2:$L$164,MATCH($A362,'RW'!$A$2:$A$164,0),10), C362 = "D",INDEX(D!$A$2:$L$268,MATCH($A362,D!$A$2:$A$268,0),10),C362="G",INDEX(G!$A$2:$Q$78,MATCH($A362,G!$A$2:$A$78,0),16),C362="F",INDEX(F!$A$2:$K$494,MATCH($A362,F!$A$2:$A$494,0),10))</f>
        <v>72</v>
      </c>
      <c r="G362" t="str">
        <f>_xlfn.CONCAT(C362,Table16[[#This Row],[Pos Rank2]])</f>
        <v>LW72</v>
      </c>
      <c r="H362" s="10">
        <f>MAX(_xlfn.IFNA(INDEX(Proj[],MATCH(Table16[[#This Row],[Player]],Proj[Player],0),29),-5000), _xlfn.IFNA(INDEX(Goalie[],MATCH(Table16[[#This Row],[Player]],Goalie[player],0),19),-5000))</f>
        <v>235.24019513508864</v>
      </c>
      <c r="I362" t="str">
        <f>IF(_xlfn.IFNA(INDEX(Proj[],MATCH(Table16[[#This Row],[Player]],Proj[Player],0),31),INDEX(Goalie[],MATCH(Table16[[#This Row],[Player]],Goalie[player],0),20)) = 0, "",_xlfn.IFNA(INDEX(Proj[],MATCH(Table16[[#This Row],[Player]],Proj[Player],0),31),INDEX(Goalie[],MATCH(Table16[[#This Row],[Player]],Goalie[player],0),20)))</f>
        <v/>
      </c>
    </row>
    <row r="363" spans="1:9" x14ac:dyDescent="0.25">
      <c r="A363" t="s">
        <v>207</v>
      </c>
      <c r="B363" s="2" t="s">
        <v>157</v>
      </c>
      <c r="C363" t="str">
        <f t="shared" si="5"/>
        <v>G</v>
      </c>
      <c r="D363" s="10">
        <f>MAX(_xlfn.IFNA(INDEX(Proj[],MATCH(Table16[[#This Row],[Player]],Proj[Player],0),27),-5000), _xlfn.IFNA(INDEX(Goalie[],MATCH(Table16[[#This Row],[Player]],Goalie[player],0),17),-5000))</f>
        <v>-309.23604062797693</v>
      </c>
      <c r="E363">
        <f>_xlfn.RANK.EQ(Table16[[#This Row],[VOR]],Table16[VOR])</f>
        <v>370</v>
      </c>
      <c r="F363" cm="1">
        <f t="array" ref="F363">_xlfn.IFS(C363 = "C",INDEX('C'!$A$2:$L$254,MATCH($A363,'C'!$A$2:$A$254,0),10),C363 = "LW",INDEX(LW!$A$2:$K$180,MATCH($A363,LW!$A$2:$A$180,0),10),C363 = "RW",INDEX('RW'!$A$2:$L$164,MATCH($A363,'RW'!$A$2:$A$164,0),10), C363 = "D",INDEX(D!$A$2:$L$268,MATCH($A363,D!$A$2:$A$268,0),10),C363="G",INDEX(G!$A$2:$Q$78,MATCH($A363,G!$A$2:$A$78,0),16),C363="F",INDEX(F!$A$2:$K$494,MATCH($A363,F!$A$2:$A$494,0),10))</f>
        <v>54</v>
      </c>
      <c r="G363" t="str">
        <f>_xlfn.CONCAT(C363,Table16[[#This Row],[Pos Rank2]])</f>
        <v>G54</v>
      </c>
      <c r="H363" s="10">
        <f>MAX(_xlfn.IFNA(INDEX(Proj[],MATCH(Table16[[#This Row],[Player]],Proj[Player],0),29),-5000), _xlfn.IFNA(INDEX(Goalie[],MATCH(Table16[[#This Row],[Player]],Goalie[player],0),19),-5000))</f>
        <v>305.81040000000002</v>
      </c>
      <c r="I363" t="str">
        <f>IF(_xlfn.IFNA(INDEX(Proj[],MATCH(Table16[[#This Row],[Player]],Proj[Player],0),31),INDEX(Goalie[],MATCH(Table16[[#This Row],[Player]],Goalie[player],0),20)) = 0, "",_xlfn.IFNA(INDEX(Proj[],MATCH(Table16[[#This Row],[Player]],Proj[Player],0),31),INDEX(Goalie[],MATCH(Table16[[#This Row],[Player]],Goalie[player],0),20)))</f>
        <v/>
      </c>
    </row>
    <row r="364" spans="1:9" x14ac:dyDescent="0.25">
      <c r="A364" t="s">
        <v>377</v>
      </c>
      <c r="B364" s="2" t="s">
        <v>102</v>
      </c>
      <c r="C364" t="str">
        <f t="shared" si="5"/>
        <v>LW</v>
      </c>
      <c r="D364" s="10">
        <f>MAX(_xlfn.IFNA(INDEX(Proj[],MATCH(Table16[[#This Row],[Player]],Proj[Player],0),27),-5000), _xlfn.IFNA(INDEX(Goalie[],MATCH(Table16[[#This Row],[Player]],Goalie[player],0),17),-5000))</f>
        <v>-338.5852038228424</v>
      </c>
      <c r="E364">
        <f>_xlfn.RANK.EQ(Table16[[#This Row],[VOR]],Table16[VOR])</f>
        <v>389</v>
      </c>
      <c r="F364" cm="1">
        <f t="array" ref="F364">_xlfn.IFS(C364 = "C",INDEX('C'!$A$2:$L$254,MATCH($A364,'C'!$A$2:$A$254,0),10),C364 = "LW",INDEX(LW!$A$2:$K$180,MATCH($A364,LW!$A$2:$A$180,0),10),C364 = "RW",INDEX('RW'!$A$2:$L$164,MATCH($A364,'RW'!$A$2:$A$164,0),10), C364 = "D",INDEX(D!$A$2:$L$268,MATCH($A364,D!$A$2:$A$268,0),10),C364="G",INDEX(G!$A$2:$Q$78,MATCH($A364,G!$A$2:$A$78,0),16),C364="F",INDEX(F!$A$2:$K$494,MATCH($A364,F!$A$2:$A$494,0),10))</f>
        <v>89</v>
      </c>
      <c r="G364" t="str">
        <f>_xlfn.CONCAT(C364,Table16[[#This Row],[Pos Rank2]])</f>
        <v>LW89</v>
      </c>
      <c r="H364" s="10">
        <f>MAX(_xlfn.IFNA(INDEX(Proj[],MATCH(Table16[[#This Row],[Player]],Proj[Player],0),29),-5000), _xlfn.IFNA(INDEX(Goalie[],MATCH(Table16[[#This Row],[Player]],Goalie[player],0),19),-5000))</f>
        <v>132.95952056740646</v>
      </c>
      <c r="I364" t="str">
        <f>IF(_xlfn.IFNA(INDEX(Proj[],MATCH(Table16[[#This Row],[Player]],Proj[Player],0),31),INDEX(Goalie[],MATCH(Table16[[#This Row],[Player]],Goalie[player],0),20)) = 0, "",_xlfn.IFNA(INDEX(Proj[],MATCH(Table16[[#This Row],[Player]],Proj[Player],0),31),INDEX(Goalie[],MATCH(Table16[[#This Row],[Player]],Goalie[player],0),20)))</f>
        <v/>
      </c>
    </row>
    <row r="365" spans="1:9" x14ac:dyDescent="0.25">
      <c r="A365" t="s">
        <v>521</v>
      </c>
      <c r="B365" s="2" t="s">
        <v>74</v>
      </c>
      <c r="C365" t="str">
        <f t="shared" si="5"/>
        <v>C</v>
      </c>
      <c r="D365" s="10">
        <f>MAX(_xlfn.IFNA(INDEX(Proj[],MATCH(Table16[[#This Row],[Player]],Proj[Player],0),27),-5000), _xlfn.IFNA(INDEX(Goalie[],MATCH(Table16[[#This Row],[Player]],Goalie[player],0),17),-5000))</f>
        <v>-210.27193592235835</v>
      </c>
      <c r="E365">
        <f>_xlfn.RANK.EQ(Table16[[#This Row],[VOR]],Table16[VOR])</f>
        <v>299</v>
      </c>
      <c r="F365" cm="1">
        <f t="array" ref="F365">_xlfn.IFS(C365 = "C",INDEX('C'!$A$2:$L$254,MATCH($A365,'C'!$A$2:$A$254,0),10),C365 = "LW",INDEX(LW!$A$2:$K$180,MATCH($A365,LW!$A$2:$A$180,0),10),C365 = "RW",INDEX('RW'!$A$2:$L$164,MATCH($A365,'RW'!$A$2:$A$164,0),10), C365 = "D",INDEX(D!$A$2:$L$268,MATCH($A365,D!$A$2:$A$268,0),10),C365="G",INDEX(G!$A$2:$Q$78,MATCH($A365,G!$A$2:$A$78,0),16),C365="F",INDEX(F!$A$2:$K$494,MATCH($A365,F!$A$2:$A$494,0),10))</f>
        <v>62</v>
      </c>
      <c r="G365" t="str">
        <f>_xlfn.CONCAT(C365,Table16[[#This Row],[Pos Rank2]])</f>
        <v>C62</v>
      </c>
      <c r="H365" s="10">
        <f>MAX(_xlfn.IFNA(INDEX(Proj[],MATCH(Table16[[#This Row],[Player]],Proj[Player],0),29),-5000), _xlfn.IFNA(INDEX(Goalie[],MATCH(Table16[[#This Row],[Player]],Goalie[player],0),19),-5000))</f>
        <v>524.36191838794025</v>
      </c>
      <c r="I365" t="str">
        <f>IF(_xlfn.IFNA(INDEX(Proj[],MATCH(Table16[[#This Row],[Player]],Proj[Player],0),31),INDEX(Goalie[],MATCH(Table16[[#This Row],[Player]],Goalie[player],0),20)) = 0, "",_xlfn.IFNA(INDEX(Proj[],MATCH(Table16[[#This Row],[Player]],Proj[Player],0),31),INDEX(Goalie[],MATCH(Table16[[#This Row],[Player]],Goalie[player],0),20)))</f>
        <v/>
      </c>
    </row>
    <row r="366" spans="1:9" x14ac:dyDescent="0.25">
      <c r="A366" t="s">
        <v>470</v>
      </c>
      <c r="B366" s="2" t="s">
        <v>74</v>
      </c>
      <c r="C366" t="str">
        <f t="shared" si="5"/>
        <v>C</v>
      </c>
      <c r="D366" s="10">
        <f>MAX(_xlfn.IFNA(INDEX(Proj[],MATCH(Table16[[#This Row],[Player]],Proj[Player],0),27),-5000), _xlfn.IFNA(INDEX(Goalie[],MATCH(Table16[[#This Row],[Player]],Goalie[player],0),17),-5000))</f>
        <v>-313.99708473486152</v>
      </c>
      <c r="E366">
        <f>_xlfn.RANK.EQ(Table16[[#This Row],[VOR]],Table16[VOR])</f>
        <v>374</v>
      </c>
      <c r="F366" cm="1">
        <f t="array" ref="F366">_xlfn.IFS(C366 = "C",INDEX('C'!$A$2:$L$254,MATCH($A366,'C'!$A$2:$A$254,0),10),C366 = "LW",INDEX(LW!$A$2:$K$180,MATCH($A366,LW!$A$2:$A$180,0),10),C366 = "RW",INDEX('RW'!$A$2:$L$164,MATCH($A366,'RW'!$A$2:$A$164,0),10), C366 = "D",INDEX(D!$A$2:$L$268,MATCH($A366,D!$A$2:$A$268,0),10),C366="G",INDEX(G!$A$2:$Q$78,MATCH($A366,G!$A$2:$A$78,0),16),C366="F",INDEX(F!$A$2:$K$494,MATCH($A366,F!$A$2:$A$494,0),10))</f>
        <v>74</v>
      </c>
      <c r="G366" t="str">
        <f>_xlfn.CONCAT(C366,Table16[[#This Row],[Pos Rank2]])</f>
        <v>C74</v>
      </c>
      <c r="H366" s="10">
        <f>MAX(_xlfn.IFNA(INDEX(Proj[],MATCH(Table16[[#This Row],[Player]],Proj[Player],0),29),-5000), _xlfn.IFNA(INDEX(Goalie[],MATCH(Table16[[#This Row],[Player]],Goalie[player],0),19),-5000))</f>
        <v>420.63676957543709</v>
      </c>
      <c r="I366" t="str">
        <f>IF(_xlfn.IFNA(INDEX(Proj[],MATCH(Table16[[#This Row],[Player]],Proj[Player],0),31),INDEX(Goalie[],MATCH(Table16[[#This Row],[Player]],Goalie[player],0),20)) = 0, "",_xlfn.IFNA(INDEX(Proj[],MATCH(Table16[[#This Row],[Player]],Proj[Player],0),31),INDEX(Goalie[],MATCH(Table16[[#This Row],[Player]],Goalie[player],0),20)))</f>
        <v/>
      </c>
    </row>
    <row r="367" spans="1:9" x14ac:dyDescent="0.25">
      <c r="A367" t="s">
        <v>1189</v>
      </c>
      <c r="B367" s="2" t="s">
        <v>3</v>
      </c>
      <c r="C367" t="str">
        <f t="shared" si="5"/>
        <v>D</v>
      </c>
      <c r="D367" s="10">
        <f>MAX(_xlfn.IFNA(INDEX(Proj[],MATCH(Table16[[#This Row],[Player]],Proj[Player],0),27),-5000), _xlfn.IFNA(INDEX(Goalie[],MATCH(Table16[[#This Row],[Player]],Goalie[player],0),17),-5000))</f>
        <v>-283.01267400891311</v>
      </c>
      <c r="E367">
        <f>_xlfn.RANK.EQ(Table16[[#This Row],[VOR]],Table16[VOR])</f>
        <v>348</v>
      </c>
      <c r="F367" cm="1">
        <f t="array" ref="F367">_xlfn.IFS(C367 = "C",INDEX('C'!$A$2:$L$254,MATCH($A367,'C'!$A$2:$A$254,0),10),C367 = "LW",INDEX(LW!$A$2:$K$180,MATCH($A367,LW!$A$2:$A$180,0),10),C367 = "RW",INDEX('RW'!$A$2:$L$164,MATCH($A367,'RW'!$A$2:$A$164,0),10), C367 = "D",INDEX(D!$A$2:$L$268,MATCH($A367,D!$A$2:$A$268,0),10),C367="G",INDEX(G!$A$2:$Q$78,MATCH($A367,G!$A$2:$A$78,0),16),C367="F",INDEX(F!$A$2:$K$494,MATCH($A367,F!$A$2:$A$494,0),10))</f>
        <v>132</v>
      </c>
      <c r="G367" t="str">
        <f>_xlfn.CONCAT(C367,Table16[[#This Row],[Pos Rank2]])</f>
        <v>D132</v>
      </c>
      <c r="H367" s="10">
        <f>MAX(_xlfn.IFNA(INDEX(Proj[],MATCH(Table16[[#This Row],[Player]],Proj[Player],0),29),-5000), _xlfn.IFNA(INDEX(Goalie[],MATCH(Table16[[#This Row],[Player]],Goalie[player],0),19),-5000))</f>
        <v>-175.6479062894486</v>
      </c>
      <c r="I367" t="str">
        <f>IF(_xlfn.IFNA(INDEX(Proj[],MATCH(Table16[[#This Row],[Player]],Proj[Player],0),31),INDEX(Goalie[],MATCH(Table16[[#This Row],[Player]],Goalie[player],0),20)) = 0, "",_xlfn.IFNA(INDEX(Proj[],MATCH(Table16[[#This Row],[Player]],Proj[Player],0),31),INDEX(Goalie[],MATCH(Table16[[#This Row],[Player]],Goalie[player],0),20)))</f>
        <v/>
      </c>
    </row>
    <row r="368" spans="1:9" x14ac:dyDescent="0.25">
      <c r="A368" t="s">
        <v>363</v>
      </c>
      <c r="B368" s="2" t="s">
        <v>3</v>
      </c>
      <c r="C368" t="str">
        <f t="shared" si="5"/>
        <v>D</v>
      </c>
      <c r="D368" s="10">
        <f>MAX(_xlfn.IFNA(INDEX(Proj[],MATCH(Table16[[#This Row],[Player]],Proj[Player],0),27),-5000), _xlfn.IFNA(INDEX(Goalie[],MATCH(Table16[[#This Row],[Player]],Goalie[player],0),17),-5000))</f>
        <v>-294.91167322640092</v>
      </c>
      <c r="E368">
        <f>_xlfn.RANK.EQ(Table16[[#This Row],[VOR]],Table16[VOR])</f>
        <v>356</v>
      </c>
      <c r="F368" cm="1">
        <f t="array" ref="F368">_xlfn.IFS(C368 = "C",INDEX('C'!$A$2:$L$254,MATCH($A368,'C'!$A$2:$A$254,0),10),C368 = "LW",INDEX(LW!$A$2:$K$180,MATCH($A368,LW!$A$2:$A$180,0),10),C368 = "RW",INDEX('RW'!$A$2:$L$164,MATCH($A368,'RW'!$A$2:$A$164,0),10), C368 = "D",INDEX(D!$A$2:$L$268,MATCH($A368,D!$A$2:$A$268,0),10),C368="G",INDEX(G!$A$2:$Q$78,MATCH($A368,G!$A$2:$A$78,0),16),C368="F",INDEX(F!$A$2:$K$494,MATCH($A368,F!$A$2:$A$494,0),10))</f>
        <v>134</v>
      </c>
      <c r="G368" t="str">
        <f>_xlfn.CONCAT(C368,Table16[[#This Row],[Pos Rank2]])</f>
        <v>D134</v>
      </c>
      <c r="H368" s="10">
        <f>MAX(_xlfn.IFNA(INDEX(Proj[],MATCH(Table16[[#This Row],[Player]],Proj[Player],0),29),-5000), _xlfn.IFNA(INDEX(Goalie[],MATCH(Table16[[#This Row],[Player]],Goalie[player],0),19),-5000))</f>
        <v>-187.54690550693641</v>
      </c>
      <c r="I368" t="str">
        <f>IF(_xlfn.IFNA(INDEX(Proj[],MATCH(Table16[[#This Row],[Player]],Proj[Player],0),31),INDEX(Goalie[],MATCH(Table16[[#This Row],[Player]],Goalie[player],0),20)) = 0, "",_xlfn.IFNA(INDEX(Proj[],MATCH(Table16[[#This Row],[Player]],Proj[Player],0),31),INDEX(Goalie[],MATCH(Table16[[#This Row],[Player]],Goalie[player],0),20)))</f>
        <v/>
      </c>
    </row>
    <row r="369" spans="1:9" x14ac:dyDescent="0.25">
      <c r="A369" t="s">
        <v>436</v>
      </c>
      <c r="B369" s="2" t="s">
        <v>74</v>
      </c>
      <c r="C369" t="str">
        <f t="shared" si="5"/>
        <v>C</v>
      </c>
      <c r="D369" s="10">
        <f>MAX(_xlfn.IFNA(INDEX(Proj[],MATCH(Table16[[#This Row],[Player]],Proj[Player],0),27),-5000), _xlfn.IFNA(INDEX(Goalie[],MATCH(Table16[[#This Row],[Player]],Goalie[player],0),17),-5000))</f>
        <v>-475.32194115326234</v>
      </c>
      <c r="E369">
        <f>_xlfn.RANK.EQ(Table16[[#This Row],[VOR]],Table16[VOR])</f>
        <v>474</v>
      </c>
      <c r="F369" cm="1">
        <f t="array" ref="F369">_xlfn.IFS(C369 = "C",INDEX('C'!$A$2:$L$254,MATCH($A369,'C'!$A$2:$A$254,0),10),C369 = "LW",INDEX(LW!$A$2:$K$180,MATCH($A369,LW!$A$2:$A$180,0),10),C369 = "RW",INDEX('RW'!$A$2:$L$164,MATCH($A369,'RW'!$A$2:$A$164,0),10), C369 = "D",INDEX(D!$A$2:$L$268,MATCH($A369,D!$A$2:$A$268,0),10),C369="G",INDEX(G!$A$2:$Q$78,MATCH($A369,G!$A$2:$A$78,0),16),C369="F",INDEX(F!$A$2:$K$494,MATCH($A369,F!$A$2:$A$494,0),10))</f>
        <v>99</v>
      </c>
      <c r="G369" t="str">
        <f>_xlfn.CONCAT(C369,Table16[[#This Row],[Pos Rank2]])</f>
        <v>C99</v>
      </c>
      <c r="H369" s="10">
        <f>MAX(_xlfn.IFNA(INDEX(Proj[],MATCH(Table16[[#This Row],[Player]],Proj[Player],0),29),-5000), _xlfn.IFNA(INDEX(Goalie[],MATCH(Table16[[#This Row],[Player]],Goalie[player],0),19),-5000))</f>
        <v>259.31191315703626</v>
      </c>
      <c r="I369" t="str">
        <f>IF(_xlfn.IFNA(INDEX(Proj[],MATCH(Table16[[#This Row],[Player]],Proj[Player],0),31),INDEX(Goalie[],MATCH(Table16[[#This Row],[Player]],Goalie[player],0),20)) = 0, "",_xlfn.IFNA(INDEX(Proj[],MATCH(Table16[[#This Row],[Player]],Proj[Player],0),31),INDEX(Goalie[],MATCH(Table16[[#This Row],[Player]],Goalie[player],0),20)))</f>
        <v/>
      </c>
    </row>
    <row r="370" spans="1:9" x14ac:dyDescent="0.25">
      <c r="A370" t="s">
        <v>416</v>
      </c>
      <c r="B370" s="2" t="s">
        <v>103</v>
      </c>
      <c r="C370" t="str">
        <f t="shared" si="5"/>
        <v>RW</v>
      </c>
      <c r="D370" s="10">
        <f>MAX(_xlfn.IFNA(INDEX(Proj[],MATCH(Table16[[#This Row],[Player]],Proj[Player],0),27),-5000), _xlfn.IFNA(INDEX(Goalie[],MATCH(Table16[[#This Row],[Player]],Goalie[player],0),17),-5000))</f>
        <v>-360.11565102915347</v>
      </c>
      <c r="E370">
        <f>_xlfn.RANK.EQ(Table16[[#This Row],[VOR]],Table16[VOR])</f>
        <v>408</v>
      </c>
      <c r="F370" cm="1">
        <f t="array" ref="F370">_xlfn.IFS(C370 = "C",INDEX('C'!$A$2:$L$254,MATCH($A370,'C'!$A$2:$A$254,0),10),C370 = "LW",INDEX(LW!$A$2:$K$180,MATCH($A370,LW!$A$2:$A$180,0),10),C370 = "RW",INDEX('RW'!$A$2:$L$164,MATCH($A370,'RW'!$A$2:$A$164,0),10), C370 = "D",INDEX(D!$A$2:$L$268,MATCH($A370,D!$A$2:$A$268,0),10),C370="G",INDEX(G!$A$2:$Q$78,MATCH($A370,G!$A$2:$A$78,0),16),C370="F",INDEX(F!$A$2:$K$494,MATCH($A370,F!$A$2:$A$494,0),10))</f>
        <v>81</v>
      </c>
      <c r="G370" t="str">
        <f>_xlfn.CONCAT(C370,Table16[[#This Row],[Pos Rank2]])</f>
        <v>RW81</v>
      </c>
      <c r="H370" s="10">
        <f>MAX(_xlfn.IFNA(INDEX(Proj[],MATCH(Table16[[#This Row],[Player]],Proj[Player],0),29),-5000), _xlfn.IFNA(INDEX(Goalie[],MATCH(Table16[[#This Row],[Player]],Goalie[player],0),19),-5000))</f>
        <v>86.429073361095391</v>
      </c>
      <c r="I370" t="str">
        <f>IF(_xlfn.IFNA(INDEX(Proj[],MATCH(Table16[[#This Row],[Player]],Proj[Player],0),31),INDEX(Goalie[],MATCH(Table16[[#This Row],[Player]],Goalie[player],0),20)) = 0, "",_xlfn.IFNA(INDEX(Proj[],MATCH(Table16[[#This Row],[Player]],Proj[Player],0),31),INDEX(Goalie[],MATCH(Table16[[#This Row],[Player]],Goalie[player],0),20)))</f>
        <v/>
      </c>
    </row>
    <row r="371" spans="1:9" x14ac:dyDescent="0.25">
      <c r="A371" t="s">
        <v>438</v>
      </c>
      <c r="B371" s="2" t="s">
        <v>3</v>
      </c>
      <c r="C371" t="str">
        <f t="shared" si="5"/>
        <v>D</v>
      </c>
      <c r="D371" s="10">
        <f>MAX(_xlfn.IFNA(INDEX(Proj[],MATCH(Table16[[#This Row],[Player]],Proj[Player],0),27),-5000), _xlfn.IFNA(INDEX(Goalie[],MATCH(Table16[[#This Row],[Player]],Goalie[player],0),17),-5000))</f>
        <v>-286.23242933802396</v>
      </c>
      <c r="E371">
        <f>_xlfn.RANK.EQ(Table16[[#This Row],[VOR]],Table16[VOR])</f>
        <v>350</v>
      </c>
      <c r="F371" cm="1">
        <f t="array" ref="F371">_xlfn.IFS(C371 = "C",INDEX('C'!$A$2:$L$254,MATCH($A371,'C'!$A$2:$A$254,0),10),C371 = "LW",INDEX(LW!$A$2:$K$180,MATCH($A371,LW!$A$2:$A$180,0),10),C371 = "RW",INDEX('RW'!$A$2:$L$164,MATCH($A371,'RW'!$A$2:$A$164,0),10), C371 = "D",INDEX(D!$A$2:$L$268,MATCH($A371,D!$A$2:$A$268,0),10),C371="G",INDEX(G!$A$2:$Q$78,MATCH($A371,G!$A$2:$A$78,0),16),C371="F",INDEX(F!$A$2:$K$494,MATCH($A371,F!$A$2:$A$494,0),10))</f>
        <v>133</v>
      </c>
      <c r="G371" t="str">
        <f>_xlfn.CONCAT(C371,Table16[[#This Row],[Pos Rank2]])</f>
        <v>D133</v>
      </c>
      <c r="H371" s="10">
        <f>MAX(_xlfn.IFNA(INDEX(Proj[],MATCH(Table16[[#This Row],[Player]],Proj[Player],0),29),-5000), _xlfn.IFNA(INDEX(Goalie[],MATCH(Table16[[#This Row],[Player]],Goalie[player],0),19),-5000))</f>
        <v>-178.86766161855948</v>
      </c>
      <c r="I371" t="str">
        <f>IF(_xlfn.IFNA(INDEX(Proj[],MATCH(Table16[[#This Row],[Player]],Proj[Player],0),31),INDEX(Goalie[],MATCH(Table16[[#This Row],[Player]],Goalie[player],0),20)) = 0, "",_xlfn.IFNA(INDEX(Proj[],MATCH(Table16[[#This Row],[Player]],Proj[Player],0),31),INDEX(Goalie[],MATCH(Table16[[#This Row],[Player]],Goalie[player],0),20)))</f>
        <v/>
      </c>
    </row>
    <row r="372" spans="1:9" x14ac:dyDescent="0.25">
      <c r="A372" t="s">
        <v>366</v>
      </c>
      <c r="B372" s="2" t="s">
        <v>102</v>
      </c>
      <c r="C372" t="str">
        <f t="shared" si="5"/>
        <v>LW</v>
      </c>
      <c r="D372" s="10">
        <f>MAX(_xlfn.IFNA(INDEX(Proj[],MATCH(Table16[[#This Row],[Player]],Proj[Player],0),27),-5000), _xlfn.IFNA(INDEX(Goalie[],MATCH(Table16[[#This Row],[Player]],Goalie[player],0),17),-5000))</f>
        <v>-210.39019955764735</v>
      </c>
      <c r="E372">
        <f>_xlfn.RANK.EQ(Table16[[#This Row],[VOR]],Table16[VOR])</f>
        <v>300</v>
      </c>
      <c r="F372" cm="1">
        <f t="array" ref="F372">_xlfn.IFS(C372 = "C",INDEX('C'!$A$2:$L$254,MATCH($A372,'C'!$A$2:$A$254,0),10),C372 = "LW",INDEX(LW!$A$2:$K$180,MATCH($A372,LW!$A$2:$A$180,0),10),C372 = "RW",INDEX('RW'!$A$2:$L$164,MATCH($A372,'RW'!$A$2:$A$164,0),10), C372 = "D",INDEX(D!$A$2:$L$268,MATCH($A372,D!$A$2:$A$268,0),10),C372="G",INDEX(G!$A$2:$Q$78,MATCH($A372,G!$A$2:$A$78,0),16),C372="F",INDEX(F!$A$2:$K$494,MATCH($A372,F!$A$2:$A$494,0),10))</f>
        <v>68</v>
      </c>
      <c r="G372" t="str">
        <f>_xlfn.CONCAT(C372,Table16[[#This Row],[Pos Rank2]])</f>
        <v>LW68</v>
      </c>
      <c r="H372" s="10">
        <f>MAX(_xlfn.IFNA(INDEX(Proj[],MATCH(Table16[[#This Row],[Player]],Proj[Player],0),29),-5000), _xlfn.IFNA(INDEX(Goalie[],MATCH(Table16[[#This Row],[Player]],Goalie[player],0),19),-5000))</f>
        <v>261.15452483260151</v>
      </c>
      <c r="I372" t="str">
        <f>IF(_xlfn.IFNA(INDEX(Proj[],MATCH(Table16[[#This Row],[Player]],Proj[Player],0),31),INDEX(Goalie[],MATCH(Table16[[#This Row],[Player]],Goalie[player],0),20)) = 0, "",_xlfn.IFNA(INDEX(Proj[],MATCH(Table16[[#This Row],[Player]],Proj[Player],0),31),INDEX(Goalie[],MATCH(Table16[[#This Row],[Player]],Goalie[player],0),20)))</f>
        <v/>
      </c>
    </row>
    <row r="373" spans="1:9" x14ac:dyDescent="0.25">
      <c r="A373" t="s">
        <v>1016</v>
      </c>
      <c r="B373" s="2" t="s">
        <v>102</v>
      </c>
      <c r="C373" t="str">
        <f t="shared" si="5"/>
        <v>LW</v>
      </c>
      <c r="D373" s="10">
        <f>MAX(_xlfn.IFNA(INDEX(Proj[],MATCH(Table16[[#This Row],[Player]],Proj[Player],0),27),-5000), _xlfn.IFNA(INDEX(Goalie[],MATCH(Table16[[#This Row],[Player]],Goalie[player],0),17),-5000))</f>
        <v>-313.81494444225626</v>
      </c>
      <c r="E373">
        <f>_xlfn.RANK.EQ(Table16[[#This Row],[VOR]],Table16[VOR])</f>
        <v>373</v>
      </c>
      <c r="F373" cm="1">
        <f t="array" ref="F373">_xlfn.IFS(C373 = "C",INDEX('C'!$A$2:$L$254,MATCH($A373,'C'!$A$2:$A$254,0),10),C373 = "LW",INDEX(LW!$A$2:$K$180,MATCH($A373,LW!$A$2:$A$180,0),10),C373 = "RW",INDEX('RW'!$A$2:$L$164,MATCH($A373,'RW'!$A$2:$A$164,0),10), C373 = "D",INDEX(D!$A$2:$L$268,MATCH($A373,D!$A$2:$A$268,0),10),C373="G",INDEX(G!$A$2:$Q$78,MATCH($A373,G!$A$2:$A$78,0),16),C373="F",INDEX(F!$A$2:$K$494,MATCH($A373,F!$A$2:$A$494,0),10))</f>
        <v>84</v>
      </c>
      <c r="G373" t="str">
        <f>_xlfn.CONCAT(C373,Table16[[#This Row],[Pos Rank2]])</f>
        <v>LW84</v>
      </c>
      <c r="H373" s="10">
        <f>MAX(_xlfn.IFNA(INDEX(Proj[],MATCH(Table16[[#This Row],[Player]],Proj[Player],0),29),-5000), _xlfn.IFNA(INDEX(Goalie[],MATCH(Table16[[#This Row],[Player]],Goalie[player],0),19),-5000))</f>
        <v>157.7297799479926</v>
      </c>
      <c r="I373" t="str">
        <f>IF(_xlfn.IFNA(INDEX(Proj[],MATCH(Table16[[#This Row],[Player]],Proj[Player],0),31),INDEX(Goalie[],MATCH(Table16[[#This Row],[Player]],Goalie[player],0),20)) = 0, "",_xlfn.IFNA(INDEX(Proj[],MATCH(Table16[[#This Row],[Player]],Proj[Player],0),31),INDEX(Goalie[],MATCH(Table16[[#This Row],[Player]],Goalie[player],0),20)))</f>
        <v/>
      </c>
    </row>
    <row r="374" spans="1:9" x14ac:dyDescent="0.25">
      <c r="A374" t="s">
        <v>440</v>
      </c>
      <c r="B374" s="2" t="s">
        <v>103</v>
      </c>
      <c r="C374" t="str">
        <f t="shared" si="5"/>
        <v>RW</v>
      </c>
      <c r="D374" s="10">
        <f>MAX(_xlfn.IFNA(INDEX(Proj[],MATCH(Table16[[#This Row],[Player]],Proj[Player],0),27),-5000), _xlfn.IFNA(INDEX(Goalie[],MATCH(Table16[[#This Row],[Player]],Goalie[player],0),17),-5000))</f>
        <v>-363.34680187757289</v>
      </c>
      <c r="E374">
        <f>_xlfn.RANK.EQ(Table16[[#This Row],[VOR]],Table16[VOR])</f>
        <v>410</v>
      </c>
      <c r="F374" cm="1">
        <f t="array" ref="F374">_xlfn.IFS(C374 = "C",INDEX('C'!$A$2:$L$254,MATCH($A374,'C'!$A$2:$A$254,0),10),C374 = "LW",INDEX(LW!$A$2:$K$180,MATCH($A374,LW!$A$2:$A$180,0),10),C374 = "RW",INDEX('RW'!$A$2:$L$164,MATCH($A374,'RW'!$A$2:$A$164,0),10), C374 = "D",INDEX(D!$A$2:$L$268,MATCH($A374,D!$A$2:$A$268,0),10),C374="G",INDEX(G!$A$2:$Q$78,MATCH($A374,G!$A$2:$A$78,0),16),C374="F",INDEX(F!$A$2:$K$494,MATCH($A374,F!$A$2:$A$494,0),10))</f>
        <v>82</v>
      </c>
      <c r="G374" t="str">
        <f>_xlfn.CONCAT(C374,Table16[[#This Row],[Pos Rank2]])</f>
        <v>RW82</v>
      </c>
      <c r="H374" s="10">
        <f>MAX(_xlfn.IFNA(INDEX(Proj[],MATCH(Table16[[#This Row],[Player]],Proj[Player],0),29),-5000), _xlfn.IFNA(INDEX(Goalie[],MATCH(Table16[[#This Row],[Player]],Goalie[player],0),19),-5000))</f>
        <v>83.197922512675973</v>
      </c>
      <c r="I374" t="str">
        <f>IF(_xlfn.IFNA(INDEX(Proj[],MATCH(Table16[[#This Row],[Player]],Proj[Player],0),31),INDEX(Goalie[],MATCH(Table16[[#This Row],[Player]],Goalie[player],0),20)) = 0, "",_xlfn.IFNA(INDEX(Proj[],MATCH(Table16[[#This Row],[Player]],Proj[Player],0),31),INDEX(Goalie[],MATCH(Table16[[#This Row],[Player]],Goalie[player],0),20)))</f>
        <v/>
      </c>
    </row>
    <row r="375" spans="1:9" x14ac:dyDescent="0.25">
      <c r="A375" t="s">
        <v>1021</v>
      </c>
      <c r="B375" s="2" t="s">
        <v>3</v>
      </c>
      <c r="C375" t="str">
        <f t="shared" si="5"/>
        <v>D</v>
      </c>
      <c r="D375" s="10">
        <f>MAX(_xlfn.IFNA(INDEX(Proj[],MATCH(Table16[[#This Row],[Player]],Proj[Player],0),27),-5000), _xlfn.IFNA(INDEX(Goalie[],MATCH(Table16[[#This Row],[Player]],Goalie[player],0),17),-5000))</f>
        <v>-302.96127434878281</v>
      </c>
      <c r="E375">
        <f>_xlfn.RANK.EQ(Table16[[#This Row],[VOR]],Table16[VOR])</f>
        <v>363</v>
      </c>
      <c r="F375" cm="1">
        <f t="array" ref="F375">_xlfn.IFS(C375 = "C",INDEX('C'!$A$2:$L$254,MATCH($A375,'C'!$A$2:$A$254,0),10),C375 = "LW",INDEX(LW!$A$2:$K$180,MATCH($A375,LW!$A$2:$A$180,0),10),C375 = "RW",INDEX('RW'!$A$2:$L$164,MATCH($A375,'RW'!$A$2:$A$164,0),10), C375 = "D",INDEX(D!$A$2:$L$268,MATCH($A375,D!$A$2:$A$268,0),10),C375="G",INDEX(G!$A$2:$Q$78,MATCH($A375,G!$A$2:$A$78,0),16),C375="F",INDEX(F!$A$2:$K$494,MATCH($A375,F!$A$2:$A$494,0),10))</f>
        <v>140</v>
      </c>
      <c r="G375" t="str">
        <f>_xlfn.CONCAT(C375,Table16[[#This Row],[Pos Rank2]])</f>
        <v>D140</v>
      </c>
      <c r="H375" s="10">
        <f>MAX(_xlfn.IFNA(INDEX(Proj[],MATCH(Table16[[#This Row],[Player]],Proj[Player],0),29),-5000), _xlfn.IFNA(INDEX(Goalie[],MATCH(Table16[[#This Row],[Player]],Goalie[player],0),19),-5000))</f>
        <v>-195.59650662931833</v>
      </c>
      <c r="I375" t="str">
        <f>IF(_xlfn.IFNA(INDEX(Proj[],MATCH(Table16[[#This Row],[Player]],Proj[Player],0),31),INDEX(Goalie[],MATCH(Table16[[#This Row],[Player]],Goalie[player],0),20)) = 0, "",_xlfn.IFNA(INDEX(Proj[],MATCH(Table16[[#This Row],[Player]],Proj[Player],0),31),INDEX(Goalie[],MATCH(Table16[[#This Row],[Player]],Goalie[player],0),20)))</f>
        <v/>
      </c>
    </row>
    <row r="376" spans="1:9" x14ac:dyDescent="0.25">
      <c r="A376" t="s">
        <v>554</v>
      </c>
      <c r="B376" s="2" t="s">
        <v>74</v>
      </c>
      <c r="C376" t="str">
        <f t="shared" si="5"/>
        <v>C</v>
      </c>
      <c r="D376" s="10">
        <f>MAX(_xlfn.IFNA(INDEX(Proj[],MATCH(Table16[[#This Row],[Player]],Proj[Player],0),27),-5000), _xlfn.IFNA(INDEX(Goalie[],MATCH(Table16[[#This Row],[Player]],Goalie[player],0),17),-5000))</f>
        <v>-497.46541594162829</v>
      </c>
      <c r="E376">
        <f>_xlfn.RANK.EQ(Table16[[#This Row],[VOR]],Table16[VOR])</f>
        <v>485</v>
      </c>
      <c r="F376" cm="1">
        <f t="array" ref="F376">_xlfn.IFS(C376 = "C",INDEX('C'!$A$2:$L$254,MATCH($A376,'C'!$A$2:$A$254,0),10),C376 = "LW",INDEX(LW!$A$2:$K$180,MATCH($A376,LW!$A$2:$A$180,0),10),C376 = "RW",INDEX('RW'!$A$2:$L$164,MATCH($A376,'RW'!$A$2:$A$164,0),10), C376 = "D",INDEX(D!$A$2:$L$268,MATCH($A376,D!$A$2:$A$268,0),10),C376="G",INDEX(G!$A$2:$Q$78,MATCH($A376,G!$A$2:$A$78,0),16),C376="F",INDEX(F!$A$2:$K$494,MATCH($A376,F!$A$2:$A$494,0),10))</f>
        <v>104</v>
      </c>
      <c r="G376" t="str">
        <f>_xlfn.CONCAT(C376,Table16[[#This Row],[Pos Rank2]])</f>
        <v>C104</v>
      </c>
      <c r="H376" s="10">
        <f>MAX(_xlfn.IFNA(INDEX(Proj[],MATCH(Table16[[#This Row],[Player]],Proj[Player],0),29),-5000), _xlfn.IFNA(INDEX(Goalie[],MATCH(Table16[[#This Row],[Player]],Goalie[player],0),19),-5000))</f>
        <v>237.16843836867034</v>
      </c>
      <c r="I376" t="str">
        <f>IF(_xlfn.IFNA(INDEX(Proj[],MATCH(Table16[[#This Row],[Player]],Proj[Player],0),31),INDEX(Goalie[],MATCH(Table16[[#This Row],[Player]],Goalie[player],0),20)) = 0, "",_xlfn.IFNA(INDEX(Proj[],MATCH(Table16[[#This Row],[Player]],Proj[Player],0),31),INDEX(Goalie[],MATCH(Table16[[#This Row],[Player]],Goalie[player],0),20)))</f>
        <v/>
      </c>
    </row>
    <row r="377" spans="1:9" x14ac:dyDescent="0.25">
      <c r="A377" t="s">
        <v>1057</v>
      </c>
      <c r="B377" s="2" t="s">
        <v>3</v>
      </c>
      <c r="C377" t="str">
        <f t="shared" si="5"/>
        <v>D</v>
      </c>
      <c r="D377" s="10">
        <f>MAX(_xlfn.IFNA(INDEX(Proj[],MATCH(Table16[[#This Row],[Player]],Proj[Player],0),27),-5000), _xlfn.IFNA(INDEX(Goalie[],MATCH(Table16[[#This Row],[Player]],Goalie[player],0),17),-5000))</f>
        <v>-295.84970662966782</v>
      </c>
      <c r="E377">
        <f>_xlfn.RANK.EQ(Table16[[#This Row],[VOR]],Table16[VOR])</f>
        <v>357</v>
      </c>
      <c r="F377" cm="1">
        <f t="array" ref="F377">_xlfn.IFS(C377 = "C",INDEX('C'!$A$2:$L$254,MATCH($A377,'C'!$A$2:$A$254,0),10),C377 = "LW",INDEX(LW!$A$2:$K$180,MATCH($A377,LW!$A$2:$A$180,0),10),C377 = "RW",INDEX('RW'!$A$2:$L$164,MATCH($A377,'RW'!$A$2:$A$164,0),10), C377 = "D",INDEX(D!$A$2:$L$268,MATCH($A377,D!$A$2:$A$268,0),10),C377="G",INDEX(G!$A$2:$Q$78,MATCH($A377,G!$A$2:$A$78,0),16),C377="F",INDEX(F!$A$2:$K$494,MATCH($A377,F!$A$2:$A$494,0),10))</f>
        <v>135</v>
      </c>
      <c r="G377" t="str">
        <f>_xlfn.CONCAT(C377,Table16[[#This Row],[Pos Rank2]])</f>
        <v>D135</v>
      </c>
      <c r="H377" s="10">
        <f>MAX(_xlfn.IFNA(INDEX(Proj[],MATCH(Table16[[#This Row],[Player]],Proj[Player],0),29),-5000), _xlfn.IFNA(INDEX(Goalie[],MATCH(Table16[[#This Row],[Player]],Goalie[player],0),19),-5000))</f>
        <v>-188.48493891020337</v>
      </c>
      <c r="I377" t="str">
        <f>IF(_xlfn.IFNA(INDEX(Proj[],MATCH(Table16[[#This Row],[Player]],Proj[Player],0),31),INDEX(Goalie[],MATCH(Table16[[#This Row],[Player]],Goalie[player],0),20)) = 0, "",_xlfn.IFNA(INDEX(Proj[],MATCH(Table16[[#This Row],[Player]],Proj[Player],0),31),INDEX(Goalie[],MATCH(Table16[[#This Row],[Player]],Goalie[player],0),20)))</f>
        <v/>
      </c>
    </row>
    <row r="378" spans="1:9" x14ac:dyDescent="0.25">
      <c r="A378" t="s">
        <v>188</v>
      </c>
      <c r="B378" s="2" t="s">
        <v>157</v>
      </c>
      <c r="C378" t="str">
        <f t="shared" si="5"/>
        <v>G</v>
      </c>
      <c r="D378" s="10">
        <f>MAX(_xlfn.IFNA(INDEX(Proj[],MATCH(Table16[[#This Row],[Player]],Proj[Player],0),27),-5000), _xlfn.IFNA(INDEX(Goalie[],MATCH(Table16[[#This Row],[Player]],Goalie[player],0),17),-5000))</f>
        <v>-327.97832919776766</v>
      </c>
      <c r="E378">
        <f>_xlfn.RANK.EQ(Table16[[#This Row],[VOR]],Table16[VOR])</f>
        <v>381</v>
      </c>
      <c r="F378" cm="1">
        <f t="array" ref="F378">_xlfn.IFS(C378 = "C",INDEX('C'!$A$2:$L$254,MATCH($A378,'C'!$A$2:$A$254,0),10),C378 = "LW",INDEX(LW!$A$2:$K$180,MATCH($A378,LW!$A$2:$A$180,0),10),C378 = "RW",INDEX('RW'!$A$2:$L$164,MATCH($A378,'RW'!$A$2:$A$164,0),10), C378 = "D",INDEX(D!$A$2:$L$268,MATCH($A378,D!$A$2:$A$268,0),10),C378="G",INDEX(G!$A$2:$Q$78,MATCH($A378,G!$A$2:$A$78,0),16),C378="F",INDEX(F!$A$2:$K$494,MATCH($A378,F!$A$2:$A$494,0),10))</f>
        <v>55</v>
      </c>
      <c r="G378" t="str">
        <f>_xlfn.CONCAT(C378,Table16[[#This Row],[Pos Rank2]])</f>
        <v>G55</v>
      </c>
      <c r="H378" s="10">
        <f>MAX(_xlfn.IFNA(INDEX(Proj[],MATCH(Table16[[#This Row],[Player]],Proj[Player],0),29),-5000), _xlfn.IFNA(INDEX(Goalie[],MATCH(Table16[[#This Row],[Player]],Goalie[player],0),19),-5000))</f>
        <v>349.75079999999997</v>
      </c>
      <c r="I378" t="str">
        <f>IF(_xlfn.IFNA(INDEX(Proj[],MATCH(Table16[[#This Row],[Player]],Proj[Player],0),31),INDEX(Goalie[],MATCH(Table16[[#This Row],[Player]],Goalie[player],0),20)) = 0, "",_xlfn.IFNA(INDEX(Proj[],MATCH(Table16[[#This Row],[Player]],Proj[Player],0),31),INDEX(Goalie[],MATCH(Table16[[#This Row],[Player]],Goalie[player],0),20)))</f>
        <v/>
      </c>
    </row>
    <row r="379" spans="1:9" x14ac:dyDescent="0.25">
      <c r="A379" t="s">
        <v>1099</v>
      </c>
      <c r="B379" s="2" t="s">
        <v>3</v>
      </c>
      <c r="C379" t="str">
        <f t="shared" si="5"/>
        <v>D</v>
      </c>
      <c r="D379" s="10">
        <f>MAX(_xlfn.IFNA(INDEX(Proj[],MATCH(Table16[[#This Row],[Player]],Proj[Player],0),27),-5000), _xlfn.IFNA(INDEX(Goalie[],MATCH(Table16[[#This Row],[Player]],Goalie[player],0),17),-5000))</f>
        <v>-308.69316812002415</v>
      </c>
      <c r="E379">
        <f>_xlfn.RANK.EQ(Table16[[#This Row],[VOR]],Table16[VOR])</f>
        <v>368</v>
      </c>
      <c r="F379" cm="1">
        <f t="array" ref="F379">_xlfn.IFS(C379 = "C",INDEX('C'!$A$2:$L$254,MATCH($A379,'C'!$A$2:$A$254,0),10),C379 = "LW",INDEX(LW!$A$2:$K$180,MATCH($A379,LW!$A$2:$A$180,0),10),C379 = "RW",INDEX('RW'!$A$2:$L$164,MATCH($A379,'RW'!$A$2:$A$164,0),10), C379 = "D",INDEX(D!$A$2:$L$268,MATCH($A379,D!$A$2:$A$268,0),10),C379="G",INDEX(G!$A$2:$Q$78,MATCH($A379,G!$A$2:$A$78,0),16),C379="F",INDEX(F!$A$2:$K$494,MATCH($A379,F!$A$2:$A$494,0),10))</f>
        <v>144</v>
      </c>
      <c r="G379" t="str">
        <f>_xlfn.CONCAT(C379,Table16[[#This Row],[Pos Rank2]])</f>
        <v>D144</v>
      </c>
      <c r="H379" s="10">
        <f>MAX(_xlfn.IFNA(INDEX(Proj[],MATCH(Table16[[#This Row],[Player]],Proj[Player],0),29),-5000), _xlfn.IFNA(INDEX(Goalie[],MATCH(Table16[[#This Row],[Player]],Goalie[player],0),19),-5000))</f>
        <v>-201.32840040055967</v>
      </c>
      <c r="I379" t="str">
        <f>IF(_xlfn.IFNA(INDEX(Proj[],MATCH(Table16[[#This Row],[Player]],Proj[Player],0),31),INDEX(Goalie[],MATCH(Table16[[#This Row],[Player]],Goalie[player],0),20)) = 0, "",_xlfn.IFNA(INDEX(Proj[],MATCH(Table16[[#This Row],[Player]],Proj[Player],0),31),INDEX(Goalie[],MATCH(Table16[[#This Row],[Player]],Goalie[player],0),20)))</f>
        <v/>
      </c>
    </row>
    <row r="380" spans="1:9" x14ac:dyDescent="0.25">
      <c r="A380" t="s">
        <v>772</v>
      </c>
      <c r="B380" s="2" t="s">
        <v>105</v>
      </c>
      <c r="C380" t="str">
        <f t="shared" si="5"/>
        <v>RW</v>
      </c>
      <c r="D380" s="10">
        <f>MAX(_xlfn.IFNA(INDEX(Proj[],MATCH(Table16[[#This Row],[Player]],Proj[Player],0),27),-5000), _xlfn.IFNA(INDEX(Goalie[],MATCH(Table16[[#This Row],[Player]],Goalie[player],0),17),-5000))</f>
        <v>-206.10652516569394</v>
      </c>
      <c r="E380">
        <f>_xlfn.RANK.EQ(Table16[[#This Row],[VOR]],Table16[VOR])</f>
        <v>292</v>
      </c>
      <c r="F380" cm="1">
        <f t="array" ref="F380">_xlfn.IFS(C380 = "C",INDEX('C'!$A$2:$L$254,MATCH($A380,'C'!$A$2:$A$254,0),10),C380 = "LW",INDEX(LW!$A$2:$K$180,MATCH($A380,LW!$A$2:$A$180,0),10),C380 = "RW",INDEX('RW'!$A$2:$L$164,MATCH($A380,'RW'!$A$2:$A$164,0),10), C380 = "D",INDEX(D!$A$2:$L$268,MATCH($A380,D!$A$2:$A$268,0),10),C380="G",INDEX(G!$A$2:$Q$78,MATCH($A380,G!$A$2:$A$78,0),16),C380="F",INDEX(F!$A$2:$K$494,MATCH($A380,F!$A$2:$A$494,0),10))</f>
        <v>57</v>
      </c>
      <c r="G380" t="str">
        <f>_xlfn.CONCAT(C380,Table16[[#This Row],[Pos Rank2]])</f>
        <v>RW57</v>
      </c>
      <c r="H380" s="10">
        <f>MAX(_xlfn.IFNA(INDEX(Proj[],MATCH(Table16[[#This Row],[Player]],Proj[Player],0),29),-5000), _xlfn.IFNA(INDEX(Goalie[],MATCH(Table16[[#This Row],[Player]],Goalie[player],0),19),-5000))</f>
        <v>240.43819922455492</v>
      </c>
      <c r="I380" t="str">
        <f>IF(_xlfn.IFNA(INDEX(Proj[],MATCH(Table16[[#This Row],[Player]],Proj[Player],0),31),INDEX(Goalie[],MATCH(Table16[[#This Row],[Player]],Goalie[player],0),20)) = 0, "",_xlfn.IFNA(INDEX(Proj[],MATCH(Table16[[#This Row],[Player]],Proj[Player],0),31),INDEX(Goalie[],MATCH(Table16[[#This Row],[Player]],Goalie[player],0),20)))</f>
        <v/>
      </c>
    </row>
    <row r="381" spans="1:9" x14ac:dyDescent="0.25">
      <c r="A381" t="s">
        <v>508</v>
      </c>
      <c r="B381" s="2" t="s">
        <v>3</v>
      </c>
      <c r="C381" t="str">
        <f t="shared" si="5"/>
        <v>D</v>
      </c>
      <c r="D381" s="10">
        <f>MAX(_xlfn.IFNA(INDEX(Proj[],MATCH(Table16[[#This Row],[Player]],Proj[Player],0),27),-5000), _xlfn.IFNA(INDEX(Goalie[],MATCH(Table16[[#This Row],[Player]],Goalie[player],0),17),-5000))</f>
        <v>-299.20023657254671</v>
      </c>
      <c r="E381">
        <f>_xlfn.RANK.EQ(Table16[[#This Row],[VOR]],Table16[VOR])</f>
        <v>359</v>
      </c>
      <c r="F381" cm="1">
        <f t="array" ref="F381">_xlfn.IFS(C381 = "C",INDEX('C'!$A$2:$L$254,MATCH($A381,'C'!$A$2:$A$254,0),10),C381 = "LW",INDEX(LW!$A$2:$K$180,MATCH($A381,LW!$A$2:$A$180,0),10),C381 = "RW",INDEX('RW'!$A$2:$L$164,MATCH($A381,'RW'!$A$2:$A$164,0),10), C381 = "D",INDEX(D!$A$2:$L$268,MATCH($A381,D!$A$2:$A$268,0),10),C381="G",INDEX(G!$A$2:$Q$78,MATCH($A381,G!$A$2:$A$78,0),16),C381="F",INDEX(F!$A$2:$K$494,MATCH($A381,F!$A$2:$A$494,0),10))</f>
        <v>136</v>
      </c>
      <c r="G381" t="str">
        <f>_xlfn.CONCAT(C381,Table16[[#This Row],[Pos Rank2]])</f>
        <v>D136</v>
      </c>
      <c r="H381" s="10">
        <f>MAX(_xlfn.IFNA(INDEX(Proj[],MATCH(Table16[[#This Row],[Player]],Proj[Player],0),29),-5000), _xlfn.IFNA(INDEX(Goalie[],MATCH(Table16[[#This Row],[Player]],Goalie[player],0),19),-5000))</f>
        <v>-191.83546885308226</v>
      </c>
      <c r="I381" t="str">
        <f>IF(_xlfn.IFNA(INDEX(Proj[],MATCH(Table16[[#This Row],[Player]],Proj[Player],0),31),INDEX(Goalie[],MATCH(Table16[[#This Row],[Player]],Goalie[player],0),20)) = 0, "",_xlfn.IFNA(INDEX(Proj[],MATCH(Table16[[#This Row],[Player]],Proj[Player],0),31),INDEX(Goalie[],MATCH(Table16[[#This Row],[Player]],Goalie[player],0),20)))</f>
        <v/>
      </c>
    </row>
    <row r="382" spans="1:9" x14ac:dyDescent="0.25">
      <c r="A382" t="s">
        <v>503</v>
      </c>
      <c r="B382" s="2" t="s">
        <v>3</v>
      </c>
      <c r="C382" t="str">
        <f t="shared" si="5"/>
        <v>D</v>
      </c>
      <c r="D382" s="10">
        <f>MAX(_xlfn.IFNA(INDEX(Proj[],MATCH(Table16[[#This Row],[Player]],Proj[Player],0),27),-5000), _xlfn.IFNA(INDEX(Goalie[],MATCH(Table16[[#This Row],[Player]],Goalie[player],0),17),-5000))</f>
        <v>-299.56967405460546</v>
      </c>
      <c r="E382">
        <f>_xlfn.RANK.EQ(Table16[[#This Row],[VOR]],Table16[VOR])</f>
        <v>360</v>
      </c>
      <c r="F382" cm="1">
        <f t="array" ref="F382">_xlfn.IFS(C382 = "C",INDEX('C'!$A$2:$L$254,MATCH($A382,'C'!$A$2:$A$254,0),10),C382 = "LW",INDEX(LW!$A$2:$K$180,MATCH($A382,LW!$A$2:$A$180,0),10),C382 = "RW",INDEX('RW'!$A$2:$L$164,MATCH($A382,'RW'!$A$2:$A$164,0),10), C382 = "D",INDEX(D!$A$2:$L$268,MATCH($A382,D!$A$2:$A$268,0),10),C382="G",INDEX(G!$A$2:$Q$78,MATCH($A382,G!$A$2:$A$78,0),16),C382="F",INDEX(F!$A$2:$K$494,MATCH($A382,F!$A$2:$A$494,0),10))</f>
        <v>137</v>
      </c>
      <c r="G382" t="str">
        <f>_xlfn.CONCAT(C382,Table16[[#This Row],[Pos Rank2]])</f>
        <v>D137</v>
      </c>
      <c r="H382" s="10">
        <f>MAX(_xlfn.IFNA(INDEX(Proj[],MATCH(Table16[[#This Row],[Player]],Proj[Player],0),29),-5000), _xlfn.IFNA(INDEX(Goalie[],MATCH(Table16[[#This Row],[Player]],Goalie[player],0),19),-5000))</f>
        <v>-192.20490633514095</v>
      </c>
      <c r="I382" t="str">
        <f>IF(_xlfn.IFNA(INDEX(Proj[],MATCH(Table16[[#This Row],[Player]],Proj[Player],0),31),INDEX(Goalie[],MATCH(Table16[[#This Row],[Player]],Goalie[player],0),20)) = 0, "",_xlfn.IFNA(INDEX(Proj[],MATCH(Table16[[#This Row],[Player]],Proj[Player],0),31),INDEX(Goalie[],MATCH(Table16[[#This Row],[Player]],Goalie[player],0),20)))</f>
        <v/>
      </c>
    </row>
    <row r="383" spans="1:9" x14ac:dyDescent="0.25">
      <c r="A383" t="s">
        <v>541</v>
      </c>
      <c r="B383" s="2" t="s">
        <v>3</v>
      </c>
      <c r="C383" t="str">
        <f t="shared" si="5"/>
        <v>D</v>
      </c>
      <c r="D383" s="10">
        <f>MAX(_xlfn.IFNA(INDEX(Proj[],MATCH(Table16[[#This Row],[Player]],Proj[Player],0),27),-5000), _xlfn.IFNA(INDEX(Goalie[],MATCH(Table16[[#This Row],[Player]],Goalie[player],0),17),-5000))</f>
        <v>-300.72097816245412</v>
      </c>
      <c r="E383">
        <f>_xlfn.RANK.EQ(Table16[[#This Row],[VOR]],Table16[VOR])</f>
        <v>361</v>
      </c>
      <c r="F383" cm="1">
        <f t="array" ref="F383">_xlfn.IFS(C383 = "C",INDEX('C'!$A$2:$L$254,MATCH($A383,'C'!$A$2:$A$254,0),10),C383 = "LW",INDEX(LW!$A$2:$K$180,MATCH($A383,LW!$A$2:$A$180,0),10),C383 = "RW",INDEX('RW'!$A$2:$L$164,MATCH($A383,'RW'!$A$2:$A$164,0),10), C383 = "D",INDEX(D!$A$2:$L$268,MATCH($A383,D!$A$2:$A$268,0),10),C383="G",INDEX(G!$A$2:$Q$78,MATCH($A383,G!$A$2:$A$78,0),16),C383="F",INDEX(F!$A$2:$K$494,MATCH($A383,F!$A$2:$A$494,0),10))</f>
        <v>138</v>
      </c>
      <c r="G383" t="str">
        <f>_xlfn.CONCAT(C383,Table16[[#This Row],[Pos Rank2]])</f>
        <v>D138</v>
      </c>
      <c r="H383" s="10">
        <f>MAX(_xlfn.IFNA(INDEX(Proj[],MATCH(Table16[[#This Row],[Player]],Proj[Player],0),29),-5000), _xlfn.IFNA(INDEX(Goalie[],MATCH(Table16[[#This Row],[Player]],Goalie[player],0),19),-5000))</f>
        <v>-193.35621044298966</v>
      </c>
      <c r="I383" t="str">
        <f>IF(_xlfn.IFNA(INDEX(Proj[],MATCH(Table16[[#This Row],[Player]],Proj[Player],0),31),INDEX(Goalie[],MATCH(Table16[[#This Row],[Player]],Goalie[player],0),20)) = 0, "",_xlfn.IFNA(INDEX(Proj[],MATCH(Table16[[#This Row],[Player]],Proj[Player],0),31),INDEX(Goalie[],MATCH(Table16[[#This Row],[Player]],Goalie[player],0),20)))</f>
        <v/>
      </c>
    </row>
    <row r="384" spans="1:9" x14ac:dyDescent="0.25">
      <c r="A384" t="s">
        <v>1100</v>
      </c>
      <c r="B384" s="2" t="s">
        <v>157</v>
      </c>
      <c r="C384" t="str">
        <f t="shared" si="5"/>
        <v>G</v>
      </c>
      <c r="D384" s="10">
        <f>MAX(_xlfn.IFNA(INDEX(Proj[],MATCH(Table16[[#This Row],[Player]],Proj[Player],0),27),-5000), _xlfn.IFNA(INDEX(Goalie[],MATCH(Table16[[#This Row],[Player]],Goalie[player],0),17),-5000))</f>
        <v>-335.25587637214466</v>
      </c>
      <c r="E384">
        <f>_xlfn.RANK.EQ(Table16[[#This Row],[VOR]],Table16[VOR])</f>
        <v>386</v>
      </c>
      <c r="F384" cm="1">
        <f t="array" ref="F384">_xlfn.IFS(C384 = "C",INDEX('C'!$A$2:$L$254,MATCH($A384,'C'!$A$2:$A$254,0),10),C384 = "LW",INDEX(LW!$A$2:$K$180,MATCH($A384,LW!$A$2:$A$180,0),10),C384 = "RW",INDEX('RW'!$A$2:$L$164,MATCH($A384,'RW'!$A$2:$A$164,0),10), C384 = "D",INDEX(D!$A$2:$L$268,MATCH($A384,D!$A$2:$A$268,0),10),C384="G",INDEX(G!$A$2:$Q$78,MATCH($A384,G!$A$2:$A$78,0),16),C384="F",INDEX(F!$A$2:$K$494,MATCH($A384,F!$A$2:$A$494,0),10))</f>
        <v>56</v>
      </c>
      <c r="G384" t="str">
        <f>_xlfn.CONCAT(C384,Table16[[#This Row],[Pos Rank2]])</f>
        <v>G56</v>
      </c>
      <c r="H384" s="10">
        <f>MAX(_xlfn.IFNA(INDEX(Proj[],MATCH(Table16[[#This Row],[Player]],Proj[Player],0),29),-5000), _xlfn.IFNA(INDEX(Goalie[],MATCH(Table16[[#This Row],[Player]],Goalie[player],0),19),-5000))</f>
        <v>389.93529999999993</v>
      </c>
      <c r="I384" t="str">
        <f>IF(_xlfn.IFNA(INDEX(Proj[],MATCH(Table16[[#This Row],[Player]],Proj[Player],0),31),INDEX(Goalie[],MATCH(Table16[[#This Row],[Player]],Goalie[player],0),20)) = 0, "",_xlfn.IFNA(INDEX(Proj[],MATCH(Table16[[#This Row],[Player]],Proj[Player],0),31),INDEX(Goalie[],MATCH(Table16[[#This Row],[Player]],Goalie[player],0),20)))</f>
        <v/>
      </c>
    </row>
    <row r="385" spans="1:9" x14ac:dyDescent="0.25">
      <c r="A385" t="s">
        <v>582</v>
      </c>
      <c r="B385" s="2" t="s">
        <v>3</v>
      </c>
      <c r="C385" t="str">
        <f t="shared" si="5"/>
        <v>D</v>
      </c>
      <c r="D385" s="10">
        <f>MAX(_xlfn.IFNA(INDEX(Proj[],MATCH(Table16[[#This Row],[Player]],Proj[Player],0),27),-5000), _xlfn.IFNA(INDEX(Goalie[],MATCH(Table16[[#This Row],[Player]],Goalie[player],0),17),-5000))</f>
        <v>-305.39020875724486</v>
      </c>
      <c r="E385">
        <f>_xlfn.RANK.EQ(Table16[[#This Row],[VOR]],Table16[VOR])</f>
        <v>365</v>
      </c>
      <c r="F385" cm="1">
        <f t="array" ref="F385">_xlfn.IFS(C385 = "C",INDEX('C'!$A$2:$L$254,MATCH($A385,'C'!$A$2:$A$254,0),10),C385 = "LW",INDEX(LW!$A$2:$K$180,MATCH($A385,LW!$A$2:$A$180,0),10),C385 = "RW",INDEX('RW'!$A$2:$L$164,MATCH($A385,'RW'!$A$2:$A$164,0),10), C385 = "D",INDEX(D!$A$2:$L$268,MATCH($A385,D!$A$2:$A$268,0),10),C385="G",INDEX(G!$A$2:$Q$78,MATCH($A385,G!$A$2:$A$78,0),16),C385="F",INDEX(F!$A$2:$K$494,MATCH($A385,F!$A$2:$A$494,0),10))</f>
        <v>141</v>
      </c>
      <c r="G385" t="str">
        <f>_xlfn.CONCAT(C385,Table16[[#This Row],[Pos Rank2]])</f>
        <v>D141</v>
      </c>
      <c r="H385" s="10">
        <f>MAX(_xlfn.IFNA(INDEX(Proj[],MATCH(Table16[[#This Row],[Player]],Proj[Player],0),29),-5000), _xlfn.IFNA(INDEX(Goalie[],MATCH(Table16[[#This Row],[Player]],Goalie[player],0),19),-5000))</f>
        <v>-198.02544103778038</v>
      </c>
      <c r="I385" t="str">
        <f>IF(_xlfn.IFNA(INDEX(Proj[],MATCH(Table16[[#This Row],[Player]],Proj[Player],0),31),INDEX(Goalie[],MATCH(Table16[[#This Row],[Player]],Goalie[player],0),20)) = 0, "",_xlfn.IFNA(INDEX(Proj[],MATCH(Table16[[#This Row],[Player]],Proj[Player],0),31),INDEX(Goalie[],MATCH(Table16[[#This Row],[Player]],Goalie[player],0),20)))</f>
        <v/>
      </c>
    </row>
    <row r="386" spans="1:9" x14ac:dyDescent="0.25">
      <c r="A386" t="s">
        <v>570</v>
      </c>
      <c r="B386" s="2" t="s">
        <v>3</v>
      </c>
      <c r="C386" t="str">
        <f t="shared" ref="C386:C449" si="6">SUBSTITUTE(SUBSTITUTE(B386,"C,",""),"LW,","")</f>
        <v>D</v>
      </c>
      <c r="D386" s="10">
        <f>MAX(_xlfn.IFNA(INDEX(Proj[],MATCH(Table16[[#This Row],[Player]],Proj[Player],0),27),-5000), _xlfn.IFNA(INDEX(Goalie[],MATCH(Table16[[#This Row],[Player]],Goalie[player],0),17),-5000))</f>
        <v>-305.7729348830203</v>
      </c>
      <c r="E386">
        <f>_xlfn.RANK.EQ(Table16[[#This Row],[VOR]],Table16[VOR])</f>
        <v>366</v>
      </c>
      <c r="F386" cm="1">
        <f t="array" ref="F386">_xlfn.IFS(C386 = "C",INDEX('C'!$A$2:$L$254,MATCH($A386,'C'!$A$2:$A$254,0),10),C386 = "LW",INDEX(LW!$A$2:$K$180,MATCH($A386,LW!$A$2:$A$180,0),10),C386 = "RW",INDEX('RW'!$A$2:$L$164,MATCH($A386,'RW'!$A$2:$A$164,0),10), C386 = "D",INDEX(D!$A$2:$L$268,MATCH($A386,D!$A$2:$A$268,0),10),C386="G",INDEX(G!$A$2:$Q$78,MATCH($A386,G!$A$2:$A$78,0),16),C386="F",INDEX(F!$A$2:$K$494,MATCH($A386,F!$A$2:$A$494,0),10))</f>
        <v>142</v>
      </c>
      <c r="G386" t="str">
        <f>_xlfn.CONCAT(C386,Table16[[#This Row],[Pos Rank2]])</f>
        <v>D142</v>
      </c>
      <c r="H386" s="10">
        <f>MAX(_xlfn.IFNA(INDEX(Proj[],MATCH(Table16[[#This Row],[Player]],Proj[Player],0),29),-5000), _xlfn.IFNA(INDEX(Goalie[],MATCH(Table16[[#This Row],[Player]],Goalie[player],0),19),-5000))</f>
        <v>-198.40816716355585</v>
      </c>
      <c r="I386" t="str">
        <f>IF(_xlfn.IFNA(INDEX(Proj[],MATCH(Table16[[#This Row],[Player]],Proj[Player],0),31),INDEX(Goalie[],MATCH(Table16[[#This Row],[Player]],Goalie[player],0),20)) = 0, "",_xlfn.IFNA(INDEX(Proj[],MATCH(Table16[[#This Row],[Player]],Proj[Player],0),31),INDEX(Goalie[],MATCH(Table16[[#This Row],[Player]],Goalie[player],0),20)))</f>
        <v/>
      </c>
    </row>
    <row r="387" spans="1:9" x14ac:dyDescent="0.25">
      <c r="A387" t="s">
        <v>316</v>
      </c>
      <c r="B387" s="2" t="s">
        <v>3</v>
      </c>
      <c r="C387" t="str">
        <f t="shared" si="6"/>
        <v>D</v>
      </c>
      <c r="D387" s="10">
        <f>MAX(_xlfn.IFNA(INDEX(Proj[],MATCH(Table16[[#This Row],[Player]],Proj[Player],0),27),-5000), _xlfn.IFNA(INDEX(Goalie[],MATCH(Table16[[#This Row],[Player]],Goalie[player],0),17),-5000))</f>
        <v>-308.72320297512647</v>
      </c>
      <c r="E387">
        <f>_xlfn.RANK.EQ(Table16[[#This Row],[VOR]],Table16[VOR])</f>
        <v>369</v>
      </c>
      <c r="F387" cm="1">
        <f t="array" ref="F387">_xlfn.IFS(C387 = "C",INDEX('C'!$A$2:$L$254,MATCH($A387,'C'!$A$2:$A$254,0),10),C387 = "LW",INDEX(LW!$A$2:$K$180,MATCH($A387,LW!$A$2:$A$180,0),10),C387 = "RW",INDEX('RW'!$A$2:$L$164,MATCH($A387,'RW'!$A$2:$A$164,0),10), C387 = "D",INDEX(D!$A$2:$L$268,MATCH($A387,D!$A$2:$A$268,0),10),C387="G",INDEX(G!$A$2:$Q$78,MATCH($A387,G!$A$2:$A$78,0),16),C387="F",INDEX(F!$A$2:$K$494,MATCH($A387,F!$A$2:$A$494,0),10))</f>
        <v>145</v>
      </c>
      <c r="G387" t="str">
        <f>_xlfn.CONCAT(C387,Table16[[#This Row],[Pos Rank2]])</f>
        <v>D145</v>
      </c>
      <c r="H387" s="10">
        <f>MAX(_xlfn.IFNA(INDEX(Proj[],MATCH(Table16[[#This Row],[Player]],Proj[Player],0),29),-5000), _xlfn.IFNA(INDEX(Goalie[],MATCH(Table16[[#This Row],[Player]],Goalie[player],0),19),-5000))</f>
        <v>-201.35843525566196</v>
      </c>
      <c r="I387" t="str">
        <f>IF(_xlfn.IFNA(INDEX(Proj[],MATCH(Table16[[#This Row],[Player]],Proj[Player],0),31),INDEX(Goalie[],MATCH(Table16[[#This Row],[Player]],Goalie[player],0),20)) = 0, "",_xlfn.IFNA(INDEX(Proj[],MATCH(Table16[[#This Row],[Player]],Proj[Player],0),31),INDEX(Goalie[],MATCH(Table16[[#This Row],[Player]],Goalie[player],0),20)))</f>
        <v/>
      </c>
    </row>
    <row r="388" spans="1:9" x14ac:dyDescent="0.25">
      <c r="A388" t="s">
        <v>558</v>
      </c>
      <c r="B388" s="2" t="s">
        <v>102</v>
      </c>
      <c r="C388" t="str">
        <f t="shared" si="6"/>
        <v>LW</v>
      </c>
      <c r="D388" s="10">
        <f>MAX(_xlfn.IFNA(INDEX(Proj[],MATCH(Table16[[#This Row],[Player]],Proj[Player],0),27),-5000), _xlfn.IFNA(INDEX(Goalie[],MATCH(Table16[[#This Row],[Player]],Goalie[player],0),17),-5000))</f>
        <v>-370.05581091522396</v>
      </c>
      <c r="E388">
        <f>_xlfn.RANK.EQ(Table16[[#This Row],[VOR]],Table16[VOR])</f>
        <v>415</v>
      </c>
      <c r="F388" cm="1">
        <f t="array" ref="F388">_xlfn.IFS(C388 = "C",INDEX('C'!$A$2:$L$254,MATCH($A388,'C'!$A$2:$A$254,0),10),C388 = "LW",INDEX(LW!$A$2:$K$180,MATCH($A388,LW!$A$2:$A$180,0),10),C388 = "RW",INDEX('RW'!$A$2:$L$164,MATCH($A388,'RW'!$A$2:$A$164,0),10), C388 = "D",INDEX(D!$A$2:$L$268,MATCH($A388,D!$A$2:$A$268,0),10),C388="G",INDEX(G!$A$2:$Q$78,MATCH($A388,G!$A$2:$A$78,0),16),C388="F",INDEX(F!$A$2:$K$494,MATCH($A388,F!$A$2:$A$494,0),10))</f>
        <v>92</v>
      </c>
      <c r="G388" t="str">
        <f>_xlfn.CONCAT(C388,Table16[[#This Row],[Pos Rank2]])</f>
        <v>LW92</v>
      </c>
      <c r="H388" s="10">
        <f>MAX(_xlfn.IFNA(INDEX(Proj[],MATCH(Table16[[#This Row],[Player]],Proj[Player],0),29),-5000), _xlfn.IFNA(INDEX(Goalie[],MATCH(Table16[[#This Row],[Player]],Goalie[player],0),19),-5000))</f>
        <v>101.48891347502489</v>
      </c>
      <c r="I388" t="str">
        <f>IF(_xlfn.IFNA(INDEX(Proj[],MATCH(Table16[[#This Row],[Player]],Proj[Player],0),31),INDEX(Goalie[],MATCH(Table16[[#This Row],[Player]],Goalie[player],0),20)) = 0, "",_xlfn.IFNA(INDEX(Proj[],MATCH(Table16[[#This Row],[Player]],Proj[Player],0),31),INDEX(Goalie[],MATCH(Table16[[#This Row],[Player]],Goalie[player],0),20)))</f>
        <v/>
      </c>
    </row>
    <row r="389" spans="1:9" x14ac:dyDescent="0.25">
      <c r="A389" t="s">
        <v>381</v>
      </c>
      <c r="B389" s="2" t="s">
        <v>3</v>
      </c>
      <c r="C389" t="str">
        <f t="shared" si="6"/>
        <v>D</v>
      </c>
      <c r="D389" s="10">
        <f>MAX(_xlfn.IFNA(INDEX(Proj[],MATCH(Table16[[#This Row],[Player]],Proj[Player],0),27),-5000), _xlfn.IFNA(INDEX(Goalie[],MATCH(Table16[[#This Row],[Player]],Goalie[player],0),17),-5000))</f>
        <v>-309.28383538105993</v>
      </c>
      <c r="E389">
        <f>_xlfn.RANK.EQ(Table16[[#This Row],[VOR]],Table16[VOR])</f>
        <v>371</v>
      </c>
      <c r="F389" cm="1">
        <f t="array" ref="F389">_xlfn.IFS(C389 = "C",INDEX('C'!$A$2:$L$254,MATCH($A389,'C'!$A$2:$A$254,0),10),C389 = "LW",INDEX(LW!$A$2:$K$180,MATCH($A389,LW!$A$2:$A$180,0),10),C389 = "RW",INDEX('RW'!$A$2:$L$164,MATCH($A389,'RW'!$A$2:$A$164,0),10), C389 = "D",INDEX(D!$A$2:$L$268,MATCH($A389,D!$A$2:$A$268,0),10),C389="G",INDEX(G!$A$2:$Q$78,MATCH($A389,G!$A$2:$A$78,0),16),C389="F",INDEX(F!$A$2:$K$494,MATCH($A389,F!$A$2:$A$494,0),10))</f>
        <v>146</v>
      </c>
      <c r="G389" t="str">
        <f>_xlfn.CONCAT(C389,Table16[[#This Row],[Pos Rank2]])</f>
        <v>D146</v>
      </c>
      <c r="H389" s="10">
        <f>MAX(_xlfn.IFNA(INDEX(Proj[],MATCH(Table16[[#This Row],[Player]],Proj[Player],0),29),-5000), _xlfn.IFNA(INDEX(Goalie[],MATCH(Table16[[#This Row],[Player]],Goalie[player],0),19),-5000))</f>
        <v>-201.91906766159545</v>
      </c>
      <c r="I389" t="str">
        <f>IF(_xlfn.IFNA(INDEX(Proj[],MATCH(Table16[[#This Row],[Player]],Proj[Player],0),31),INDEX(Goalie[],MATCH(Table16[[#This Row],[Player]],Goalie[player],0),20)) = 0, "",_xlfn.IFNA(INDEX(Proj[],MATCH(Table16[[#This Row],[Player]],Proj[Player],0),31),INDEX(Goalie[],MATCH(Table16[[#This Row],[Player]],Goalie[player],0),20)))</f>
        <v/>
      </c>
    </row>
    <row r="390" spans="1:9" x14ac:dyDescent="0.25">
      <c r="A390" t="s">
        <v>585</v>
      </c>
      <c r="B390" s="2" t="s">
        <v>74</v>
      </c>
      <c r="C390" t="str">
        <f t="shared" si="6"/>
        <v>C</v>
      </c>
      <c r="D390" s="10">
        <f>MAX(_xlfn.IFNA(INDEX(Proj[],MATCH(Table16[[#This Row],[Player]],Proj[Player],0),27),-5000), _xlfn.IFNA(INDEX(Goalie[],MATCH(Table16[[#This Row],[Player]],Goalie[player],0),17),-5000))</f>
        <v>-515.9837573560377</v>
      </c>
      <c r="E390">
        <f>_xlfn.RANK.EQ(Table16[[#This Row],[VOR]],Table16[VOR])</f>
        <v>498</v>
      </c>
      <c r="F390" cm="1">
        <f t="array" ref="F390">_xlfn.IFS(C390 = "C",INDEX('C'!$A$2:$L$254,MATCH($A390,'C'!$A$2:$A$254,0),10),C390 = "LW",INDEX(LW!$A$2:$K$180,MATCH($A390,LW!$A$2:$A$180,0),10),C390 = "RW",INDEX('RW'!$A$2:$L$164,MATCH($A390,'RW'!$A$2:$A$164,0),10), C390 = "D",INDEX(D!$A$2:$L$268,MATCH($A390,D!$A$2:$A$268,0),10),C390="G",INDEX(G!$A$2:$Q$78,MATCH($A390,G!$A$2:$A$78,0),16),C390="F",INDEX(F!$A$2:$K$494,MATCH($A390,F!$A$2:$A$494,0),10))</f>
        <v>113</v>
      </c>
      <c r="G390" t="str">
        <f>_xlfn.CONCAT(C390,Table16[[#This Row],[Pos Rank2]])</f>
        <v>C113</v>
      </c>
      <c r="H390" s="10">
        <f>MAX(_xlfn.IFNA(INDEX(Proj[],MATCH(Table16[[#This Row],[Player]],Proj[Player],0),29),-5000), _xlfn.IFNA(INDEX(Goalie[],MATCH(Table16[[#This Row],[Player]],Goalie[player],0),19),-5000))</f>
        <v>218.65009695426093</v>
      </c>
      <c r="I390" t="str">
        <f>IF(_xlfn.IFNA(INDEX(Proj[],MATCH(Table16[[#This Row],[Player]],Proj[Player],0),31),INDEX(Goalie[],MATCH(Table16[[#This Row],[Player]],Goalie[player],0),20)) = 0, "",_xlfn.IFNA(INDEX(Proj[],MATCH(Table16[[#This Row],[Player]],Proj[Player],0),31),INDEX(Goalie[],MATCH(Table16[[#This Row],[Player]],Goalie[player],0),20)))</f>
        <v/>
      </c>
    </row>
    <row r="391" spans="1:9" x14ac:dyDescent="0.25">
      <c r="A391" t="s">
        <v>1215</v>
      </c>
      <c r="B391" s="2" t="s">
        <v>103</v>
      </c>
      <c r="C391" t="str">
        <f t="shared" si="6"/>
        <v>RW</v>
      </c>
      <c r="D391" s="10">
        <f>MAX(_xlfn.IFNA(INDEX(Proj[],MATCH(Table16[[#This Row],[Player]],Proj[Player],0),27),-5000), _xlfn.IFNA(INDEX(Goalie[],MATCH(Table16[[#This Row],[Player]],Goalie[player],0),17),-5000))</f>
        <v>-364.27625719800102</v>
      </c>
      <c r="E391">
        <f>_xlfn.RANK.EQ(Table16[[#This Row],[VOR]],Table16[VOR])</f>
        <v>411</v>
      </c>
      <c r="F391" cm="1">
        <f t="array" ref="F391">_xlfn.IFS(C391 = "C",INDEX('C'!$A$2:$L$254,MATCH($A391,'C'!$A$2:$A$254,0),10),C391 = "LW",INDEX(LW!$A$2:$K$180,MATCH($A391,LW!$A$2:$A$180,0),10),C391 = "RW",INDEX('RW'!$A$2:$L$164,MATCH($A391,'RW'!$A$2:$A$164,0),10), C391 = "D",INDEX(D!$A$2:$L$268,MATCH($A391,D!$A$2:$A$268,0),10),C391="G",INDEX(G!$A$2:$Q$78,MATCH($A391,G!$A$2:$A$78,0),16),C391="F",INDEX(F!$A$2:$K$494,MATCH($A391,F!$A$2:$A$494,0),10))</f>
        <v>83</v>
      </c>
      <c r="G391" t="str">
        <f>_xlfn.CONCAT(C391,Table16[[#This Row],[Pos Rank2]])</f>
        <v>RW83</v>
      </c>
      <c r="H391" s="10">
        <f>MAX(_xlfn.IFNA(INDEX(Proj[],MATCH(Table16[[#This Row],[Player]],Proj[Player],0),29),-5000), _xlfn.IFNA(INDEX(Goalie[],MATCH(Table16[[#This Row],[Player]],Goalie[player],0),19),-5000))</f>
        <v>82.268467192247826</v>
      </c>
      <c r="I391" t="str">
        <f>IF(_xlfn.IFNA(INDEX(Proj[],MATCH(Table16[[#This Row],[Player]],Proj[Player],0),31),INDEX(Goalie[],MATCH(Table16[[#This Row],[Player]],Goalie[player],0),20)) = 0, "",_xlfn.IFNA(INDEX(Proj[],MATCH(Table16[[#This Row],[Player]],Proj[Player],0),31),INDEX(Goalie[],MATCH(Table16[[#This Row],[Player]],Goalie[player],0),20)))</f>
        <v/>
      </c>
    </row>
    <row r="392" spans="1:9" x14ac:dyDescent="0.25">
      <c r="A392" t="s">
        <v>972</v>
      </c>
      <c r="B392" s="2" t="s">
        <v>3</v>
      </c>
      <c r="C392" t="str">
        <f t="shared" si="6"/>
        <v>D</v>
      </c>
      <c r="D392" s="10">
        <f>MAX(_xlfn.IFNA(INDEX(Proj[],MATCH(Table16[[#This Row],[Player]],Proj[Player],0),27),-5000), _xlfn.IFNA(INDEX(Goalie[],MATCH(Table16[[#This Row],[Player]],Goalie[player],0),17),-5000))</f>
        <v>-302.52062216103263</v>
      </c>
      <c r="E392">
        <f>_xlfn.RANK.EQ(Table16[[#This Row],[VOR]],Table16[VOR])</f>
        <v>362</v>
      </c>
      <c r="F392" cm="1">
        <f t="array" ref="F392">_xlfn.IFS(C392 = "C",INDEX('C'!$A$2:$L$254,MATCH($A392,'C'!$A$2:$A$254,0),10),C392 = "LW",INDEX(LW!$A$2:$K$180,MATCH($A392,LW!$A$2:$A$180,0),10),C392 = "RW",INDEX('RW'!$A$2:$L$164,MATCH($A392,'RW'!$A$2:$A$164,0),10), C392 = "D",INDEX(D!$A$2:$L$268,MATCH($A392,D!$A$2:$A$268,0),10),C392="G",INDEX(G!$A$2:$Q$78,MATCH($A392,G!$A$2:$A$78,0),16),C392="F",INDEX(F!$A$2:$K$494,MATCH($A392,F!$A$2:$A$494,0),10))</f>
        <v>139</v>
      </c>
      <c r="G392" t="str">
        <f>_xlfn.CONCAT(C392,Table16[[#This Row],[Pos Rank2]])</f>
        <v>D139</v>
      </c>
      <c r="H392" s="10">
        <f>MAX(_xlfn.IFNA(INDEX(Proj[],MATCH(Table16[[#This Row],[Player]],Proj[Player],0),29),-5000), _xlfn.IFNA(INDEX(Goalie[],MATCH(Table16[[#This Row],[Player]],Goalie[player],0),19),-5000))</f>
        <v>-195.15585444156818</v>
      </c>
      <c r="I392" t="str">
        <f>IF(_xlfn.IFNA(INDEX(Proj[],MATCH(Table16[[#This Row],[Player]],Proj[Player],0),31),INDEX(Goalie[],MATCH(Table16[[#This Row],[Player]],Goalie[player],0),20)) = 0, "",_xlfn.IFNA(INDEX(Proj[],MATCH(Table16[[#This Row],[Player]],Proj[Player],0),31),INDEX(Goalie[],MATCH(Table16[[#This Row],[Player]],Goalie[player],0),20)))</f>
        <v/>
      </c>
    </row>
    <row r="393" spans="1:9" x14ac:dyDescent="0.25">
      <c r="A393" t="s">
        <v>1056</v>
      </c>
      <c r="B393" s="2" t="s">
        <v>3</v>
      </c>
      <c r="C393" t="str">
        <f t="shared" si="6"/>
        <v>D</v>
      </c>
      <c r="D393" s="10">
        <f>MAX(_xlfn.IFNA(INDEX(Proj[],MATCH(Table16[[#This Row],[Player]],Proj[Player],0),27),-5000), _xlfn.IFNA(INDEX(Goalie[],MATCH(Table16[[#This Row],[Player]],Goalie[player],0),17),-5000))</f>
        <v>-313.6887480424424</v>
      </c>
      <c r="E393">
        <f>_xlfn.RANK.EQ(Table16[[#This Row],[VOR]],Table16[VOR])</f>
        <v>372</v>
      </c>
      <c r="F393" cm="1">
        <f t="array" ref="F393">_xlfn.IFS(C393 = "C",INDEX('C'!$A$2:$L$254,MATCH($A393,'C'!$A$2:$A$254,0),10),C393 = "LW",INDEX(LW!$A$2:$K$180,MATCH($A393,LW!$A$2:$A$180,0),10),C393 = "RW",INDEX('RW'!$A$2:$L$164,MATCH($A393,'RW'!$A$2:$A$164,0),10), C393 = "D",INDEX(D!$A$2:$L$268,MATCH($A393,D!$A$2:$A$268,0),10),C393="G",INDEX(G!$A$2:$Q$78,MATCH($A393,G!$A$2:$A$78,0),16),C393="F",INDEX(F!$A$2:$K$494,MATCH($A393,F!$A$2:$A$494,0),10))</f>
        <v>147</v>
      </c>
      <c r="G393" t="str">
        <f>_xlfn.CONCAT(C393,Table16[[#This Row],[Pos Rank2]])</f>
        <v>D147</v>
      </c>
      <c r="H393" s="10">
        <f>MAX(_xlfn.IFNA(INDEX(Proj[],MATCH(Table16[[#This Row],[Player]],Proj[Player],0),29),-5000), _xlfn.IFNA(INDEX(Goalie[],MATCH(Table16[[#This Row],[Player]],Goalie[player],0),19),-5000))</f>
        <v>-206.32398032297789</v>
      </c>
      <c r="I393" t="str">
        <f>IF(_xlfn.IFNA(INDEX(Proj[],MATCH(Table16[[#This Row],[Player]],Proj[Player],0),31),INDEX(Goalie[],MATCH(Table16[[#This Row],[Player]],Goalie[player],0),20)) = 0, "",_xlfn.IFNA(INDEX(Proj[],MATCH(Table16[[#This Row],[Player]],Proj[Player],0),31),INDEX(Goalie[],MATCH(Table16[[#This Row],[Player]],Goalie[player],0),20)))</f>
        <v/>
      </c>
    </row>
    <row r="394" spans="1:9" x14ac:dyDescent="0.25">
      <c r="A394" t="s">
        <v>853</v>
      </c>
      <c r="B394" s="2" t="s">
        <v>103</v>
      </c>
      <c r="C394" t="str">
        <f t="shared" si="6"/>
        <v>RW</v>
      </c>
      <c r="D394" s="10">
        <f>MAX(_xlfn.IFNA(INDEX(Proj[],MATCH(Table16[[#This Row],[Player]],Proj[Player],0),27),-5000), _xlfn.IFNA(INDEX(Goalie[],MATCH(Table16[[#This Row],[Player]],Goalie[player],0),17),-5000))</f>
        <v>-371.21086431869975</v>
      </c>
      <c r="E394">
        <f>_xlfn.RANK.EQ(Table16[[#This Row],[VOR]],Table16[VOR])</f>
        <v>417</v>
      </c>
      <c r="F394" cm="1">
        <f t="array" ref="F394">_xlfn.IFS(C394 = "C",INDEX('C'!$A$2:$L$254,MATCH($A394,'C'!$A$2:$A$254,0),10),C394 = "LW",INDEX(LW!$A$2:$K$180,MATCH($A394,LW!$A$2:$A$180,0),10),C394 = "RW",INDEX('RW'!$A$2:$L$164,MATCH($A394,'RW'!$A$2:$A$164,0),10), C394 = "D",INDEX(D!$A$2:$L$268,MATCH($A394,D!$A$2:$A$268,0),10),C394="G",INDEX(G!$A$2:$Q$78,MATCH($A394,G!$A$2:$A$78,0),16),C394="F",INDEX(F!$A$2:$K$494,MATCH($A394,F!$A$2:$A$494,0),10))</f>
        <v>84</v>
      </c>
      <c r="G394" t="str">
        <f>_xlfn.CONCAT(C394,Table16[[#This Row],[Pos Rank2]])</f>
        <v>RW84</v>
      </c>
      <c r="H394" s="10">
        <f>MAX(_xlfn.IFNA(INDEX(Proj[],MATCH(Table16[[#This Row],[Player]],Proj[Player],0),29),-5000), _xlfn.IFNA(INDEX(Goalie[],MATCH(Table16[[#This Row],[Player]],Goalie[player],0),19),-5000))</f>
        <v>75.333860071549125</v>
      </c>
      <c r="I394" t="str">
        <f>IF(_xlfn.IFNA(INDEX(Proj[],MATCH(Table16[[#This Row],[Player]],Proj[Player],0),31),INDEX(Goalie[],MATCH(Table16[[#This Row],[Player]],Goalie[player],0),20)) = 0, "",_xlfn.IFNA(INDEX(Proj[],MATCH(Table16[[#This Row],[Player]],Proj[Player],0),31),INDEX(Goalie[],MATCH(Table16[[#This Row],[Player]],Goalie[player],0),20)))</f>
        <v/>
      </c>
    </row>
    <row r="395" spans="1:9" x14ac:dyDescent="0.25">
      <c r="A395" t="s">
        <v>163</v>
      </c>
      <c r="B395" s="2" t="s">
        <v>157</v>
      </c>
      <c r="C395" t="str">
        <f t="shared" si="6"/>
        <v>G</v>
      </c>
      <c r="D395" s="10">
        <f>MAX(_xlfn.IFNA(INDEX(Proj[],MATCH(Table16[[#This Row],[Player]],Proj[Player],0),27),-5000), _xlfn.IFNA(INDEX(Goalie[],MATCH(Table16[[#This Row],[Player]],Goalie[player],0),17),-5000))</f>
        <v>-346.27399292603423</v>
      </c>
      <c r="E395">
        <f>_xlfn.RANK.EQ(Table16[[#This Row],[VOR]],Table16[VOR])</f>
        <v>400</v>
      </c>
      <c r="F395" cm="1">
        <f t="array" ref="F395">_xlfn.IFS(C395 = "C",INDEX('C'!$A$2:$L$254,MATCH($A395,'C'!$A$2:$A$254,0),10),C395 = "LW",INDEX(LW!$A$2:$K$180,MATCH($A395,LW!$A$2:$A$180,0),10),C395 = "RW",INDEX('RW'!$A$2:$L$164,MATCH($A395,'RW'!$A$2:$A$164,0),10), C395 = "D",INDEX(D!$A$2:$L$268,MATCH($A395,D!$A$2:$A$268,0),10),C395="G",INDEX(G!$A$2:$Q$78,MATCH($A395,G!$A$2:$A$78,0),16),C395="F",INDEX(F!$A$2:$K$494,MATCH($A395,F!$A$2:$A$494,0),10))</f>
        <v>57</v>
      </c>
      <c r="G395" t="str">
        <f>_xlfn.CONCAT(C395,Table16[[#This Row],[Pos Rank2]])</f>
        <v>G57</v>
      </c>
      <c r="H395" s="10">
        <f>MAX(_xlfn.IFNA(INDEX(Proj[],MATCH(Table16[[#This Row],[Player]],Proj[Player],0),29),-5000), _xlfn.IFNA(INDEX(Goalie[],MATCH(Table16[[#This Row],[Player]],Goalie[player],0),19),-5000))</f>
        <v>341.89649999999995</v>
      </c>
      <c r="I395" t="str">
        <f>IF(_xlfn.IFNA(INDEX(Proj[],MATCH(Table16[[#This Row],[Player]],Proj[Player],0),31),INDEX(Goalie[],MATCH(Table16[[#This Row],[Player]],Goalie[player],0),20)) = 0, "",_xlfn.IFNA(INDEX(Proj[],MATCH(Table16[[#This Row],[Player]],Proj[Player],0),31),INDEX(Goalie[],MATCH(Table16[[#This Row],[Player]],Goalie[player],0),20)))</f>
        <v/>
      </c>
    </row>
    <row r="396" spans="1:9" x14ac:dyDescent="0.25">
      <c r="A396" t="s">
        <v>854</v>
      </c>
      <c r="B396" s="2" t="s">
        <v>74</v>
      </c>
      <c r="C396" t="str">
        <f t="shared" si="6"/>
        <v>C</v>
      </c>
      <c r="D396" s="10">
        <f>MAX(_xlfn.IFNA(INDEX(Proj[],MATCH(Table16[[#This Row],[Player]],Proj[Player],0),27),-5000), _xlfn.IFNA(INDEX(Goalie[],MATCH(Table16[[#This Row],[Player]],Goalie[player],0),17),-5000))</f>
        <v>-416.63778733820965</v>
      </c>
      <c r="E396">
        <f>_xlfn.RANK.EQ(Table16[[#This Row],[VOR]],Table16[VOR])</f>
        <v>443</v>
      </c>
      <c r="F396" cm="1">
        <f t="array" ref="F396">_xlfn.IFS(C396 = "C",INDEX('C'!$A$2:$L$254,MATCH($A396,'C'!$A$2:$A$254,0),10),C396 = "LW",INDEX(LW!$A$2:$K$180,MATCH($A396,LW!$A$2:$A$180,0),10),C396 = "RW",INDEX('RW'!$A$2:$L$164,MATCH($A396,'RW'!$A$2:$A$164,0),10), C396 = "D",INDEX(D!$A$2:$L$268,MATCH($A396,D!$A$2:$A$268,0),10),C396="G",INDEX(G!$A$2:$Q$78,MATCH($A396,G!$A$2:$A$78,0),16),C396="F",INDEX(F!$A$2:$K$494,MATCH($A396,F!$A$2:$A$494,0),10))</f>
        <v>90</v>
      </c>
      <c r="G396" t="str">
        <f>_xlfn.CONCAT(C396,Table16[[#This Row],[Pos Rank2]])</f>
        <v>C90</v>
      </c>
      <c r="H396" s="10">
        <f>MAX(_xlfn.IFNA(INDEX(Proj[],MATCH(Table16[[#This Row],[Player]],Proj[Player],0),29),-5000), _xlfn.IFNA(INDEX(Goalie[],MATCH(Table16[[#This Row],[Player]],Goalie[player],0),19),-5000))</f>
        <v>317.99606697208895</v>
      </c>
      <c r="I396" t="str">
        <f>IF(_xlfn.IFNA(INDEX(Proj[],MATCH(Table16[[#This Row],[Player]],Proj[Player],0),31),INDEX(Goalie[],MATCH(Table16[[#This Row],[Player]],Goalie[player],0),20)) = 0, "",_xlfn.IFNA(INDEX(Proj[],MATCH(Table16[[#This Row],[Player]],Proj[Player],0),31),INDEX(Goalie[],MATCH(Table16[[#This Row],[Player]],Goalie[player],0),20)))</f>
        <v/>
      </c>
    </row>
    <row r="397" spans="1:9" x14ac:dyDescent="0.25">
      <c r="A397" t="s">
        <v>794</v>
      </c>
      <c r="B397" s="2" t="s">
        <v>103</v>
      </c>
      <c r="C397" t="str">
        <f t="shared" si="6"/>
        <v>RW</v>
      </c>
      <c r="D397" s="10">
        <f>MAX(_xlfn.IFNA(INDEX(Proj[],MATCH(Table16[[#This Row],[Player]],Proj[Player],0),27),-5000), _xlfn.IFNA(INDEX(Goalie[],MATCH(Table16[[#This Row],[Player]],Goalie[player],0),17),-5000))</f>
        <v>-30.593631479420765</v>
      </c>
      <c r="E397">
        <f>_xlfn.RANK.EQ(Table16[[#This Row],[VOR]],Table16[VOR])</f>
        <v>208</v>
      </c>
      <c r="F397" cm="1">
        <f t="array" ref="F397">_xlfn.IFS(C397 = "C",INDEX('C'!$A$2:$L$254,MATCH($A397,'C'!$A$2:$A$254,0),10),C397 = "LW",INDEX(LW!$A$2:$K$180,MATCH($A397,LW!$A$2:$A$180,0),10),C397 = "RW",INDEX('RW'!$A$2:$L$164,MATCH($A397,'RW'!$A$2:$A$164,0),10), C397 = "D",INDEX(D!$A$2:$L$268,MATCH($A397,D!$A$2:$A$268,0),10),C397="G",INDEX(G!$A$2:$Q$78,MATCH($A397,G!$A$2:$A$78,0),16),C397="F",INDEX(F!$A$2:$K$494,MATCH($A397,F!$A$2:$A$494,0),10))</f>
        <v>43</v>
      </c>
      <c r="G397" t="str">
        <f>_xlfn.CONCAT(C397,Table16[[#This Row],[Pos Rank2]])</f>
        <v>RW43</v>
      </c>
      <c r="H397" s="10">
        <f>MAX(_xlfn.IFNA(INDEX(Proj[],MATCH(Table16[[#This Row],[Player]],Proj[Player],0),29),-5000), _xlfn.IFNA(INDEX(Goalie[],MATCH(Table16[[#This Row],[Player]],Goalie[player],0),19),-5000))</f>
        <v>415.95109291082809</v>
      </c>
      <c r="I397" t="str">
        <f>IF(_xlfn.IFNA(INDEX(Proj[],MATCH(Table16[[#This Row],[Player]],Proj[Player],0),31),INDEX(Goalie[],MATCH(Table16[[#This Row],[Player]],Goalie[player],0),20)) = 0, "",_xlfn.IFNA(INDEX(Proj[],MATCH(Table16[[#This Row],[Player]],Proj[Player],0),31),INDEX(Goalie[],MATCH(Table16[[#This Row],[Player]],Goalie[player],0),20)))</f>
        <v/>
      </c>
    </row>
    <row r="398" spans="1:9" x14ac:dyDescent="0.25">
      <c r="A398" t="s">
        <v>537</v>
      </c>
      <c r="B398" s="2" t="s">
        <v>3</v>
      </c>
      <c r="C398" t="str">
        <f t="shared" si="6"/>
        <v>D</v>
      </c>
      <c r="D398" s="10">
        <f>MAX(_xlfn.IFNA(INDEX(Proj[],MATCH(Table16[[#This Row],[Player]],Proj[Player],0),27),-5000), _xlfn.IFNA(INDEX(Goalie[],MATCH(Table16[[#This Row],[Player]],Goalie[player],0),17),-5000))</f>
        <v>-320.15478013184338</v>
      </c>
      <c r="E398">
        <f>_xlfn.RANK.EQ(Table16[[#This Row],[VOR]],Table16[VOR])</f>
        <v>377</v>
      </c>
      <c r="F398" cm="1">
        <f t="array" ref="F398">_xlfn.IFS(C398 = "C",INDEX('C'!$A$2:$L$254,MATCH($A398,'C'!$A$2:$A$254,0),10),C398 = "LW",INDEX(LW!$A$2:$K$180,MATCH($A398,LW!$A$2:$A$180,0),10),C398 = "RW",INDEX('RW'!$A$2:$L$164,MATCH($A398,'RW'!$A$2:$A$164,0),10), C398 = "D",INDEX(D!$A$2:$L$268,MATCH($A398,D!$A$2:$A$268,0),10),C398="G",INDEX(G!$A$2:$Q$78,MATCH($A398,G!$A$2:$A$78,0),16),C398="F",INDEX(F!$A$2:$K$494,MATCH($A398,F!$A$2:$A$494,0),10))</f>
        <v>148</v>
      </c>
      <c r="G398" t="str">
        <f>_xlfn.CONCAT(C398,Table16[[#This Row],[Pos Rank2]])</f>
        <v>D148</v>
      </c>
      <c r="H398" s="10">
        <f>MAX(_xlfn.IFNA(INDEX(Proj[],MATCH(Table16[[#This Row],[Player]],Proj[Player],0),29),-5000), _xlfn.IFNA(INDEX(Goalie[],MATCH(Table16[[#This Row],[Player]],Goalie[player],0),19),-5000))</f>
        <v>-212.7900124123789</v>
      </c>
      <c r="I398" t="str">
        <f>IF(_xlfn.IFNA(INDEX(Proj[],MATCH(Table16[[#This Row],[Player]],Proj[Player],0),31),INDEX(Goalie[],MATCH(Table16[[#This Row],[Player]],Goalie[player],0),20)) = 0, "",_xlfn.IFNA(INDEX(Proj[],MATCH(Table16[[#This Row],[Player]],Proj[Player],0),31),INDEX(Goalie[],MATCH(Table16[[#This Row],[Player]],Goalie[player],0),20)))</f>
        <v/>
      </c>
    </row>
    <row r="399" spans="1:9" x14ac:dyDescent="0.25">
      <c r="A399" t="s">
        <v>502</v>
      </c>
      <c r="B399" s="2" t="s">
        <v>104</v>
      </c>
      <c r="C399" t="str">
        <f t="shared" si="6"/>
        <v>RW</v>
      </c>
      <c r="D399" s="10">
        <f>MAX(_xlfn.IFNA(INDEX(Proj[],MATCH(Table16[[#This Row],[Player]],Proj[Player],0),27),-5000), _xlfn.IFNA(INDEX(Goalie[],MATCH(Table16[[#This Row],[Player]],Goalie[player],0),17),-5000))</f>
        <v>-387.36897055738734</v>
      </c>
      <c r="E399">
        <f>_xlfn.RANK.EQ(Table16[[#This Row],[VOR]],Table16[VOR])</f>
        <v>427</v>
      </c>
      <c r="F399" cm="1">
        <f t="array" ref="F399">_xlfn.IFS(C399 = "C",INDEX('C'!$A$2:$L$254,MATCH($A399,'C'!$A$2:$A$254,0),10),C399 = "LW",INDEX(LW!$A$2:$K$180,MATCH($A399,LW!$A$2:$A$180,0),10),C399 = "RW",INDEX('RW'!$A$2:$L$164,MATCH($A399,'RW'!$A$2:$A$164,0),10), C399 = "D",INDEX(D!$A$2:$L$268,MATCH($A399,D!$A$2:$A$268,0),10),C399="G",INDEX(G!$A$2:$Q$78,MATCH($A399,G!$A$2:$A$78,0),16),C399="F",INDEX(F!$A$2:$K$494,MATCH($A399,F!$A$2:$A$494,0),10))</f>
        <v>87</v>
      </c>
      <c r="G399" t="str">
        <f>_xlfn.CONCAT(C399,Table16[[#This Row],[Pos Rank2]])</f>
        <v>RW87</v>
      </c>
      <c r="H399" s="10">
        <f>MAX(_xlfn.IFNA(INDEX(Proj[],MATCH(Table16[[#This Row],[Player]],Proj[Player],0),29),-5000), _xlfn.IFNA(INDEX(Goalie[],MATCH(Table16[[#This Row],[Player]],Goalie[player],0),19),-5000))</f>
        <v>59.175753832861488</v>
      </c>
      <c r="I399" t="str">
        <f>IF(_xlfn.IFNA(INDEX(Proj[],MATCH(Table16[[#This Row],[Player]],Proj[Player],0),31),INDEX(Goalie[],MATCH(Table16[[#This Row],[Player]],Goalie[player],0),20)) = 0, "",_xlfn.IFNA(INDEX(Proj[],MATCH(Table16[[#This Row],[Player]],Proj[Player],0),31),INDEX(Goalie[],MATCH(Table16[[#This Row],[Player]],Goalie[player],0),20)))</f>
        <v/>
      </c>
    </row>
    <row r="400" spans="1:9" x14ac:dyDescent="0.25">
      <c r="A400" t="s">
        <v>628</v>
      </c>
      <c r="B400" s="2" t="s">
        <v>102</v>
      </c>
      <c r="C400" t="str">
        <f t="shared" si="6"/>
        <v>LW</v>
      </c>
      <c r="D400" s="10">
        <f>MAX(_xlfn.IFNA(INDEX(Proj[],MATCH(Table16[[#This Row],[Player]],Proj[Player],0),27),-5000), _xlfn.IFNA(INDEX(Goalie[],MATCH(Table16[[#This Row],[Player]],Goalie[player],0),17),-5000))</f>
        <v>-392.17490406931682</v>
      </c>
      <c r="E400">
        <f>_xlfn.RANK.EQ(Table16[[#This Row],[VOR]],Table16[VOR])</f>
        <v>431</v>
      </c>
      <c r="F400" cm="1">
        <f t="array" ref="F400">_xlfn.IFS(C400 = "C",INDEX('C'!$A$2:$L$254,MATCH($A400,'C'!$A$2:$A$254,0),10),C400 = "LW",INDEX(LW!$A$2:$K$180,MATCH($A400,LW!$A$2:$A$180,0),10),C400 = "RW",INDEX('RW'!$A$2:$L$164,MATCH($A400,'RW'!$A$2:$A$164,0),10), C400 = "D",INDEX(D!$A$2:$L$268,MATCH($A400,D!$A$2:$A$268,0),10),C400="G",INDEX(G!$A$2:$Q$78,MATCH($A400,G!$A$2:$A$78,0),16),C400="F",INDEX(F!$A$2:$K$494,MATCH($A400,F!$A$2:$A$494,0),10))</f>
        <v>96</v>
      </c>
      <c r="G400" t="str">
        <f>_xlfn.CONCAT(C400,Table16[[#This Row],[Pos Rank2]])</f>
        <v>LW96</v>
      </c>
      <c r="H400" s="10">
        <f>MAX(_xlfn.IFNA(INDEX(Proj[],MATCH(Table16[[#This Row],[Player]],Proj[Player],0),29),-5000), _xlfn.IFNA(INDEX(Goalie[],MATCH(Table16[[#This Row],[Player]],Goalie[player],0),19),-5000))</f>
        <v>79.36982032093205</v>
      </c>
      <c r="I400" t="str">
        <f>IF(_xlfn.IFNA(INDEX(Proj[],MATCH(Table16[[#This Row],[Player]],Proj[Player],0),31),INDEX(Goalie[],MATCH(Table16[[#This Row],[Player]],Goalie[player],0),20)) = 0, "",_xlfn.IFNA(INDEX(Proj[],MATCH(Table16[[#This Row],[Player]],Proj[Player],0),31),INDEX(Goalie[],MATCH(Table16[[#This Row],[Player]],Goalie[player],0),20)))</f>
        <v/>
      </c>
    </row>
    <row r="401" spans="1:9" x14ac:dyDescent="0.25">
      <c r="A401" t="s">
        <v>966</v>
      </c>
      <c r="B401" s="2" t="s">
        <v>3</v>
      </c>
      <c r="C401" t="str">
        <f t="shared" si="6"/>
        <v>D</v>
      </c>
      <c r="D401" s="10">
        <f>MAX(_xlfn.IFNA(INDEX(Proj[],MATCH(Table16[[#This Row],[Player]],Proj[Player],0),27),-5000), _xlfn.IFNA(INDEX(Goalie[],MATCH(Table16[[#This Row],[Player]],Goalie[player],0),17),-5000))</f>
        <v>-323.57165001766032</v>
      </c>
      <c r="E401">
        <f>_xlfn.RANK.EQ(Table16[[#This Row],[VOR]],Table16[VOR])</f>
        <v>378</v>
      </c>
      <c r="F401" cm="1">
        <f t="array" ref="F401">_xlfn.IFS(C401 = "C",INDEX('C'!$A$2:$L$254,MATCH($A401,'C'!$A$2:$A$254,0),10),C401 = "LW",INDEX(LW!$A$2:$K$180,MATCH($A401,LW!$A$2:$A$180,0),10),C401 = "RW",INDEX('RW'!$A$2:$L$164,MATCH($A401,'RW'!$A$2:$A$164,0),10), C401 = "D",INDEX(D!$A$2:$L$268,MATCH($A401,D!$A$2:$A$268,0),10),C401="G",INDEX(G!$A$2:$Q$78,MATCH($A401,G!$A$2:$A$78,0),16),C401="F",INDEX(F!$A$2:$K$494,MATCH($A401,F!$A$2:$A$494,0),10))</f>
        <v>149</v>
      </c>
      <c r="G401" t="str">
        <f>_xlfn.CONCAT(C401,Table16[[#This Row],[Pos Rank2]])</f>
        <v>D149</v>
      </c>
      <c r="H401" s="10">
        <f>MAX(_xlfn.IFNA(INDEX(Proj[],MATCH(Table16[[#This Row],[Player]],Proj[Player],0),29),-5000), _xlfn.IFNA(INDEX(Goalie[],MATCH(Table16[[#This Row],[Player]],Goalie[player],0),19),-5000))</f>
        <v>-216.20688229819586</v>
      </c>
      <c r="I401" t="str">
        <f>IF(_xlfn.IFNA(INDEX(Proj[],MATCH(Table16[[#This Row],[Player]],Proj[Player],0),31),INDEX(Goalie[],MATCH(Table16[[#This Row],[Player]],Goalie[player],0),20)) = 0, "",_xlfn.IFNA(INDEX(Proj[],MATCH(Table16[[#This Row],[Player]],Proj[Player],0),31),INDEX(Goalie[],MATCH(Table16[[#This Row],[Player]],Goalie[player],0),20)))</f>
        <v/>
      </c>
    </row>
    <row r="402" spans="1:9" x14ac:dyDescent="0.25">
      <c r="A402" t="s">
        <v>646</v>
      </c>
      <c r="B402" s="2" t="s">
        <v>74</v>
      </c>
      <c r="C402" t="str">
        <f t="shared" si="6"/>
        <v>C</v>
      </c>
      <c r="D402" s="10">
        <f>MAX(_xlfn.IFNA(INDEX(Proj[],MATCH(Table16[[#This Row],[Player]],Proj[Player],0),27),-5000), _xlfn.IFNA(INDEX(Goalie[],MATCH(Table16[[#This Row],[Player]],Goalie[player],0),17),-5000))</f>
        <v>-325.16463775719808</v>
      </c>
      <c r="E402">
        <f>_xlfn.RANK.EQ(Table16[[#This Row],[VOR]],Table16[VOR])</f>
        <v>380</v>
      </c>
      <c r="F402" cm="1">
        <f t="array" ref="F402">_xlfn.IFS(C402 = "C",INDEX('C'!$A$2:$L$254,MATCH($A402,'C'!$A$2:$A$254,0),10),C402 = "LW",INDEX(LW!$A$2:$K$180,MATCH($A402,LW!$A$2:$A$180,0),10),C402 = "RW",INDEX('RW'!$A$2:$L$164,MATCH($A402,'RW'!$A$2:$A$164,0),10), C402 = "D",INDEX(D!$A$2:$L$268,MATCH($A402,D!$A$2:$A$268,0),10),C402="G",INDEX(G!$A$2:$Q$78,MATCH($A402,G!$A$2:$A$78,0),16),C402="F",INDEX(F!$A$2:$K$494,MATCH($A402,F!$A$2:$A$494,0),10))</f>
        <v>78</v>
      </c>
      <c r="G402" t="str">
        <f>_xlfn.CONCAT(C402,Table16[[#This Row],[Pos Rank2]])</f>
        <v>C78</v>
      </c>
      <c r="H402" s="10">
        <f>MAX(_xlfn.IFNA(INDEX(Proj[],MATCH(Table16[[#This Row],[Player]],Proj[Player],0),29),-5000), _xlfn.IFNA(INDEX(Goalie[],MATCH(Table16[[#This Row],[Player]],Goalie[player],0),19),-5000))</f>
        <v>409.46921655310052</v>
      </c>
      <c r="I402" t="str">
        <f>IF(_xlfn.IFNA(INDEX(Proj[],MATCH(Table16[[#This Row],[Player]],Proj[Player],0),31),INDEX(Goalie[],MATCH(Table16[[#This Row],[Player]],Goalie[player],0),20)) = 0, "",_xlfn.IFNA(INDEX(Proj[],MATCH(Table16[[#This Row],[Player]],Proj[Player],0),31),INDEX(Goalie[],MATCH(Table16[[#This Row],[Player]],Goalie[player],0),20)))</f>
        <v/>
      </c>
    </row>
    <row r="403" spans="1:9" x14ac:dyDescent="0.25">
      <c r="A403" t="s">
        <v>497</v>
      </c>
      <c r="B403" s="2" t="s">
        <v>101</v>
      </c>
      <c r="C403" t="str">
        <f t="shared" si="6"/>
        <v>LW</v>
      </c>
      <c r="D403" s="10">
        <f>MAX(_xlfn.IFNA(INDEX(Proj[],MATCH(Table16[[#This Row],[Player]],Proj[Player],0),27),-5000), _xlfn.IFNA(INDEX(Goalie[],MATCH(Table16[[#This Row],[Player]],Goalie[player],0),17),-5000))</f>
        <v>-372.67671721888473</v>
      </c>
      <c r="E403">
        <f>_xlfn.RANK.EQ(Table16[[#This Row],[VOR]],Table16[VOR])</f>
        <v>419</v>
      </c>
      <c r="F403" cm="1">
        <f t="array" ref="F403">_xlfn.IFS(C403 = "C",INDEX('C'!$A$2:$L$254,MATCH($A403,'C'!$A$2:$A$254,0),10),C403 = "LW",INDEX(LW!$A$2:$K$180,MATCH($A403,LW!$A$2:$A$180,0),10),C403 = "RW",INDEX('RW'!$A$2:$L$164,MATCH($A403,'RW'!$A$2:$A$164,0),10), C403 = "D",INDEX(D!$A$2:$L$268,MATCH($A403,D!$A$2:$A$268,0),10),C403="G",INDEX(G!$A$2:$Q$78,MATCH($A403,G!$A$2:$A$78,0),16),C403="F",INDEX(F!$A$2:$K$494,MATCH($A403,F!$A$2:$A$494,0),10))</f>
        <v>94</v>
      </c>
      <c r="G403" t="str">
        <f>_xlfn.CONCAT(C403,Table16[[#This Row],[Pos Rank2]])</f>
        <v>LW94</v>
      </c>
      <c r="H403" s="10">
        <f>MAX(_xlfn.IFNA(INDEX(Proj[],MATCH(Table16[[#This Row],[Player]],Proj[Player],0),29),-5000), _xlfn.IFNA(INDEX(Goalie[],MATCH(Table16[[#This Row],[Player]],Goalie[player],0),19),-5000))</f>
        <v>98.868007171364098</v>
      </c>
      <c r="I403" t="str">
        <f>IF(_xlfn.IFNA(INDEX(Proj[],MATCH(Table16[[#This Row],[Player]],Proj[Player],0),31),INDEX(Goalie[],MATCH(Table16[[#This Row],[Player]],Goalie[player],0),20)) = 0, "",_xlfn.IFNA(INDEX(Proj[],MATCH(Table16[[#This Row],[Player]],Proj[Player],0),31),INDEX(Goalie[],MATCH(Table16[[#This Row],[Player]],Goalie[player],0),20)))</f>
        <v/>
      </c>
    </row>
    <row r="404" spans="1:9" x14ac:dyDescent="0.25">
      <c r="A404" t="s">
        <v>532</v>
      </c>
      <c r="B404" s="2" t="s">
        <v>74</v>
      </c>
      <c r="C404" t="str">
        <f t="shared" si="6"/>
        <v>C</v>
      </c>
      <c r="D404" s="10">
        <f>MAX(_xlfn.IFNA(INDEX(Proj[],MATCH(Table16[[#This Row],[Player]],Proj[Player],0),27),-5000), _xlfn.IFNA(INDEX(Goalie[],MATCH(Table16[[#This Row],[Player]],Goalie[player],0),17),-5000))</f>
        <v>-367.69247195371781</v>
      </c>
      <c r="E404">
        <f>_xlfn.RANK.EQ(Table16[[#This Row],[VOR]],Table16[VOR])</f>
        <v>413</v>
      </c>
      <c r="F404" cm="1">
        <f t="array" ref="F404">_xlfn.IFS(C404 = "C",INDEX('C'!$A$2:$L$254,MATCH($A404,'C'!$A$2:$A$254,0),10),C404 = "LW",INDEX(LW!$A$2:$K$180,MATCH($A404,LW!$A$2:$A$180,0),10),C404 = "RW",INDEX('RW'!$A$2:$L$164,MATCH($A404,'RW'!$A$2:$A$164,0),10), C404 = "D",INDEX(D!$A$2:$L$268,MATCH($A404,D!$A$2:$A$268,0),10),C404="G",INDEX(G!$A$2:$Q$78,MATCH($A404,G!$A$2:$A$78,0),16),C404="F",INDEX(F!$A$2:$K$494,MATCH($A404,F!$A$2:$A$494,0),10))</f>
        <v>82</v>
      </c>
      <c r="G404" t="str">
        <f>_xlfn.CONCAT(C404,Table16[[#This Row],[Pos Rank2]])</f>
        <v>C82</v>
      </c>
      <c r="H404" s="10">
        <f>MAX(_xlfn.IFNA(INDEX(Proj[],MATCH(Table16[[#This Row],[Player]],Proj[Player],0),29),-5000), _xlfn.IFNA(INDEX(Goalie[],MATCH(Table16[[#This Row],[Player]],Goalie[player],0),19),-5000))</f>
        <v>366.94138235658079</v>
      </c>
      <c r="I404" t="str">
        <f>IF(_xlfn.IFNA(INDEX(Proj[],MATCH(Table16[[#This Row],[Player]],Proj[Player],0),31),INDEX(Goalie[],MATCH(Table16[[#This Row],[Player]],Goalie[player],0),20)) = 0, "",_xlfn.IFNA(INDEX(Proj[],MATCH(Table16[[#This Row],[Player]],Proj[Player],0),31),INDEX(Goalie[],MATCH(Table16[[#This Row],[Player]],Goalie[player],0),20)))</f>
        <v/>
      </c>
    </row>
    <row r="405" spans="1:9" x14ac:dyDescent="0.25">
      <c r="A405" t="s">
        <v>608</v>
      </c>
      <c r="B405" s="2" t="s">
        <v>3</v>
      </c>
      <c r="C405" t="str">
        <f t="shared" si="6"/>
        <v>D</v>
      </c>
      <c r="D405" s="10">
        <f>MAX(_xlfn.IFNA(INDEX(Proj[],MATCH(Table16[[#This Row],[Player]],Proj[Player],0),27),-5000), _xlfn.IFNA(INDEX(Goalie[],MATCH(Table16[[#This Row],[Player]],Goalie[player],0),17),-5000))</f>
        <v>-332.28527145049304</v>
      </c>
      <c r="E405">
        <f>_xlfn.RANK.EQ(Table16[[#This Row],[VOR]],Table16[VOR])</f>
        <v>383</v>
      </c>
      <c r="F405" cm="1">
        <f t="array" ref="F405">_xlfn.IFS(C405 = "C",INDEX('C'!$A$2:$L$254,MATCH($A405,'C'!$A$2:$A$254,0),10),C405 = "LW",INDEX(LW!$A$2:$K$180,MATCH($A405,LW!$A$2:$A$180,0),10),C405 = "RW",INDEX('RW'!$A$2:$L$164,MATCH($A405,'RW'!$A$2:$A$164,0),10), C405 = "D",INDEX(D!$A$2:$L$268,MATCH($A405,D!$A$2:$A$268,0),10),C405="G",INDEX(G!$A$2:$Q$78,MATCH($A405,G!$A$2:$A$78,0),16),C405="F",INDEX(F!$A$2:$K$494,MATCH($A405,F!$A$2:$A$494,0),10))</f>
        <v>150</v>
      </c>
      <c r="G405" t="str">
        <f>_xlfn.CONCAT(C405,Table16[[#This Row],[Pos Rank2]])</f>
        <v>D150</v>
      </c>
      <c r="H405" s="10">
        <f>MAX(_xlfn.IFNA(INDEX(Proj[],MATCH(Table16[[#This Row],[Player]],Proj[Player],0),29),-5000), _xlfn.IFNA(INDEX(Goalie[],MATCH(Table16[[#This Row],[Player]],Goalie[player],0),19),-5000))</f>
        <v>-224.92050373102853</v>
      </c>
      <c r="I405" t="str">
        <f>IF(_xlfn.IFNA(INDEX(Proj[],MATCH(Table16[[#This Row],[Player]],Proj[Player],0),31),INDEX(Goalie[],MATCH(Table16[[#This Row],[Player]],Goalie[player],0),20)) = 0, "",_xlfn.IFNA(INDEX(Proj[],MATCH(Table16[[#This Row],[Player]],Proj[Player],0),31),INDEX(Goalie[],MATCH(Table16[[#This Row],[Player]],Goalie[player],0),20)))</f>
        <v/>
      </c>
    </row>
    <row r="406" spans="1:9" x14ac:dyDescent="0.25">
      <c r="A406" t="s">
        <v>688</v>
      </c>
      <c r="B406" s="2" t="s">
        <v>74</v>
      </c>
      <c r="C406" t="str">
        <f t="shared" si="6"/>
        <v>C</v>
      </c>
      <c r="D406" s="10">
        <f>MAX(_xlfn.IFNA(INDEX(Proj[],MATCH(Table16[[#This Row],[Player]],Proj[Player],0),27),-5000), _xlfn.IFNA(INDEX(Goalie[],MATCH(Table16[[#This Row],[Player]],Goalie[player],0),17),-5000))</f>
        <v>-319.9359527822715</v>
      </c>
      <c r="E406">
        <f>_xlfn.RANK.EQ(Table16[[#This Row],[VOR]],Table16[VOR])</f>
        <v>376</v>
      </c>
      <c r="F406" cm="1">
        <f t="array" ref="F406">_xlfn.IFS(C406 = "C",INDEX('C'!$A$2:$L$254,MATCH($A406,'C'!$A$2:$A$254,0),10),C406 = "LW",INDEX(LW!$A$2:$K$180,MATCH($A406,LW!$A$2:$A$180,0),10),C406 = "RW",INDEX('RW'!$A$2:$L$164,MATCH($A406,'RW'!$A$2:$A$164,0),10), C406 = "D",INDEX(D!$A$2:$L$268,MATCH($A406,D!$A$2:$A$268,0),10),C406="G",INDEX(G!$A$2:$Q$78,MATCH($A406,G!$A$2:$A$78,0),16),C406="F",INDEX(F!$A$2:$K$494,MATCH($A406,F!$A$2:$A$494,0),10))</f>
        <v>76</v>
      </c>
      <c r="G406" t="str">
        <f>_xlfn.CONCAT(C406,Table16[[#This Row],[Pos Rank2]])</f>
        <v>C76</v>
      </c>
      <c r="H406" s="10">
        <f>MAX(_xlfn.IFNA(INDEX(Proj[],MATCH(Table16[[#This Row],[Player]],Proj[Player],0),29),-5000), _xlfn.IFNA(INDEX(Goalie[],MATCH(Table16[[#This Row],[Player]],Goalie[player],0),19),-5000))</f>
        <v>414.6979015280271</v>
      </c>
      <c r="I406" t="str">
        <f>IF(_xlfn.IFNA(INDEX(Proj[],MATCH(Table16[[#This Row],[Player]],Proj[Player],0),31),INDEX(Goalie[],MATCH(Table16[[#This Row],[Player]],Goalie[player],0),20)) = 0, "",_xlfn.IFNA(INDEX(Proj[],MATCH(Table16[[#This Row],[Player]],Proj[Player],0),31),INDEX(Goalie[],MATCH(Table16[[#This Row],[Player]],Goalie[player],0),20)))</f>
        <v/>
      </c>
    </row>
    <row r="407" spans="1:9" x14ac:dyDescent="0.25">
      <c r="A407" t="s">
        <v>406</v>
      </c>
      <c r="B407" s="2" t="s">
        <v>101</v>
      </c>
      <c r="C407" t="str">
        <f t="shared" si="6"/>
        <v>LW</v>
      </c>
      <c r="D407" s="10">
        <f>MAX(_xlfn.IFNA(INDEX(Proj[],MATCH(Table16[[#This Row],[Player]],Proj[Player],0),27),-5000), _xlfn.IFNA(INDEX(Goalie[],MATCH(Table16[[#This Row],[Player]],Goalie[player],0),17),-5000))</f>
        <v>-293.56960655694917</v>
      </c>
      <c r="E407">
        <f>_xlfn.RANK.EQ(Table16[[#This Row],[VOR]],Table16[VOR])</f>
        <v>355</v>
      </c>
      <c r="F407" cm="1">
        <f t="array" ref="F407">_xlfn.IFS(C407 = "C",INDEX('C'!$A$2:$L$254,MATCH($A407,'C'!$A$2:$A$254,0),10),C407 = "LW",INDEX(LW!$A$2:$K$180,MATCH($A407,LW!$A$2:$A$180,0),10),C407 = "RW",INDEX('RW'!$A$2:$L$164,MATCH($A407,'RW'!$A$2:$A$164,0),10), C407 = "D",INDEX(D!$A$2:$L$268,MATCH($A407,D!$A$2:$A$268,0),10),C407="G",INDEX(G!$A$2:$Q$78,MATCH($A407,G!$A$2:$A$78,0),16),C407="F",INDEX(F!$A$2:$K$494,MATCH($A407,F!$A$2:$A$494,0),10))</f>
        <v>82</v>
      </c>
      <c r="G407" t="str">
        <f>_xlfn.CONCAT(C407,Table16[[#This Row],[Pos Rank2]])</f>
        <v>LW82</v>
      </c>
      <c r="H407" s="10">
        <f>MAX(_xlfn.IFNA(INDEX(Proj[],MATCH(Table16[[#This Row],[Player]],Proj[Player],0),29),-5000), _xlfn.IFNA(INDEX(Goalie[],MATCH(Table16[[#This Row],[Player]],Goalie[player],0),19),-5000))</f>
        <v>177.97511783329969</v>
      </c>
      <c r="I407" t="str">
        <f>IF(_xlfn.IFNA(INDEX(Proj[],MATCH(Table16[[#This Row],[Player]],Proj[Player],0),31),INDEX(Goalie[],MATCH(Table16[[#This Row],[Player]],Goalie[player],0),20)) = 0, "",_xlfn.IFNA(INDEX(Proj[],MATCH(Table16[[#This Row],[Player]],Proj[Player],0),31),INDEX(Goalie[],MATCH(Table16[[#This Row],[Player]],Goalie[player],0),20)))</f>
        <v/>
      </c>
    </row>
    <row r="408" spans="1:9" x14ac:dyDescent="0.25">
      <c r="A408" t="s">
        <v>172</v>
      </c>
      <c r="B408" s="2" t="s">
        <v>157</v>
      </c>
      <c r="C408" t="str">
        <f t="shared" si="6"/>
        <v>G</v>
      </c>
      <c r="D408" s="10">
        <f>MAX(_xlfn.IFNA(INDEX(Proj[],MATCH(Table16[[#This Row],[Player]],Proj[Player],0),27),-5000), _xlfn.IFNA(INDEX(Goalie[],MATCH(Table16[[#This Row],[Player]],Goalie[player],0),17),-5000))</f>
        <v>-369.22086771119751</v>
      </c>
      <c r="E408">
        <f>_xlfn.RANK.EQ(Table16[[#This Row],[VOR]],Table16[VOR])</f>
        <v>414</v>
      </c>
      <c r="F408" cm="1">
        <f t="array" ref="F408">_xlfn.IFS(C408 = "C",INDEX('C'!$A$2:$L$254,MATCH($A408,'C'!$A$2:$A$254,0),10),C408 = "LW",INDEX(LW!$A$2:$K$180,MATCH($A408,LW!$A$2:$A$180,0),10),C408 = "RW",INDEX('RW'!$A$2:$L$164,MATCH($A408,'RW'!$A$2:$A$164,0),10), C408 = "D",INDEX(D!$A$2:$L$268,MATCH($A408,D!$A$2:$A$268,0),10),C408="G",INDEX(G!$A$2:$Q$78,MATCH($A408,G!$A$2:$A$78,0),16),C408="F",INDEX(F!$A$2:$K$494,MATCH($A408,F!$A$2:$A$494,0),10))</f>
        <v>58</v>
      </c>
      <c r="G408" t="str">
        <f>_xlfn.CONCAT(C408,Table16[[#This Row],[Pos Rank2]])</f>
        <v>G58</v>
      </c>
      <c r="H408" s="10">
        <f>MAX(_xlfn.IFNA(INDEX(Proj[],MATCH(Table16[[#This Row],[Player]],Proj[Player],0),29),-5000), _xlfn.IFNA(INDEX(Goalie[],MATCH(Table16[[#This Row],[Player]],Goalie[player],0),19),-5000))</f>
        <v>226.77199999999996</v>
      </c>
      <c r="I408" t="str">
        <f>IF(_xlfn.IFNA(INDEX(Proj[],MATCH(Table16[[#This Row],[Player]],Proj[Player],0),31),INDEX(Goalie[],MATCH(Table16[[#This Row],[Player]],Goalie[player],0),20)) = 0, "",_xlfn.IFNA(INDEX(Proj[],MATCH(Table16[[#This Row],[Player]],Proj[Player],0),31),INDEX(Goalie[],MATCH(Table16[[#This Row],[Player]],Goalie[player],0),20)))</f>
        <v/>
      </c>
    </row>
    <row r="409" spans="1:9" x14ac:dyDescent="0.25">
      <c r="A409" t="s">
        <v>515</v>
      </c>
      <c r="B409" s="2" t="s">
        <v>3</v>
      </c>
      <c r="C409" t="str">
        <f t="shared" si="6"/>
        <v>D</v>
      </c>
      <c r="D409" s="10">
        <f>MAX(_xlfn.IFNA(INDEX(Proj[],MATCH(Table16[[#This Row],[Player]],Proj[Player],0),27),-5000), _xlfn.IFNA(INDEX(Goalie[],MATCH(Table16[[#This Row],[Player]],Goalie[player],0),17),-5000))</f>
        <v>-337.39615901890903</v>
      </c>
      <c r="E409">
        <f>_xlfn.RANK.EQ(Table16[[#This Row],[VOR]],Table16[VOR])</f>
        <v>388</v>
      </c>
      <c r="F409" cm="1">
        <f t="array" ref="F409">_xlfn.IFS(C409 = "C",INDEX('C'!$A$2:$L$254,MATCH($A409,'C'!$A$2:$A$254,0),10),C409 = "LW",INDEX(LW!$A$2:$K$180,MATCH($A409,LW!$A$2:$A$180,0),10),C409 = "RW",INDEX('RW'!$A$2:$L$164,MATCH($A409,'RW'!$A$2:$A$164,0),10), C409 = "D",INDEX(D!$A$2:$L$268,MATCH($A409,D!$A$2:$A$268,0),10),C409="G",INDEX(G!$A$2:$Q$78,MATCH($A409,G!$A$2:$A$78,0),16),C409="F",INDEX(F!$A$2:$K$494,MATCH($A409,F!$A$2:$A$494,0),10))</f>
        <v>151</v>
      </c>
      <c r="G409" t="str">
        <f>_xlfn.CONCAT(C409,Table16[[#This Row],[Pos Rank2]])</f>
        <v>D151</v>
      </c>
      <c r="H409" s="10">
        <f>MAX(_xlfn.IFNA(INDEX(Proj[],MATCH(Table16[[#This Row],[Player]],Proj[Player],0),29),-5000), _xlfn.IFNA(INDEX(Goalie[],MATCH(Table16[[#This Row],[Player]],Goalie[player],0),19),-5000))</f>
        <v>-230.03139129944455</v>
      </c>
      <c r="I409" t="str">
        <f>IF(_xlfn.IFNA(INDEX(Proj[],MATCH(Table16[[#This Row],[Player]],Proj[Player],0),31),INDEX(Goalie[],MATCH(Table16[[#This Row],[Player]],Goalie[player],0),20)) = 0, "",_xlfn.IFNA(INDEX(Proj[],MATCH(Table16[[#This Row],[Player]],Proj[Player],0),31),INDEX(Goalie[],MATCH(Table16[[#This Row],[Player]],Goalie[player],0),20)))</f>
        <v/>
      </c>
    </row>
    <row r="410" spans="1:9" x14ac:dyDescent="0.25">
      <c r="A410" t="s">
        <v>583</v>
      </c>
      <c r="B410" s="2" t="s">
        <v>3</v>
      </c>
      <c r="C410" t="str">
        <f t="shared" si="6"/>
        <v>D</v>
      </c>
      <c r="D410" s="10">
        <f>MAX(_xlfn.IFNA(INDEX(Proj[],MATCH(Table16[[#This Row],[Player]],Proj[Player],0),27),-5000), _xlfn.IFNA(INDEX(Goalie[],MATCH(Table16[[#This Row],[Player]],Goalie[player],0),17),-5000))</f>
        <v>-338.65344002559323</v>
      </c>
      <c r="E410">
        <f>_xlfn.RANK.EQ(Table16[[#This Row],[VOR]],Table16[VOR])</f>
        <v>390</v>
      </c>
      <c r="F410" cm="1">
        <f t="array" ref="F410">_xlfn.IFS(C410 = "C",INDEX('C'!$A$2:$L$254,MATCH($A410,'C'!$A$2:$A$254,0),10),C410 = "LW",INDEX(LW!$A$2:$K$180,MATCH($A410,LW!$A$2:$A$180,0),10),C410 = "RW",INDEX('RW'!$A$2:$L$164,MATCH($A410,'RW'!$A$2:$A$164,0),10), C410 = "D",INDEX(D!$A$2:$L$268,MATCH($A410,D!$A$2:$A$268,0),10),C410="G",INDEX(G!$A$2:$Q$78,MATCH($A410,G!$A$2:$A$78,0),16),C410="F",INDEX(F!$A$2:$K$494,MATCH($A410,F!$A$2:$A$494,0),10))</f>
        <v>152</v>
      </c>
      <c r="G410" t="str">
        <f>_xlfn.CONCAT(C410,Table16[[#This Row],[Pos Rank2]])</f>
        <v>D152</v>
      </c>
      <c r="H410" s="10">
        <f>MAX(_xlfn.IFNA(INDEX(Proj[],MATCH(Table16[[#This Row],[Player]],Proj[Player],0),29),-5000), _xlfn.IFNA(INDEX(Goalie[],MATCH(Table16[[#This Row],[Player]],Goalie[player],0),19),-5000))</f>
        <v>-231.28867230612875</v>
      </c>
      <c r="I410" t="str">
        <f>IF(_xlfn.IFNA(INDEX(Proj[],MATCH(Table16[[#This Row],[Player]],Proj[Player],0),31),INDEX(Goalie[],MATCH(Table16[[#This Row],[Player]],Goalie[player],0),20)) = 0, "",_xlfn.IFNA(INDEX(Proj[],MATCH(Table16[[#This Row],[Player]],Proj[Player],0),31),INDEX(Goalie[],MATCH(Table16[[#This Row],[Player]],Goalie[player],0),20)))</f>
        <v/>
      </c>
    </row>
    <row r="411" spans="1:9" x14ac:dyDescent="0.25">
      <c r="A411" t="s">
        <v>615</v>
      </c>
      <c r="B411" s="2" t="s">
        <v>74</v>
      </c>
      <c r="C411" t="str">
        <f t="shared" si="6"/>
        <v>C</v>
      </c>
      <c r="D411" s="10">
        <f>MAX(_xlfn.IFNA(INDEX(Proj[],MATCH(Table16[[#This Row],[Player]],Proj[Player],0),27),-5000), _xlfn.IFNA(INDEX(Goalie[],MATCH(Table16[[#This Row],[Player]],Goalie[player],0),17),-5000))</f>
        <v>-307.08551585512367</v>
      </c>
      <c r="E411">
        <f>_xlfn.RANK.EQ(Table16[[#This Row],[VOR]],Table16[VOR])</f>
        <v>367</v>
      </c>
      <c r="F411" cm="1">
        <f t="array" ref="F411">_xlfn.IFS(C411 = "C",INDEX('C'!$A$2:$L$254,MATCH($A411,'C'!$A$2:$A$254,0),10),C411 = "LW",INDEX(LW!$A$2:$K$180,MATCH($A411,LW!$A$2:$A$180,0),10),C411 = "RW",INDEX('RW'!$A$2:$L$164,MATCH($A411,'RW'!$A$2:$A$164,0),10), C411 = "D",INDEX(D!$A$2:$L$268,MATCH($A411,D!$A$2:$A$268,0),10),C411="G",INDEX(G!$A$2:$Q$78,MATCH($A411,G!$A$2:$A$78,0),16),C411="F",INDEX(F!$A$2:$K$494,MATCH($A411,F!$A$2:$A$494,0),10))</f>
        <v>72</v>
      </c>
      <c r="G411" t="str">
        <f>_xlfn.CONCAT(C411,Table16[[#This Row],[Pos Rank2]])</f>
        <v>C72</v>
      </c>
      <c r="H411" s="10">
        <f>MAX(_xlfn.IFNA(INDEX(Proj[],MATCH(Table16[[#This Row],[Player]],Proj[Player],0),29),-5000), _xlfn.IFNA(INDEX(Goalie[],MATCH(Table16[[#This Row],[Player]],Goalie[player],0),19),-5000))</f>
        <v>427.54833845517493</v>
      </c>
      <c r="I411" t="str">
        <f>IF(_xlfn.IFNA(INDEX(Proj[],MATCH(Table16[[#This Row],[Player]],Proj[Player],0),31),INDEX(Goalie[],MATCH(Table16[[#This Row],[Player]],Goalie[player],0),20)) = 0, "",_xlfn.IFNA(INDEX(Proj[],MATCH(Table16[[#This Row],[Player]],Proj[Player],0),31),INDEX(Goalie[],MATCH(Table16[[#This Row],[Player]],Goalie[player],0),20)))</f>
        <v/>
      </c>
    </row>
    <row r="412" spans="1:9" x14ac:dyDescent="0.25">
      <c r="A412" t="s">
        <v>209</v>
      </c>
      <c r="B412" s="2" t="s">
        <v>157</v>
      </c>
      <c r="C412" t="str">
        <f t="shared" si="6"/>
        <v>G</v>
      </c>
      <c r="D412" s="10">
        <f>MAX(_xlfn.IFNA(INDEX(Proj[],MATCH(Table16[[#This Row],[Player]],Proj[Player],0),27),-5000), _xlfn.IFNA(INDEX(Goalie[],MATCH(Table16[[#This Row],[Player]],Goalie[player],0),17),-5000))</f>
        <v>-371.051950292904</v>
      </c>
      <c r="E412">
        <f>_xlfn.RANK.EQ(Table16[[#This Row],[VOR]],Table16[VOR])</f>
        <v>416</v>
      </c>
      <c r="F412" cm="1">
        <f t="array" ref="F412">_xlfn.IFS(C412 = "C",INDEX('C'!$A$2:$L$254,MATCH($A412,'C'!$A$2:$A$254,0),10),C412 = "LW",INDEX(LW!$A$2:$K$180,MATCH($A412,LW!$A$2:$A$180,0),10),C412 = "RW",INDEX('RW'!$A$2:$L$164,MATCH($A412,'RW'!$A$2:$A$164,0),10), C412 = "D",INDEX(D!$A$2:$L$268,MATCH($A412,D!$A$2:$A$268,0),10),C412="G",INDEX(G!$A$2:$Q$78,MATCH($A412,G!$A$2:$A$78,0),16),C412="F",INDEX(F!$A$2:$K$494,MATCH($A412,F!$A$2:$A$494,0),10))</f>
        <v>59</v>
      </c>
      <c r="G412" t="str">
        <f>_xlfn.CONCAT(C412,Table16[[#This Row],[Pos Rank2]])</f>
        <v>G59</v>
      </c>
      <c r="H412" s="10">
        <f>MAX(_xlfn.IFNA(INDEX(Proj[],MATCH(Table16[[#This Row],[Player]],Proj[Player],0),29),-5000), _xlfn.IFNA(INDEX(Goalie[],MATCH(Table16[[#This Row],[Player]],Goalie[player],0),19),-5000))</f>
        <v>394.52019999999999</v>
      </c>
      <c r="I412" t="str">
        <f>IF(_xlfn.IFNA(INDEX(Proj[],MATCH(Table16[[#This Row],[Player]],Proj[Player],0),31),INDEX(Goalie[],MATCH(Table16[[#This Row],[Player]],Goalie[player],0),20)) = 0, "",_xlfn.IFNA(INDEX(Proj[],MATCH(Table16[[#This Row],[Player]],Proj[Player],0),31),INDEX(Goalie[],MATCH(Table16[[#This Row],[Player]],Goalie[player],0),20)))</f>
        <v/>
      </c>
    </row>
    <row r="413" spans="1:9" x14ac:dyDescent="0.25">
      <c r="A413" t="s">
        <v>469</v>
      </c>
      <c r="B413" s="2" t="s">
        <v>3</v>
      </c>
      <c r="C413" t="str">
        <f t="shared" si="6"/>
        <v>D</v>
      </c>
      <c r="D413" s="10">
        <f>MAX(_xlfn.IFNA(INDEX(Proj[],MATCH(Table16[[#This Row],[Player]],Proj[Player],0),27),-5000), _xlfn.IFNA(INDEX(Goalie[],MATCH(Table16[[#This Row],[Player]],Goalie[player],0),17),-5000))</f>
        <v>-340.50628066121828</v>
      </c>
      <c r="E413">
        <f>_xlfn.RANK.EQ(Table16[[#This Row],[VOR]],Table16[VOR])</f>
        <v>391</v>
      </c>
      <c r="F413" cm="1">
        <f t="array" ref="F413">_xlfn.IFS(C413 = "C",INDEX('C'!$A$2:$L$254,MATCH($A413,'C'!$A$2:$A$254,0),10),C413 = "LW",INDEX(LW!$A$2:$K$180,MATCH($A413,LW!$A$2:$A$180,0),10),C413 = "RW",INDEX('RW'!$A$2:$L$164,MATCH($A413,'RW'!$A$2:$A$164,0),10), C413 = "D",INDEX(D!$A$2:$L$268,MATCH($A413,D!$A$2:$A$268,0),10),C413="G",INDEX(G!$A$2:$Q$78,MATCH($A413,G!$A$2:$A$78,0),16),C413="F",INDEX(F!$A$2:$K$494,MATCH($A413,F!$A$2:$A$494,0),10))</f>
        <v>153</v>
      </c>
      <c r="G413" t="str">
        <f>_xlfn.CONCAT(C413,Table16[[#This Row],[Pos Rank2]])</f>
        <v>D153</v>
      </c>
      <c r="H413" s="10">
        <f>MAX(_xlfn.IFNA(INDEX(Proj[],MATCH(Table16[[#This Row],[Player]],Proj[Player],0),29),-5000), _xlfn.IFNA(INDEX(Goalie[],MATCH(Table16[[#This Row],[Player]],Goalie[player],0),19),-5000))</f>
        <v>-233.14151294175383</v>
      </c>
      <c r="I413" t="str">
        <f>IF(_xlfn.IFNA(INDEX(Proj[],MATCH(Table16[[#This Row],[Player]],Proj[Player],0),31),INDEX(Goalie[],MATCH(Table16[[#This Row],[Player]],Goalie[player],0),20)) = 0, "",_xlfn.IFNA(INDEX(Proj[],MATCH(Table16[[#This Row],[Player]],Proj[Player],0),31),INDEX(Goalie[],MATCH(Table16[[#This Row],[Player]],Goalie[player],0),20)))</f>
        <v/>
      </c>
    </row>
    <row r="414" spans="1:9" x14ac:dyDescent="0.25">
      <c r="A414" t="s">
        <v>462</v>
      </c>
      <c r="B414" s="2" t="s">
        <v>3</v>
      </c>
      <c r="C414" t="str">
        <f t="shared" si="6"/>
        <v>D</v>
      </c>
      <c r="D414" s="10">
        <f>MAX(_xlfn.IFNA(INDEX(Proj[],MATCH(Table16[[#This Row],[Player]],Proj[Player],0),27),-5000), _xlfn.IFNA(INDEX(Goalie[],MATCH(Table16[[#This Row],[Player]],Goalie[player],0),17),-5000))</f>
        <v>-341.74078372187438</v>
      </c>
      <c r="E414">
        <f>_xlfn.RANK.EQ(Table16[[#This Row],[VOR]],Table16[VOR])</f>
        <v>394</v>
      </c>
      <c r="F414" cm="1">
        <f t="array" ref="F414">_xlfn.IFS(C414 = "C",INDEX('C'!$A$2:$L$254,MATCH($A414,'C'!$A$2:$A$254,0),10),C414 = "LW",INDEX(LW!$A$2:$K$180,MATCH($A414,LW!$A$2:$A$180,0),10),C414 = "RW",INDEX('RW'!$A$2:$L$164,MATCH($A414,'RW'!$A$2:$A$164,0),10), C414 = "D",INDEX(D!$A$2:$L$268,MATCH($A414,D!$A$2:$A$268,0),10),C414="G",INDEX(G!$A$2:$Q$78,MATCH($A414,G!$A$2:$A$78,0),16),C414="F",INDEX(F!$A$2:$K$494,MATCH($A414,F!$A$2:$A$494,0),10))</f>
        <v>156</v>
      </c>
      <c r="G414" t="str">
        <f>_xlfn.CONCAT(C414,Table16[[#This Row],[Pos Rank2]])</f>
        <v>D156</v>
      </c>
      <c r="H414" s="10">
        <f>MAX(_xlfn.IFNA(INDEX(Proj[],MATCH(Table16[[#This Row],[Player]],Proj[Player],0),29),-5000), _xlfn.IFNA(INDEX(Goalie[],MATCH(Table16[[#This Row],[Player]],Goalie[player],0),19),-5000))</f>
        <v>-234.3760160024099</v>
      </c>
      <c r="I414" t="str">
        <f>IF(_xlfn.IFNA(INDEX(Proj[],MATCH(Table16[[#This Row],[Player]],Proj[Player],0),31),INDEX(Goalie[],MATCH(Table16[[#This Row],[Player]],Goalie[player],0),20)) = 0, "",_xlfn.IFNA(INDEX(Proj[],MATCH(Table16[[#This Row],[Player]],Proj[Player],0),31),INDEX(Goalie[],MATCH(Table16[[#This Row],[Player]],Goalie[player],0),20)))</f>
        <v/>
      </c>
    </row>
    <row r="415" spans="1:9" x14ac:dyDescent="0.25">
      <c r="A415" t="s">
        <v>639</v>
      </c>
      <c r="B415" s="2" t="s">
        <v>3</v>
      </c>
      <c r="C415" t="str">
        <f t="shared" si="6"/>
        <v>D</v>
      </c>
      <c r="D415" s="10">
        <f>MAX(_xlfn.IFNA(INDEX(Proj[],MATCH(Table16[[#This Row],[Player]],Proj[Player],0),27),-5000), _xlfn.IFNA(INDEX(Goalie[],MATCH(Table16[[#This Row],[Player]],Goalie[player],0),17),-5000))</f>
        <v>-341.53115219623066</v>
      </c>
      <c r="E415">
        <f>_xlfn.RANK.EQ(Table16[[#This Row],[VOR]],Table16[VOR])</f>
        <v>392</v>
      </c>
      <c r="F415" cm="1">
        <f t="array" ref="F415">_xlfn.IFS(C415 = "C",INDEX('C'!$A$2:$L$254,MATCH($A415,'C'!$A$2:$A$254,0),10),C415 = "LW",INDEX(LW!$A$2:$K$180,MATCH($A415,LW!$A$2:$A$180,0),10),C415 = "RW",INDEX('RW'!$A$2:$L$164,MATCH($A415,'RW'!$A$2:$A$164,0),10), C415 = "D",INDEX(D!$A$2:$L$268,MATCH($A415,D!$A$2:$A$268,0),10),C415="G",INDEX(G!$A$2:$Q$78,MATCH($A415,G!$A$2:$A$78,0),16),C415="F",INDEX(F!$A$2:$K$494,MATCH($A415,F!$A$2:$A$494,0),10))</f>
        <v>154</v>
      </c>
      <c r="G415" t="str">
        <f>_xlfn.CONCAT(C415,Table16[[#This Row],[Pos Rank2]])</f>
        <v>D154</v>
      </c>
      <c r="H415" s="10">
        <f>MAX(_xlfn.IFNA(INDEX(Proj[],MATCH(Table16[[#This Row],[Player]],Proj[Player],0),29),-5000), _xlfn.IFNA(INDEX(Goalie[],MATCH(Table16[[#This Row],[Player]],Goalie[player],0),19),-5000))</f>
        <v>-234.16638447676615</v>
      </c>
      <c r="I415" t="str">
        <f>IF(_xlfn.IFNA(INDEX(Proj[],MATCH(Table16[[#This Row],[Player]],Proj[Player],0),31),INDEX(Goalie[],MATCH(Table16[[#This Row],[Player]],Goalie[player],0),20)) = 0, "",_xlfn.IFNA(INDEX(Proj[],MATCH(Table16[[#This Row],[Player]],Proj[Player],0),31),INDEX(Goalie[],MATCH(Table16[[#This Row],[Player]],Goalie[player],0),20)))</f>
        <v/>
      </c>
    </row>
    <row r="416" spans="1:9" x14ac:dyDescent="0.25">
      <c r="A416" t="s">
        <v>1106</v>
      </c>
      <c r="B416" s="2" t="s">
        <v>74</v>
      </c>
      <c r="C416" t="str">
        <f t="shared" si="6"/>
        <v>C</v>
      </c>
      <c r="D416" s="10">
        <f>MAX(_xlfn.IFNA(INDEX(Proj[],MATCH(Table16[[#This Row],[Player]],Proj[Player],0),27),-5000), _xlfn.IFNA(INDEX(Goalie[],MATCH(Table16[[#This Row],[Player]],Goalie[player],0),17),-5000))</f>
        <v>-464.80620189109032</v>
      </c>
      <c r="E416">
        <f>_xlfn.RANK.EQ(Table16[[#This Row],[VOR]],Table16[VOR])</f>
        <v>471</v>
      </c>
      <c r="F416" cm="1">
        <f t="array" ref="F416">_xlfn.IFS(C416 = "C",INDEX('C'!$A$2:$L$254,MATCH($A416,'C'!$A$2:$A$254,0),10),C416 = "LW",INDEX(LW!$A$2:$K$180,MATCH($A416,LW!$A$2:$A$180,0),10),C416 = "RW",INDEX('RW'!$A$2:$L$164,MATCH($A416,'RW'!$A$2:$A$164,0),10), C416 = "D",INDEX(D!$A$2:$L$268,MATCH($A416,D!$A$2:$A$268,0),10),C416="G",INDEX(G!$A$2:$Q$78,MATCH($A416,G!$A$2:$A$78,0),16),C416="F",INDEX(F!$A$2:$K$494,MATCH($A416,F!$A$2:$A$494,0),10))</f>
        <v>96</v>
      </c>
      <c r="G416" t="str">
        <f>_xlfn.CONCAT(C416,Table16[[#This Row],[Pos Rank2]])</f>
        <v>C96</v>
      </c>
      <c r="H416" s="10">
        <f>MAX(_xlfn.IFNA(INDEX(Proj[],MATCH(Table16[[#This Row],[Player]],Proj[Player],0),29),-5000), _xlfn.IFNA(INDEX(Goalie[],MATCH(Table16[[#This Row],[Player]],Goalie[player],0),19),-5000))</f>
        <v>269.82765241920828</v>
      </c>
      <c r="I416" t="str">
        <f>IF(_xlfn.IFNA(INDEX(Proj[],MATCH(Table16[[#This Row],[Player]],Proj[Player],0),31),INDEX(Goalie[],MATCH(Table16[[#This Row],[Player]],Goalie[player],0),20)) = 0, "",_xlfn.IFNA(INDEX(Proj[],MATCH(Table16[[#This Row],[Player]],Proj[Player],0),31),INDEX(Goalie[],MATCH(Table16[[#This Row],[Player]],Goalie[player],0),20)))</f>
        <v/>
      </c>
    </row>
    <row r="417" spans="1:9" x14ac:dyDescent="0.25">
      <c r="A417" t="s">
        <v>1182</v>
      </c>
      <c r="B417" s="2" t="s">
        <v>3</v>
      </c>
      <c r="C417" t="str">
        <f t="shared" si="6"/>
        <v>D</v>
      </c>
      <c r="D417" s="10">
        <f>MAX(_xlfn.IFNA(INDEX(Proj[],MATCH(Table16[[#This Row],[Player]],Proj[Player],0),27),-5000), _xlfn.IFNA(INDEX(Goalie[],MATCH(Table16[[#This Row],[Player]],Goalie[player],0),17),-5000))</f>
        <v>-355.31960882094472</v>
      </c>
      <c r="E417">
        <f>_xlfn.RANK.EQ(Table16[[#This Row],[VOR]],Table16[VOR])</f>
        <v>407</v>
      </c>
      <c r="F417" cm="1">
        <f t="array" ref="F417">_xlfn.IFS(C417 = "C",INDEX('C'!$A$2:$L$254,MATCH($A417,'C'!$A$2:$A$254,0),10),C417 = "LW",INDEX(LW!$A$2:$K$180,MATCH($A417,LW!$A$2:$A$180,0),10),C417 = "RW",INDEX('RW'!$A$2:$L$164,MATCH($A417,'RW'!$A$2:$A$164,0),10), C417 = "D",INDEX(D!$A$2:$L$268,MATCH($A417,D!$A$2:$A$268,0),10),C417="G",INDEX(G!$A$2:$Q$78,MATCH($A417,G!$A$2:$A$78,0),16),C417="F",INDEX(F!$A$2:$K$494,MATCH($A417,F!$A$2:$A$494,0),10))</f>
        <v>161</v>
      </c>
      <c r="G417" t="str">
        <f>_xlfn.CONCAT(C417,Table16[[#This Row],[Pos Rank2]])</f>
        <v>D161</v>
      </c>
      <c r="H417" s="10">
        <f>MAX(_xlfn.IFNA(INDEX(Proj[],MATCH(Table16[[#This Row],[Player]],Proj[Player],0),29),-5000), _xlfn.IFNA(INDEX(Goalie[],MATCH(Table16[[#This Row],[Player]],Goalie[player],0),19),-5000))</f>
        <v>-247.95484110148021</v>
      </c>
      <c r="I417" t="str">
        <f>IF(_xlfn.IFNA(INDEX(Proj[],MATCH(Table16[[#This Row],[Player]],Proj[Player],0),31),INDEX(Goalie[],MATCH(Table16[[#This Row],[Player]],Goalie[player],0),20)) = 0, "",_xlfn.IFNA(INDEX(Proj[],MATCH(Table16[[#This Row],[Player]],Proj[Player],0),31),INDEX(Goalie[],MATCH(Table16[[#This Row],[Player]],Goalie[player],0),20)))</f>
        <v/>
      </c>
    </row>
    <row r="418" spans="1:9" x14ac:dyDescent="0.25">
      <c r="A418" t="s">
        <v>581</v>
      </c>
      <c r="B418" s="2" t="s">
        <v>101</v>
      </c>
      <c r="C418" t="str">
        <f t="shared" si="6"/>
        <v>LW</v>
      </c>
      <c r="D418" s="10">
        <f>MAX(_xlfn.IFNA(INDEX(Proj[],MATCH(Table16[[#This Row],[Player]],Proj[Player],0),27),-5000), _xlfn.IFNA(INDEX(Goalie[],MATCH(Table16[[#This Row],[Player]],Goalie[player],0),17),-5000))</f>
        <v>-176.97096876641638</v>
      </c>
      <c r="E418">
        <f>_xlfn.RANK.EQ(Table16[[#This Row],[VOR]],Table16[VOR])</f>
        <v>277</v>
      </c>
      <c r="F418" cm="1">
        <f t="array" ref="F418">_xlfn.IFS(C418 = "C",INDEX('C'!$A$2:$L$254,MATCH($A418,'C'!$A$2:$A$254,0),10),C418 = "LW",INDEX(LW!$A$2:$K$180,MATCH($A418,LW!$A$2:$A$180,0),10),C418 = "RW",INDEX('RW'!$A$2:$L$164,MATCH($A418,'RW'!$A$2:$A$164,0),10), C418 = "D",INDEX(D!$A$2:$L$268,MATCH($A418,D!$A$2:$A$268,0),10),C418="G",INDEX(G!$A$2:$Q$78,MATCH($A418,G!$A$2:$A$78,0),16),C418="F",INDEX(F!$A$2:$K$494,MATCH($A418,F!$A$2:$A$494,0),10))</f>
        <v>61</v>
      </c>
      <c r="G418" t="str">
        <f>_xlfn.CONCAT(C418,Table16[[#This Row],[Pos Rank2]])</f>
        <v>LW61</v>
      </c>
      <c r="H418" s="10">
        <f>MAX(_xlfn.IFNA(INDEX(Proj[],MATCH(Table16[[#This Row],[Player]],Proj[Player],0),29),-5000), _xlfn.IFNA(INDEX(Goalie[],MATCH(Table16[[#This Row],[Player]],Goalie[player],0),19),-5000))</f>
        <v>294.57375562383248</v>
      </c>
      <c r="I418" t="str">
        <f>IF(_xlfn.IFNA(INDEX(Proj[],MATCH(Table16[[#This Row],[Player]],Proj[Player],0),31),INDEX(Goalie[],MATCH(Table16[[#This Row],[Player]],Goalie[player],0),20)) = 0, "",_xlfn.IFNA(INDEX(Proj[],MATCH(Table16[[#This Row],[Player]],Proj[Player],0),31),INDEX(Goalie[],MATCH(Table16[[#This Row],[Player]],Goalie[player],0),20)))</f>
        <v/>
      </c>
    </row>
    <row r="419" spans="1:9" x14ac:dyDescent="0.25">
      <c r="A419" t="s">
        <v>360</v>
      </c>
      <c r="B419" s="2" t="s">
        <v>3</v>
      </c>
      <c r="C419" t="str">
        <f t="shared" si="6"/>
        <v>D</v>
      </c>
      <c r="D419" s="10">
        <f>MAX(_xlfn.IFNA(INDEX(Proj[],MATCH(Table16[[#This Row],[Player]],Proj[Player],0),27),-5000), _xlfn.IFNA(INDEX(Goalie[],MATCH(Table16[[#This Row],[Player]],Goalie[player],0),17),-5000))</f>
        <v>-345.16877691358627</v>
      </c>
      <c r="E419">
        <f>_xlfn.RANK.EQ(Table16[[#This Row],[VOR]],Table16[VOR])</f>
        <v>396</v>
      </c>
      <c r="F419" cm="1">
        <f t="array" ref="F419">_xlfn.IFS(C419 = "C",INDEX('C'!$A$2:$L$254,MATCH($A419,'C'!$A$2:$A$254,0),10),C419 = "LW",INDEX(LW!$A$2:$K$180,MATCH($A419,LW!$A$2:$A$180,0),10),C419 = "RW",INDEX('RW'!$A$2:$L$164,MATCH($A419,'RW'!$A$2:$A$164,0),10), C419 = "D",INDEX(D!$A$2:$L$268,MATCH($A419,D!$A$2:$A$268,0),10),C419="G",INDEX(G!$A$2:$Q$78,MATCH($A419,G!$A$2:$A$78,0),16),C419="F",INDEX(F!$A$2:$K$494,MATCH($A419,F!$A$2:$A$494,0),10))</f>
        <v>157</v>
      </c>
      <c r="G419" t="str">
        <f>_xlfn.CONCAT(C419,Table16[[#This Row],[Pos Rank2]])</f>
        <v>D157</v>
      </c>
      <c r="H419" s="10">
        <f>MAX(_xlfn.IFNA(INDEX(Proj[],MATCH(Table16[[#This Row],[Player]],Proj[Player],0),29),-5000), _xlfn.IFNA(INDEX(Goalie[],MATCH(Table16[[#This Row],[Player]],Goalie[player],0),19),-5000))</f>
        <v>-237.80400919412176</v>
      </c>
      <c r="I419" t="str">
        <f>IF(_xlfn.IFNA(INDEX(Proj[],MATCH(Table16[[#This Row],[Player]],Proj[Player],0),31),INDEX(Goalie[],MATCH(Table16[[#This Row],[Player]],Goalie[player],0),20)) = 0, "",_xlfn.IFNA(INDEX(Proj[],MATCH(Table16[[#This Row],[Player]],Proj[Player],0),31),INDEX(Goalie[],MATCH(Table16[[#This Row],[Player]],Goalie[player],0),20)))</f>
        <v/>
      </c>
    </row>
    <row r="420" spans="1:9" x14ac:dyDescent="0.25">
      <c r="A420" t="s">
        <v>620</v>
      </c>
      <c r="B420" s="2" t="s">
        <v>3</v>
      </c>
      <c r="C420" t="str">
        <f t="shared" si="6"/>
        <v>D</v>
      </c>
      <c r="D420" s="10">
        <f>MAX(_xlfn.IFNA(INDEX(Proj[],MATCH(Table16[[#This Row],[Player]],Proj[Player],0),27),-5000), _xlfn.IFNA(INDEX(Goalie[],MATCH(Table16[[#This Row],[Player]],Goalie[player],0),17),-5000))</f>
        <v>-346.00458982183397</v>
      </c>
      <c r="E420">
        <f>_xlfn.RANK.EQ(Table16[[#This Row],[VOR]],Table16[VOR])</f>
        <v>397</v>
      </c>
      <c r="F420" cm="1">
        <f t="array" ref="F420">_xlfn.IFS(C420 = "C",INDEX('C'!$A$2:$L$254,MATCH($A420,'C'!$A$2:$A$254,0),10),C420 = "LW",INDEX(LW!$A$2:$K$180,MATCH($A420,LW!$A$2:$A$180,0),10),C420 = "RW",INDEX('RW'!$A$2:$L$164,MATCH($A420,'RW'!$A$2:$A$164,0),10), C420 = "D",INDEX(D!$A$2:$L$268,MATCH($A420,D!$A$2:$A$268,0),10),C420="G",INDEX(G!$A$2:$Q$78,MATCH($A420,G!$A$2:$A$78,0),16),C420="F",INDEX(F!$A$2:$K$494,MATCH($A420,F!$A$2:$A$494,0),10))</f>
        <v>158</v>
      </c>
      <c r="G420" t="str">
        <f>_xlfn.CONCAT(C420,Table16[[#This Row],[Pos Rank2]])</f>
        <v>D158</v>
      </c>
      <c r="H420" s="10">
        <f>MAX(_xlfn.IFNA(INDEX(Proj[],MATCH(Table16[[#This Row],[Player]],Proj[Player],0),29),-5000), _xlfn.IFNA(INDEX(Goalie[],MATCH(Table16[[#This Row],[Player]],Goalie[player],0),19),-5000))</f>
        <v>-238.63982210236952</v>
      </c>
      <c r="I420" t="str">
        <f>IF(_xlfn.IFNA(INDEX(Proj[],MATCH(Table16[[#This Row],[Player]],Proj[Player],0),31),INDEX(Goalie[],MATCH(Table16[[#This Row],[Player]],Goalie[player],0),20)) = 0, "",_xlfn.IFNA(INDEX(Proj[],MATCH(Table16[[#This Row],[Player]],Proj[Player],0),31),INDEX(Goalie[],MATCH(Table16[[#This Row],[Player]],Goalie[player],0),20)))</f>
        <v/>
      </c>
    </row>
    <row r="421" spans="1:9" x14ac:dyDescent="0.25">
      <c r="A421" t="s">
        <v>924</v>
      </c>
      <c r="B421" s="2" t="s">
        <v>3</v>
      </c>
      <c r="C421" t="str">
        <f t="shared" si="6"/>
        <v>D</v>
      </c>
      <c r="D421" s="10">
        <f>MAX(_xlfn.IFNA(INDEX(Proj[],MATCH(Table16[[#This Row],[Player]],Proj[Player],0),27),-5000), _xlfn.IFNA(INDEX(Goalie[],MATCH(Table16[[#This Row],[Player]],Goalie[player],0),17),-5000))</f>
        <v>-346.16876215520301</v>
      </c>
      <c r="E421">
        <f>_xlfn.RANK.EQ(Table16[[#This Row],[VOR]],Table16[VOR])</f>
        <v>399</v>
      </c>
      <c r="F421" cm="1">
        <f t="array" ref="F421">_xlfn.IFS(C421 = "C",INDEX('C'!$A$2:$L$254,MATCH($A421,'C'!$A$2:$A$254,0),10),C421 = "LW",INDEX(LW!$A$2:$K$180,MATCH($A421,LW!$A$2:$A$180,0),10),C421 = "RW",INDEX('RW'!$A$2:$L$164,MATCH($A421,'RW'!$A$2:$A$164,0),10), C421 = "D",INDEX(D!$A$2:$L$268,MATCH($A421,D!$A$2:$A$268,0),10),C421="G",INDEX(G!$A$2:$Q$78,MATCH($A421,G!$A$2:$A$78,0),16),C421="F",INDEX(F!$A$2:$K$494,MATCH($A421,F!$A$2:$A$494,0),10))</f>
        <v>159</v>
      </c>
      <c r="G421" t="str">
        <f>_xlfn.CONCAT(C421,Table16[[#This Row],[Pos Rank2]])</f>
        <v>D159</v>
      </c>
      <c r="H421" s="10">
        <f>MAX(_xlfn.IFNA(INDEX(Proj[],MATCH(Table16[[#This Row],[Player]],Proj[Player],0),29),-5000), _xlfn.IFNA(INDEX(Goalie[],MATCH(Table16[[#This Row],[Player]],Goalie[player],0),19),-5000))</f>
        <v>-238.80399443573853</v>
      </c>
      <c r="I421" t="str">
        <f>IF(_xlfn.IFNA(INDEX(Proj[],MATCH(Table16[[#This Row],[Player]],Proj[Player],0),31),INDEX(Goalie[],MATCH(Table16[[#This Row],[Player]],Goalie[player],0),20)) = 0, "",_xlfn.IFNA(INDEX(Proj[],MATCH(Table16[[#This Row],[Player]],Proj[Player],0),31),INDEX(Goalie[],MATCH(Table16[[#This Row],[Player]],Goalie[player],0),20)))</f>
        <v/>
      </c>
    </row>
    <row r="422" spans="1:9" x14ac:dyDescent="0.25">
      <c r="A422" t="s">
        <v>510</v>
      </c>
      <c r="B422" s="2" t="s">
        <v>103</v>
      </c>
      <c r="C422" t="str">
        <f t="shared" si="6"/>
        <v>RW</v>
      </c>
      <c r="D422" s="10">
        <f>MAX(_xlfn.IFNA(INDEX(Proj[],MATCH(Table16[[#This Row],[Player]],Proj[Player],0),27),-5000), _xlfn.IFNA(INDEX(Goalie[],MATCH(Table16[[#This Row],[Player]],Goalie[player],0),17),-5000))</f>
        <v>-411.51415969785148</v>
      </c>
      <c r="E422">
        <f>_xlfn.RANK.EQ(Table16[[#This Row],[VOR]],Table16[VOR])</f>
        <v>437</v>
      </c>
      <c r="F422" cm="1">
        <f t="array" ref="F422">_xlfn.IFS(C422 = "C",INDEX('C'!$A$2:$L$254,MATCH($A422,'C'!$A$2:$A$254,0),10),C422 = "LW",INDEX(LW!$A$2:$K$180,MATCH($A422,LW!$A$2:$A$180,0),10),C422 = "RW",INDEX('RW'!$A$2:$L$164,MATCH($A422,'RW'!$A$2:$A$164,0),10), C422 = "D",INDEX(D!$A$2:$L$268,MATCH($A422,D!$A$2:$A$268,0),10),C422="G",INDEX(G!$A$2:$Q$78,MATCH($A422,G!$A$2:$A$78,0),16),C422="F",INDEX(F!$A$2:$K$494,MATCH($A422,F!$A$2:$A$494,0),10))</f>
        <v>89</v>
      </c>
      <c r="G422" t="str">
        <f>_xlfn.CONCAT(C422,Table16[[#This Row],[Pos Rank2]])</f>
        <v>RW89</v>
      </c>
      <c r="H422" s="10">
        <f>MAX(_xlfn.IFNA(INDEX(Proj[],MATCH(Table16[[#This Row],[Player]],Proj[Player],0),29),-5000), _xlfn.IFNA(INDEX(Goalie[],MATCH(Table16[[#This Row],[Player]],Goalie[player],0),19),-5000))</f>
        <v>35.030564692397348</v>
      </c>
      <c r="I422" t="str">
        <f>IF(_xlfn.IFNA(INDEX(Proj[],MATCH(Table16[[#This Row],[Player]],Proj[Player],0),31),INDEX(Goalie[],MATCH(Table16[[#This Row],[Player]],Goalie[player],0),20)) = 0, "",_xlfn.IFNA(INDEX(Proj[],MATCH(Table16[[#This Row],[Player]],Proj[Player],0),31),INDEX(Goalie[],MATCH(Table16[[#This Row],[Player]],Goalie[player],0),20)))</f>
        <v/>
      </c>
    </row>
    <row r="423" spans="1:9" x14ac:dyDescent="0.25">
      <c r="A423" t="s">
        <v>883</v>
      </c>
      <c r="B423" s="2" t="s">
        <v>1108</v>
      </c>
      <c r="C423" t="str">
        <f t="shared" si="6"/>
        <v>RW</v>
      </c>
      <c r="D423" s="10">
        <f>MAX(_xlfn.IFNA(INDEX(Proj[],MATCH(Table16[[#This Row],[Player]],Proj[Player],0),27),-5000), _xlfn.IFNA(INDEX(Goalie[],MATCH(Table16[[#This Row],[Player]],Goalie[player],0),17),-5000))</f>
        <v>-152.5224344542487</v>
      </c>
      <c r="E423">
        <f>_xlfn.RANK.EQ(Table16[[#This Row],[VOR]],Table16[VOR])</f>
        <v>260</v>
      </c>
      <c r="F423" cm="1">
        <f t="array" ref="F423">_xlfn.IFS(C423 = "C",INDEX('C'!$A$2:$L$254,MATCH($A423,'C'!$A$2:$A$254,0),10),C423 = "LW",INDEX(LW!$A$2:$K$180,MATCH($A423,LW!$A$2:$A$180,0),10),C423 = "RW",INDEX('RW'!$A$2:$L$164,MATCH($A423,'RW'!$A$2:$A$164,0),10), C423 = "D",INDEX(D!$A$2:$L$268,MATCH($A423,D!$A$2:$A$268,0),10),C423="G",INDEX(G!$A$2:$Q$78,MATCH($A423,G!$A$2:$A$78,0),16),C423="F",INDEX(F!$A$2:$K$494,MATCH($A423,F!$A$2:$A$494,0),10))</f>
        <v>52</v>
      </c>
      <c r="G423" t="str">
        <f>_xlfn.CONCAT(C423,Table16[[#This Row],[Pos Rank2]])</f>
        <v>RW52</v>
      </c>
      <c r="H423" s="10">
        <f>MAX(_xlfn.IFNA(INDEX(Proj[],MATCH(Table16[[#This Row],[Player]],Proj[Player],0),29),-5000), _xlfn.IFNA(INDEX(Goalie[],MATCH(Table16[[#This Row],[Player]],Goalie[player],0),19),-5000))</f>
        <v>294.02228993600016</v>
      </c>
      <c r="I423" t="str">
        <f>IF(_xlfn.IFNA(INDEX(Proj[],MATCH(Table16[[#This Row],[Player]],Proj[Player],0),31),INDEX(Goalie[],MATCH(Table16[[#This Row],[Player]],Goalie[player],0),20)) = 0, "",_xlfn.IFNA(INDEX(Proj[],MATCH(Table16[[#This Row],[Player]],Proj[Player],0),31),INDEX(Goalie[],MATCH(Table16[[#This Row],[Player]],Goalie[player],0),20)))</f>
        <v/>
      </c>
    </row>
    <row r="424" spans="1:9" x14ac:dyDescent="0.25">
      <c r="A424" t="s">
        <v>499</v>
      </c>
      <c r="B424" s="2" t="s">
        <v>74</v>
      </c>
      <c r="C424" t="str">
        <f t="shared" si="6"/>
        <v>C</v>
      </c>
      <c r="D424" s="10">
        <f>MAX(_xlfn.IFNA(INDEX(Proj[],MATCH(Table16[[#This Row],[Player]],Proj[Player],0),27),-5000), _xlfn.IFNA(INDEX(Goalie[],MATCH(Table16[[#This Row],[Player]],Goalie[player],0),17),-5000))</f>
        <v>-324.80505178013033</v>
      </c>
      <c r="E424">
        <f>_xlfn.RANK.EQ(Table16[[#This Row],[VOR]],Table16[VOR])</f>
        <v>379</v>
      </c>
      <c r="F424" cm="1">
        <f t="array" ref="F424">_xlfn.IFS(C424 = "C",INDEX('C'!$A$2:$L$254,MATCH($A424,'C'!$A$2:$A$254,0),10),C424 = "LW",INDEX(LW!$A$2:$K$180,MATCH($A424,LW!$A$2:$A$180,0),10),C424 = "RW",INDEX('RW'!$A$2:$L$164,MATCH($A424,'RW'!$A$2:$A$164,0),10), C424 = "D",INDEX(D!$A$2:$L$268,MATCH($A424,D!$A$2:$A$268,0),10),C424="G",INDEX(G!$A$2:$Q$78,MATCH($A424,G!$A$2:$A$78,0),16),C424="F",INDEX(F!$A$2:$K$494,MATCH($A424,F!$A$2:$A$494,0),10))</f>
        <v>77</v>
      </c>
      <c r="G424" t="str">
        <f>_xlfn.CONCAT(C424,Table16[[#This Row],[Pos Rank2]])</f>
        <v>C77</v>
      </c>
      <c r="H424" s="10">
        <f>MAX(_xlfn.IFNA(INDEX(Proj[],MATCH(Table16[[#This Row],[Player]],Proj[Player],0),29),-5000), _xlfn.IFNA(INDEX(Goalie[],MATCH(Table16[[#This Row],[Player]],Goalie[player],0),19),-5000))</f>
        <v>409.82880253016828</v>
      </c>
      <c r="I424" t="str">
        <f>IF(_xlfn.IFNA(INDEX(Proj[],MATCH(Table16[[#This Row],[Player]],Proj[Player],0),31),INDEX(Goalie[],MATCH(Table16[[#This Row],[Player]],Goalie[player],0),20)) = 0, "",_xlfn.IFNA(INDEX(Proj[],MATCH(Table16[[#This Row],[Player]],Proj[Player],0),31),INDEX(Goalie[],MATCH(Table16[[#This Row],[Player]],Goalie[player],0),20)))</f>
        <v/>
      </c>
    </row>
    <row r="425" spans="1:9" x14ac:dyDescent="0.25">
      <c r="A425" t="s">
        <v>577</v>
      </c>
      <c r="B425" s="2" t="s">
        <v>3</v>
      </c>
      <c r="C425" t="str">
        <f t="shared" si="6"/>
        <v>D</v>
      </c>
      <c r="D425" s="10">
        <f>MAX(_xlfn.IFNA(INDEX(Proj[],MATCH(Table16[[#This Row],[Player]],Proj[Player],0),27),-5000), _xlfn.IFNA(INDEX(Goalie[],MATCH(Table16[[#This Row],[Player]],Goalie[player],0),17),-5000))</f>
        <v>-350.10210191116596</v>
      </c>
      <c r="E425">
        <f>_xlfn.RANK.EQ(Table16[[#This Row],[VOR]],Table16[VOR])</f>
        <v>404</v>
      </c>
      <c r="F425" cm="1">
        <f t="array" ref="F425">_xlfn.IFS(C425 = "C",INDEX('C'!$A$2:$L$254,MATCH($A425,'C'!$A$2:$A$254,0),10),C425 = "LW",INDEX(LW!$A$2:$K$180,MATCH($A425,LW!$A$2:$A$180,0),10),C425 = "RW",INDEX('RW'!$A$2:$L$164,MATCH($A425,'RW'!$A$2:$A$164,0),10), C425 = "D",INDEX(D!$A$2:$L$268,MATCH($A425,D!$A$2:$A$268,0),10),C425="G",INDEX(G!$A$2:$Q$78,MATCH($A425,G!$A$2:$A$78,0),16),C425="F",INDEX(F!$A$2:$K$494,MATCH($A425,F!$A$2:$A$494,0),10))</f>
        <v>160</v>
      </c>
      <c r="G425" t="str">
        <f>_xlfn.CONCAT(C425,Table16[[#This Row],[Pos Rank2]])</f>
        <v>D160</v>
      </c>
      <c r="H425" s="10">
        <f>MAX(_xlfn.IFNA(INDEX(Proj[],MATCH(Table16[[#This Row],[Player]],Proj[Player],0),29),-5000), _xlfn.IFNA(INDEX(Goalie[],MATCH(Table16[[#This Row],[Player]],Goalie[player],0),19),-5000))</f>
        <v>-242.73733419170145</v>
      </c>
      <c r="I425" t="str">
        <f>IF(_xlfn.IFNA(INDEX(Proj[],MATCH(Table16[[#This Row],[Player]],Proj[Player],0),31),INDEX(Goalie[],MATCH(Table16[[#This Row],[Player]],Goalie[player],0),20)) = 0, "",_xlfn.IFNA(INDEX(Proj[],MATCH(Table16[[#This Row],[Player]],Proj[Player],0),31),INDEX(Goalie[],MATCH(Table16[[#This Row],[Player]],Goalie[player],0),20)))</f>
        <v/>
      </c>
    </row>
    <row r="426" spans="1:9" x14ac:dyDescent="0.25">
      <c r="A426" t="s">
        <v>181</v>
      </c>
      <c r="B426" s="2" t="s">
        <v>157</v>
      </c>
      <c r="C426" t="str">
        <f t="shared" si="6"/>
        <v>G</v>
      </c>
      <c r="D426" s="10">
        <f>MAX(_xlfn.IFNA(INDEX(Proj[],MATCH(Table16[[#This Row],[Player]],Proj[Player],0),27),-5000), _xlfn.IFNA(INDEX(Goalie[],MATCH(Table16[[#This Row],[Player]],Goalie[player],0),17),-5000))</f>
        <v>-382.94028628889538</v>
      </c>
      <c r="E426">
        <f>_xlfn.RANK.EQ(Table16[[#This Row],[VOR]],Table16[VOR])</f>
        <v>423</v>
      </c>
      <c r="F426" cm="1">
        <f t="array" ref="F426">_xlfn.IFS(C426 = "C",INDEX('C'!$A$2:$L$254,MATCH($A426,'C'!$A$2:$A$254,0),10),C426 = "LW",INDEX(LW!$A$2:$K$180,MATCH($A426,LW!$A$2:$A$180,0),10),C426 = "RW",INDEX('RW'!$A$2:$L$164,MATCH($A426,'RW'!$A$2:$A$164,0),10), C426 = "D",INDEX(D!$A$2:$L$268,MATCH($A426,D!$A$2:$A$268,0),10),C426="G",INDEX(G!$A$2:$Q$78,MATCH($A426,G!$A$2:$A$78,0),16),C426="F",INDEX(F!$A$2:$K$494,MATCH($A426,F!$A$2:$A$494,0),10))</f>
        <v>60</v>
      </c>
      <c r="G426" t="str">
        <f>_xlfn.CONCAT(C426,Table16[[#This Row],[Pos Rank2]])</f>
        <v>G60</v>
      </c>
      <c r="H426" s="10">
        <f>MAX(_xlfn.IFNA(INDEX(Proj[],MATCH(Table16[[#This Row],[Player]],Proj[Player],0),29),-5000), _xlfn.IFNA(INDEX(Goalie[],MATCH(Table16[[#This Row],[Player]],Goalie[player],0),19),-5000))</f>
        <v>281.74880000000002</v>
      </c>
      <c r="I426" t="str">
        <f>IF(_xlfn.IFNA(INDEX(Proj[],MATCH(Table16[[#This Row],[Player]],Proj[Player],0),31),INDEX(Goalie[],MATCH(Table16[[#This Row],[Player]],Goalie[player],0),20)) = 0, "",_xlfn.IFNA(INDEX(Proj[],MATCH(Table16[[#This Row],[Player]],Proj[Player],0),31),INDEX(Goalie[],MATCH(Table16[[#This Row],[Player]],Goalie[player],0),20)))</f>
        <v/>
      </c>
    </row>
    <row r="427" spans="1:9" x14ac:dyDescent="0.25">
      <c r="A427" t="s">
        <v>860</v>
      </c>
      <c r="B427" s="2" t="s">
        <v>103</v>
      </c>
      <c r="C427" t="str">
        <f t="shared" si="6"/>
        <v>RW</v>
      </c>
      <c r="D427" s="10">
        <f>MAX(_xlfn.IFNA(INDEX(Proj[],MATCH(Table16[[#This Row],[Player]],Proj[Player],0),27),-5000), _xlfn.IFNA(INDEX(Goalie[],MATCH(Table16[[#This Row],[Player]],Goalie[player],0),17),-5000))</f>
        <v>-418.11743934173393</v>
      </c>
      <c r="E427">
        <f>_xlfn.RANK.EQ(Table16[[#This Row],[VOR]],Table16[VOR])</f>
        <v>444</v>
      </c>
      <c r="F427" cm="1">
        <f t="array" ref="F427">_xlfn.IFS(C427 = "C",INDEX('C'!$A$2:$L$254,MATCH($A427,'C'!$A$2:$A$254,0),10),C427 = "LW",INDEX(LW!$A$2:$K$180,MATCH($A427,LW!$A$2:$A$180,0),10),C427 = "RW",INDEX('RW'!$A$2:$L$164,MATCH($A427,'RW'!$A$2:$A$164,0),10), C427 = "D",INDEX(D!$A$2:$L$268,MATCH($A427,D!$A$2:$A$268,0),10),C427="G",INDEX(G!$A$2:$Q$78,MATCH($A427,G!$A$2:$A$78,0),16),C427="F",INDEX(F!$A$2:$K$494,MATCH($A427,F!$A$2:$A$494,0),10))</f>
        <v>90</v>
      </c>
      <c r="G427" t="str">
        <f>_xlfn.CONCAT(C427,Table16[[#This Row],[Pos Rank2]])</f>
        <v>RW90</v>
      </c>
      <c r="H427" s="10">
        <f>MAX(_xlfn.IFNA(INDEX(Proj[],MATCH(Table16[[#This Row],[Player]],Proj[Player],0),29),-5000), _xlfn.IFNA(INDEX(Goalie[],MATCH(Table16[[#This Row],[Player]],Goalie[player],0),19),-5000))</f>
        <v>28.427285048514918</v>
      </c>
      <c r="I427" t="str">
        <f>IF(_xlfn.IFNA(INDEX(Proj[],MATCH(Table16[[#This Row],[Player]],Proj[Player],0),31),INDEX(Goalie[],MATCH(Table16[[#This Row],[Player]],Goalie[player],0),20)) = 0, "",_xlfn.IFNA(INDEX(Proj[],MATCH(Table16[[#This Row],[Player]],Proj[Player],0),31),INDEX(Goalie[],MATCH(Table16[[#This Row],[Player]],Goalie[player],0),20)))</f>
        <v/>
      </c>
    </row>
    <row r="428" spans="1:9" x14ac:dyDescent="0.25">
      <c r="A428" t="s">
        <v>1246</v>
      </c>
      <c r="B428" s="2" t="s">
        <v>157</v>
      </c>
      <c r="C428" t="str">
        <f t="shared" si="6"/>
        <v>G</v>
      </c>
      <c r="D428" s="10">
        <f>MAX(_xlfn.IFNA(INDEX(Proj[],MATCH(Table16[[#This Row],[Player]],Proj[Player],0),27),-5000), _xlfn.IFNA(INDEX(Goalie[],MATCH(Table16[[#This Row],[Player]],Goalie[player],0),17),-5000))</f>
        <v>-390.34566903300271</v>
      </c>
      <c r="E428">
        <f>_xlfn.RANK.EQ(Table16[[#This Row],[VOR]],Table16[VOR])</f>
        <v>429</v>
      </c>
      <c r="F428" cm="1">
        <f t="array" ref="F428">_xlfn.IFS(C428 = "C",INDEX('C'!$A$2:$L$254,MATCH($A428,'C'!$A$2:$A$254,0),10),C428 = "LW",INDEX(LW!$A$2:$K$180,MATCH($A428,LW!$A$2:$A$180,0),10),C428 = "RW",INDEX('RW'!$A$2:$L$164,MATCH($A428,'RW'!$A$2:$A$164,0),10), C428 = "D",INDEX(D!$A$2:$L$268,MATCH($A428,D!$A$2:$A$268,0),10),C428="G",INDEX(G!$A$2:$Q$78,MATCH($A428,G!$A$2:$A$78,0),16),C428="F",INDEX(F!$A$2:$K$494,MATCH($A428,F!$A$2:$A$494,0),10))</f>
        <v>61</v>
      </c>
      <c r="G428" t="str">
        <f>_xlfn.CONCAT(C428,Table16[[#This Row],[Pos Rank2]])</f>
        <v>G61</v>
      </c>
      <c r="H428" s="10">
        <f>MAX(_xlfn.IFNA(INDEX(Proj[],MATCH(Table16[[#This Row],[Player]],Proj[Player],0),29),-5000), _xlfn.IFNA(INDEX(Goalie[],MATCH(Table16[[#This Row],[Player]],Goalie[player],0),19),-5000))</f>
        <v>347.9326999999999</v>
      </c>
      <c r="I428" t="str">
        <f>IF(_xlfn.IFNA(INDEX(Proj[],MATCH(Table16[[#This Row],[Player]],Proj[Player],0),31),INDEX(Goalie[],MATCH(Table16[[#This Row],[Player]],Goalie[player],0),20)) = 0, "",_xlfn.IFNA(INDEX(Proj[],MATCH(Table16[[#This Row],[Player]],Proj[Player],0),31),INDEX(Goalie[],MATCH(Table16[[#This Row],[Player]],Goalie[player],0),20)))</f>
        <v/>
      </c>
    </row>
    <row r="429" spans="1:9" x14ac:dyDescent="0.25">
      <c r="A429" t="s">
        <v>1198</v>
      </c>
      <c r="B429" s="2" t="s">
        <v>3</v>
      </c>
      <c r="C429" t="str">
        <f t="shared" si="6"/>
        <v>D</v>
      </c>
      <c r="D429" s="10">
        <f>MAX(_xlfn.IFNA(INDEX(Proj[],MATCH(Table16[[#This Row],[Player]],Proj[Player],0),27),-5000), _xlfn.IFNA(INDEX(Goalie[],MATCH(Table16[[#This Row],[Player]],Goalie[player],0),17),-5000))</f>
        <v>-360.20653247985808</v>
      </c>
      <c r="E429">
        <f>_xlfn.RANK.EQ(Table16[[#This Row],[VOR]],Table16[VOR])</f>
        <v>409</v>
      </c>
      <c r="F429" cm="1">
        <f t="array" ref="F429">_xlfn.IFS(C429 = "C",INDEX('C'!$A$2:$L$254,MATCH($A429,'C'!$A$2:$A$254,0),10),C429 = "LW",INDEX(LW!$A$2:$K$180,MATCH($A429,LW!$A$2:$A$180,0),10),C429 = "RW",INDEX('RW'!$A$2:$L$164,MATCH($A429,'RW'!$A$2:$A$164,0),10), C429 = "D",INDEX(D!$A$2:$L$268,MATCH($A429,D!$A$2:$A$268,0),10),C429="G",INDEX(G!$A$2:$Q$78,MATCH($A429,G!$A$2:$A$78,0),16),C429="F",INDEX(F!$A$2:$K$494,MATCH($A429,F!$A$2:$A$494,0),10))</f>
        <v>162</v>
      </c>
      <c r="G429" t="str">
        <f>_xlfn.CONCAT(C429,Table16[[#This Row],[Pos Rank2]])</f>
        <v>D162</v>
      </c>
      <c r="H429" s="10">
        <f>MAX(_xlfn.IFNA(INDEX(Proj[],MATCH(Table16[[#This Row],[Player]],Proj[Player],0),29),-5000), _xlfn.IFNA(INDEX(Goalie[],MATCH(Table16[[#This Row],[Player]],Goalie[player],0),19),-5000))</f>
        <v>-252.8417647603936</v>
      </c>
      <c r="I429" t="str">
        <f>IF(_xlfn.IFNA(INDEX(Proj[],MATCH(Table16[[#This Row],[Player]],Proj[Player],0),31),INDEX(Goalie[],MATCH(Table16[[#This Row],[Player]],Goalie[player],0),20)) = 0, "",_xlfn.IFNA(INDEX(Proj[],MATCH(Table16[[#This Row],[Player]],Proj[Player],0),31),INDEX(Goalie[],MATCH(Table16[[#This Row],[Player]],Goalie[player],0),20)))</f>
        <v/>
      </c>
    </row>
    <row r="430" spans="1:9" x14ac:dyDescent="0.25">
      <c r="A430" t="s">
        <v>1221</v>
      </c>
      <c r="B430" s="2" t="s">
        <v>74</v>
      </c>
      <c r="C430" t="str">
        <f t="shared" si="6"/>
        <v>C</v>
      </c>
      <c r="D430" s="10">
        <f>MAX(_xlfn.IFNA(INDEX(Proj[],MATCH(Table16[[#This Row],[Player]],Proj[Player],0),27),-5000), _xlfn.IFNA(INDEX(Goalie[],MATCH(Table16[[#This Row],[Player]],Goalie[player],0),17),-5000))</f>
        <v>-511.97886358375956</v>
      </c>
      <c r="E430">
        <f>_xlfn.RANK.EQ(Table16[[#This Row],[VOR]],Table16[VOR])</f>
        <v>496</v>
      </c>
      <c r="F430" cm="1">
        <f t="array" ref="F430">_xlfn.IFS(C430 = "C",INDEX('C'!$A$2:$L$254,MATCH($A430,'C'!$A$2:$A$254,0),10),C430 = "LW",INDEX(LW!$A$2:$K$180,MATCH($A430,LW!$A$2:$A$180,0),10),C430 = "RW",INDEX('RW'!$A$2:$L$164,MATCH($A430,'RW'!$A$2:$A$164,0),10), C430 = "D",INDEX(D!$A$2:$L$268,MATCH($A430,D!$A$2:$A$268,0),10),C430="G",INDEX(G!$A$2:$Q$78,MATCH($A430,G!$A$2:$A$78,0),16),C430="F",INDEX(F!$A$2:$K$494,MATCH($A430,F!$A$2:$A$494,0),10))</f>
        <v>111</v>
      </c>
      <c r="G430" t="str">
        <f>_xlfn.CONCAT(C430,Table16[[#This Row],[Pos Rank2]])</f>
        <v>C111</v>
      </c>
      <c r="H430" s="10">
        <f>MAX(_xlfn.IFNA(INDEX(Proj[],MATCH(Table16[[#This Row],[Player]],Proj[Player],0),29),-5000), _xlfn.IFNA(INDEX(Goalie[],MATCH(Table16[[#This Row],[Player]],Goalie[player],0),19),-5000))</f>
        <v>222.65499072653904</v>
      </c>
      <c r="I430" t="str">
        <f>IF(_xlfn.IFNA(INDEX(Proj[],MATCH(Table16[[#This Row],[Player]],Proj[Player],0),31),INDEX(Goalie[],MATCH(Table16[[#This Row],[Player]],Goalie[player],0),20)) = 0, "",_xlfn.IFNA(INDEX(Proj[],MATCH(Table16[[#This Row],[Player]],Proj[Player],0),31),INDEX(Goalie[],MATCH(Table16[[#This Row],[Player]],Goalie[player],0),20)))</f>
        <v/>
      </c>
    </row>
    <row r="431" spans="1:9" x14ac:dyDescent="0.25">
      <c r="A431" t="s">
        <v>432</v>
      </c>
      <c r="B431" s="2" t="s">
        <v>3</v>
      </c>
      <c r="C431" t="str">
        <f t="shared" si="6"/>
        <v>D</v>
      </c>
      <c r="D431" s="10">
        <f>MAX(_xlfn.IFNA(INDEX(Proj[],MATCH(Table16[[#This Row],[Player]],Proj[Player],0),27),-5000), _xlfn.IFNA(INDEX(Goalie[],MATCH(Table16[[#This Row],[Player]],Goalie[player],0),17),-5000))</f>
        <v>-364.3533575018896</v>
      </c>
      <c r="E431">
        <f>_xlfn.RANK.EQ(Table16[[#This Row],[VOR]],Table16[VOR])</f>
        <v>412</v>
      </c>
      <c r="F431" cm="1">
        <f t="array" ref="F431">_xlfn.IFS(C431 = "C",INDEX('C'!$A$2:$L$254,MATCH($A431,'C'!$A$2:$A$254,0),10),C431 = "LW",INDEX(LW!$A$2:$K$180,MATCH($A431,LW!$A$2:$A$180,0),10),C431 = "RW",INDEX('RW'!$A$2:$L$164,MATCH($A431,'RW'!$A$2:$A$164,0),10), C431 = "D",INDEX(D!$A$2:$L$268,MATCH($A431,D!$A$2:$A$268,0),10),C431="G",INDEX(G!$A$2:$Q$78,MATCH($A431,G!$A$2:$A$78,0),16),C431="F",INDEX(F!$A$2:$K$494,MATCH($A431,F!$A$2:$A$494,0),10))</f>
        <v>163</v>
      </c>
      <c r="G431" t="str">
        <f>_xlfn.CONCAT(C431,Table16[[#This Row],[Pos Rank2]])</f>
        <v>D163</v>
      </c>
      <c r="H431" s="10">
        <f>MAX(_xlfn.IFNA(INDEX(Proj[],MATCH(Table16[[#This Row],[Player]],Proj[Player],0),29),-5000), _xlfn.IFNA(INDEX(Goalie[],MATCH(Table16[[#This Row],[Player]],Goalie[player],0),19),-5000))</f>
        <v>-256.98858978242515</v>
      </c>
      <c r="I431" t="str">
        <f>IF(_xlfn.IFNA(INDEX(Proj[],MATCH(Table16[[#This Row],[Player]],Proj[Player],0),31),INDEX(Goalie[],MATCH(Table16[[#This Row],[Player]],Goalie[player],0),20)) = 0, "",_xlfn.IFNA(INDEX(Proj[],MATCH(Table16[[#This Row],[Player]],Proj[Player],0),31),INDEX(Goalie[],MATCH(Table16[[#This Row],[Player]],Goalie[player],0),20)))</f>
        <v/>
      </c>
    </row>
    <row r="432" spans="1:9" x14ac:dyDescent="0.25">
      <c r="A432" t="s">
        <v>562</v>
      </c>
      <c r="B432" s="2" t="s">
        <v>105</v>
      </c>
      <c r="C432" t="str">
        <f t="shared" si="6"/>
        <v>RW</v>
      </c>
      <c r="D432" s="10">
        <f>MAX(_xlfn.IFNA(INDEX(Proj[],MATCH(Table16[[#This Row],[Player]],Proj[Player],0),27),-5000), _xlfn.IFNA(INDEX(Goalie[],MATCH(Table16[[#This Row],[Player]],Goalie[player],0),17),-5000))</f>
        <v>-213.47167946788318</v>
      </c>
      <c r="E432">
        <f>_xlfn.RANK.EQ(Table16[[#This Row],[VOR]],Table16[VOR])</f>
        <v>302</v>
      </c>
      <c r="F432" cm="1">
        <f t="array" ref="F432">_xlfn.IFS(C432 = "C",INDEX('C'!$A$2:$L$254,MATCH($A432,'C'!$A$2:$A$254,0),10),C432 = "LW",INDEX(LW!$A$2:$K$180,MATCH($A432,LW!$A$2:$A$180,0),10),C432 = "RW",INDEX('RW'!$A$2:$L$164,MATCH($A432,'RW'!$A$2:$A$164,0),10), C432 = "D",INDEX(D!$A$2:$L$268,MATCH($A432,D!$A$2:$A$268,0),10),C432="G",INDEX(G!$A$2:$Q$78,MATCH($A432,G!$A$2:$A$78,0),16),C432="F",INDEX(F!$A$2:$K$494,MATCH($A432,F!$A$2:$A$494,0),10))</f>
        <v>58</v>
      </c>
      <c r="G432" t="str">
        <f>_xlfn.CONCAT(C432,Table16[[#This Row],[Pos Rank2]])</f>
        <v>RW58</v>
      </c>
      <c r="H432" s="10">
        <f>MAX(_xlfn.IFNA(INDEX(Proj[],MATCH(Table16[[#This Row],[Player]],Proj[Player],0),29),-5000), _xlfn.IFNA(INDEX(Goalie[],MATCH(Table16[[#This Row],[Player]],Goalie[player],0),19),-5000))</f>
        <v>233.07304492236568</v>
      </c>
      <c r="I432" t="str">
        <f>IF(_xlfn.IFNA(INDEX(Proj[],MATCH(Table16[[#This Row],[Player]],Proj[Player],0),31),INDEX(Goalie[],MATCH(Table16[[#This Row],[Player]],Goalie[player],0),20)) = 0, "",_xlfn.IFNA(INDEX(Proj[],MATCH(Table16[[#This Row],[Player]],Proj[Player],0),31),INDEX(Goalie[],MATCH(Table16[[#This Row],[Player]],Goalie[player],0),20)))</f>
        <v/>
      </c>
    </row>
    <row r="433" spans="1:9" x14ac:dyDescent="0.25">
      <c r="A433" t="s">
        <v>426</v>
      </c>
      <c r="B433" s="2" t="s">
        <v>102</v>
      </c>
      <c r="C433" t="str">
        <f t="shared" si="6"/>
        <v>LW</v>
      </c>
      <c r="D433" s="10">
        <f>MAX(_xlfn.IFNA(INDEX(Proj[],MATCH(Table16[[#This Row],[Player]],Proj[Player],0),27),-5000), _xlfn.IFNA(INDEX(Goalie[],MATCH(Table16[[#This Row],[Player]],Goalie[player],0),17),-5000))</f>
        <v>-439.61660238569533</v>
      </c>
      <c r="E433">
        <f>_xlfn.RANK.EQ(Table16[[#This Row],[VOR]],Table16[VOR])</f>
        <v>452</v>
      </c>
      <c r="F433" cm="1">
        <f t="array" ref="F433">_xlfn.IFS(C433 = "C",INDEX('C'!$A$2:$L$254,MATCH($A433,'C'!$A$2:$A$254,0),10),C433 = "LW",INDEX(LW!$A$2:$K$180,MATCH($A433,LW!$A$2:$A$180,0),10),C433 = "RW",INDEX('RW'!$A$2:$L$164,MATCH($A433,'RW'!$A$2:$A$164,0),10), C433 = "D",INDEX(D!$A$2:$L$268,MATCH($A433,D!$A$2:$A$268,0),10),C433="G",INDEX(G!$A$2:$Q$78,MATCH($A433,G!$A$2:$A$78,0),16),C433="F",INDEX(F!$A$2:$K$494,MATCH($A433,F!$A$2:$A$494,0),10))</f>
        <v>99</v>
      </c>
      <c r="G433" t="str">
        <f>_xlfn.CONCAT(C433,Table16[[#This Row],[Pos Rank2]])</f>
        <v>LW99</v>
      </c>
      <c r="H433" s="10">
        <f>MAX(_xlfn.IFNA(INDEX(Proj[],MATCH(Table16[[#This Row],[Player]],Proj[Player],0),29),-5000), _xlfn.IFNA(INDEX(Goalie[],MATCH(Table16[[#This Row],[Player]],Goalie[player],0),19),-5000))</f>
        <v>31.928122004553554</v>
      </c>
      <c r="I433" t="str">
        <f>IF(_xlfn.IFNA(INDEX(Proj[],MATCH(Table16[[#This Row],[Player]],Proj[Player],0),31),INDEX(Goalie[],MATCH(Table16[[#This Row],[Player]],Goalie[player],0),20)) = 0, "",_xlfn.IFNA(INDEX(Proj[],MATCH(Table16[[#This Row],[Player]],Proj[Player],0),31),INDEX(Goalie[],MATCH(Table16[[#This Row],[Player]],Goalie[player],0),20)))</f>
        <v/>
      </c>
    </row>
    <row r="434" spans="1:9" x14ac:dyDescent="0.25">
      <c r="A434" t="s">
        <v>747</v>
      </c>
      <c r="B434" s="2" t="s">
        <v>105</v>
      </c>
      <c r="C434" t="str">
        <f t="shared" si="6"/>
        <v>RW</v>
      </c>
      <c r="D434" s="10">
        <f>MAX(_xlfn.IFNA(INDEX(Proj[],MATCH(Table16[[#This Row],[Player]],Proj[Player],0),27),-5000), _xlfn.IFNA(INDEX(Goalie[],MATCH(Table16[[#This Row],[Player]],Goalie[player],0),17),-5000))</f>
        <v>-383.25385212019086</v>
      </c>
      <c r="E434">
        <f>_xlfn.RANK.EQ(Table16[[#This Row],[VOR]],Table16[VOR])</f>
        <v>424</v>
      </c>
      <c r="F434" cm="1">
        <f t="array" ref="F434">_xlfn.IFS(C434 = "C",INDEX('C'!$A$2:$L$254,MATCH($A434,'C'!$A$2:$A$254,0),10),C434 = "LW",INDEX(LW!$A$2:$K$180,MATCH($A434,LW!$A$2:$A$180,0),10),C434 = "RW",INDEX('RW'!$A$2:$L$164,MATCH($A434,'RW'!$A$2:$A$164,0),10), C434 = "D",INDEX(D!$A$2:$L$268,MATCH($A434,D!$A$2:$A$268,0),10),C434="G",INDEX(G!$A$2:$Q$78,MATCH($A434,G!$A$2:$A$78,0),16),C434="F",INDEX(F!$A$2:$K$494,MATCH($A434,F!$A$2:$A$494,0),10))</f>
        <v>85</v>
      </c>
      <c r="G434" t="str">
        <f>_xlfn.CONCAT(C434,Table16[[#This Row],[Pos Rank2]])</f>
        <v>RW85</v>
      </c>
      <c r="H434" s="10">
        <f>MAX(_xlfn.IFNA(INDEX(Proj[],MATCH(Table16[[#This Row],[Player]],Proj[Player],0),29),-5000), _xlfn.IFNA(INDEX(Goalie[],MATCH(Table16[[#This Row],[Player]],Goalie[player],0),19),-5000))</f>
        <v>63.29087227005801</v>
      </c>
      <c r="I434" t="str">
        <f>IF(_xlfn.IFNA(INDEX(Proj[],MATCH(Table16[[#This Row],[Player]],Proj[Player],0),31),INDEX(Goalie[],MATCH(Table16[[#This Row],[Player]],Goalie[player],0),20)) = 0, "",_xlfn.IFNA(INDEX(Proj[],MATCH(Table16[[#This Row],[Player]],Proj[Player],0),31),INDEX(Goalie[],MATCH(Table16[[#This Row],[Player]],Goalie[player],0),20)))</f>
        <v/>
      </c>
    </row>
    <row r="435" spans="1:9" x14ac:dyDescent="0.25">
      <c r="A435" t="s">
        <v>460</v>
      </c>
      <c r="B435" s="2" t="s">
        <v>101</v>
      </c>
      <c r="C435" t="str">
        <f t="shared" si="6"/>
        <v>LW</v>
      </c>
      <c r="D435" s="10">
        <f>MAX(_xlfn.IFNA(INDEX(Proj[],MATCH(Table16[[#This Row],[Player]],Proj[Player],0),27),-5000), _xlfn.IFNA(INDEX(Goalie[],MATCH(Table16[[#This Row],[Player]],Goalie[player],0),17),-5000))</f>
        <v>-410.40609273088944</v>
      </c>
      <c r="E435">
        <f>_xlfn.RANK.EQ(Table16[[#This Row],[VOR]],Table16[VOR])</f>
        <v>436</v>
      </c>
      <c r="F435" cm="1">
        <f t="array" ref="F435">_xlfn.IFS(C435 = "C",INDEX('C'!$A$2:$L$254,MATCH($A435,'C'!$A$2:$A$254,0),10),C435 = "LW",INDEX(LW!$A$2:$K$180,MATCH($A435,LW!$A$2:$A$180,0),10),C435 = "RW",INDEX('RW'!$A$2:$L$164,MATCH($A435,'RW'!$A$2:$A$164,0),10), C435 = "D",INDEX(D!$A$2:$L$268,MATCH($A435,D!$A$2:$A$268,0),10),C435="G",INDEX(G!$A$2:$Q$78,MATCH($A435,G!$A$2:$A$78,0),16),C435="F",INDEX(F!$A$2:$K$494,MATCH($A435,F!$A$2:$A$494,0),10))</f>
        <v>97</v>
      </c>
      <c r="G435" t="str">
        <f>_xlfn.CONCAT(C435,Table16[[#This Row],[Pos Rank2]])</f>
        <v>LW97</v>
      </c>
      <c r="H435" s="10">
        <f>MAX(_xlfn.IFNA(INDEX(Proj[],MATCH(Table16[[#This Row],[Player]],Proj[Player],0),29),-5000), _xlfn.IFNA(INDEX(Goalie[],MATCH(Table16[[#This Row],[Player]],Goalie[player],0),19),-5000))</f>
        <v>61.138631659359419</v>
      </c>
      <c r="I435" t="str">
        <f>IF(_xlfn.IFNA(INDEX(Proj[],MATCH(Table16[[#This Row],[Player]],Proj[Player],0),31),INDEX(Goalie[],MATCH(Table16[[#This Row],[Player]],Goalie[player],0),20)) = 0, "",_xlfn.IFNA(INDEX(Proj[],MATCH(Table16[[#This Row],[Player]],Proj[Player],0),31),INDEX(Goalie[],MATCH(Table16[[#This Row],[Player]],Goalie[player],0),20)))</f>
        <v/>
      </c>
    </row>
    <row r="436" spans="1:9" x14ac:dyDescent="0.25">
      <c r="A436" t="s">
        <v>579</v>
      </c>
      <c r="B436" s="2" t="s">
        <v>74</v>
      </c>
      <c r="C436" t="str">
        <f t="shared" si="6"/>
        <v>C</v>
      </c>
      <c r="D436" s="10">
        <f>MAX(_xlfn.IFNA(INDEX(Proj[],MATCH(Table16[[#This Row],[Player]],Proj[Player],0),27),-5000), _xlfn.IFNA(INDEX(Goalie[],MATCH(Table16[[#This Row],[Player]],Goalie[player],0),17),-5000))</f>
        <v>-621.3432898034024</v>
      </c>
      <c r="E436">
        <f>_xlfn.RANK.EQ(Table16[[#This Row],[VOR]],Table16[VOR])</f>
        <v>558</v>
      </c>
      <c r="F436" cm="1">
        <f t="array" ref="F436">_xlfn.IFS(C436 = "C",INDEX('C'!$A$2:$L$254,MATCH($A436,'C'!$A$2:$A$254,0),10),C436 = "LW",INDEX(LW!$A$2:$K$180,MATCH($A436,LW!$A$2:$A$180,0),10),C436 = "RW",INDEX('RW'!$A$2:$L$164,MATCH($A436,'RW'!$A$2:$A$164,0),10), C436 = "D",INDEX(D!$A$2:$L$268,MATCH($A436,D!$A$2:$A$268,0),10),C436="G",INDEX(G!$A$2:$Q$78,MATCH($A436,G!$A$2:$A$78,0),16),C436="F",INDEX(F!$A$2:$K$494,MATCH($A436,F!$A$2:$A$494,0),10))</f>
        <v>127</v>
      </c>
      <c r="G436" t="str">
        <f>_xlfn.CONCAT(C436,Table16[[#This Row],[Pos Rank2]])</f>
        <v>C127</v>
      </c>
      <c r="H436" s="10">
        <f>MAX(_xlfn.IFNA(INDEX(Proj[],MATCH(Table16[[#This Row],[Player]],Proj[Player],0),29),-5000), _xlfn.IFNA(INDEX(Goalie[],MATCH(Table16[[#This Row],[Player]],Goalie[player],0),19),-5000))</f>
        <v>113.29056450689619</v>
      </c>
      <c r="I436" t="str">
        <f>IF(_xlfn.IFNA(INDEX(Proj[],MATCH(Table16[[#This Row],[Player]],Proj[Player],0),31),INDEX(Goalie[],MATCH(Table16[[#This Row],[Player]],Goalie[player],0),20)) = 0, "",_xlfn.IFNA(INDEX(Proj[],MATCH(Table16[[#This Row],[Player]],Proj[Player],0),31),INDEX(Goalie[],MATCH(Table16[[#This Row],[Player]],Goalie[player],0),20)))</f>
        <v/>
      </c>
    </row>
    <row r="437" spans="1:9" x14ac:dyDescent="0.25">
      <c r="A437" t="s">
        <v>526</v>
      </c>
      <c r="B437" s="2" t="s">
        <v>103</v>
      </c>
      <c r="C437" t="str">
        <f t="shared" si="6"/>
        <v>RW</v>
      </c>
      <c r="D437" s="10">
        <f>MAX(_xlfn.IFNA(INDEX(Proj[],MATCH(Table16[[#This Row],[Player]],Proj[Player],0),27),-5000), _xlfn.IFNA(INDEX(Goalie[],MATCH(Table16[[#This Row],[Player]],Goalie[player],0),17),-5000))</f>
        <v>-446.61686971273753</v>
      </c>
      <c r="E437">
        <f>_xlfn.RANK.EQ(Table16[[#This Row],[VOR]],Table16[VOR])</f>
        <v>455</v>
      </c>
      <c r="F437" cm="1">
        <f t="array" ref="F437">_xlfn.IFS(C437 = "C",INDEX('C'!$A$2:$L$254,MATCH($A437,'C'!$A$2:$A$254,0),10),C437 = "LW",INDEX(LW!$A$2:$K$180,MATCH($A437,LW!$A$2:$A$180,0),10),C437 = "RW",INDEX('RW'!$A$2:$L$164,MATCH($A437,'RW'!$A$2:$A$164,0),10), C437 = "D",INDEX(D!$A$2:$L$268,MATCH($A437,D!$A$2:$A$268,0),10),C437="G",INDEX(G!$A$2:$Q$78,MATCH($A437,G!$A$2:$A$78,0),16),C437="F",INDEX(F!$A$2:$K$494,MATCH($A437,F!$A$2:$A$494,0),10))</f>
        <v>92</v>
      </c>
      <c r="G437" t="str">
        <f>_xlfn.CONCAT(C437,Table16[[#This Row],[Pos Rank2]])</f>
        <v>RW92</v>
      </c>
      <c r="H437" s="10">
        <f>MAX(_xlfn.IFNA(INDEX(Proj[],MATCH(Table16[[#This Row],[Player]],Proj[Player],0),29),-5000), _xlfn.IFNA(INDEX(Goalie[],MATCH(Table16[[#This Row],[Player]],Goalie[player],0),19),-5000))</f>
        <v>-7.2145322488648134E-2</v>
      </c>
      <c r="I437" t="str">
        <f>IF(_xlfn.IFNA(INDEX(Proj[],MATCH(Table16[[#This Row],[Player]],Proj[Player],0),31),INDEX(Goalie[],MATCH(Table16[[#This Row],[Player]],Goalie[player],0),20)) = 0, "",_xlfn.IFNA(INDEX(Proj[],MATCH(Table16[[#This Row],[Player]],Proj[Player],0),31),INDEX(Goalie[],MATCH(Table16[[#This Row],[Player]],Goalie[player],0),20)))</f>
        <v/>
      </c>
    </row>
    <row r="438" spans="1:9" x14ac:dyDescent="0.25">
      <c r="A438" t="s">
        <v>899</v>
      </c>
      <c r="B438" s="2" t="s">
        <v>3</v>
      </c>
      <c r="C438" t="str">
        <f t="shared" si="6"/>
        <v>D</v>
      </c>
      <c r="D438" s="10">
        <f>MAX(_xlfn.IFNA(INDEX(Proj[],MATCH(Table16[[#This Row],[Player]],Proj[Player],0),27),-5000), _xlfn.IFNA(INDEX(Goalie[],MATCH(Table16[[#This Row],[Player]],Goalie[player],0),17),-5000))</f>
        <v>-377.04436173852753</v>
      </c>
      <c r="E438">
        <f>_xlfn.RANK.EQ(Table16[[#This Row],[VOR]],Table16[VOR])</f>
        <v>421</v>
      </c>
      <c r="F438" cm="1">
        <f t="array" ref="F438">_xlfn.IFS(C438 = "C",INDEX('C'!$A$2:$L$254,MATCH($A438,'C'!$A$2:$A$254,0),10),C438 = "LW",INDEX(LW!$A$2:$K$180,MATCH($A438,LW!$A$2:$A$180,0),10),C438 = "RW",INDEX('RW'!$A$2:$L$164,MATCH($A438,'RW'!$A$2:$A$164,0),10), C438 = "D",INDEX(D!$A$2:$L$268,MATCH($A438,D!$A$2:$A$268,0),10),C438="G",INDEX(G!$A$2:$Q$78,MATCH($A438,G!$A$2:$A$78,0),16),C438="F",INDEX(F!$A$2:$K$494,MATCH($A438,F!$A$2:$A$494,0),10))</f>
        <v>164</v>
      </c>
      <c r="G438" t="str">
        <f>_xlfn.CONCAT(C438,Table16[[#This Row],[Pos Rank2]])</f>
        <v>D164</v>
      </c>
      <c r="H438" s="10">
        <f>MAX(_xlfn.IFNA(INDEX(Proj[],MATCH(Table16[[#This Row],[Player]],Proj[Player],0),29),-5000), _xlfn.IFNA(INDEX(Goalie[],MATCH(Table16[[#This Row],[Player]],Goalie[player],0),19),-5000))</f>
        <v>-269.67959401906302</v>
      </c>
      <c r="I438" t="str">
        <f>IF(_xlfn.IFNA(INDEX(Proj[],MATCH(Table16[[#This Row],[Player]],Proj[Player],0),31),INDEX(Goalie[],MATCH(Table16[[#This Row],[Player]],Goalie[player],0),20)) = 0, "",_xlfn.IFNA(INDEX(Proj[],MATCH(Table16[[#This Row],[Player]],Proj[Player],0),31),INDEX(Goalie[],MATCH(Table16[[#This Row],[Player]],Goalie[player],0),20)))</f>
        <v/>
      </c>
    </row>
    <row r="439" spans="1:9" x14ac:dyDescent="0.25">
      <c r="A439" t="s">
        <v>919</v>
      </c>
      <c r="B439" s="2" t="s">
        <v>74</v>
      </c>
      <c r="C439" t="str">
        <f t="shared" si="6"/>
        <v>C</v>
      </c>
      <c r="D439" s="10">
        <f>MAX(_xlfn.IFNA(INDEX(Proj[],MATCH(Table16[[#This Row],[Player]],Proj[Player],0),27),-5000), _xlfn.IFNA(INDEX(Goalie[],MATCH(Table16[[#This Row],[Player]],Goalie[player],0),17),-5000))</f>
        <v>-479.11076532641658</v>
      </c>
      <c r="E439">
        <f>_xlfn.RANK.EQ(Table16[[#This Row],[VOR]],Table16[VOR])</f>
        <v>475</v>
      </c>
      <c r="F439" cm="1">
        <f t="array" ref="F439">_xlfn.IFS(C439 = "C",INDEX('C'!$A$2:$L$254,MATCH($A439,'C'!$A$2:$A$254,0),10),C439 = "LW",INDEX(LW!$A$2:$K$180,MATCH($A439,LW!$A$2:$A$180,0),10),C439 = "RW",INDEX('RW'!$A$2:$L$164,MATCH($A439,'RW'!$A$2:$A$164,0),10), C439 = "D",INDEX(D!$A$2:$L$268,MATCH($A439,D!$A$2:$A$268,0),10),C439="G",INDEX(G!$A$2:$Q$78,MATCH($A439,G!$A$2:$A$78,0),16),C439="F",INDEX(F!$A$2:$K$494,MATCH($A439,F!$A$2:$A$494,0),10))</f>
        <v>100</v>
      </c>
      <c r="G439" t="str">
        <f>_xlfn.CONCAT(C439,Table16[[#This Row],[Pos Rank2]])</f>
        <v>C100</v>
      </c>
      <c r="H439" s="10">
        <f>MAX(_xlfn.IFNA(INDEX(Proj[],MATCH(Table16[[#This Row],[Player]],Proj[Player],0),29),-5000), _xlfn.IFNA(INDEX(Goalie[],MATCH(Table16[[#This Row],[Player]],Goalie[player],0),19),-5000))</f>
        <v>255.52308898388202</v>
      </c>
      <c r="I439" t="str">
        <f>IF(_xlfn.IFNA(INDEX(Proj[],MATCH(Table16[[#This Row],[Player]],Proj[Player],0),31),INDEX(Goalie[],MATCH(Table16[[#This Row],[Player]],Goalie[player],0),20)) = 0, "",_xlfn.IFNA(INDEX(Proj[],MATCH(Table16[[#This Row],[Player]],Proj[Player],0),31),INDEX(Goalie[],MATCH(Table16[[#This Row],[Player]],Goalie[player],0),20)))</f>
        <v/>
      </c>
    </row>
    <row r="440" spans="1:9" x14ac:dyDescent="0.25">
      <c r="A440" t="s">
        <v>1218</v>
      </c>
      <c r="B440" s="2" t="s">
        <v>74</v>
      </c>
      <c r="C440" t="str">
        <f t="shared" si="6"/>
        <v>C</v>
      </c>
      <c r="D440" s="10">
        <f>MAX(_xlfn.IFNA(INDEX(Proj[],MATCH(Table16[[#This Row],[Player]],Proj[Player],0),27),-5000), _xlfn.IFNA(INDEX(Goalie[],MATCH(Table16[[#This Row],[Player]],Goalie[player],0),17),-5000))</f>
        <v>-530.37531473353101</v>
      </c>
      <c r="E440">
        <f>_xlfn.RANK.EQ(Table16[[#This Row],[VOR]],Table16[VOR])</f>
        <v>508</v>
      </c>
      <c r="F440" cm="1">
        <f t="array" ref="F440">_xlfn.IFS(C440 = "C",INDEX('C'!$A$2:$L$254,MATCH($A440,'C'!$A$2:$A$254,0),10),C440 = "LW",INDEX(LW!$A$2:$K$180,MATCH($A440,LW!$A$2:$A$180,0),10),C440 = "RW",INDEX('RW'!$A$2:$L$164,MATCH($A440,'RW'!$A$2:$A$164,0),10), C440 = "D",INDEX(D!$A$2:$L$268,MATCH($A440,D!$A$2:$A$268,0),10),C440="G",INDEX(G!$A$2:$Q$78,MATCH($A440,G!$A$2:$A$78,0),16),C440="F",INDEX(F!$A$2:$K$494,MATCH($A440,F!$A$2:$A$494,0),10))</f>
        <v>115</v>
      </c>
      <c r="G440" t="str">
        <f>_xlfn.CONCAT(C440,Table16[[#This Row],[Pos Rank2]])</f>
        <v>C115</v>
      </c>
      <c r="H440" s="10">
        <f>MAX(_xlfn.IFNA(INDEX(Proj[],MATCH(Table16[[#This Row],[Player]],Proj[Player],0),29),-5000), _xlfn.IFNA(INDEX(Goalie[],MATCH(Table16[[#This Row],[Player]],Goalie[player],0),19),-5000))</f>
        <v>204.25853957676759</v>
      </c>
      <c r="I440" t="str">
        <f>IF(_xlfn.IFNA(INDEX(Proj[],MATCH(Table16[[#This Row],[Player]],Proj[Player],0),31),INDEX(Goalie[],MATCH(Table16[[#This Row],[Player]],Goalie[player],0),20)) = 0, "",_xlfn.IFNA(INDEX(Proj[],MATCH(Table16[[#This Row],[Player]],Proj[Player],0),31),INDEX(Goalie[],MATCH(Table16[[#This Row],[Player]],Goalie[player],0),20)))</f>
        <v/>
      </c>
    </row>
    <row r="441" spans="1:9" x14ac:dyDescent="0.25">
      <c r="A441" t="s">
        <v>1109</v>
      </c>
      <c r="B441" s="2" t="s">
        <v>103</v>
      </c>
      <c r="C441" t="str">
        <f t="shared" si="6"/>
        <v>RW</v>
      </c>
      <c r="D441" s="10">
        <f>MAX(_xlfn.IFNA(INDEX(Proj[],MATCH(Table16[[#This Row],[Player]],Proj[Player],0),27),-5000), _xlfn.IFNA(INDEX(Goalie[],MATCH(Table16[[#This Row],[Player]],Goalie[player],0),17),-5000))</f>
        <v>-443.7346250981891</v>
      </c>
      <c r="E441">
        <f>_xlfn.RANK.EQ(Table16[[#This Row],[VOR]],Table16[VOR])</f>
        <v>453</v>
      </c>
      <c r="F441" cm="1">
        <f t="array" ref="F441">_xlfn.IFS(C441 = "C",INDEX('C'!$A$2:$L$254,MATCH($A441,'C'!$A$2:$A$254,0),10),C441 = "LW",INDEX(LW!$A$2:$K$180,MATCH($A441,LW!$A$2:$A$180,0),10),C441 = "RW",INDEX('RW'!$A$2:$L$164,MATCH($A441,'RW'!$A$2:$A$164,0),10), C441 = "D",INDEX(D!$A$2:$L$268,MATCH($A441,D!$A$2:$A$268,0),10),C441="G",INDEX(G!$A$2:$Q$78,MATCH($A441,G!$A$2:$A$78,0),16),C441="F",INDEX(F!$A$2:$K$494,MATCH($A441,F!$A$2:$A$494,0),10))</f>
        <v>91</v>
      </c>
      <c r="G441" t="str">
        <f>_xlfn.CONCAT(C441,Table16[[#This Row],[Pos Rank2]])</f>
        <v>RW91</v>
      </c>
      <c r="H441" s="10">
        <f>MAX(_xlfn.IFNA(INDEX(Proj[],MATCH(Table16[[#This Row],[Player]],Proj[Player],0),29),-5000), _xlfn.IFNA(INDEX(Goalie[],MATCH(Table16[[#This Row],[Player]],Goalie[player],0),19),-5000))</f>
        <v>2.8100992920597645</v>
      </c>
      <c r="I441" t="str">
        <f>IF(_xlfn.IFNA(INDEX(Proj[],MATCH(Table16[[#This Row],[Player]],Proj[Player],0),31),INDEX(Goalie[],MATCH(Table16[[#This Row],[Player]],Goalie[player],0),20)) = 0, "",_xlfn.IFNA(INDEX(Proj[],MATCH(Table16[[#This Row],[Player]],Proj[Player],0),31),INDEX(Goalie[],MATCH(Table16[[#This Row],[Player]],Goalie[player],0),20)))</f>
        <v/>
      </c>
    </row>
    <row r="442" spans="1:9" x14ac:dyDescent="0.25">
      <c r="A442" t="s">
        <v>576</v>
      </c>
      <c r="B442" s="2" t="s">
        <v>104</v>
      </c>
      <c r="C442" t="str">
        <f t="shared" si="6"/>
        <v>RW</v>
      </c>
      <c r="D442" s="10">
        <f>MAX(_xlfn.IFNA(INDEX(Proj[],MATCH(Table16[[#This Row],[Player]],Proj[Player],0),27),-5000), _xlfn.IFNA(INDEX(Goalie[],MATCH(Table16[[#This Row],[Player]],Goalie[player],0),17),-5000))</f>
        <v>-457.07991771998627</v>
      </c>
      <c r="E442">
        <f>_xlfn.RANK.EQ(Table16[[#This Row],[VOR]],Table16[VOR])</f>
        <v>459</v>
      </c>
      <c r="F442" cm="1">
        <f t="array" ref="F442">_xlfn.IFS(C442 = "C",INDEX('C'!$A$2:$L$254,MATCH($A442,'C'!$A$2:$A$254,0),10),C442 = "LW",INDEX(LW!$A$2:$K$180,MATCH($A442,LW!$A$2:$A$180,0),10),C442 = "RW",INDEX('RW'!$A$2:$L$164,MATCH($A442,'RW'!$A$2:$A$164,0),10), C442 = "D",INDEX(D!$A$2:$L$268,MATCH($A442,D!$A$2:$A$268,0),10),C442="G",INDEX(G!$A$2:$Q$78,MATCH($A442,G!$A$2:$A$78,0),16),C442="F",INDEX(F!$A$2:$K$494,MATCH($A442,F!$A$2:$A$494,0),10))</f>
        <v>93</v>
      </c>
      <c r="G442" t="str">
        <f>_xlfn.CONCAT(C442,Table16[[#This Row],[Pos Rank2]])</f>
        <v>RW93</v>
      </c>
      <c r="H442" s="10">
        <f>MAX(_xlfn.IFNA(INDEX(Proj[],MATCH(Table16[[#This Row],[Player]],Proj[Player],0),29),-5000), _xlfn.IFNA(INDEX(Goalie[],MATCH(Table16[[#This Row],[Player]],Goalie[player],0),19),-5000))</f>
        <v>-10.535193329737384</v>
      </c>
      <c r="I442" t="str">
        <f>IF(_xlfn.IFNA(INDEX(Proj[],MATCH(Table16[[#This Row],[Player]],Proj[Player],0),31),INDEX(Goalie[],MATCH(Table16[[#This Row],[Player]],Goalie[player],0),20)) = 0, "",_xlfn.IFNA(INDEX(Proj[],MATCH(Table16[[#This Row],[Player]],Proj[Player],0),31),INDEX(Goalie[],MATCH(Table16[[#This Row],[Player]],Goalie[player],0),20)))</f>
        <v/>
      </c>
    </row>
    <row r="443" spans="1:9" x14ac:dyDescent="0.25">
      <c r="A443" t="s">
        <v>876</v>
      </c>
      <c r="B443" s="2" t="s">
        <v>3</v>
      </c>
      <c r="C443" t="str">
        <f t="shared" si="6"/>
        <v>D</v>
      </c>
      <c r="D443" s="10">
        <f>MAX(_xlfn.IFNA(INDEX(Proj[],MATCH(Table16[[#This Row],[Player]],Proj[Player],0),27),-5000), _xlfn.IFNA(INDEX(Goalie[],MATCH(Table16[[#This Row],[Player]],Goalie[player],0),17),-5000))</f>
        <v>-385.62195829620293</v>
      </c>
      <c r="E443">
        <f>_xlfn.RANK.EQ(Table16[[#This Row],[VOR]],Table16[VOR])</f>
        <v>425</v>
      </c>
      <c r="F443" cm="1">
        <f t="array" ref="F443">_xlfn.IFS(C443 = "C",INDEX('C'!$A$2:$L$254,MATCH($A443,'C'!$A$2:$A$254,0),10),C443 = "LW",INDEX(LW!$A$2:$K$180,MATCH($A443,LW!$A$2:$A$180,0),10),C443 = "RW",INDEX('RW'!$A$2:$L$164,MATCH($A443,'RW'!$A$2:$A$164,0),10), C443 = "D",INDEX(D!$A$2:$L$268,MATCH($A443,D!$A$2:$A$268,0),10),C443="G",INDEX(G!$A$2:$Q$78,MATCH($A443,G!$A$2:$A$78,0),16),C443="F",INDEX(F!$A$2:$K$494,MATCH($A443,F!$A$2:$A$494,0),10))</f>
        <v>165</v>
      </c>
      <c r="G443" t="str">
        <f>_xlfn.CONCAT(C443,Table16[[#This Row],[Pos Rank2]])</f>
        <v>D165</v>
      </c>
      <c r="H443" s="10">
        <f>MAX(_xlfn.IFNA(INDEX(Proj[],MATCH(Table16[[#This Row],[Player]],Proj[Player],0),29),-5000), _xlfn.IFNA(INDEX(Goalie[],MATCH(Table16[[#This Row],[Player]],Goalie[player],0),19),-5000))</f>
        <v>-278.25719057673848</v>
      </c>
      <c r="I443" t="str">
        <f>IF(_xlfn.IFNA(INDEX(Proj[],MATCH(Table16[[#This Row],[Player]],Proj[Player],0),31),INDEX(Goalie[],MATCH(Table16[[#This Row],[Player]],Goalie[player],0),20)) = 0, "",_xlfn.IFNA(INDEX(Proj[],MATCH(Table16[[#This Row],[Player]],Proj[Player],0),31),INDEX(Goalie[],MATCH(Table16[[#This Row],[Player]],Goalie[player],0),20)))</f>
        <v/>
      </c>
    </row>
    <row r="444" spans="1:9" x14ac:dyDescent="0.25">
      <c r="A444" t="s">
        <v>930</v>
      </c>
      <c r="B444" s="2" t="s">
        <v>102</v>
      </c>
      <c r="C444" t="str">
        <f t="shared" si="6"/>
        <v>LW</v>
      </c>
      <c r="D444" s="10">
        <f>MAX(_xlfn.IFNA(INDEX(Proj[],MATCH(Table16[[#This Row],[Player]],Proj[Player],0),27),-5000), _xlfn.IFNA(INDEX(Goalie[],MATCH(Table16[[#This Row],[Player]],Goalie[player],0),17),-5000))</f>
        <v>-462.37818664009995</v>
      </c>
      <c r="E444">
        <f>_xlfn.RANK.EQ(Table16[[#This Row],[VOR]],Table16[VOR])</f>
        <v>467</v>
      </c>
      <c r="F444" cm="1">
        <f t="array" ref="F444">_xlfn.IFS(C444 = "C",INDEX('C'!$A$2:$L$254,MATCH($A444,'C'!$A$2:$A$254,0),10),C444 = "LW",INDEX(LW!$A$2:$K$180,MATCH($A444,LW!$A$2:$A$180,0),10),C444 = "RW",INDEX('RW'!$A$2:$L$164,MATCH($A444,'RW'!$A$2:$A$164,0),10), C444 = "D",INDEX(D!$A$2:$L$268,MATCH($A444,D!$A$2:$A$268,0),10),C444="G",INDEX(G!$A$2:$Q$78,MATCH($A444,G!$A$2:$A$78,0),16),C444="F",INDEX(F!$A$2:$K$494,MATCH($A444,F!$A$2:$A$494,0),10))</f>
        <v>101</v>
      </c>
      <c r="G444" t="str">
        <f>_xlfn.CONCAT(C444,Table16[[#This Row],[Pos Rank2]])</f>
        <v>LW101</v>
      </c>
      <c r="H444" s="10">
        <f>MAX(_xlfn.IFNA(INDEX(Proj[],MATCH(Table16[[#This Row],[Player]],Proj[Player],0),29),-5000), _xlfn.IFNA(INDEX(Goalie[],MATCH(Table16[[#This Row],[Player]],Goalie[player],0),19),-5000))</f>
        <v>9.1665377501489296</v>
      </c>
      <c r="I444" t="str">
        <f>IF(_xlfn.IFNA(INDEX(Proj[],MATCH(Table16[[#This Row],[Player]],Proj[Player],0),31),INDEX(Goalie[],MATCH(Table16[[#This Row],[Player]],Goalie[player],0),20)) = 0, "",_xlfn.IFNA(INDEX(Proj[],MATCH(Table16[[#This Row],[Player]],Proj[Player],0),31),INDEX(Goalie[],MATCH(Table16[[#This Row],[Player]],Goalie[player],0),20)))</f>
        <v/>
      </c>
    </row>
    <row r="445" spans="1:9" x14ac:dyDescent="0.25">
      <c r="A445" t="s">
        <v>191</v>
      </c>
      <c r="B445" s="2" t="s">
        <v>157</v>
      </c>
      <c r="C445" t="str">
        <f t="shared" si="6"/>
        <v>G</v>
      </c>
      <c r="D445" s="10">
        <f>MAX(_xlfn.IFNA(INDEX(Proj[],MATCH(Table16[[#This Row],[Player]],Proj[Player],0),27),-5000), _xlfn.IFNA(INDEX(Goalie[],MATCH(Table16[[#This Row],[Player]],Goalie[player],0),17),-5000))</f>
        <v>-420.13689088843256</v>
      </c>
      <c r="E445">
        <f>_xlfn.RANK.EQ(Table16[[#This Row],[VOR]],Table16[VOR])</f>
        <v>445</v>
      </c>
      <c r="F445" cm="1">
        <f t="array" ref="F445">_xlfn.IFS(C445 = "C",INDEX('C'!$A$2:$L$254,MATCH($A445,'C'!$A$2:$A$254,0),10),C445 = "LW",INDEX(LW!$A$2:$K$180,MATCH($A445,LW!$A$2:$A$180,0),10),C445 = "RW",INDEX('RW'!$A$2:$L$164,MATCH($A445,'RW'!$A$2:$A$164,0),10), C445 = "D",INDEX(D!$A$2:$L$268,MATCH($A445,D!$A$2:$A$268,0),10),C445="G",INDEX(G!$A$2:$Q$78,MATCH($A445,G!$A$2:$A$78,0),16),C445="F",INDEX(F!$A$2:$K$494,MATCH($A445,F!$A$2:$A$494,0),10))</f>
        <v>62</v>
      </c>
      <c r="G445" t="str">
        <f>_xlfn.CONCAT(C445,Table16[[#This Row],[Pos Rank2]])</f>
        <v>G62</v>
      </c>
      <c r="H445" s="10">
        <f>MAX(_xlfn.IFNA(INDEX(Proj[],MATCH(Table16[[#This Row],[Player]],Proj[Player],0),29),-5000), _xlfn.IFNA(INDEX(Goalie[],MATCH(Table16[[#This Row],[Player]],Goalie[player],0),19),-5000))</f>
        <v>319.29099999999988</v>
      </c>
      <c r="I445" t="str">
        <f>IF(_xlfn.IFNA(INDEX(Proj[],MATCH(Table16[[#This Row],[Player]],Proj[Player],0),31),INDEX(Goalie[],MATCH(Table16[[#This Row],[Player]],Goalie[player],0),20)) = 0, "",_xlfn.IFNA(INDEX(Proj[],MATCH(Table16[[#This Row],[Player]],Proj[Player],0),31),INDEX(Goalie[],MATCH(Table16[[#This Row],[Player]],Goalie[player],0),20)))</f>
        <v/>
      </c>
    </row>
    <row r="446" spans="1:9" x14ac:dyDescent="0.25">
      <c r="A446" t="s">
        <v>439</v>
      </c>
      <c r="B446" s="2" t="s">
        <v>3</v>
      </c>
      <c r="C446" t="str">
        <f t="shared" si="6"/>
        <v>D</v>
      </c>
      <c r="D446" s="10">
        <f>MAX(_xlfn.IFNA(INDEX(Proj[],MATCH(Table16[[#This Row],[Player]],Proj[Player],0),27),-5000), _xlfn.IFNA(INDEX(Goalie[],MATCH(Table16[[#This Row],[Player]],Goalie[player],0),17),-5000))</f>
        <v>-399.67332147375794</v>
      </c>
      <c r="E446">
        <f>_xlfn.RANK.EQ(Table16[[#This Row],[VOR]],Table16[VOR])</f>
        <v>434</v>
      </c>
      <c r="F446" cm="1">
        <f t="array" ref="F446">_xlfn.IFS(C446 = "C",INDEX('C'!$A$2:$L$254,MATCH($A446,'C'!$A$2:$A$254,0),10),C446 = "LW",INDEX(LW!$A$2:$K$180,MATCH($A446,LW!$A$2:$A$180,0),10),C446 = "RW",INDEX('RW'!$A$2:$L$164,MATCH($A446,'RW'!$A$2:$A$164,0),10), C446 = "D",INDEX(D!$A$2:$L$268,MATCH($A446,D!$A$2:$A$268,0),10),C446="G",INDEX(G!$A$2:$Q$78,MATCH($A446,G!$A$2:$A$78,0),16),C446="F",INDEX(F!$A$2:$K$494,MATCH($A446,F!$A$2:$A$494,0),10))</f>
        <v>169</v>
      </c>
      <c r="G446" t="str">
        <f>_xlfn.CONCAT(C446,Table16[[#This Row],[Pos Rank2]])</f>
        <v>D169</v>
      </c>
      <c r="H446" s="10">
        <f>MAX(_xlfn.IFNA(INDEX(Proj[],MATCH(Table16[[#This Row],[Player]],Proj[Player],0),29),-5000), _xlfn.IFNA(INDEX(Goalie[],MATCH(Table16[[#This Row],[Player]],Goalie[player],0),19),-5000))</f>
        <v>-292.30855375429343</v>
      </c>
      <c r="I446" t="str">
        <f>IF(_xlfn.IFNA(INDEX(Proj[],MATCH(Table16[[#This Row],[Player]],Proj[Player],0),31),INDEX(Goalie[],MATCH(Table16[[#This Row],[Player]],Goalie[player],0),20)) = 0, "",_xlfn.IFNA(INDEX(Proj[],MATCH(Table16[[#This Row],[Player]],Proj[Player],0),31),INDEX(Goalie[],MATCH(Table16[[#This Row],[Player]],Goalie[player],0),20)))</f>
        <v/>
      </c>
    </row>
    <row r="447" spans="1:9" x14ac:dyDescent="0.25">
      <c r="A447" t="s">
        <v>1254</v>
      </c>
      <c r="B447" s="2" t="s">
        <v>105</v>
      </c>
      <c r="C447" t="str">
        <f t="shared" si="6"/>
        <v>RW</v>
      </c>
      <c r="D447" s="10">
        <f>MAX(_xlfn.IFNA(INDEX(Proj[],MATCH(Table16[[#This Row],[Player]],Proj[Player],0),27),-5000), _xlfn.IFNA(INDEX(Goalie[],MATCH(Table16[[#This Row],[Player]],Goalie[player],0),17),-5000))</f>
        <v>-387.24221957097171</v>
      </c>
      <c r="E447">
        <f>_xlfn.RANK.EQ(Table16[[#This Row],[VOR]],Table16[VOR])</f>
        <v>426</v>
      </c>
      <c r="F447" cm="1">
        <f t="array" ref="F447">_xlfn.IFS(C447 = "C",INDEX('C'!$A$2:$L$254,MATCH($A447,'C'!$A$2:$A$254,0),10),C447 = "LW",INDEX(LW!$A$2:$K$180,MATCH($A447,LW!$A$2:$A$180,0),10),C447 = "RW",INDEX('RW'!$A$2:$L$164,MATCH($A447,'RW'!$A$2:$A$164,0),10), C447 = "D",INDEX(D!$A$2:$L$268,MATCH($A447,D!$A$2:$A$268,0),10),C447="G",INDEX(G!$A$2:$Q$78,MATCH($A447,G!$A$2:$A$78,0),16),C447="F",INDEX(F!$A$2:$K$494,MATCH($A447,F!$A$2:$A$494,0),10))</f>
        <v>86</v>
      </c>
      <c r="G447" t="str">
        <f>_xlfn.CONCAT(C447,Table16[[#This Row],[Pos Rank2]])</f>
        <v>RW86</v>
      </c>
      <c r="H447" s="10">
        <f>MAX(_xlfn.IFNA(INDEX(Proj[],MATCH(Table16[[#This Row],[Player]],Proj[Player],0),29),-5000), _xlfn.IFNA(INDEX(Goalie[],MATCH(Table16[[#This Row],[Player]],Goalie[player],0),19),-5000))</f>
        <v>59.302504819277125</v>
      </c>
      <c r="I447" t="str">
        <f>IF(_xlfn.IFNA(INDEX(Proj[],MATCH(Table16[[#This Row],[Player]],Proj[Player],0),31),INDEX(Goalie[],MATCH(Table16[[#This Row],[Player]],Goalie[player],0),20)) = 0, "",_xlfn.IFNA(INDEX(Proj[],MATCH(Table16[[#This Row],[Player]],Proj[Player],0),31),INDEX(Goalie[],MATCH(Table16[[#This Row],[Player]],Goalie[player],0),20)))</f>
        <v/>
      </c>
    </row>
    <row r="448" spans="1:9" x14ac:dyDescent="0.25">
      <c r="A448" t="s">
        <v>954</v>
      </c>
      <c r="B448" s="2" t="s">
        <v>3</v>
      </c>
      <c r="C448" t="str">
        <f t="shared" si="6"/>
        <v>D</v>
      </c>
      <c r="D448" s="10">
        <f>MAX(_xlfn.IFNA(INDEX(Proj[],MATCH(Table16[[#This Row],[Player]],Proj[Player],0),27),-5000), _xlfn.IFNA(INDEX(Goalie[],MATCH(Table16[[#This Row],[Player]],Goalie[player],0),17),-5000))</f>
        <v>-390.15890831957643</v>
      </c>
      <c r="E448">
        <f>_xlfn.RANK.EQ(Table16[[#This Row],[VOR]],Table16[VOR])</f>
        <v>428</v>
      </c>
      <c r="F448" cm="1">
        <f t="array" ref="F448">_xlfn.IFS(C448 = "C",INDEX('C'!$A$2:$L$254,MATCH($A448,'C'!$A$2:$A$254,0),10),C448 = "LW",INDEX(LW!$A$2:$K$180,MATCH($A448,LW!$A$2:$A$180,0),10),C448 = "RW",INDEX('RW'!$A$2:$L$164,MATCH($A448,'RW'!$A$2:$A$164,0),10), C448 = "D",INDEX(D!$A$2:$L$268,MATCH($A448,D!$A$2:$A$268,0),10),C448="G",INDEX(G!$A$2:$Q$78,MATCH($A448,G!$A$2:$A$78,0),16),C448="F",INDEX(F!$A$2:$K$494,MATCH($A448,F!$A$2:$A$494,0),10))</f>
        <v>166</v>
      </c>
      <c r="G448" t="str">
        <f>_xlfn.CONCAT(C448,Table16[[#This Row],[Pos Rank2]])</f>
        <v>D166</v>
      </c>
      <c r="H448" s="10">
        <f>MAX(_xlfn.IFNA(INDEX(Proj[],MATCH(Table16[[#This Row],[Player]],Proj[Player],0),29),-5000), _xlfn.IFNA(INDEX(Goalie[],MATCH(Table16[[#This Row],[Player]],Goalie[player],0),19),-5000))</f>
        <v>-282.79414060011197</v>
      </c>
      <c r="I448" t="str">
        <f>IF(_xlfn.IFNA(INDEX(Proj[],MATCH(Table16[[#This Row],[Player]],Proj[Player],0),31),INDEX(Goalie[],MATCH(Table16[[#This Row],[Player]],Goalie[player],0),20)) = 0, "",_xlfn.IFNA(INDEX(Proj[],MATCH(Table16[[#This Row],[Player]],Proj[Player],0),31),INDEX(Goalie[],MATCH(Table16[[#This Row],[Player]],Goalie[player],0),20)))</f>
        <v/>
      </c>
    </row>
    <row r="449" spans="1:9" x14ac:dyDescent="0.25">
      <c r="A449" t="s">
        <v>173</v>
      </c>
      <c r="B449" s="2" t="s">
        <v>157</v>
      </c>
      <c r="C449" t="str">
        <f t="shared" si="6"/>
        <v>G</v>
      </c>
      <c r="D449" s="10">
        <f>MAX(_xlfn.IFNA(INDEX(Proj[],MATCH(Table16[[#This Row],[Player]],Proj[Player],0),27),-5000), _xlfn.IFNA(INDEX(Goalie[],MATCH(Table16[[#This Row],[Player]],Goalie[player],0),17),-5000))</f>
        <v>-422.47576269825481</v>
      </c>
      <c r="E449">
        <f>_xlfn.RANK.EQ(Table16[[#This Row],[VOR]],Table16[VOR])</f>
        <v>446</v>
      </c>
      <c r="F449" cm="1">
        <f t="array" ref="F449">_xlfn.IFS(C449 = "C",INDEX('C'!$A$2:$L$254,MATCH($A449,'C'!$A$2:$A$254,0),10),C449 = "LW",INDEX(LW!$A$2:$K$180,MATCH($A449,LW!$A$2:$A$180,0),10),C449 = "RW",INDEX('RW'!$A$2:$L$164,MATCH($A449,'RW'!$A$2:$A$164,0),10), C449 = "D",INDEX(D!$A$2:$L$268,MATCH($A449,D!$A$2:$A$268,0),10),C449="G",INDEX(G!$A$2:$Q$78,MATCH($A449,G!$A$2:$A$78,0),16),C449="F",INDEX(F!$A$2:$K$494,MATCH($A449,F!$A$2:$A$494,0),10))</f>
        <v>63</v>
      </c>
      <c r="G449" t="str">
        <f>_xlfn.CONCAT(C449,Table16[[#This Row],[Pos Rank2]])</f>
        <v>G63</v>
      </c>
      <c r="H449" s="10">
        <f>MAX(_xlfn.IFNA(INDEX(Proj[],MATCH(Table16[[#This Row],[Player]],Proj[Player],0),29),-5000), _xlfn.IFNA(INDEX(Goalie[],MATCH(Table16[[#This Row],[Player]],Goalie[player],0),19),-5000))</f>
        <v>346.02799999999996</v>
      </c>
      <c r="I449" t="str">
        <f>IF(_xlfn.IFNA(INDEX(Proj[],MATCH(Table16[[#This Row],[Player]],Proj[Player],0),31),INDEX(Goalie[],MATCH(Table16[[#This Row],[Player]],Goalie[player],0),20)) = 0, "",_xlfn.IFNA(INDEX(Proj[],MATCH(Table16[[#This Row],[Player]],Proj[Player],0),31),INDEX(Goalie[],MATCH(Table16[[#This Row],[Player]],Goalie[player],0),20)))</f>
        <v/>
      </c>
    </row>
    <row r="450" spans="1:9" x14ac:dyDescent="0.25">
      <c r="A450" t="s">
        <v>717</v>
      </c>
      <c r="B450" s="2" t="s">
        <v>102</v>
      </c>
      <c r="C450" t="str">
        <f t="shared" ref="C450:C513" si="7">SUBSTITUTE(SUBSTITUTE(B450,"C,",""),"LW,","")</f>
        <v>LW</v>
      </c>
      <c r="D450" s="10">
        <f>MAX(_xlfn.IFNA(INDEX(Proj[],MATCH(Table16[[#This Row],[Player]],Proj[Player],0),27),-5000), _xlfn.IFNA(INDEX(Goalie[],MATCH(Table16[[#This Row],[Player]],Goalie[player],0),17),-5000))</f>
        <v>-463.49415433094293</v>
      </c>
      <c r="E450">
        <f>_xlfn.RANK.EQ(Table16[[#This Row],[VOR]],Table16[VOR])</f>
        <v>468</v>
      </c>
      <c r="F450" cm="1">
        <f t="array" ref="F450">_xlfn.IFS(C450 = "C",INDEX('C'!$A$2:$L$254,MATCH($A450,'C'!$A$2:$A$254,0),10),C450 = "LW",INDEX(LW!$A$2:$K$180,MATCH($A450,LW!$A$2:$A$180,0),10),C450 = "RW",INDEX('RW'!$A$2:$L$164,MATCH($A450,'RW'!$A$2:$A$164,0),10), C450 = "D",INDEX(D!$A$2:$L$268,MATCH($A450,D!$A$2:$A$268,0),10),C450="G",INDEX(G!$A$2:$Q$78,MATCH($A450,G!$A$2:$A$78,0),16),C450="F",INDEX(F!$A$2:$K$494,MATCH($A450,F!$A$2:$A$494,0),10))</f>
        <v>102</v>
      </c>
      <c r="G450" t="str">
        <f>_xlfn.CONCAT(C450,Table16[[#This Row],[Pos Rank2]])</f>
        <v>LW102</v>
      </c>
      <c r="H450" s="10">
        <f>MAX(_xlfn.IFNA(INDEX(Proj[],MATCH(Table16[[#This Row],[Player]],Proj[Player],0),29),-5000), _xlfn.IFNA(INDEX(Goalie[],MATCH(Table16[[#This Row],[Player]],Goalie[player],0),19),-5000))</f>
        <v>8.0505700593059277</v>
      </c>
      <c r="I450" t="str">
        <f>IF(_xlfn.IFNA(INDEX(Proj[],MATCH(Table16[[#This Row],[Player]],Proj[Player],0),31),INDEX(Goalie[],MATCH(Table16[[#This Row],[Player]],Goalie[player],0),20)) = 0, "",_xlfn.IFNA(INDEX(Proj[],MATCH(Table16[[#This Row],[Player]],Proj[Player],0),31),INDEX(Goalie[],MATCH(Table16[[#This Row],[Player]],Goalie[player],0),20)))</f>
        <v/>
      </c>
    </row>
    <row r="451" spans="1:9" x14ac:dyDescent="0.25">
      <c r="A451" t="s">
        <v>922</v>
      </c>
      <c r="B451" s="2" t="s">
        <v>3</v>
      </c>
      <c r="C451" t="str">
        <f t="shared" si="7"/>
        <v>D</v>
      </c>
      <c r="D451" s="10">
        <f>MAX(_xlfn.IFNA(INDEX(Proj[],MATCH(Table16[[#This Row],[Player]],Proj[Player],0),27),-5000), _xlfn.IFNA(INDEX(Goalie[],MATCH(Table16[[#This Row],[Player]],Goalie[player],0),17),-5000))</f>
        <v>-396.76430759391098</v>
      </c>
      <c r="E451">
        <f>_xlfn.RANK.EQ(Table16[[#This Row],[VOR]],Table16[VOR])</f>
        <v>432</v>
      </c>
      <c r="F451" cm="1">
        <f t="array" ref="F451">_xlfn.IFS(C451 = "C",INDEX('C'!$A$2:$L$254,MATCH($A451,'C'!$A$2:$A$254,0),10),C451 = "LW",INDEX(LW!$A$2:$K$180,MATCH($A451,LW!$A$2:$A$180,0),10),C451 = "RW",INDEX('RW'!$A$2:$L$164,MATCH($A451,'RW'!$A$2:$A$164,0),10), C451 = "D",INDEX(D!$A$2:$L$268,MATCH($A451,D!$A$2:$A$268,0),10),C451="G",INDEX(G!$A$2:$Q$78,MATCH($A451,G!$A$2:$A$78,0),16),C451="F",INDEX(F!$A$2:$K$494,MATCH($A451,F!$A$2:$A$494,0),10))</f>
        <v>167</v>
      </c>
      <c r="G451" t="str">
        <f>_xlfn.CONCAT(C451,Table16[[#This Row],[Pos Rank2]])</f>
        <v>D167</v>
      </c>
      <c r="H451" s="10">
        <f>MAX(_xlfn.IFNA(INDEX(Proj[],MATCH(Table16[[#This Row],[Player]],Proj[Player],0),29),-5000), _xlfn.IFNA(INDEX(Goalie[],MATCH(Table16[[#This Row],[Player]],Goalie[player],0),19),-5000))</f>
        <v>-289.39953987444653</v>
      </c>
      <c r="I451" t="str">
        <f>IF(_xlfn.IFNA(INDEX(Proj[],MATCH(Table16[[#This Row],[Player]],Proj[Player],0),31),INDEX(Goalie[],MATCH(Table16[[#This Row],[Player]],Goalie[player],0),20)) = 0, "",_xlfn.IFNA(INDEX(Proj[],MATCH(Table16[[#This Row],[Player]],Proj[Player],0),31),INDEX(Goalie[],MATCH(Table16[[#This Row],[Player]],Goalie[player],0),20)))</f>
        <v/>
      </c>
    </row>
    <row r="452" spans="1:9" x14ac:dyDescent="0.25">
      <c r="A452" t="s">
        <v>559</v>
      </c>
      <c r="B452" s="2" t="s">
        <v>3</v>
      </c>
      <c r="C452" t="str">
        <f t="shared" si="7"/>
        <v>D</v>
      </c>
      <c r="D452" s="10">
        <f>MAX(_xlfn.IFNA(INDEX(Proj[],MATCH(Table16[[#This Row],[Player]],Proj[Player],0),27),-5000), _xlfn.IFNA(INDEX(Goalie[],MATCH(Table16[[#This Row],[Player]],Goalie[player],0),17),-5000))</f>
        <v>-398.41983316479707</v>
      </c>
      <c r="E452">
        <f>_xlfn.RANK.EQ(Table16[[#This Row],[VOR]],Table16[VOR])</f>
        <v>433</v>
      </c>
      <c r="F452" cm="1">
        <f t="array" ref="F452">_xlfn.IFS(C452 = "C",INDEX('C'!$A$2:$L$254,MATCH($A452,'C'!$A$2:$A$254,0),10),C452 = "LW",INDEX(LW!$A$2:$K$180,MATCH($A452,LW!$A$2:$A$180,0),10),C452 = "RW",INDEX('RW'!$A$2:$L$164,MATCH($A452,'RW'!$A$2:$A$164,0),10), C452 = "D",INDEX(D!$A$2:$L$268,MATCH($A452,D!$A$2:$A$268,0),10),C452="G",INDEX(G!$A$2:$Q$78,MATCH($A452,G!$A$2:$A$78,0),16),C452="F",INDEX(F!$A$2:$K$494,MATCH($A452,F!$A$2:$A$494,0),10))</f>
        <v>168</v>
      </c>
      <c r="G452" t="str">
        <f>_xlfn.CONCAT(C452,Table16[[#This Row],[Pos Rank2]])</f>
        <v>D168</v>
      </c>
      <c r="H452" s="10">
        <f>MAX(_xlfn.IFNA(INDEX(Proj[],MATCH(Table16[[#This Row],[Player]],Proj[Player],0),29),-5000), _xlfn.IFNA(INDEX(Goalie[],MATCH(Table16[[#This Row],[Player]],Goalie[player],0),19),-5000))</f>
        <v>-291.05506544533262</v>
      </c>
      <c r="I452" t="str">
        <f>IF(_xlfn.IFNA(INDEX(Proj[],MATCH(Table16[[#This Row],[Player]],Proj[Player],0),31),INDEX(Goalie[],MATCH(Table16[[#This Row],[Player]],Goalie[player],0),20)) = 0, "",_xlfn.IFNA(INDEX(Proj[],MATCH(Table16[[#This Row],[Player]],Proj[Player],0),31),INDEX(Goalie[],MATCH(Table16[[#This Row],[Player]],Goalie[player],0),20)))</f>
        <v/>
      </c>
    </row>
    <row r="453" spans="1:9" x14ac:dyDescent="0.25">
      <c r="A453" t="s">
        <v>787</v>
      </c>
      <c r="B453" s="2" t="s">
        <v>102</v>
      </c>
      <c r="C453" t="str">
        <f t="shared" si="7"/>
        <v>LW</v>
      </c>
      <c r="D453" s="10">
        <f>MAX(_xlfn.IFNA(INDEX(Proj[],MATCH(Table16[[#This Row],[Player]],Proj[Player],0),27),-5000), _xlfn.IFNA(INDEX(Goalie[],MATCH(Table16[[#This Row],[Player]],Goalie[player],0),17),-5000))</f>
        <v>-480.01158696573367</v>
      </c>
      <c r="E453">
        <f>_xlfn.RANK.EQ(Table16[[#This Row],[VOR]],Table16[VOR])</f>
        <v>477</v>
      </c>
      <c r="F453" cm="1">
        <f t="array" ref="F453">_xlfn.IFS(C453 = "C",INDEX('C'!$A$2:$L$254,MATCH($A453,'C'!$A$2:$A$254,0),10),C453 = "LW",INDEX(LW!$A$2:$K$180,MATCH($A453,LW!$A$2:$A$180,0),10),C453 = "RW",INDEX('RW'!$A$2:$L$164,MATCH($A453,'RW'!$A$2:$A$164,0),10), C453 = "D",INDEX(D!$A$2:$L$268,MATCH($A453,D!$A$2:$A$268,0),10),C453="G",INDEX(G!$A$2:$Q$78,MATCH($A453,G!$A$2:$A$78,0),16),C453="F",INDEX(F!$A$2:$K$494,MATCH($A453,F!$A$2:$A$494,0),10))</f>
        <v>103</v>
      </c>
      <c r="G453" t="str">
        <f>_xlfn.CONCAT(C453,Table16[[#This Row],[Pos Rank2]])</f>
        <v>LW103</v>
      </c>
      <c r="H453" s="10">
        <f>MAX(_xlfn.IFNA(INDEX(Proj[],MATCH(Table16[[#This Row],[Player]],Proj[Player],0),29),-5000), _xlfn.IFNA(INDEX(Goalie[],MATCH(Table16[[#This Row],[Player]],Goalie[player],0),19),-5000))</f>
        <v>-8.4668625754848144</v>
      </c>
      <c r="I453" t="str">
        <f>IF(_xlfn.IFNA(INDEX(Proj[],MATCH(Table16[[#This Row],[Player]],Proj[Player],0),31),INDEX(Goalie[],MATCH(Table16[[#This Row],[Player]],Goalie[player],0),20)) = 0, "",_xlfn.IFNA(INDEX(Proj[],MATCH(Table16[[#This Row],[Player]],Proj[Player],0),31),INDEX(Goalie[],MATCH(Table16[[#This Row],[Player]],Goalie[player],0),20)))</f>
        <v/>
      </c>
    </row>
    <row r="454" spans="1:9" x14ac:dyDescent="0.25">
      <c r="A454" t="s">
        <v>953</v>
      </c>
      <c r="B454" s="2" t="s">
        <v>74</v>
      </c>
      <c r="C454" t="str">
        <f t="shared" si="7"/>
        <v>C</v>
      </c>
      <c r="D454" s="10">
        <f>MAX(_xlfn.IFNA(INDEX(Proj[],MATCH(Table16[[#This Row],[Player]],Proj[Player],0),27),-5000), _xlfn.IFNA(INDEX(Goalie[],MATCH(Table16[[#This Row],[Player]],Goalie[player],0),17),-5000))</f>
        <v>-414.76653882059583</v>
      </c>
      <c r="E454">
        <f>_xlfn.RANK.EQ(Table16[[#This Row],[VOR]],Table16[VOR])</f>
        <v>440</v>
      </c>
      <c r="F454" cm="1">
        <f t="array" ref="F454">_xlfn.IFS(C454 = "C",INDEX('C'!$A$2:$L$254,MATCH($A454,'C'!$A$2:$A$254,0),10),C454 = "LW",INDEX(LW!$A$2:$K$180,MATCH($A454,LW!$A$2:$A$180,0),10),C454 = "RW",INDEX('RW'!$A$2:$L$164,MATCH($A454,'RW'!$A$2:$A$164,0),10), C454 = "D",INDEX(D!$A$2:$L$268,MATCH($A454,D!$A$2:$A$268,0),10),C454="G",INDEX(G!$A$2:$Q$78,MATCH($A454,G!$A$2:$A$78,0),16),C454="F",INDEX(F!$A$2:$K$494,MATCH($A454,F!$A$2:$A$494,0),10))</f>
        <v>88</v>
      </c>
      <c r="G454" t="str">
        <f>_xlfn.CONCAT(C454,Table16[[#This Row],[Pos Rank2]])</f>
        <v>C88</v>
      </c>
      <c r="H454" s="10">
        <f>MAX(_xlfn.IFNA(INDEX(Proj[],MATCH(Table16[[#This Row],[Player]],Proj[Player],0),29),-5000), _xlfn.IFNA(INDEX(Goalie[],MATCH(Table16[[#This Row],[Player]],Goalie[player],0),19),-5000))</f>
        <v>319.86731548970278</v>
      </c>
      <c r="I454" t="str">
        <f>IF(_xlfn.IFNA(INDEX(Proj[],MATCH(Table16[[#This Row],[Player]],Proj[Player],0),31),INDEX(Goalie[],MATCH(Table16[[#This Row],[Player]],Goalie[player],0),20)) = 0, "",_xlfn.IFNA(INDEX(Proj[],MATCH(Table16[[#This Row],[Player]],Proj[Player],0),31),INDEX(Goalie[],MATCH(Table16[[#This Row],[Player]],Goalie[player],0),20)))</f>
        <v/>
      </c>
    </row>
    <row r="455" spans="1:9" x14ac:dyDescent="0.25">
      <c r="A455" t="s">
        <v>1077</v>
      </c>
      <c r="B455" s="2" t="s">
        <v>157</v>
      </c>
      <c r="C455" t="str">
        <f t="shared" si="7"/>
        <v>G</v>
      </c>
      <c r="D455" s="10">
        <f>MAX(_xlfn.IFNA(INDEX(Proj[],MATCH(Table16[[#This Row],[Player]],Proj[Player],0),27),-5000), _xlfn.IFNA(INDEX(Goalie[],MATCH(Table16[[#This Row],[Player]],Goalie[player],0),17),-5000))</f>
        <v>-434.96244846651894</v>
      </c>
      <c r="E455">
        <f>_xlfn.RANK.EQ(Table16[[#This Row],[VOR]],Table16[VOR])</f>
        <v>451</v>
      </c>
      <c r="F455" cm="1">
        <f t="array" ref="F455">_xlfn.IFS(C455 = "C",INDEX('C'!$A$2:$L$254,MATCH($A455,'C'!$A$2:$A$254,0),10),C455 = "LW",INDEX(LW!$A$2:$K$180,MATCH($A455,LW!$A$2:$A$180,0),10),C455 = "RW",INDEX('RW'!$A$2:$L$164,MATCH($A455,'RW'!$A$2:$A$164,0),10), C455 = "D",INDEX(D!$A$2:$L$268,MATCH($A455,D!$A$2:$A$268,0),10),C455="G",INDEX(G!$A$2:$Q$78,MATCH($A455,G!$A$2:$A$78,0),16),C455="F",INDEX(F!$A$2:$K$494,MATCH($A455,F!$A$2:$A$494,0),10))</f>
        <v>64</v>
      </c>
      <c r="G455" t="str">
        <f>_xlfn.CONCAT(C455,Table16[[#This Row],[Pos Rank2]])</f>
        <v>G64</v>
      </c>
      <c r="H455" s="10">
        <f>MAX(_xlfn.IFNA(INDEX(Proj[],MATCH(Table16[[#This Row],[Player]],Proj[Player],0),29),-5000), _xlfn.IFNA(INDEX(Goalie[],MATCH(Table16[[#This Row],[Player]],Goalie[player],0),19),-5000))</f>
        <v>104.50899999999997</v>
      </c>
      <c r="I455" t="str">
        <f>IF(_xlfn.IFNA(INDEX(Proj[],MATCH(Table16[[#This Row],[Player]],Proj[Player],0),31),INDEX(Goalie[],MATCH(Table16[[#This Row],[Player]],Goalie[player],0),20)) = 0, "",_xlfn.IFNA(INDEX(Proj[],MATCH(Table16[[#This Row],[Player]],Proj[Player],0),31),INDEX(Goalie[],MATCH(Table16[[#This Row],[Player]],Goalie[player],0),20)))</f>
        <v/>
      </c>
    </row>
    <row r="456" spans="1:9" x14ac:dyDescent="0.25">
      <c r="A456" t="s">
        <v>685</v>
      </c>
      <c r="B456" s="2" t="s">
        <v>101</v>
      </c>
      <c r="C456" t="str">
        <f t="shared" si="7"/>
        <v>LW</v>
      </c>
      <c r="D456" s="10">
        <f>MAX(_xlfn.IFNA(INDEX(Proj[],MATCH(Table16[[#This Row],[Player]],Proj[Player],0),27),-5000), _xlfn.IFNA(INDEX(Goalie[],MATCH(Table16[[#This Row],[Player]],Goalie[player],0),17),-5000))</f>
        <v>-161.03987091029319</v>
      </c>
      <c r="E456">
        <f>_xlfn.RANK.EQ(Table16[[#This Row],[VOR]],Table16[VOR])</f>
        <v>263</v>
      </c>
      <c r="F456" cm="1">
        <f t="array" ref="F456">_xlfn.IFS(C456 = "C",INDEX('C'!$A$2:$L$254,MATCH($A456,'C'!$A$2:$A$254,0),10),C456 = "LW",INDEX(LW!$A$2:$K$180,MATCH($A456,LW!$A$2:$A$180,0),10),C456 = "RW",INDEX('RW'!$A$2:$L$164,MATCH($A456,'RW'!$A$2:$A$164,0),10), C456 = "D",INDEX(D!$A$2:$L$268,MATCH($A456,D!$A$2:$A$268,0),10),C456="G",INDEX(G!$A$2:$Q$78,MATCH($A456,G!$A$2:$A$78,0),16),C456="F",INDEX(F!$A$2:$K$494,MATCH($A456,F!$A$2:$A$494,0),10))</f>
        <v>57</v>
      </c>
      <c r="G456" t="str">
        <f>_xlfn.CONCAT(C456,Table16[[#This Row],[Pos Rank2]])</f>
        <v>LW57</v>
      </c>
      <c r="H456" s="10">
        <f>MAX(_xlfn.IFNA(INDEX(Proj[],MATCH(Table16[[#This Row],[Player]],Proj[Player],0),29),-5000), _xlfn.IFNA(INDEX(Goalie[],MATCH(Table16[[#This Row],[Player]],Goalie[player],0),19),-5000))</f>
        <v>310.50485347995567</v>
      </c>
      <c r="I456" t="str">
        <f>IF(_xlfn.IFNA(INDEX(Proj[],MATCH(Table16[[#This Row],[Player]],Proj[Player],0),31),INDEX(Goalie[],MATCH(Table16[[#This Row],[Player]],Goalie[player],0),20)) = 0, "",_xlfn.IFNA(INDEX(Proj[],MATCH(Table16[[#This Row],[Player]],Proj[Player],0),31),INDEX(Goalie[],MATCH(Table16[[#This Row],[Player]],Goalie[player],0),20)))</f>
        <v/>
      </c>
    </row>
    <row r="457" spans="1:9" x14ac:dyDescent="0.25">
      <c r="A457" t="s">
        <v>435</v>
      </c>
      <c r="B457" s="2" t="s">
        <v>74</v>
      </c>
      <c r="C457" t="str">
        <f t="shared" si="7"/>
        <v>C</v>
      </c>
      <c r="D457" s="10">
        <f>MAX(_xlfn.IFNA(INDEX(Proj[],MATCH(Table16[[#This Row],[Player]],Proj[Player],0),27),-5000), _xlfn.IFNA(INDEX(Goalie[],MATCH(Table16[[#This Row],[Player]],Goalie[player],0),17),-5000))</f>
        <v>-375.16592087223779</v>
      </c>
      <c r="E457">
        <f>_xlfn.RANK.EQ(Table16[[#This Row],[VOR]],Table16[VOR])</f>
        <v>420</v>
      </c>
      <c r="F457" cm="1">
        <f t="array" ref="F457">_xlfn.IFS(C457 = "C",INDEX('C'!$A$2:$L$254,MATCH($A457,'C'!$A$2:$A$254,0),10),C457 = "LW",INDEX(LW!$A$2:$K$180,MATCH($A457,LW!$A$2:$A$180,0),10),C457 = "RW",INDEX('RW'!$A$2:$L$164,MATCH($A457,'RW'!$A$2:$A$164,0),10), C457 = "D",INDEX(D!$A$2:$L$268,MATCH($A457,D!$A$2:$A$268,0),10),C457="G",INDEX(G!$A$2:$Q$78,MATCH($A457,G!$A$2:$A$78,0),16),C457="F",INDEX(F!$A$2:$K$494,MATCH($A457,F!$A$2:$A$494,0),10))</f>
        <v>85</v>
      </c>
      <c r="G457" t="str">
        <f>_xlfn.CONCAT(C457,Table16[[#This Row],[Pos Rank2]])</f>
        <v>C85</v>
      </c>
      <c r="H457" s="10">
        <f>MAX(_xlfn.IFNA(INDEX(Proj[],MATCH(Table16[[#This Row],[Player]],Proj[Player],0),29),-5000), _xlfn.IFNA(INDEX(Goalie[],MATCH(Table16[[#This Row],[Player]],Goalie[player],0),19),-5000))</f>
        <v>359.46793343806081</v>
      </c>
      <c r="I457" t="str">
        <f>IF(_xlfn.IFNA(INDEX(Proj[],MATCH(Table16[[#This Row],[Player]],Proj[Player],0),31),INDEX(Goalie[],MATCH(Table16[[#This Row],[Player]],Goalie[player],0),20)) = 0, "",_xlfn.IFNA(INDEX(Proj[],MATCH(Table16[[#This Row],[Player]],Proj[Player],0),31),INDEX(Goalie[],MATCH(Table16[[#This Row],[Player]],Goalie[player],0),20)))</f>
        <v/>
      </c>
    </row>
    <row r="458" spans="1:9" x14ac:dyDescent="0.25">
      <c r="A458" t="s">
        <v>505</v>
      </c>
      <c r="B458" s="2" t="s">
        <v>105</v>
      </c>
      <c r="C458" t="str">
        <f t="shared" si="7"/>
        <v>RW</v>
      </c>
      <c r="D458" s="10">
        <f>MAX(_xlfn.IFNA(INDEX(Proj[],MATCH(Table16[[#This Row],[Player]],Proj[Player],0),27),-5000), _xlfn.IFNA(INDEX(Goalie[],MATCH(Table16[[#This Row],[Player]],Goalie[player],0),17),-5000))</f>
        <v>-273.76462253735474</v>
      </c>
      <c r="E458">
        <f>_xlfn.RANK.EQ(Table16[[#This Row],[VOR]],Table16[VOR])</f>
        <v>343</v>
      </c>
      <c r="F458" cm="1">
        <f t="array" ref="F458">_xlfn.IFS(C458 = "C",INDEX('C'!$A$2:$L$254,MATCH($A458,'C'!$A$2:$A$254,0),10),C458 = "LW",INDEX(LW!$A$2:$K$180,MATCH($A458,LW!$A$2:$A$180,0),10),C458 = "RW",INDEX('RW'!$A$2:$L$164,MATCH($A458,'RW'!$A$2:$A$164,0),10), C458 = "D",INDEX(D!$A$2:$L$268,MATCH($A458,D!$A$2:$A$268,0),10),C458="G",INDEX(G!$A$2:$Q$78,MATCH($A458,G!$A$2:$A$78,0),16),C458="F",INDEX(F!$A$2:$K$494,MATCH($A458,F!$A$2:$A$494,0),10))</f>
        <v>71</v>
      </c>
      <c r="G458" t="str">
        <f>_xlfn.CONCAT(C458,Table16[[#This Row],[Pos Rank2]])</f>
        <v>RW71</v>
      </c>
      <c r="H458" s="10">
        <f>MAX(_xlfn.IFNA(INDEX(Proj[],MATCH(Table16[[#This Row],[Player]],Proj[Player],0),29),-5000), _xlfn.IFNA(INDEX(Goalie[],MATCH(Table16[[#This Row],[Player]],Goalie[player],0),19),-5000))</f>
        <v>172.78010185289412</v>
      </c>
      <c r="I458" t="str">
        <f>IF(_xlfn.IFNA(INDEX(Proj[],MATCH(Table16[[#This Row],[Player]],Proj[Player],0),31),INDEX(Goalie[],MATCH(Table16[[#This Row],[Player]],Goalie[player],0),20)) = 0, "",_xlfn.IFNA(INDEX(Proj[],MATCH(Table16[[#This Row],[Player]],Proj[Player],0),31),INDEX(Goalie[],MATCH(Table16[[#This Row],[Player]],Goalie[player],0),20)))</f>
        <v/>
      </c>
    </row>
    <row r="459" spans="1:9" x14ac:dyDescent="0.25">
      <c r="A459" t="s">
        <v>539</v>
      </c>
      <c r="B459" s="2" t="s">
        <v>3</v>
      </c>
      <c r="C459" t="str">
        <f t="shared" si="7"/>
        <v>D</v>
      </c>
      <c r="D459" s="10">
        <f>MAX(_xlfn.IFNA(INDEX(Proj[],MATCH(Table16[[#This Row],[Player]],Proj[Player],0),27),-5000), _xlfn.IFNA(INDEX(Goalie[],MATCH(Table16[[#This Row],[Player]],Goalie[player],0),17),-5000))</f>
        <v>-412.09872739183982</v>
      </c>
      <c r="E459">
        <f>_xlfn.RANK.EQ(Table16[[#This Row],[VOR]],Table16[VOR])</f>
        <v>438</v>
      </c>
      <c r="F459" cm="1">
        <f t="array" ref="F459">_xlfn.IFS(C459 = "C",INDEX('C'!$A$2:$L$254,MATCH($A459,'C'!$A$2:$A$254,0),10),C459 = "LW",INDEX(LW!$A$2:$K$180,MATCH($A459,LW!$A$2:$A$180,0),10),C459 = "RW",INDEX('RW'!$A$2:$L$164,MATCH($A459,'RW'!$A$2:$A$164,0),10), C459 = "D",INDEX(D!$A$2:$L$268,MATCH($A459,D!$A$2:$A$268,0),10),C459="G",INDEX(G!$A$2:$Q$78,MATCH($A459,G!$A$2:$A$78,0),16),C459="F",INDEX(F!$A$2:$K$494,MATCH($A459,F!$A$2:$A$494,0),10))</f>
        <v>171</v>
      </c>
      <c r="G459" t="str">
        <f>_xlfn.CONCAT(C459,Table16[[#This Row],[Pos Rank2]])</f>
        <v>D171</v>
      </c>
      <c r="H459" s="10">
        <f>MAX(_xlfn.IFNA(INDEX(Proj[],MATCH(Table16[[#This Row],[Player]],Proj[Player],0),29),-5000), _xlfn.IFNA(INDEX(Goalie[],MATCH(Table16[[#This Row],[Player]],Goalie[player],0),19),-5000))</f>
        <v>-304.73395967237536</v>
      </c>
      <c r="I459" t="str">
        <f>IF(_xlfn.IFNA(INDEX(Proj[],MATCH(Table16[[#This Row],[Player]],Proj[Player],0),31),INDEX(Goalie[],MATCH(Table16[[#This Row],[Player]],Goalie[player],0),20)) = 0, "",_xlfn.IFNA(INDEX(Proj[],MATCH(Table16[[#This Row],[Player]],Proj[Player],0),31),INDEX(Goalie[],MATCH(Table16[[#This Row],[Player]],Goalie[player],0),20)))</f>
        <v/>
      </c>
    </row>
    <row r="460" spans="1:9" x14ac:dyDescent="0.25">
      <c r="A460" t="s">
        <v>932</v>
      </c>
      <c r="B460" s="2" t="s">
        <v>3</v>
      </c>
      <c r="C460" t="str">
        <f t="shared" si="7"/>
        <v>D</v>
      </c>
      <c r="D460" s="10">
        <f>MAX(_xlfn.IFNA(INDEX(Proj[],MATCH(Table16[[#This Row],[Player]],Proj[Player],0),27),-5000), _xlfn.IFNA(INDEX(Goalie[],MATCH(Table16[[#This Row],[Player]],Goalie[player],0),17),-5000))</f>
        <v>-412.56998880219646</v>
      </c>
      <c r="E460">
        <f>_xlfn.RANK.EQ(Table16[[#This Row],[VOR]],Table16[VOR])</f>
        <v>439</v>
      </c>
      <c r="F460" cm="1">
        <f t="array" ref="F460">_xlfn.IFS(C460 = "C",INDEX('C'!$A$2:$L$254,MATCH($A460,'C'!$A$2:$A$254,0),10),C460 = "LW",INDEX(LW!$A$2:$K$180,MATCH($A460,LW!$A$2:$A$180,0),10),C460 = "RW",INDEX('RW'!$A$2:$L$164,MATCH($A460,'RW'!$A$2:$A$164,0),10), C460 = "D",INDEX(D!$A$2:$L$268,MATCH($A460,D!$A$2:$A$268,0),10),C460="G",INDEX(G!$A$2:$Q$78,MATCH($A460,G!$A$2:$A$78,0),16),C460="F",INDEX(F!$A$2:$K$494,MATCH($A460,F!$A$2:$A$494,0),10))</f>
        <v>172</v>
      </c>
      <c r="G460" t="str">
        <f>_xlfn.CONCAT(C460,Table16[[#This Row],[Pos Rank2]])</f>
        <v>D172</v>
      </c>
      <c r="H460" s="10">
        <f>MAX(_xlfn.IFNA(INDEX(Proj[],MATCH(Table16[[#This Row],[Player]],Proj[Player],0),29),-5000), _xlfn.IFNA(INDEX(Goalie[],MATCH(Table16[[#This Row],[Player]],Goalie[player],0),19),-5000))</f>
        <v>-305.20522108273201</v>
      </c>
      <c r="I460" t="str">
        <f>IF(_xlfn.IFNA(INDEX(Proj[],MATCH(Table16[[#This Row],[Player]],Proj[Player],0),31),INDEX(Goalie[],MATCH(Table16[[#This Row],[Player]],Goalie[player],0),20)) = 0, "",_xlfn.IFNA(INDEX(Proj[],MATCH(Table16[[#This Row],[Player]],Proj[Player],0),31),INDEX(Goalie[],MATCH(Table16[[#This Row],[Player]],Goalie[player],0),20)))</f>
        <v/>
      </c>
    </row>
    <row r="461" spans="1:9" x14ac:dyDescent="0.25">
      <c r="A461" t="s">
        <v>1186</v>
      </c>
      <c r="B461" s="2" t="s">
        <v>3</v>
      </c>
      <c r="C461" t="str">
        <f t="shared" si="7"/>
        <v>D</v>
      </c>
      <c r="D461" s="10">
        <f>MAX(_xlfn.IFNA(INDEX(Proj[],MATCH(Table16[[#This Row],[Player]],Proj[Player],0),27),-5000), _xlfn.IFNA(INDEX(Goalie[],MATCH(Table16[[#This Row],[Player]],Goalie[player],0),17),-5000))</f>
        <v>-415.55251962462637</v>
      </c>
      <c r="E461">
        <f>_xlfn.RANK.EQ(Table16[[#This Row],[VOR]],Table16[VOR])</f>
        <v>442</v>
      </c>
      <c r="F461" cm="1">
        <f t="array" ref="F461">_xlfn.IFS(C461 = "C",INDEX('C'!$A$2:$L$254,MATCH($A461,'C'!$A$2:$A$254,0),10),C461 = "LW",INDEX(LW!$A$2:$K$180,MATCH($A461,LW!$A$2:$A$180,0),10),C461 = "RW",INDEX('RW'!$A$2:$L$164,MATCH($A461,'RW'!$A$2:$A$164,0),10), C461 = "D",INDEX(D!$A$2:$L$268,MATCH($A461,D!$A$2:$A$268,0),10),C461="G",INDEX(G!$A$2:$Q$78,MATCH($A461,G!$A$2:$A$78,0),16),C461="F",INDEX(F!$A$2:$K$494,MATCH($A461,F!$A$2:$A$494,0),10))</f>
        <v>173</v>
      </c>
      <c r="G461" t="str">
        <f>_xlfn.CONCAT(C461,Table16[[#This Row],[Pos Rank2]])</f>
        <v>D173</v>
      </c>
      <c r="H461" s="10">
        <f>MAX(_xlfn.IFNA(INDEX(Proj[],MATCH(Table16[[#This Row],[Player]],Proj[Player],0),29),-5000), _xlfn.IFNA(INDEX(Goalie[],MATCH(Table16[[#This Row],[Player]],Goalie[player],0),19),-5000))</f>
        <v>-308.18775190516186</v>
      </c>
      <c r="I461" t="str">
        <f>IF(_xlfn.IFNA(INDEX(Proj[],MATCH(Table16[[#This Row],[Player]],Proj[Player],0),31),INDEX(Goalie[],MATCH(Table16[[#This Row],[Player]],Goalie[player],0),20)) = 0, "",_xlfn.IFNA(INDEX(Proj[],MATCH(Table16[[#This Row],[Player]],Proj[Player],0),31),INDEX(Goalie[],MATCH(Table16[[#This Row],[Player]],Goalie[player],0),20)))</f>
        <v/>
      </c>
    </row>
    <row r="462" spans="1:9" x14ac:dyDescent="0.25">
      <c r="A462" t="s">
        <v>757</v>
      </c>
      <c r="B462" s="2" t="s">
        <v>3</v>
      </c>
      <c r="C462" t="str">
        <f t="shared" si="7"/>
        <v>D</v>
      </c>
      <c r="D462" s="10">
        <f>MAX(_xlfn.IFNA(INDEX(Proj[],MATCH(Table16[[#This Row],[Player]],Proj[Player],0),27),-5000), _xlfn.IFNA(INDEX(Goalie[],MATCH(Table16[[#This Row],[Player]],Goalie[player],0),17),-5000))</f>
        <v>-405.01387309549727</v>
      </c>
      <c r="E462">
        <f>_xlfn.RANK.EQ(Table16[[#This Row],[VOR]],Table16[VOR])</f>
        <v>435</v>
      </c>
      <c r="F462" cm="1">
        <f t="array" ref="F462">_xlfn.IFS(C462 = "C",INDEX('C'!$A$2:$L$254,MATCH($A462,'C'!$A$2:$A$254,0),10),C462 = "LW",INDEX(LW!$A$2:$K$180,MATCH($A462,LW!$A$2:$A$180,0),10),C462 = "RW",INDEX('RW'!$A$2:$L$164,MATCH($A462,'RW'!$A$2:$A$164,0),10), C462 = "D",INDEX(D!$A$2:$L$268,MATCH($A462,D!$A$2:$A$268,0),10),C462="G",INDEX(G!$A$2:$Q$78,MATCH($A462,G!$A$2:$A$78,0),16),C462="F",INDEX(F!$A$2:$K$494,MATCH($A462,F!$A$2:$A$494,0),10))</f>
        <v>170</v>
      </c>
      <c r="G462" t="str">
        <f>_xlfn.CONCAT(C462,Table16[[#This Row],[Pos Rank2]])</f>
        <v>D170</v>
      </c>
      <c r="H462" s="10">
        <f>MAX(_xlfn.IFNA(INDEX(Proj[],MATCH(Table16[[#This Row],[Player]],Proj[Player],0),29),-5000), _xlfn.IFNA(INDEX(Goalie[],MATCH(Table16[[#This Row],[Player]],Goalie[player],0),19),-5000))</f>
        <v>-297.64910537603276</v>
      </c>
      <c r="I462" t="str">
        <f>IF(_xlfn.IFNA(INDEX(Proj[],MATCH(Table16[[#This Row],[Player]],Proj[Player],0),31),INDEX(Goalie[],MATCH(Table16[[#This Row],[Player]],Goalie[player],0),20)) = 0, "",_xlfn.IFNA(INDEX(Proj[],MATCH(Table16[[#This Row],[Player]],Proj[Player],0),31),INDEX(Goalie[],MATCH(Table16[[#This Row],[Player]],Goalie[player],0),20)))</f>
        <v/>
      </c>
    </row>
    <row r="463" spans="1:9" x14ac:dyDescent="0.25">
      <c r="A463" t="s">
        <v>456</v>
      </c>
      <c r="B463" s="2" t="s">
        <v>103</v>
      </c>
      <c r="C463" t="str">
        <f t="shared" si="7"/>
        <v>RW</v>
      </c>
      <c r="D463" s="10">
        <f>MAX(_xlfn.IFNA(INDEX(Proj[],MATCH(Table16[[#This Row],[Player]],Proj[Player],0),27),-5000), _xlfn.IFNA(INDEX(Goalie[],MATCH(Table16[[#This Row],[Player]],Goalie[player],0),17),-5000))</f>
        <v>-492.25875898707181</v>
      </c>
      <c r="E463">
        <f>_xlfn.RANK.EQ(Table16[[#This Row],[VOR]],Table16[VOR])</f>
        <v>482</v>
      </c>
      <c r="F463" cm="1">
        <f t="array" ref="F463">_xlfn.IFS(C463 = "C",INDEX('C'!$A$2:$L$254,MATCH($A463,'C'!$A$2:$A$254,0),10),C463 = "LW",INDEX(LW!$A$2:$K$180,MATCH($A463,LW!$A$2:$A$180,0),10),C463 = "RW",INDEX('RW'!$A$2:$L$164,MATCH($A463,'RW'!$A$2:$A$164,0),10), C463 = "D",INDEX(D!$A$2:$L$268,MATCH($A463,D!$A$2:$A$268,0),10),C463="G",INDEX(G!$A$2:$Q$78,MATCH($A463,G!$A$2:$A$78,0),16),C463="F",INDEX(F!$A$2:$K$494,MATCH($A463,F!$A$2:$A$494,0),10))</f>
        <v>95</v>
      </c>
      <c r="G463" t="str">
        <f>_xlfn.CONCAT(C463,Table16[[#This Row],[Pos Rank2]])</f>
        <v>RW95</v>
      </c>
      <c r="H463" s="10">
        <f>MAX(_xlfn.IFNA(INDEX(Proj[],MATCH(Table16[[#This Row],[Player]],Proj[Player],0),29),-5000), _xlfn.IFNA(INDEX(Goalie[],MATCH(Table16[[#This Row],[Player]],Goalie[player],0),19),-5000))</f>
        <v>-45.714034596822984</v>
      </c>
      <c r="I463" t="str">
        <f>IF(_xlfn.IFNA(INDEX(Proj[],MATCH(Table16[[#This Row],[Player]],Proj[Player],0),31),INDEX(Goalie[],MATCH(Table16[[#This Row],[Player]],Goalie[player],0),20)) = 0, "",_xlfn.IFNA(INDEX(Proj[],MATCH(Table16[[#This Row],[Player]],Proj[Player],0),31),INDEX(Goalie[],MATCH(Table16[[#This Row],[Player]],Goalie[player],0),20)))</f>
        <v/>
      </c>
    </row>
    <row r="464" spans="1:9" x14ac:dyDescent="0.25">
      <c r="A464" t="s">
        <v>1166</v>
      </c>
      <c r="B464" s="2" t="s">
        <v>102</v>
      </c>
      <c r="C464" t="str">
        <f t="shared" si="7"/>
        <v>LW</v>
      </c>
      <c r="D464" s="10">
        <f>MAX(_xlfn.IFNA(INDEX(Proj[],MATCH(Table16[[#This Row],[Player]],Proj[Player],0),27),-5000), _xlfn.IFNA(INDEX(Goalie[],MATCH(Table16[[#This Row],[Player]],Goalie[player],0),17),-5000))</f>
        <v>-490.49079364060265</v>
      </c>
      <c r="E464">
        <f>_xlfn.RANK.EQ(Table16[[#This Row],[VOR]],Table16[VOR])</f>
        <v>481</v>
      </c>
      <c r="F464" cm="1">
        <f t="array" ref="F464">_xlfn.IFS(C464 = "C",INDEX('C'!$A$2:$L$254,MATCH($A464,'C'!$A$2:$A$254,0),10),C464 = "LW",INDEX(LW!$A$2:$K$180,MATCH($A464,LW!$A$2:$A$180,0),10),C464 = "RW",INDEX('RW'!$A$2:$L$164,MATCH($A464,'RW'!$A$2:$A$164,0),10), C464 = "D",INDEX(D!$A$2:$L$268,MATCH($A464,D!$A$2:$A$268,0),10),C464="G",INDEX(G!$A$2:$Q$78,MATCH($A464,G!$A$2:$A$78,0),16),C464="F",INDEX(F!$A$2:$K$494,MATCH($A464,F!$A$2:$A$494,0),10))</f>
        <v>105</v>
      </c>
      <c r="G464" t="str">
        <f>_xlfn.CONCAT(C464,Table16[[#This Row],[Pos Rank2]])</f>
        <v>LW105</v>
      </c>
      <c r="H464" s="10">
        <f>MAX(_xlfn.IFNA(INDEX(Proj[],MATCH(Table16[[#This Row],[Player]],Proj[Player],0),29),-5000), _xlfn.IFNA(INDEX(Goalie[],MATCH(Table16[[#This Row],[Player]],Goalie[player],0),19),-5000))</f>
        <v>-18.946069250353791</v>
      </c>
      <c r="I464" t="str">
        <f>IF(_xlfn.IFNA(INDEX(Proj[],MATCH(Table16[[#This Row],[Player]],Proj[Player],0),31),INDEX(Goalie[],MATCH(Table16[[#This Row],[Player]],Goalie[player],0),20)) = 0, "",_xlfn.IFNA(INDEX(Proj[],MATCH(Table16[[#This Row],[Player]],Proj[Player],0),31),INDEX(Goalie[],MATCH(Table16[[#This Row],[Player]],Goalie[player],0),20)))</f>
        <v/>
      </c>
    </row>
    <row r="465" spans="1:9" x14ac:dyDescent="0.25">
      <c r="A465" t="s">
        <v>375</v>
      </c>
      <c r="B465" s="2" t="s">
        <v>74</v>
      </c>
      <c r="C465" t="str">
        <f t="shared" si="7"/>
        <v>C</v>
      </c>
      <c r="D465" s="10">
        <f>MAX(_xlfn.IFNA(INDEX(Proj[],MATCH(Table16[[#This Row],[Player]],Proj[Player],0),27),-5000), _xlfn.IFNA(INDEX(Goalie[],MATCH(Table16[[#This Row],[Player]],Goalie[player],0),17),-5000))</f>
        <v>-372.44703750473849</v>
      </c>
      <c r="E465">
        <f>_xlfn.RANK.EQ(Table16[[#This Row],[VOR]],Table16[VOR])</f>
        <v>418</v>
      </c>
      <c r="F465" cm="1">
        <f t="array" ref="F465">_xlfn.IFS(C465 = "C",INDEX('C'!$A$2:$L$254,MATCH($A465,'C'!$A$2:$A$254,0),10),C465 = "LW",INDEX(LW!$A$2:$K$180,MATCH($A465,LW!$A$2:$A$180,0),10),C465 = "RW",INDEX('RW'!$A$2:$L$164,MATCH($A465,'RW'!$A$2:$A$164,0),10), C465 = "D",INDEX(D!$A$2:$L$268,MATCH($A465,D!$A$2:$A$268,0),10),C465="G",INDEX(G!$A$2:$Q$78,MATCH($A465,G!$A$2:$A$78,0),16),C465="F",INDEX(F!$A$2:$K$494,MATCH($A465,F!$A$2:$A$494,0),10))</f>
        <v>83</v>
      </c>
      <c r="G465" t="str">
        <f>_xlfn.CONCAT(C465,Table16[[#This Row],[Pos Rank2]])</f>
        <v>C83</v>
      </c>
      <c r="H465" s="10">
        <f>MAX(_xlfn.IFNA(INDEX(Proj[],MATCH(Table16[[#This Row],[Player]],Proj[Player],0),29),-5000), _xlfn.IFNA(INDEX(Goalie[],MATCH(Table16[[#This Row],[Player]],Goalie[player],0),19),-5000))</f>
        <v>362.18681680556011</v>
      </c>
      <c r="I465" t="str">
        <f>IF(_xlfn.IFNA(INDEX(Proj[],MATCH(Table16[[#This Row],[Player]],Proj[Player],0),31),INDEX(Goalie[],MATCH(Table16[[#This Row],[Player]],Goalie[player],0),20)) = 0, "",_xlfn.IFNA(INDEX(Proj[],MATCH(Table16[[#This Row],[Player]],Proj[Player],0),31),INDEX(Goalie[],MATCH(Table16[[#This Row],[Player]],Goalie[player],0),20)))</f>
        <v/>
      </c>
    </row>
    <row r="466" spans="1:9" x14ac:dyDescent="0.25">
      <c r="A466" t="s">
        <v>555</v>
      </c>
      <c r="B466" s="2" t="s">
        <v>103</v>
      </c>
      <c r="C466" t="str">
        <f t="shared" si="7"/>
        <v>RW</v>
      </c>
      <c r="D466" s="10">
        <f>MAX(_xlfn.IFNA(INDEX(Proj[],MATCH(Table16[[#This Row],[Player]],Proj[Player],0),27),-5000), _xlfn.IFNA(INDEX(Goalie[],MATCH(Table16[[#This Row],[Player]],Goalie[player],0),17),-5000))</f>
        <v>-499.38826428166033</v>
      </c>
      <c r="E466">
        <f>_xlfn.RANK.EQ(Table16[[#This Row],[VOR]],Table16[VOR])</f>
        <v>487</v>
      </c>
      <c r="F466" cm="1">
        <f t="array" ref="F466">_xlfn.IFS(C466 = "C",INDEX('C'!$A$2:$L$254,MATCH($A466,'C'!$A$2:$A$254,0),10),C466 = "LW",INDEX(LW!$A$2:$K$180,MATCH($A466,LW!$A$2:$A$180,0),10),C466 = "RW",INDEX('RW'!$A$2:$L$164,MATCH($A466,'RW'!$A$2:$A$164,0),10), C466 = "D",INDEX(D!$A$2:$L$268,MATCH($A466,D!$A$2:$A$268,0),10),C466="G",INDEX(G!$A$2:$Q$78,MATCH($A466,G!$A$2:$A$78,0),16),C466="F",INDEX(F!$A$2:$K$494,MATCH($A466,F!$A$2:$A$494,0),10))</f>
        <v>98</v>
      </c>
      <c r="G466" t="str">
        <f>_xlfn.CONCAT(C466,Table16[[#This Row],[Pos Rank2]])</f>
        <v>RW98</v>
      </c>
      <c r="H466" s="10">
        <f>MAX(_xlfn.IFNA(INDEX(Proj[],MATCH(Table16[[#This Row],[Player]],Proj[Player],0),29),-5000), _xlfn.IFNA(INDEX(Goalie[],MATCH(Table16[[#This Row],[Player]],Goalie[player],0),19),-5000))</f>
        <v>-52.84353989141146</v>
      </c>
      <c r="I466" t="str">
        <f>IF(_xlfn.IFNA(INDEX(Proj[],MATCH(Table16[[#This Row],[Player]],Proj[Player],0),31),INDEX(Goalie[],MATCH(Table16[[#This Row],[Player]],Goalie[player],0),20)) = 0, "",_xlfn.IFNA(INDEX(Proj[],MATCH(Table16[[#This Row],[Player]],Proj[Player],0),31),INDEX(Goalie[],MATCH(Table16[[#This Row],[Player]],Goalie[player],0),20)))</f>
        <v/>
      </c>
    </row>
    <row r="467" spans="1:9" x14ac:dyDescent="0.25">
      <c r="A467" t="s">
        <v>496</v>
      </c>
      <c r="B467" s="2" t="s">
        <v>74</v>
      </c>
      <c r="C467" t="str">
        <f t="shared" si="7"/>
        <v>C</v>
      </c>
      <c r="D467" s="10">
        <f>MAX(_xlfn.IFNA(INDEX(Proj[],MATCH(Table16[[#This Row],[Player]],Proj[Player],0),27),-5000), _xlfn.IFNA(INDEX(Goalie[],MATCH(Table16[[#This Row],[Player]],Goalie[player],0),17),-5000))</f>
        <v>-346.481087846734</v>
      </c>
      <c r="E467">
        <f>_xlfn.RANK.EQ(Table16[[#This Row],[VOR]],Table16[VOR])</f>
        <v>401</v>
      </c>
      <c r="F467" cm="1">
        <f t="array" ref="F467">_xlfn.IFS(C467 = "C",INDEX('C'!$A$2:$L$254,MATCH($A467,'C'!$A$2:$A$254,0),10),C467 = "LW",INDEX(LW!$A$2:$K$180,MATCH($A467,LW!$A$2:$A$180,0),10),C467 = "RW",INDEX('RW'!$A$2:$L$164,MATCH($A467,'RW'!$A$2:$A$164,0),10), C467 = "D",INDEX(D!$A$2:$L$268,MATCH($A467,D!$A$2:$A$268,0),10),C467="G",INDEX(G!$A$2:$Q$78,MATCH($A467,G!$A$2:$A$78,0),16),C467="F",INDEX(F!$A$2:$K$494,MATCH($A467,F!$A$2:$A$494,0),10))</f>
        <v>81</v>
      </c>
      <c r="G467" t="str">
        <f>_xlfn.CONCAT(C467,Table16[[#This Row],[Pos Rank2]])</f>
        <v>C81</v>
      </c>
      <c r="H467" s="10">
        <f>MAX(_xlfn.IFNA(INDEX(Proj[],MATCH(Table16[[#This Row],[Player]],Proj[Player],0),29),-5000), _xlfn.IFNA(INDEX(Goalie[],MATCH(Table16[[#This Row],[Player]],Goalie[player],0),19),-5000))</f>
        <v>388.1527664635646</v>
      </c>
      <c r="I467" t="str">
        <f>IF(_xlfn.IFNA(INDEX(Proj[],MATCH(Table16[[#This Row],[Player]],Proj[Player],0),31),INDEX(Goalie[],MATCH(Table16[[#This Row],[Player]],Goalie[player],0),20)) = 0, "",_xlfn.IFNA(INDEX(Proj[],MATCH(Table16[[#This Row],[Player]],Proj[Player],0),31),INDEX(Goalie[],MATCH(Table16[[#This Row],[Player]],Goalie[player],0),20)))</f>
        <v/>
      </c>
    </row>
    <row r="468" spans="1:9" x14ac:dyDescent="0.25">
      <c r="A468" t="s">
        <v>728</v>
      </c>
      <c r="B468" s="2" t="s">
        <v>103</v>
      </c>
      <c r="C468" t="str">
        <f t="shared" si="7"/>
        <v>RW</v>
      </c>
      <c r="D468" s="10">
        <f>MAX(_xlfn.IFNA(INDEX(Proj[],MATCH(Table16[[#This Row],[Player]],Proj[Player],0),27),-5000), _xlfn.IFNA(INDEX(Goalie[],MATCH(Table16[[#This Row],[Player]],Goalie[player],0),17),-5000))</f>
        <v>-492.84591121355254</v>
      </c>
      <c r="E468">
        <f>_xlfn.RANK.EQ(Table16[[#This Row],[VOR]],Table16[VOR])</f>
        <v>483</v>
      </c>
      <c r="F468" cm="1">
        <f t="array" ref="F468">_xlfn.IFS(C468 = "C",INDEX('C'!$A$2:$L$254,MATCH($A468,'C'!$A$2:$A$254,0),10),C468 = "LW",INDEX(LW!$A$2:$K$180,MATCH($A468,LW!$A$2:$A$180,0),10),C468 = "RW",INDEX('RW'!$A$2:$L$164,MATCH($A468,'RW'!$A$2:$A$164,0),10), C468 = "D",INDEX(D!$A$2:$L$268,MATCH($A468,D!$A$2:$A$268,0),10),C468="G",INDEX(G!$A$2:$Q$78,MATCH($A468,G!$A$2:$A$78,0),16),C468="F",INDEX(F!$A$2:$K$494,MATCH($A468,F!$A$2:$A$494,0),10))</f>
        <v>96</v>
      </c>
      <c r="G468" t="str">
        <f>_xlfn.CONCAT(C468,Table16[[#This Row],[Pos Rank2]])</f>
        <v>RW96</v>
      </c>
      <c r="H468" s="10">
        <f>MAX(_xlfn.IFNA(INDEX(Proj[],MATCH(Table16[[#This Row],[Player]],Proj[Player],0),29),-5000), _xlfn.IFNA(INDEX(Goalie[],MATCH(Table16[[#This Row],[Player]],Goalie[player],0),19),-5000))</f>
        <v>-46.30118682330373</v>
      </c>
      <c r="I468" t="str">
        <f>IF(_xlfn.IFNA(INDEX(Proj[],MATCH(Table16[[#This Row],[Player]],Proj[Player],0),31),INDEX(Goalie[],MATCH(Table16[[#This Row],[Player]],Goalie[player],0),20)) = 0, "",_xlfn.IFNA(INDEX(Proj[],MATCH(Table16[[#This Row],[Player]],Proj[Player],0),31),INDEX(Goalie[],MATCH(Table16[[#This Row],[Player]],Goalie[player],0),20)))</f>
        <v/>
      </c>
    </row>
    <row r="469" spans="1:9" x14ac:dyDescent="0.25">
      <c r="A469" t="s">
        <v>1211</v>
      </c>
      <c r="B469" s="2" t="s">
        <v>103</v>
      </c>
      <c r="C469" t="str">
        <f t="shared" si="7"/>
        <v>RW</v>
      </c>
      <c r="D469" s="10">
        <f>MAX(_xlfn.IFNA(INDEX(Proj[],MATCH(Table16[[#This Row],[Player]],Proj[Player],0),27),-5000), _xlfn.IFNA(INDEX(Goalie[],MATCH(Table16[[#This Row],[Player]],Goalie[player],0),17),-5000))</f>
        <v>-483.3703029393032</v>
      </c>
      <c r="E469">
        <f>_xlfn.RANK.EQ(Table16[[#This Row],[VOR]],Table16[VOR])</f>
        <v>478</v>
      </c>
      <c r="F469" cm="1">
        <f t="array" ref="F469">_xlfn.IFS(C469 = "C",INDEX('C'!$A$2:$L$254,MATCH($A469,'C'!$A$2:$A$254,0),10),C469 = "LW",INDEX(LW!$A$2:$K$180,MATCH($A469,LW!$A$2:$A$180,0),10),C469 = "RW",INDEX('RW'!$A$2:$L$164,MATCH($A469,'RW'!$A$2:$A$164,0),10), C469 = "D",INDEX(D!$A$2:$L$268,MATCH($A469,D!$A$2:$A$268,0),10),C469="G",INDEX(G!$A$2:$Q$78,MATCH($A469,G!$A$2:$A$78,0),16),C469="F",INDEX(F!$A$2:$K$494,MATCH($A469,F!$A$2:$A$494,0),10))</f>
        <v>94</v>
      </c>
      <c r="G469" t="str">
        <f>_xlfn.CONCAT(C469,Table16[[#This Row],[Pos Rank2]])</f>
        <v>RW94</v>
      </c>
      <c r="H469" s="10">
        <f>MAX(_xlfn.IFNA(INDEX(Proj[],MATCH(Table16[[#This Row],[Player]],Proj[Player],0),29),-5000), _xlfn.IFNA(INDEX(Goalie[],MATCH(Table16[[#This Row],[Player]],Goalie[player],0),19),-5000))</f>
        <v>-36.825578549054342</v>
      </c>
      <c r="I469" t="str">
        <f>IF(_xlfn.IFNA(INDEX(Proj[],MATCH(Table16[[#This Row],[Player]],Proj[Player],0),31),INDEX(Goalie[],MATCH(Table16[[#This Row],[Player]],Goalie[player],0),20)) = 0, "",_xlfn.IFNA(INDEX(Proj[],MATCH(Table16[[#This Row],[Player]],Proj[Player],0),31),INDEX(Goalie[],MATCH(Table16[[#This Row],[Player]],Goalie[player],0),20)))</f>
        <v/>
      </c>
    </row>
    <row r="470" spans="1:9" x14ac:dyDescent="0.25">
      <c r="A470" t="s">
        <v>1097</v>
      </c>
      <c r="B470" s="2" t="s">
        <v>74</v>
      </c>
      <c r="C470" t="str">
        <f t="shared" si="7"/>
        <v>C</v>
      </c>
      <c r="D470" s="10">
        <f>MAX(_xlfn.IFNA(INDEX(Proj[],MATCH(Table16[[#This Row],[Player]],Proj[Player],0),27),-5000), _xlfn.IFNA(INDEX(Goalie[],MATCH(Table16[[#This Row],[Player]],Goalie[player],0),17),-5000))</f>
        <v>-548.66630907660146</v>
      </c>
      <c r="E470">
        <f>_xlfn.RANK.EQ(Table16[[#This Row],[VOR]],Table16[VOR])</f>
        <v>522</v>
      </c>
      <c r="F470" cm="1">
        <f t="array" ref="F470">_xlfn.IFS(C470 = "C",INDEX('C'!$A$2:$L$254,MATCH($A470,'C'!$A$2:$A$254,0),10),C470 = "LW",INDEX(LW!$A$2:$K$180,MATCH($A470,LW!$A$2:$A$180,0),10),C470 = "RW",INDEX('RW'!$A$2:$L$164,MATCH($A470,'RW'!$A$2:$A$164,0),10), C470 = "D",INDEX(D!$A$2:$L$268,MATCH($A470,D!$A$2:$A$268,0),10),C470="G",INDEX(G!$A$2:$Q$78,MATCH($A470,G!$A$2:$A$78,0),16),C470="F",INDEX(F!$A$2:$K$494,MATCH($A470,F!$A$2:$A$494,0),10))</f>
        <v>117</v>
      </c>
      <c r="G470" t="str">
        <f>_xlfn.CONCAT(C470,Table16[[#This Row],[Pos Rank2]])</f>
        <v>C117</v>
      </c>
      <c r="H470" s="10">
        <f>MAX(_xlfn.IFNA(INDEX(Proj[],MATCH(Table16[[#This Row],[Player]],Proj[Player],0),29),-5000), _xlfn.IFNA(INDEX(Goalie[],MATCH(Table16[[#This Row],[Player]],Goalie[player],0),19),-5000))</f>
        <v>185.96754523369719</v>
      </c>
      <c r="I470" t="str">
        <f>IF(_xlfn.IFNA(INDEX(Proj[],MATCH(Table16[[#This Row],[Player]],Proj[Player],0),31),INDEX(Goalie[],MATCH(Table16[[#This Row],[Player]],Goalie[player],0),20)) = 0, "",_xlfn.IFNA(INDEX(Proj[],MATCH(Table16[[#This Row],[Player]],Proj[Player],0),31),INDEX(Goalie[],MATCH(Table16[[#This Row],[Player]],Goalie[player],0),20)))</f>
        <v/>
      </c>
    </row>
    <row r="471" spans="1:9" x14ac:dyDescent="0.25">
      <c r="A471" t="s">
        <v>549</v>
      </c>
      <c r="B471" s="2" t="s">
        <v>3</v>
      </c>
      <c r="C471" t="str">
        <f t="shared" si="7"/>
        <v>D</v>
      </c>
      <c r="D471" s="10">
        <f>MAX(_xlfn.IFNA(INDEX(Proj[],MATCH(Table16[[#This Row],[Player]],Proj[Player],0),27),-5000), _xlfn.IFNA(INDEX(Goalie[],MATCH(Table16[[#This Row],[Player]],Goalie[player],0),17),-5000))</f>
        <v>-429.85176913175792</v>
      </c>
      <c r="E471">
        <f>_xlfn.RANK.EQ(Table16[[#This Row],[VOR]],Table16[VOR])</f>
        <v>447</v>
      </c>
      <c r="F471" cm="1">
        <f t="array" ref="F471">_xlfn.IFS(C471 = "C",INDEX('C'!$A$2:$L$254,MATCH($A471,'C'!$A$2:$A$254,0),10),C471 = "LW",INDEX(LW!$A$2:$K$180,MATCH($A471,LW!$A$2:$A$180,0),10),C471 = "RW",INDEX('RW'!$A$2:$L$164,MATCH($A471,'RW'!$A$2:$A$164,0),10), C471 = "D",INDEX(D!$A$2:$L$268,MATCH($A471,D!$A$2:$A$268,0),10),C471="G",INDEX(G!$A$2:$Q$78,MATCH($A471,G!$A$2:$A$78,0),16),C471="F",INDEX(F!$A$2:$K$494,MATCH($A471,F!$A$2:$A$494,0),10))</f>
        <v>174</v>
      </c>
      <c r="G471" t="str">
        <f>_xlfn.CONCAT(C471,Table16[[#This Row],[Pos Rank2]])</f>
        <v>D174</v>
      </c>
      <c r="H471" s="10">
        <f>MAX(_xlfn.IFNA(INDEX(Proj[],MATCH(Table16[[#This Row],[Player]],Proj[Player],0),29),-5000), _xlfn.IFNA(INDEX(Goalie[],MATCH(Table16[[#This Row],[Player]],Goalie[player],0),19),-5000))</f>
        <v>-322.48700141229347</v>
      </c>
      <c r="I471" t="str">
        <f>IF(_xlfn.IFNA(INDEX(Proj[],MATCH(Table16[[#This Row],[Player]],Proj[Player],0),31),INDEX(Goalie[],MATCH(Table16[[#This Row],[Player]],Goalie[player],0),20)) = 0, "",_xlfn.IFNA(INDEX(Proj[],MATCH(Table16[[#This Row],[Player]],Proj[Player],0),31),INDEX(Goalie[],MATCH(Table16[[#This Row],[Player]],Goalie[player],0),20)))</f>
        <v/>
      </c>
    </row>
    <row r="472" spans="1:9" x14ac:dyDescent="0.25">
      <c r="A472" t="s">
        <v>709</v>
      </c>
      <c r="B472" s="2" t="s">
        <v>3</v>
      </c>
      <c r="C472" t="str">
        <f t="shared" si="7"/>
        <v>D</v>
      </c>
      <c r="D472" s="10">
        <f>MAX(_xlfn.IFNA(INDEX(Proj[],MATCH(Table16[[#This Row],[Player]],Proj[Player],0),27),-5000), _xlfn.IFNA(INDEX(Goalie[],MATCH(Table16[[#This Row],[Player]],Goalie[player],0),17),-5000))</f>
        <v>-432.11095589817535</v>
      </c>
      <c r="E472">
        <f>_xlfn.RANK.EQ(Table16[[#This Row],[VOR]],Table16[VOR])</f>
        <v>448</v>
      </c>
      <c r="F472" cm="1">
        <f t="array" ref="F472">_xlfn.IFS(C472 = "C",INDEX('C'!$A$2:$L$254,MATCH($A472,'C'!$A$2:$A$254,0),10),C472 = "LW",INDEX(LW!$A$2:$K$180,MATCH($A472,LW!$A$2:$A$180,0),10),C472 = "RW",INDEX('RW'!$A$2:$L$164,MATCH($A472,'RW'!$A$2:$A$164,0),10), C472 = "D",INDEX(D!$A$2:$L$268,MATCH($A472,D!$A$2:$A$268,0),10),C472="G",INDEX(G!$A$2:$Q$78,MATCH($A472,G!$A$2:$A$78,0),16),C472="F",INDEX(F!$A$2:$K$494,MATCH($A472,F!$A$2:$A$494,0),10))</f>
        <v>175</v>
      </c>
      <c r="G472" t="str">
        <f>_xlfn.CONCAT(C472,Table16[[#This Row],[Pos Rank2]])</f>
        <v>D175</v>
      </c>
      <c r="H472" s="10">
        <f>MAX(_xlfn.IFNA(INDEX(Proj[],MATCH(Table16[[#This Row],[Player]],Proj[Player],0),29),-5000), _xlfn.IFNA(INDEX(Goalie[],MATCH(Table16[[#This Row],[Player]],Goalie[player],0),19),-5000))</f>
        <v>-324.7461881787109</v>
      </c>
      <c r="I472" t="str">
        <f>IF(_xlfn.IFNA(INDEX(Proj[],MATCH(Table16[[#This Row],[Player]],Proj[Player],0),31),INDEX(Goalie[],MATCH(Table16[[#This Row],[Player]],Goalie[player],0),20)) = 0, "",_xlfn.IFNA(INDEX(Proj[],MATCH(Table16[[#This Row],[Player]],Proj[Player],0),31),INDEX(Goalie[],MATCH(Table16[[#This Row],[Player]],Goalie[player],0),20)))</f>
        <v/>
      </c>
    </row>
    <row r="473" spans="1:9" x14ac:dyDescent="0.25">
      <c r="A473" t="s">
        <v>914</v>
      </c>
      <c r="B473" s="2" t="s">
        <v>103</v>
      </c>
      <c r="C473" t="str">
        <f t="shared" si="7"/>
        <v>RW</v>
      </c>
      <c r="D473" s="10">
        <f>MAX(_xlfn.IFNA(INDEX(Proj[],MATCH(Table16[[#This Row],[Player]],Proj[Player],0),27),-5000), _xlfn.IFNA(INDEX(Goalie[],MATCH(Table16[[#This Row],[Player]],Goalie[player],0),17),-5000))</f>
        <v>-350.37769086910845</v>
      </c>
      <c r="E473">
        <f>_xlfn.RANK.EQ(Table16[[#This Row],[VOR]],Table16[VOR])</f>
        <v>405</v>
      </c>
      <c r="F473" cm="1">
        <f t="array" ref="F473">_xlfn.IFS(C473 = "C",INDEX('C'!$A$2:$L$254,MATCH($A473,'C'!$A$2:$A$254,0),10),C473 = "LW",INDEX(LW!$A$2:$K$180,MATCH($A473,LW!$A$2:$A$180,0),10),C473 = "RW",INDEX('RW'!$A$2:$L$164,MATCH($A473,'RW'!$A$2:$A$164,0),10), C473 = "D",INDEX(D!$A$2:$L$268,MATCH($A473,D!$A$2:$A$268,0),10),C473="G",INDEX(G!$A$2:$Q$78,MATCH($A473,G!$A$2:$A$78,0),16),C473="F",INDEX(F!$A$2:$K$494,MATCH($A473,F!$A$2:$A$494,0),10))</f>
        <v>79</v>
      </c>
      <c r="G473" t="str">
        <f>_xlfn.CONCAT(C473,Table16[[#This Row],[Pos Rank2]])</f>
        <v>RW79</v>
      </c>
      <c r="H473" s="10">
        <f>MAX(_xlfn.IFNA(INDEX(Proj[],MATCH(Table16[[#This Row],[Player]],Proj[Player],0),29),-5000), _xlfn.IFNA(INDEX(Goalie[],MATCH(Table16[[#This Row],[Player]],Goalie[player],0),19),-5000))</f>
        <v>96.167033521140425</v>
      </c>
      <c r="I473" t="str">
        <f>IF(_xlfn.IFNA(INDEX(Proj[],MATCH(Table16[[#This Row],[Player]],Proj[Player],0),31),INDEX(Goalie[],MATCH(Table16[[#This Row],[Player]],Goalie[player],0),20)) = 0, "",_xlfn.IFNA(INDEX(Proj[],MATCH(Table16[[#This Row],[Player]],Proj[Player],0),31),INDEX(Goalie[],MATCH(Table16[[#This Row],[Player]],Goalie[player],0),20)))</f>
        <v/>
      </c>
    </row>
    <row r="474" spans="1:9" x14ac:dyDescent="0.25">
      <c r="A474" t="s">
        <v>1185</v>
      </c>
      <c r="B474" s="2" t="s">
        <v>3</v>
      </c>
      <c r="C474" t="str">
        <f t="shared" si="7"/>
        <v>D</v>
      </c>
      <c r="D474" s="10">
        <f>MAX(_xlfn.IFNA(INDEX(Proj[],MATCH(Table16[[#This Row],[Player]],Proj[Player],0),27),-5000), _xlfn.IFNA(INDEX(Goalie[],MATCH(Table16[[#This Row],[Player]],Goalie[player],0),17),-5000))</f>
        <v>-433.86950299879425</v>
      </c>
      <c r="E474">
        <f>_xlfn.RANK.EQ(Table16[[#This Row],[VOR]],Table16[VOR])</f>
        <v>449</v>
      </c>
      <c r="F474" cm="1">
        <f t="array" ref="F474">_xlfn.IFS(C474 = "C",INDEX('C'!$A$2:$L$254,MATCH($A474,'C'!$A$2:$A$254,0),10),C474 = "LW",INDEX(LW!$A$2:$K$180,MATCH($A474,LW!$A$2:$A$180,0),10),C474 = "RW",INDEX('RW'!$A$2:$L$164,MATCH($A474,'RW'!$A$2:$A$164,0),10), C474 = "D",INDEX(D!$A$2:$L$268,MATCH($A474,D!$A$2:$A$268,0),10),C474="G",INDEX(G!$A$2:$Q$78,MATCH($A474,G!$A$2:$A$78,0),16),C474="F",INDEX(F!$A$2:$K$494,MATCH($A474,F!$A$2:$A$494,0),10))</f>
        <v>176</v>
      </c>
      <c r="G474" t="str">
        <f>_xlfn.CONCAT(C474,Table16[[#This Row],[Pos Rank2]])</f>
        <v>D176</v>
      </c>
      <c r="H474" s="10">
        <f>MAX(_xlfn.IFNA(INDEX(Proj[],MATCH(Table16[[#This Row],[Player]],Proj[Player],0),29),-5000), _xlfn.IFNA(INDEX(Goalie[],MATCH(Table16[[#This Row],[Player]],Goalie[player],0),19),-5000))</f>
        <v>-326.50473527932979</v>
      </c>
      <c r="I474" t="str">
        <f>IF(_xlfn.IFNA(INDEX(Proj[],MATCH(Table16[[#This Row],[Player]],Proj[Player],0),31),INDEX(Goalie[],MATCH(Table16[[#This Row],[Player]],Goalie[player],0),20)) = 0, "",_xlfn.IFNA(INDEX(Proj[],MATCH(Table16[[#This Row],[Player]],Proj[Player],0),31),INDEX(Goalie[],MATCH(Table16[[#This Row],[Player]],Goalie[player],0),20)))</f>
        <v/>
      </c>
    </row>
    <row r="475" spans="1:9" x14ac:dyDescent="0.25">
      <c r="A475" t="s">
        <v>1196</v>
      </c>
      <c r="B475" s="2" t="s">
        <v>3</v>
      </c>
      <c r="C475" t="str">
        <f t="shared" si="7"/>
        <v>D</v>
      </c>
      <c r="D475" s="10">
        <f>MAX(_xlfn.IFNA(INDEX(Proj[],MATCH(Table16[[#This Row],[Player]],Proj[Player],0),27),-5000), _xlfn.IFNA(INDEX(Goalie[],MATCH(Table16[[#This Row],[Player]],Goalie[player],0),17),-5000))</f>
        <v>-434.11766343175418</v>
      </c>
      <c r="E475">
        <f>_xlfn.RANK.EQ(Table16[[#This Row],[VOR]],Table16[VOR])</f>
        <v>450</v>
      </c>
      <c r="F475" cm="1">
        <f t="array" ref="F475">_xlfn.IFS(C475 = "C",INDEX('C'!$A$2:$L$254,MATCH($A475,'C'!$A$2:$A$254,0),10),C475 = "LW",INDEX(LW!$A$2:$K$180,MATCH($A475,LW!$A$2:$A$180,0),10),C475 = "RW",INDEX('RW'!$A$2:$L$164,MATCH($A475,'RW'!$A$2:$A$164,0),10), C475 = "D",INDEX(D!$A$2:$L$268,MATCH($A475,D!$A$2:$A$268,0),10),C475="G",INDEX(G!$A$2:$Q$78,MATCH($A475,G!$A$2:$A$78,0),16),C475="F",INDEX(F!$A$2:$K$494,MATCH($A475,F!$A$2:$A$494,0),10))</f>
        <v>177</v>
      </c>
      <c r="G475" t="str">
        <f>_xlfn.CONCAT(C475,Table16[[#This Row],[Pos Rank2]])</f>
        <v>D177</v>
      </c>
      <c r="H475" s="10">
        <f>MAX(_xlfn.IFNA(INDEX(Proj[],MATCH(Table16[[#This Row],[Player]],Proj[Player],0),29),-5000), _xlfn.IFNA(INDEX(Goalie[],MATCH(Table16[[#This Row],[Player]],Goalie[player],0),19),-5000))</f>
        <v>-326.75289571228967</v>
      </c>
      <c r="I475" t="str">
        <f>IF(_xlfn.IFNA(INDEX(Proj[],MATCH(Table16[[#This Row],[Player]],Proj[Player],0),31),INDEX(Goalie[],MATCH(Table16[[#This Row],[Player]],Goalie[player],0),20)) = 0, "",_xlfn.IFNA(INDEX(Proj[],MATCH(Table16[[#This Row],[Player]],Proj[Player],0),31),INDEX(Goalie[],MATCH(Table16[[#This Row],[Player]],Goalie[player],0),20)))</f>
        <v/>
      </c>
    </row>
    <row r="476" spans="1:9" x14ac:dyDescent="0.25">
      <c r="A476" t="s">
        <v>681</v>
      </c>
      <c r="B476" s="2" t="s">
        <v>74</v>
      </c>
      <c r="C476" t="str">
        <f t="shared" si="7"/>
        <v>C</v>
      </c>
      <c r="D476" s="10">
        <f>MAX(_xlfn.IFNA(INDEX(Proj[],MATCH(Table16[[#This Row],[Player]],Proj[Player],0),27),-5000), _xlfn.IFNA(INDEX(Goalie[],MATCH(Table16[[#This Row],[Player]],Goalie[player],0),17),-5000))</f>
        <v>-474.05802147566141</v>
      </c>
      <c r="E476">
        <f>_xlfn.RANK.EQ(Table16[[#This Row],[VOR]],Table16[VOR])</f>
        <v>472</v>
      </c>
      <c r="F476" cm="1">
        <f t="array" ref="F476">_xlfn.IFS(C476 = "C",INDEX('C'!$A$2:$L$254,MATCH($A476,'C'!$A$2:$A$254,0),10),C476 = "LW",INDEX(LW!$A$2:$K$180,MATCH($A476,LW!$A$2:$A$180,0),10),C476 = "RW",INDEX('RW'!$A$2:$L$164,MATCH($A476,'RW'!$A$2:$A$164,0),10), C476 = "D",INDEX(D!$A$2:$L$268,MATCH($A476,D!$A$2:$A$268,0),10),C476="G",INDEX(G!$A$2:$Q$78,MATCH($A476,G!$A$2:$A$78,0),16),C476="F",INDEX(F!$A$2:$K$494,MATCH($A476,F!$A$2:$A$494,0),10))</f>
        <v>98</v>
      </c>
      <c r="G476" t="str">
        <f>_xlfn.CONCAT(C476,Table16[[#This Row],[Pos Rank2]])</f>
        <v>C98</v>
      </c>
      <c r="H476" s="10">
        <f>MAX(_xlfn.IFNA(INDEX(Proj[],MATCH(Table16[[#This Row],[Player]],Proj[Player],0),29),-5000), _xlfn.IFNA(INDEX(Goalie[],MATCH(Table16[[#This Row],[Player]],Goalie[player],0),19),-5000))</f>
        <v>260.5758328346372</v>
      </c>
      <c r="I476" t="str">
        <f>IF(_xlfn.IFNA(INDEX(Proj[],MATCH(Table16[[#This Row],[Player]],Proj[Player],0),31),INDEX(Goalie[],MATCH(Table16[[#This Row],[Player]],Goalie[player],0),20)) = 0, "",_xlfn.IFNA(INDEX(Proj[],MATCH(Table16[[#This Row],[Player]],Proj[Player],0),31),INDEX(Goalie[],MATCH(Table16[[#This Row],[Player]],Goalie[player],0),20)))</f>
        <v/>
      </c>
    </row>
    <row r="477" spans="1:9" x14ac:dyDescent="0.25">
      <c r="A477" t="s">
        <v>856</v>
      </c>
      <c r="B477" s="2" t="s">
        <v>74</v>
      </c>
      <c r="C477" t="str">
        <f t="shared" si="7"/>
        <v>C</v>
      </c>
      <c r="D477" s="10">
        <f>MAX(_xlfn.IFNA(INDEX(Proj[],MATCH(Table16[[#This Row],[Player]],Proj[Player],0),27),-5000), _xlfn.IFNA(INDEX(Goalie[],MATCH(Table16[[#This Row],[Player]],Goalie[player],0),17),-5000))</f>
        <v>-548.75314533834694</v>
      </c>
      <c r="E477">
        <f>_xlfn.RANK.EQ(Table16[[#This Row],[VOR]],Table16[VOR])</f>
        <v>523</v>
      </c>
      <c r="F477" cm="1">
        <f t="array" ref="F477">_xlfn.IFS(C477 = "C",INDEX('C'!$A$2:$L$254,MATCH($A477,'C'!$A$2:$A$254,0),10),C477 = "LW",INDEX(LW!$A$2:$K$180,MATCH($A477,LW!$A$2:$A$180,0),10),C477 = "RW",INDEX('RW'!$A$2:$L$164,MATCH($A477,'RW'!$A$2:$A$164,0),10), C477 = "D",INDEX(D!$A$2:$L$268,MATCH($A477,D!$A$2:$A$268,0),10),C477="G",INDEX(G!$A$2:$Q$78,MATCH($A477,G!$A$2:$A$78,0),16),C477="F",INDEX(F!$A$2:$K$494,MATCH($A477,F!$A$2:$A$494,0),10))</f>
        <v>118</v>
      </c>
      <c r="G477" t="str">
        <f>_xlfn.CONCAT(C477,Table16[[#This Row],[Pos Rank2]])</f>
        <v>C118</v>
      </c>
      <c r="H477" s="10">
        <f>MAX(_xlfn.IFNA(INDEX(Proj[],MATCH(Table16[[#This Row],[Player]],Proj[Player],0),29),-5000), _xlfn.IFNA(INDEX(Goalie[],MATCH(Table16[[#This Row],[Player]],Goalie[player],0),19),-5000))</f>
        <v>185.88070897195172</v>
      </c>
      <c r="I477" t="str">
        <f>IF(_xlfn.IFNA(INDEX(Proj[],MATCH(Table16[[#This Row],[Player]],Proj[Player],0),31),INDEX(Goalie[],MATCH(Table16[[#This Row],[Player]],Goalie[player],0),20)) = 0, "",_xlfn.IFNA(INDEX(Proj[],MATCH(Table16[[#This Row],[Player]],Proj[Player],0),31),INDEX(Goalie[],MATCH(Table16[[#This Row],[Player]],Goalie[player],0),20)))</f>
        <v/>
      </c>
    </row>
    <row r="478" spans="1:9" x14ac:dyDescent="0.25">
      <c r="A478" t="s">
        <v>183</v>
      </c>
      <c r="B478" s="2" t="s">
        <v>157</v>
      </c>
      <c r="C478" t="str">
        <f t="shared" si="7"/>
        <v>G</v>
      </c>
      <c r="D478" s="10">
        <f>MAX(_xlfn.IFNA(INDEX(Proj[],MATCH(Table16[[#This Row],[Player]],Proj[Player],0),27),-5000), _xlfn.IFNA(INDEX(Goalie[],MATCH(Table16[[#This Row],[Player]],Goalie[player],0),17),-5000))</f>
        <v>-474.91362067690557</v>
      </c>
      <c r="E478">
        <f>_xlfn.RANK.EQ(Table16[[#This Row],[VOR]],Table16[VOR])</f>
        <v>473</v>
      </c>
      <c r="F478" cm="1">
        <f t="array" ref="F478">_xlfn.IFS(C478 = "C",INDEX('C'!$A$2:$L$254,MATCH($A478,'C'!$A$2:$A$254,0),10),C478 = "LW",INDEX(LW!$A$2:$K$180,MATCH($A478,LW!$A$2:$A$180,0),10),C478 = "RW",INDEX('RW'!$A$2:$L$164,MATCH($A478,'RW'!$A$2:$A$164,0),10), C478 = "D",INDEX(D!$A$2:$L$268,MATCH($A478,D!$A$2:$A$268,0),10),C478="G",INDEX(G!$A$2:$Q$78,MATCH($A478,G!$A$2:$A$78,0),16),C478="F",INDEX(F!$A$2:$K$494,MATCH($A478,F!$A$2:$A$494,0),10))</f>
        <v>65</v>
      </c>
      <c r="G478" t="str">
        <f>_xlfn.CONCAT(C478,Table16[[#This Row],[Pos Rank2]])</f>
        <v>G65</v>
      </c>
      <c r="H478" s="10">
        <f>MAX(_xlfn.IFNA(INDEX(Proj[],MATCH(Table16[[#This Row],[Player]],Proj[Player],0),29),-5000), _xlfn.IFNA(INDEX(Goalie[],MATCH(Table16[[#This Row],[Player]],Goalie[player],0),19),-5000))</f>
        <v>290.74899999999997</v>
      </c>
      <c r="I478" t="str">
        <f>IF(_xlfn.IFNA(INDEX(Proj[],MATCH(Table16[[#This Row],[Player]],Proj[Player],0),31),INDEX(Goalie[],MATCH(Table16[[#This Row],[Player]],Goalie[player],0),20)) = 0, "",_xlfn.IFNA(INDEX(Proj[],MATCH(Table16[[#This Row],[Player]],Proj[Player],0),31),INDEX(Goalie[],MATCH(Table16[[#This Row],[Player]],Goalie[player],0),20)))</f>
        <v/>
      </c>
    </row>
    <row r="479" spans="1:9" x14ac:dyDescent="0.25">
      <c r="A479" t="s">
        <v>1064</v>
      </c>
      <c r="B479" s="2" t="s">
        <v>3</v>
      </c>
      <c r="C479" t="str">
        <f t="shared" si="7"/>
        <v>D</v>
      </c>
      <c r="D479" s="10">
        <f>MAX(_xlfn.IFNA(INDEX(Proj[],MATCH(Table16[[#This Row],[Player]],Proj[Player],0),27),-5000), _xlfn.IFNA(INDEX(Goalie[],MATCH(Table16[[#This Row],[Player]],Goalie[player],0),17),-5000))</f>
        <v>-444.29843646709242</v>
      </c>
      <c r="E479">
        <f>_xlfn.RANK.EQ(Table16[[#This Row],[VOR]],Table16[VOR])</f>
        <v>454</v>
      </c>
      <c r="F479" cm="1">
        <f t="array" ref="F479">_xlfn.IFS(C479 = "C",INDEX('C'!$A$2:$L$254,MATCH($A479,'C'!$A$2:$A$254,0),10),C479 = "LW",INDEX(LW!$A$2:$K$180,MATCH($A479,LW!$A$2:$A$180,0),10),C479 = "RW",INDEX('RW'!$A$2:$L$164,MATCH($A479,'RW'!$A$2:$A$164,0),10), C479 = "D",INDEX(D!$A$2:$L$268,MATCH($A479,D!$A$2:$A$268,0),10),C479="G",INDEX(G!$A$2:$Q$78,MATCH($A479,G!$A$2:$A$78,0),16),C479="F",INDEX(F!$A$2:$K$494,MATCH($A479,F!$A$2:$A$494,0),10))</f>
        <v>178</v>
      </c>
      <c r="G479" t="str">
        <f>_xlfn.CONCAT(C479,Table16[[#This Row],[Pos Rank2]])</f>
        <v>D178</v>
      </c>
      <c r="H479" s="10">
        <f>MAX(_xlfn.IFNA(INDEX(Proj[],MATCH(Table16[[#This Row],[Player]],Proj[Player],0),29),-5000), _xlfn.IFNA(INDEX(Goalie[],MATCH(Table16[[#This Row],[Player]],Goalie[player],0),19),-5000))</f>
        <v>-336.93366874762791</v>
      </c>
      <c r="I479" t="str">
        <f>IF(_xlfn.IFNA(INDEX(Proj[],MATCH(Table16[[#This Row],[Player]],Proj[Player],0),31),INDEX(Goalie[],MATCH(Table16[[#This Row],[Player]],Goalie[player],0),20)) = 0, "",_xlfn.IFNA(INDEX(Proj[],MATCH(Table16[[#This Row],[Player]],Proj[Player],0),31),INDEX(Goalie[],MATCH(Table16[[#This Row],[Player]],Goalie[player],0),20)))</f>
        <v/>
      </c>
    </row>
    <row r="480" spans="1:9" x14ac:dyDescent="0.25">
      <c r="A480" t="s">
        <v>816</v>
      </c>
      <c r="B480" s="2" t="s">
        <v>102</v>
      </c>
      <c r="C480" t="str">
        <f t="shared" si="7"/>
        <v>LW</v>
      </c>
      <c r="D480" s="10">
        <f>MAX(_xlfn.IFNA(INDEX(Proj[],MATCH(Table16[[#This Row],[Player]],Proj[Player],0),27),-5000), _xlfn.IFNA(INDEX(Goalie[],MATCH(Table16[[#This Row],[Player]],Goalie[player],0),17),-5000))</f>
        <v>-521.36697498335457</v>
      </c>
      <c r="E480">
        <f>_xlfn.RANK.EQ(Table16[[#This Row],[VOR]],Table16[VOR])</f>
        <v>502</v>
      </c>
      <c r="F480" cm="1">
        <f t="array" ref="F480">_xlfn.IFS(C480 = "C",INDEX('C'!$A$2:$L$254,MATCH($A480,'C'!$A$2:$A$254,0),10),C480 = "LW",INDEX(LW!$A$2:$K$180,MATCH($A480,LW!$A$2:$A$180,0),10),C480 = "RW",INDEX('RW'!$A$2:$L$164,MATCH($A480,'RW'!$A$2:$A$164,0),10), C480 = "D",INDEX(D!$A$2:$L$268,MATCH($A480,D!$A$2:$A$268,0),10),C480="G",INDEX(G!$A$2:$Q$78,MATCH($A480,G!$A$2:$A$78,0),16),C480="F",INDEX(F!$A$2:$K$494,MATCH($A480,F!$A$2:$A$494,0),10))</f>
        <v>107</v>
      </c>
      <c r="G480" t="str">
        <f>_xlfn.CONCAT(C480,Table16[[#This Row],[Pos Rank2]])</f>
        <v>LW107</v>
      </c>
      <c r="H480" s="10">
        <f>MAX(_xlfn.IFNA(INDEX(Proj[],MATCH(Table16[[#This Row],[Player]],Proj[Player],0),29),-5000), _xlfn.IFNA(INDEX(Goalie[],MATCH(Table16[[#This Row],[Player]],Goalie[player],0),19),-5000))</f>
        <v>-49.822250593105721</v>
      </c>
      <c r="I480" t="str">
        <f>IF(_xlfn.IFNA(INDEX(Proj[],MATCH(Table16[[#This Row],[Player]],Proj[Player],0),31),INDEX(Goalie[],MATCH(Table16[[#This Row],[Player]],Goalie[player],0),20)) = 0, "",_xlfn.IFNA(INDEX(Proj[],MATCH(Table16[[#This Row],[Player]],Proj[Player],0),31),INDEX(Goalie[],MATCH(Table16[[#This Row],[Player]],Goalie[player],0),20)))</f>
        <v/>
      </c>
    </row>
    <row r="481" spans="1:9" x14ac:dyDescent="0.25">
      <c r="A481" t="s">
        <v>618</v>
      </c>
      <c r="B481" s="2" t="s">
        <v>3</v>
      </c>
      <c r="C481" t="str">
        <f t="shared" si="7"/>
        <v>D</v>
      </c>
      <c r="D481" s="10">
        <f>MAX(_xlfn.IFNA(INDEX(Proj[],MATCH(Table16[[#This Row],[Player]],Proj[Player],0),27),-5000), _xlfn.IFNA(INDEX(Goalie[],MATCH(Table16[[#This Row],[Player]],Goalie[player],0),17),-5000))</f>
        <v>-448.66515206037923</v>
      </c>
      <c r="E481">
        <f>_xlfn.RANK.EQ(Table16[[#This Row],[VOR]],Table16[VOR])</f>
        <v>456</v>
      </c>
      <c r="F481" cm="1">
        <f t="array" ref="F481">_xlfn.IFS(C481 = "C",INDEX('C'!$A$2:$L$254,MATCH($A481,'C'!$A$2:$A$254,0),10),C481 = "LW",INDEX(LW!$A$2:$K$180,MATCH($A481,LW!$A$2:$A$180,0),10),C481 = "RW",INDEX('RW'!$A$2:$L$164,MATCH($A481,'RW'!$A$2:$A$164,0),10), C481 = "D",INDEX(D!$A$2:$L$268,MATCH($A481,D!$A$2:$A$268,0),10),C481="G",INDEX(G!$A$2:$Q$78,MATCH($A481,G!$A$2:$A$78,0),16),C481="F",INDEX(F!$A$2:$K$494,MATCH($A481,F!$A$2:$A$494,0),10))</f>
        <v>179</v>
      </c>
      <c r="G481" t="str">
        <f>_xlfn.CONCAT(C481,Table16[[#This Row],[Pos Rank2]])</f>
        <v>D179</v>
      </c>
      <c r="H481" s="10">
        <f>MAX(_xlfn.IFNA(INDEX(Proj[],MATCH(Table16[[#This Row],[Player]],Proj[Player],0),29),-5000), _xlfn.IFNA(INDEX(Goalie[],MATCH(Table16[[#This Row],[Player]],Goalie[player],0),19),-5000))</f>
        <v>-341.30038434091477</v>
      </c>
      <c r="I481" t="str">
        <f>IF(_xlfn.IFNA(INDEX(Proj[],MATCH(Table16[[#This Row],[Player]],Proj[Player],0),31),INDEX(Goalie[],MATCH(Table16[[#This Row],[Player]],Goalie[player],0),20)) = 0, "",_xlfn.IFNA(INDEX(Proj[],MATCH(Table16[[#This Row],[Player]],Proj[Player],0),31),INDEX(Goalie[],MATCH(Table16[[#This Row],[Player]],Goalie[player],0),20)))</f>
        <v/>
      </c>
    </row>
    <row r="482" spans="1:9" x14ac:dyDescent="0.25">
      <c r="A482" t="s">
        <v>300</v>
      </c>
      <c r="B482" s="2" t="s">
        <v>103</v>
      </c>
      <c r="C482" t="str">
        <f t="shared" si="7"/>
        <v>RW</v>
      </c>
      <c r="D482" s="10">
        <f>MAX(_xlfn.IFNA(INDEX(Proj[],MATCH(Table16[[#This Row],[Player]],Proj[Player],0),27),-5000), _xlfn.IFNA(INDEX(Goalie[],MATCH(Table16[[#This Row],[Player]],Goalie[player],0),17),-5000))</f>
        <v>-497.82820466553721</v>
      </c>
      <c r="E482">
        <f>_xlfn.RANK.EQ(Table16[[#This Row],[VOR]],Table16[VOR])</f>
        <v>486</v>
      </c>
      <c r="F482" cm="1">
        <f t="array" ref="F482">_xlfn.IFS(C482 = "C",INDEX('C'!$A$2:$L$254,MATCH($A482,'C'!$A$2:$A$254,0),10),C482 = "LW",INDEX(LW!$A$2:$K$180,MATCH($A482,LW!$A$2:$A$180,0),10),C482 = "RW",INDEX('RW'!$A$2:$L$164,MATCH($A482,'RW'!$A$2:$A$164,0),10), C482 = "D",INDEX(D!$A$2:$L$268,MATCH($A482,D!$A$2:$A$268,0),10),C482="G",INDEX(G!$A$2:$Q$78,MATCH($A482,G!$A$2:$A$78,0),16),C482="F",INDEX(F!$A$2:$K$494,MATCH($A482,F!$A$2:$A$494,0),10))</f>
        <v>97</v>
      </c>
      <c r="G482" t="str">
        <f>_xlfn.CONCAT(C482,Table16[[#This Row],[Pos Rank2]])</f>
        <v>RW97</v>
      </c>
      <c r="H482" s="10">
        <f>MAX(_xlfn.IFNA(INDEX(Proj[],MATCH(Table16[[#This Row],[Player]],Proj[Player],0),29),-5000), _xlfn.IFNA(INDEX(Goalie[],MATCH(Table16[[#This Row],[Player]],Goalie[player],0),19),-5000))</f>
        <v>-51.283480275288404</v>
      </c>
      <c r="I482" t="str">
        <f>IF(_xlfn.IFNA(INDEX(Proj[],MATCH(Table16[[#This Row],[Player]],Proj[Player],0),31),INDEX(Goalie[],MATCH(Table16[[#This Row],[Player]],Goalie[player],0),20)) = 0, "",_xlfn.IFNA(INDEX(Proj[],MATCH(Table16[[#This Row],[Player]],Proj[Player],0),31),INDEX(Goalie[],MATCH(Table16[[#This Row],[Player]],Goalie[player],0),20)))</f>
        <v/>
      </c>
    </row>
    <row r="483" spans="1:9" x14ac:dyDescent="0.25">
      <c r="A483" t="s">
        <v>769</v>
      </c>
      <c r="B483" s="2" t="s">
        <v>102</v>
      </c>
      <c r="C483" t="str">
        <f t="shared" si="7"/>
        <v>LW</v>
      </c>
      <c r="D483" s="10">
        <f>MAX(_xlfn.IFNA(INDEX(Proj[],MATCH(Table16[[#This Row],[Player]],Proj[Player],0),27),-5000), _xlfn.IFNA(INDEX(Goalie[],MATCH(Table16[[#This Row],[Player]],Goalie[player],0),17),-5000))</f>
        <v>-519.05984776457603</v>
      </c>
      <c r="E483">
        <f>_xlfn.RANK.EQ(Table16[[#This Row],[VOR]],Table16[VOR])</f>
        <v>500</v>
      </c>
      <c r="F483" cm="1">
        <f t="array" ref="F483">_xlfn.IFS(C483 = "C",INDEX('C'!$A$2:$L$254,MATCH($A483,'C'!$A$2:$A$254,0),10),C483 = "LW",INDEX(LW!$A$2:$K$180,MATCH($A483,LW!$A$2:$A$180,0),10),C483 = "RW",INDEX('RW'!$A$2:$L$164,MATCH($A483,'RW'!$A$2:$A$164,0),10), C483 = "D",INDEX(D!$A$2:$L$268,MATCH($A483,D!$A$2:$A$268,0),10),C483="G",INDEX(G!$A$2:$Q$78,MATCH($A483,G!$A$2:$A$78,0),16),C483="F",INDEX(F!$A$2:$K$494,MATCH($A483,F!$A$2:$A$494,0),10))</f>
        <v>106</v>
      </c>
      <c r="G483" t="str">
        <f>_xlfn.CONCAT(C483,Table16[[#This Row],[Pos Rank2]])</f>
        <v>LW106</v>
      </c>
      <c r="H483" s="10">
        <f>MAX(_xlfn.IFNA(INDEX(Proj[],MATCH(Table16[[#This Row],[Player]],Proj[Player],0),29),-5000), _xlfn.IFNA(INDEX(Goalie[],MATCH(Table16[[#This Row],[Player]],Goalie[player],0),19),-5000))</f>
        <v>-47.515123374327132</v>
      </c>
      <c r="I483" t="str">
        <f>IF(_xlfn.IFNA(INDEX(Proj[],MATCH(Table16[[#This Row],[Player]],Proj[Player],0),31),INDEX(Goalie[],MATCH(Table16[[#This Row],[Player]],Goalie[player],0),20)) = 0, "",_xlfn.IFNA(INDEX(Proj[],MATCH(Table16[[#This Row],[Player]],Proj[Player],0),31),INDEX(Goalie[],MATCH(Table16[[#This Row],[Player]],Goalie[player],0),20)))</f>
        <v/>
      </c>
    </row>
    <row r="484" spans="1:9" x14ac:dyDescent="0.25">
      <c r="A484" t="s">
        <v>405</v>
      </c>
      <c r="B484" s="2" t="s">
        <v>3</v>
      </c>
      <c r="C484" t="str">
        <f t="shared" si="7"/>
        <v>D</v>
      </c>
      <c r="D484" s="10">
        <f>MAX(_xlfn.IFNA(INDEX(Proj[],MATCH(Table16[[#This Row],[Player]],Proj[Player],0),27),-5000), _xlfn.IFNA(INDEX(Goalie[],MATCH(Table16[[#This Row],[Player]],Goalie[player],0),17),-5000))</f>
        <v>-452.64399053778993</v>
      </c>
      <c r="E484">
        <f>_xlfn.RANK.EQ(Table16[[#This Row],[VOR]],Table16[VOR])</f>
        <v>457</v>
      </c>
      <c r="F484" cm="1">
        <f t="array" ref="F484">_xlfn.IFS(C484 = "C",INDEX('C'!$A$2:$L$254,MATCH($A484,'C'!$A$2:$A$254,0),10),C484 = "LW",INDEX(LW!$A$2:$K$180,MATCH($A484,LW!$A$2:$A$180,0),10),C484 = "RW",INDEX('RW'!$A$2:$L$164,MATCH($A484,'RW'!$A$2:$A$164,0),10), C484 = "D",INDEX(D!$A$2:$L$268,MATCH($A484,D!$A$2:$A$268,0),10),C484="G",INDEX(G!$A$2:$Q$78,MATCH($A484,G!$A$2:$A$78,0),16),C484="F",INDEX(F!$A$2:$K$494,MATCH($A484,F!$A$2:$A$494,0),10))</f>
        <v>180</v>
      </c>
      <c r="G484" t="str">
        <f>_xlfn.CONCAT(C484,Table16[[#This Row],[Pos Rank2]])</f>
        <v>D180</v>
      </c>
      <c r="H484" s="10">
        <f>MAX(_xlfn.IFNA(INDEX(Proj[],MATCH(Table16[[#This Row],[Player]],Proj[Player],0),29),-5000), _xlfn.IFNA(INDEX(Goalie[],MATCH(Table16[[#This Row],[Player]],Goalie[player],0),19),-5000))</f>
        <v>-345.27922281832548</v>
      </c>
      <c r="I484" t="str">
        <f>IF(_xlfn.IFNA(INDEX(Proj[],MATCH(Table16[[#This Row],[Player]],Proj[Player],0),31),INDEX(Goalie[],MATCH(Table16[[#This Row],[Player]],Goalie[player],0),20)) = 0, "",_xlfn.IFNA(INDEX(Proj[],MATCH(Table16[[#This Row],[Player]],Proj[Player],0),31),INDEX(Goalie[],MATCH(Table16[[#This Row],[Player]],Goalie[player],0),20)))</f>
        <v/>
      </c>
    </row>
    <row r="485" spans="1:9" x14ac:dyDescent="0.25">
      <c r="A485" t="s">
        <v>162</v>
      </c>
      <c r="B485" s="2" t="s">
        <v>157</v>
      </c>
      <c r="C485" t="str">
        <f t="shared" si="7"/>
        <v>G</v>
      </c>
      <c r="D485" s="10">
        <f>MAX(_xlfn.IFNA(INDEX(Proj[],MATCH(Table16[[#This Row],[Player]],Proj[Player],0),27),-5000), _xlfn.IFNA(INDEX(Goalie[],MATCH(Table16[[#This Row],[Player]],Goalie[player],0),17),-5000))</f>
        <v>-484.57225173853544</v>
      </c>
      <c r="E485">
        <f>_xlfn.RANK.EQ(Table16[[#This Row],[VOR]],Table16[VOR])</f>
        <v>480</v>
      </c>
      <c r="F485" cm="1">
        <f t="array" ref="F485">_xlfn.IFS(C485 = "C",INDEX('C'!$A$2:$L$254,MATCH($A485,'C'!$A$2:$A$254,0),10),C485 = "LW",INDEX(LW!$A$2:$K$180,MATCH($A485,LW!$A$2:$A$180,0),10),C485 = "RW",INDEX('RW'!$A$2:$L$164,MATCH($A485,'RW'!$A$2:$A$164,0),10), C485 = "D",INDEX(D!$A$2:$L$268,MATCH($A485,D!$A$2:$A$268,0),10),C485="G",INDEX(G!$A$2:$Q$78,MATCH($A485,G!$A$2:$A$78,0),16),C485="F",INDEX(F!$A$2:$K$494,MATCH($A485,F!$A$2:$A$494,0),10))</f>
        <v>66</v>
      </c>
      <c r="G485" t="str">
        <f>_xlfn.CONCAT(C485,Table16[[#This Row],[Pos Rank2]])</f>
        <v>G66</v>
      </c>
      <c r="H485" s="10">
        <f>MAX(_xlfn.IFNA(INDEX(Proj[],MATCH(Table16[[#This Row],[Player]],Proj[Player],0),29),-5000), _xlfn.IFNA(INDEX(Goalie[],MATCH(Table16[[#This Row],[Player]],Goalie[player],0),19),-5000))</f>
        <v>194.81399999999996</v>
      </c>
      <c r="I485" t="str">
        <f>IF(_xlfn.IFNA(INDEX(Proj[],MATCH(Table16[[#This Row],[Player]],Proj[Player],0),31),INDEX(Goalie[],MATCH(Table16[[#This Row],[Player]],Goalie[player],0),20)) = 0, "",_xlfn.IFNA(INDEX(Proj[],MATCH(Table16[[#This Row],[Player]],Proj[Player],0),31),INDEX(Goalie[],MATCH(Table16[[#This Row],[Player]],Goalie[player],0),20)))</f>
        <v/>
      </c>
    </row>
    <row r="486" spans="1:9" x14ac:dyDescent="0.25">
      <c r="A486" t="s">
        <v>471</v>
      </c>
      <c r="B486" s="2" t="s">
        <v>3</v>
      </c>
      <c r="C486" t="str">
        <f t="shared" si="7"/>
        <v>D</v>
      </c>
      <c r="D486" s="10">
        <f>MAX(_xlfn.IFNA(INDEX(Proj[],MATCH(Table16[[#This Row],[Player]],Proj[Player],0),27),-5000), _xlfn.IFNA(INDEX(Goalie[],MATCH(Table16[[#This Row],[Player]],Goalie[player],0),17),-5000))</f>
        <v>-453.3374286002296</v>
      </c>
      <c r="E486">
        <f>_xlfn.RANK.EQ(Table16[[#This Row],[VOR]],Table16[VOR])</f>
        <v>458</v>
      </c>
      <c r="F486" cm="1">
        <f t="array" ref="F486">_xlfn.IFS(C486 = "C",INDEX('C'!$A$2:$L$254,MATCH($A486,'C'!$A$2:$A$254,0),10),C486 = "LW",INDEX(LW!$A$2:$K$180,MATCH($A486,LW!$A$2:$A$180,0),10),C486 = "RW",INDEX('RW'!$A$2:$L$164,MATCH($A486,'RW'!$A$2:$A$164,0),10), C486 = "D",INDEX(D!$A$2:$L$268,MATCH($A486,D!$A$2:$A$268,0),10),C486="G",INDEX(G!$A$2:$Q$78,MATCH($A486,G!$A$2:$A$78,0),16),C486="F",INDEX(F!$A$2:$K$494,MATCH($A486,F!$A$2:$A$494,0),10))</f>
        <v>181</v>
      </c>
      <c r="G486" t="str">
        <f>_xlfn.CONCAT(C486,Table16[[#This Row],[Pos Rank2]])</f>
        <v>D181</v>
      </c>
      <c r="H486" s="10">
        <f>MAX(_xlfn.IFNA(INDEX(Proj[],MATCH(Table16[[#This Row],[Player]],Proj[Player],0),29),-5000), _xlfn.IFNA(INDEX(Goalie[],MATCH(Table16[[#This Row],[Player]],Goalie[player],0),19),-5000))</f>
        <v>-345.97266088076515</v>
      </c>
      <c r="I486" t="str">
        <f>IF(_xlfn.IFNA(INDEX(Proj[],MATCH(Table16[[#This Row],[Player]],Proj[Player],0),31),INDEX(Goalie[],MATCH(Table16[[#This Row],[Player]],Goalie[player],0),20)) = 0, "",_xlfn.IFNA(INDEX(Proj[],MATCH(Table16[[#This Row],[Player]],Proj[Player],0),31),INDEX(Goalie[],MATCH(Table16[[#This Row],[Player]],Goalie[player],0),20)))</f>
        <v/>
      </c>
    </row>
    <row r="487" spans="1:9" x14ac:dyDescent="0.25">
      <c r="A487" t="s">
        <v>1041</v>
      </c>
      <c r="B487" s="2" t="s">
        <v>74</v>
      </c>
      <c r="C487" t="str">
        <f t="shared" si="7"/>
        <v>C</v>
      </c>
      <c r="D487" s="10">
        <f>MAX(_xlfn.IFNA(INDEX(Proj[],MATCH(Table16[[#This Row],[Player]],Proj[Player],0),27),-5000), _xlfn.IFNA(INDEX(Goalie[],MATCH(Table16[[#This Row],[Player]],Goalie[player],0),17),-5000))</f>
        <v>-704.26894985784145</v>
      </c>
      <c r="E487">
        <f>_xlfn.RANK.EQ(Table16[[#This Row],[VOR]],Table16[VOR])</f>
        <v>598</v>
      </c>
      <c r="F487" cm="1">
        <f t="array" ref="F487">_xlfn.IFS(C487 = "C",INDEX('C'!$A$2:$L$254,MATCH($A487,'C'!$A$2:$A$254,0),10),C487 = "LW",INDEX(LW!$A$2:$K$180,MATCH($A487,LW!$A$2:$A$180,0),10),C487 = "RW",INDEX('RW'!$A$2:$L$164,MATCH($A487,'RW'!$A$2:$A$164,0),10), C487 = "D",INDEX(D!$A$2:$L$268,MATCH($A487,D!$A$2:$A$268,0),10),C487="G",INDEX(G!$A$2:$Q$78,MATCH($A487,G!$A$2:$A$78,0),16),C487="F",INDEX(F!$A$2:$K$494,MATCH($A487,F!$A$2:$A$494,0),10))</f>
        <v>138</v>
      </c>
      <c r="G487" t="str">
        <f>_xlfn.CONCAT(C487,Table16[[#This Row],[Pos Rank2]])</f>
        <v>C138</v>
      </c>
      <c r="H487" s="10">
        <f>MAX(_xlfn.IFNA(INDEX(Proj[],MATCH(Table16[[#This Row],[Player]],Proj[Player],0),29),-5000), _xlfn.IFNA(INDEX(Goalie[],MATCH(Table16[[#This Row],[Player]],Goalie[player],0),19),-5000))</f>
        <v>30.364904452457164</v>
      </c>
      <c r="I487" t="str">
        <f>IF(_xlfn.IFNA(INDEX(Proj[],MATCH(Table16[[#This Row],[Player]],Proj[Player],0),31),INDEX(Goalie[],MATCH(Table16[[#This Row],[Player]],Goalie[player],0),20)) = 0, "",_xlfn.IFNA(INDEX(Proj[],MATCH(Table16[[#This Row],[Player]],Proj[Player],0),31),INDEX(Goalie[],MATCH(Table16[[#This Row],[Player]],Goalie[player],0),20)))</f>
        <v/>
      </c>
    </row>
    <row r="488" spans="1:9" x14ac:dyDescent="0.25">
      <c r="A488" t="s">
        <v>525</v>
      </c>
      <c r="B488" s="2" t="s">
        <v>103</v>
      </c>
      <c r="C488" t="str">
        <f t="shared" si="7"/>
        <v>RW</v>
      </c>
      <c r="D488" s="10">
        <f>MAX(_xlfn.IFNA(INDEX(Proj[],MATCH(Table16[[#This Row],[Player]],Proj[Player],0),27),-5000), _xlfn.IFNA(INDEX(Goalie[],MATCH(Table16[[#This Row],[Player]],Goalie[player],0),17),-5000))</f>
        <v>-533.37558705346567</v>
      </c>
      <c r="E488">
        <f>_xlfn.RANK.EQ(Table16[[#This Row],[VOR]],Table16[VOR])</f>
        <v>511</v>
      </c>
      <c r="F488" cm="1">
        <f t="array" ref="F488">_xlfn.IFS(C488 = "C",INDEX('C'!$A$2:$L$254,MATCH($A488,'C'!$A$2:$A$254,0),10),C488 = "LW",INDEX(LW!$A$2:$K$180,MATCH($A488,LW!$A$2:$A$180,0),10),C488 = "RW",INDEX('RW'!$A$2:$L$164,MATCH($A488,'RW'!$A$2:$A$164,0),10), C488 = "D",INDEX(D!$A$2:$L$268,MATCH($A488,D!$A$2:$A$268,0),10),C488="G",INDEX(G!$A$2:$Q$78,MATCH($A488,G!$A$2:$A$78,0),16),C488="F",INDEX(F!$A$2:$K$494,MATCH($A488,F!$A$2:$A$494,0),10))</f>
        <v>102</v>
      </c>
      <c r="G488" t="str">
        <f>_xlfn.CONCAT(C488,Table16[[#This Row],[Pos Rank2]])</f>
        <v>RW102</v>
      </c>
      <c r="H488" s="10">
        <f>MAX(_xlfn.IFNA(INDEX(Proj[],MATCH(Table16[[#This Row],[Player]],Proj[Player],0),29),-5000), _xlfn.IFNA(INDEX(Goalie[],MATCH(Table16[[#This Row],[Player]],Goalie[player],0),19),-5000))</f>
        <v>-86.830862663216763</v>
      </c>
      <c r="I488" t="str">
        <f>IF(_xlfn.IFNA(INDEX(Proj[],MATCH(Table16[[#This Row],[Player]],Proj[Player],0),31),INDEX(Goalie[],MATCH(Table16[[#This Row],[Player]],Goalie[player],0),20)) = 0, "",_xlfn.IFNA(INDEX(Proj[],MATCH(Table16[[#This Row],[Player]],Proj[Player],0),31),INDEX(Goalie[],MATCH(Table16[[#This Row],[Player]],Goalie[player],0),20)))</f>
        <v/>
      </c>
    </row>
    <row r="489" spans="1:9" x14ac:dyDescent="0.25">
      <c r="A489" t="s">
        <v>702</v>
      </c>
      <c r="B489" s="2" t="s">
        <v>3</v>
      </c>
      <c r="C489" t="str">
        <f t="shared" si="7"/>
        <v>D</v>
      </c>
      <c r="D489" s="10">
        <f>MAX(_xlfn.IFNA(INDEX(Proj[],MATCH(Table16[[#This Row],[Player]],Proj[Player],0),27),-5000), _xlfn.IFNA(INDEX(Goalie[],MATCH(Table16[[#This Row],[Player]],Goalie[player],0),17),-5000))</f>
        <v>-457.54123335545148</v>
      </c>
      <c r="E489">
        <f>_xlfn.RANK.EQ(Table16[[#This Row],[VOR]],Table16[VOR])</f>
        <v>462</v>
      </c>
      <c r="F489" cm="1">
        <f t="array" ref="F489">_xlfn.IFS(C489 = "C",INDEX('C'!$A$2:$L$254,MATCH($A489,'C'!$A$2:$A$254,0),10),C489 = "LW",INDEX(LW!$A$2:$K$180,MATCH($A489,LW!$A$2:$A$180,0),10),C489 = "RW",INDEX('RW'!$A$2:$L$164,MATCH($A489,'RW'!$A$2:$A$164,0),10), C489 = "D",INDEX(D!$A$2:$L$268,MATCH($A489,D!$A$2:$A$268,0),10),C489="G",INDEX(G!$A$2:$Q$78,MATCH($A489,G!$A$2:$A$78,0),16),C489="F",INDEX(F!$A$2:$K$494,MATCH($A489,F!$A$2:$A$494,0),10))</f>
        <v>183</v>
      </c>
      <c r="G489" t="str">
        <f>_xlfn.CONCAT(C489,Table16[[#This Row],[Pos Rank2]])</f>
        <v>D183</v>
      </c>
      <c r="H489" s="10">
        <f>MAX(_xlfn.IFNA(INDEX(Proj[],MATCH(Table16[[#This Row],[Player]],Proj[Player],0),29),-5000), _xlfn.IFNA(INDEX(Goalie[],MATCH(Table16[[#This Row],[Player]],Goalie[player],0),19),-5000))</f>
        <v>-350.17646563598703</v>
      </c>
      <c r="I489" t="str">
        <f>IF(_xlfn.IFNA(INDEX(Proj[],MATCH(Table16[[#This Row],[Player]],Proj[Player],0),31),INDEX(Goalie[],MATCH(Table16[[#This Row],[Player]],Goalie[player],0),20)) = 0, "",_xlfn.IFNA(INDEX(Proj[],MATCH(Table16[[#This Row],[Player]],Proj[Player],0),31),INDEX(Goalie[],MATCH(Table16[[#This Row],[Player]],Goalie[player],0),20)))</f>
        <v/>
      </c>
    </row>
    <row r="490" spans="1:9" x14ac:dyDescent="0.25">
      <c r="A490" t="s">
        <v>553</v>
      </c>
      <c r="B490" s="2" t="s">
        <v>3</v>
      </c>
      <c r="C490" t="str">
        <f t="shared" si="7"/>
        <v>D</v>
      </c>
      <c r="D490" s="10">
        <f>MAX(_xlfn.IFNA(INDEX(Proj[],MATCH(Table16[[#This Row],[Player]],Proj[Player],0),27),-5000), _xlfn.IFNA(INDEX(Goalie[],MATCH(Table16[[#This Row],[Player]],Goalie[player],0),17),-5000))</f>
        <v>-457.98705985541096</v>
      </c>
      <c r="E490">
        <f>_xlfn.RANK.EQ(Table16[[#This Row],[VOR]],Table16[VOR])</f>
        <v>463</v>
      </c>
      <c r="F490" cm="1">
        <f t="array" ref="F490">_xlfn.IFS(C490 = "C",INDEX('C'!$A$2:$L$254,MATCH($A490,'C'!$A$2:$A$254,0),10),C490 = "LW",INDEX(LW!$A$2:$K$180,MATCH($A490,LW!$A$2:$A$180,0),10),C490 = "RW",INDEX('RW'!$A$2:$L$164,MATCH($A490,'RW'!$A$2:$A$164,0),10), C490 = "D",INDEX(D!$A$2:$L$268,MATCH($A490,D!$A$2:$A$268,0),10),C490="G",INDEX(G!$A$2:$Q$78,MATCH($A490,G!$A$2:$A$78,0),16),C490="F",INDEX(F!$A$2:$K$494,MATCH($A490,F!$A$2:$A$494,0),10))</f>
        <v>184</v>
      </c>
      <c r="G490" t="str">
        <f>_xlfn.CONCAT(C490,Table16[[#This Row],[Pos Rank2]])</f>
        <v>D184</v>
      </c>
      <c r="H490" s="10">
        <f>MAX(_xlfn.IFNA(INDEX(Proj[],MATCH(Table16[[#This Row],[Player]],Proj[Player],0),29),-5000), _xlfn.IFNA(INDEX(Goalie[],MATCH(Table16[[#This Row],[Player]],Goalie[player],0),19),-5000))</f>
        <v>-350.62229213594651</v>
      </c>
      <c r="I490" t="str">
        <f>IF(_xlfn.IFNA(INDEX(Proj[],MATCH(Table16[[#This Row],[Player]],Proj[Player],0),31),INDEX(Goalie[],MATCH(Table16[[#This Row],[Player]],Goalie[player],0),20)) = 0, "",_xlfn.IFNA(INDEX(Proj[],MATCH(Table16[[#This Row],[Player]],Proj[Player],0),31),INDEX(Goalie[],MATCH(Table16[[#This Row],[Player]],Goalie[player],0),20)))</f>
        <v/>
      </c>
    </row>
    <row r="491" spans="1:9" x14ac:dyDescent="0.25">
      <c r="A491" t="s">
        <v>619</v>
      </c>
      <c r="B491" s="2" t="s">
        <v>3</v>
      </c>
      <c r="C491" t="str">
        <f t="shared" si="7"/>
        <v>D</v>
      </c>
      <c r="D491" s="10">
        <f>MAX(_xlfn.IFNA(INDEX(Proj[],MATCH(Table16[[#This Row],[Player]],Proj[Player],0),27),-5000), _xlfn.IFNA(INDEX(Goalie[],MATCH(Table16[[#This Row],[Player]],Goalie[player],0),17),-5000))</f>
        <v>-459.64529815714775</v>
      </c>
      <c r="E491">
        <f>_xlfn.RANK.EQ(Table16[[#This Row],[VOR]],Table16[VOR])</f>
        <v>464</v>
      </c>
      <c r="F491" cm="1">
        <f t="array" ref="F491">_xlfn.IFS(C491 = "C",INDEX('C'!$A$2:$L$254,MATCH($A491,'C'!$A$2:$A$254,0),10),C491 = "LW",INDEX(LW!$A$2:$K$180,MATCH($A491,LW!$A$2:$A$180,0),10),C491 = "RW",INDEX('RW'!$A$2:$L$164,MATCH($A491,'RW'!$A$2:$A$164,0),10), C491 = "D",INDEX(D!$A$2:$L$268,MATCH($A491,D!$A$2:$A$268,0),10),C491="G",INDEX(G!$A$2:$Q$78,MATCH($A491,G!$A$2:$A$78,0),16),C491="F",INDEX(F!$A$2:$K$494,MATCH($A491,F!$A$2:$A$494,0),10))</f>
        <v>185</v>
      </c>
      <c r="G491" t="str">
        <f>_xlfn.CONCAT(C491,Table16[[#This Row],[Pos Rank2]])</f>
        <v>D185</v>
      </c>
      <c r="H491" s="10">
        <f>MAX(_xlfn.IFNA(INDEX(Proj[],MATCH(Table16[[#This Row],[Player]],Proj[Player],0),29),-5000), _xlfn.IFNA(INDEX(Goalie[],MATCH(Table16[[#This Row],[Player]],Goalie[player],0),19),-5000))</f>
        <v>-352.2805304376833</v>
      </c>
      <c r="I491" t="str">
        <f>IF(_xlfn.IFNA(INDEX(Proj[],MATCH(Table16[[#This Row],[Player]],Proj[Player],0),31),INDEX(Goalie[],MATCH(Table16[[#This Row],[Player]],Goalie[player],0),20)) = 0, "",_xlfn.IFNA(INDEX(Proj[],MATCH(Table16[[#This Row],[Player]],Proj[Player],0),31),INDEX(Goalie[],MATCH(Table16[[#This Row],[Player]],Goalie[player],0),20)))</f>
        <v/>
      </c>
    </row>
    <row r="492" spans="1:9" x14ac:dyDescent="0.25">
      <c r="A492" t="s">
        <v>530</v>
      </c>
      <c r="B492" s="2" t="s">
        <v>3</v>
      </c>
      <c r="C492" t="str">
        <f t="shared" si="7"/>
        <v>D</v>
      </c>
      <c r="D492" s="10">
        <f>MAX(_xlfn.IFNA(INDEX(Proj[],MATCH(Table16[[#This Row],[Player]],Proj[Player],0),27),-5000), _xlfn.IFNA(INDEX(Goalie[],MATCH(Table16[[#This Row],[Player]],Goalie[player],0),17),-5000))</f>
        <v>-459.95844311072756</v>
      </c>
      <c r="E492">
        <f>_xlfn.RANK.EQ(Table16[[#This Row],[VOR]],Table16[VOR])</f>
        <v>466</v>
      </c>
      <c r="F492" cm="1">
        <f t="array" ref="F492">_xlfn.IFS(C492 = "C",INDEX('C'!$A$2:$L$254,MATCH($A492,'C'!$A$2:$A$254,0),10),C492 = "LW",INDEX(LW!$A$2:$K$180,MATCH($A492,LW!$A$2:$A$180,0),10),C492 = "RW",INDEX('RW'!$A$2:$L$164,MATCH($A492,'RW'!$A$2:$A$164,0),10), C492 = "D",INDEX(D!$A$2:$L$268,MATCH($A492,D!$A$2:$A$268,0),10),C492="G",INDEX(G!$A$2:$Q$78,MATCH($A492,G!$A$2:$A$78,0),16),C492="F",INDEX(F!$A$2:$K$494,MATCH($A492,F!$A$2:$A$494,0),10))</f>
        <v>186</v>
      </c>
      <c r="G492" t="str">
        <f>_xlfn.CONCAT(C492,Table16[[#This Row],[Pos Rank2]])</f>
        <v>D186</v>
      </c>
      <c r="H492" s="10">
        <f>MAX(_xlfn.IFNA(INDEX(Proj[],MATCH(Table16[[#This Row],[Player]],Proj[Player],0),29),-5000), _xlfn.IFNA(INDEX(Goalie[],MATCH(Table16[[#This Row],[Player]],Goalie[player],0),19),-5000))</f>
        <v>-352.59367539126305</v>
      </c>
      <c r="I492" t="str">
        <f>IF(_xlfn.IFNA(INDEX(Proj[],MATCH(Table16[[#This Row],[Player]],Proj[Player],0),31),INDEX(Goalie[],MATCH(Table16[[#This Row],[Player]],Goalie[player],0),20)) = 0, "",_xlfn.IFNA(INDEX(Proj[],MATCH(Table16[[#This Row],[Player]],Proj[Player],0),31),INDEX(Goalie[],MATCH(Table16[[#This Row],[Player]],Goalie[player],0),20)))</f>
        <v/>
      </c>
    </row>
    <row r="493" spans="1:9" x14ac:dyDescent="0.25">
      <c r="A493" t="s">
        <v>533</v>
      </c>
      <c r="B493" s="2" t="s">
        <v>74</v>
      </c>
      <c r="C493" t="str">
        <f t="shared" si="7"/>
        <v>C</v>
      </c>
      <c r="D493" s="10">
        <f>MAX(_xlfn.IFNA(INDEX(Proj[],MATCH(Table16[[#This Row],[Player]],Proj[Player],0),27),-5000), _xlfn.IFNA(INDEX(Goalie[],MATCH(Table16[[#This Row],[Player]],Goalie[player],0),17),-5000))</f>
        <v>-504.98024001232693</v>
      </c>
      <c r="E493">
        <f>_xlfn.RANK.EQ(Table16[[#This Row],[VOR]],Table16[VOR])</f>
        <v>489</v>
      </c>
      <c r="F493" cm="1">
        <f t="array" ref="F493">_xlfn.IFS(C493 = "C",INDEX('C'!$A$2:$L$254,MATCH($A493,'C'!$A$2:$A$254,0),10),C493 = "LW",INDEX(LW!$A$2:$K$180,MATCH($A493,LW!$A$2:$A$180,0),10),C493 = "RW",INDEX('RW'!$A$2:$L$164,MATCH($A493,'RW'!$A$2:$A$164,0),10), C493 = "D",INDEX(D!$A$2:$L$268,MATCH($A493,D!$A$2:$A$268,0),10),C493="G",INDEX(G!$A$2:$Q$78,MATCH($A493,G!$A$2:$A$78,0),16),C493="F",INDEX(F!$A$2:$K$494,MATCH($A493,F!$A$2:$A$494,0),10))</f>
        <v>108</v>
      </c>
      <c r="G493" t="str">
        <f>_xlfn.CONCAT(C493,Table16[[#This Row],[Pos Rank2]])</f>
        <v>C108</v>
      </c>
      <c r="H493" s="10">
        <f>MAX(_xlfn.IFNA(INDEX(Proj[],MATCH(Table16[[#This Row],[Player]],Proj[Player],0),29),-5000), _xlfn.IFNA(INDEX(Goalie[],MATCH(Table16[[#This Row],[Player]],Goalie[player],0),19),-5000))</f>
        <v>229.6536142979717</v>
      </c>
      <c r="I493" t="str">
        <f>IF(_xlfn.IFNA(INDEX(Proj[],MATCH(Table16[[#This Row],[Player]],Proj[Player],0),31),INDEX(Goalie[],MATCH(Table16[[#This Row],[Player]],Goalie[player],0),20)) = 0, "",_xlfn.IFNA(INDEX(Proj[],MATCH(Table16[[#This Row],[Player]],Proj[Player],0),31),INDEX(Goalie[],MATCH(Table16[[#This Row],[Player]],Goalie[player],0),20)))</f>
        <v/>
      </c>
    </row>
    <row r="494" spans="1:9" x14ac:dyDescent="0.25">
      <c r="A494" t="s">
        <v>606</v>
      </c>
      <c r="B494" s="2" t="s">
        <v>3</v>
      </c>
      <c r="C494" t="str">
        <f t="shared" si="7"/>
        <v>D</v>
      </c>
      <c r="D494" s="10">
        <f>MAX(_xlfn.IFNA(INDEX(Proj[],MATCH(Table16[[#This Row],[Player]],Proj[Player],0),27),-5000), _xlfn.IFNA(INDEX(Goalie[],MATCH(Table16[[#This Row],[Player]],Goalie[player],0),17),-5000))</f>
        <v>-463.68440624393895</v>
      </c>
      <c r="E494">
        <f>_xlfn.RANK.EQ(Table16[[#This Row],[VOR]],Table16[VOR])</f>
        <v>469</v>
      </c>
      <c r="F494" cm="1">
        <f t="array" ref="F494">_xlfn.IFS(C494 = "C",INDEX('C'!$A$2:$L$254,MATCH($A494,'C'!$A$2:$A$254,0),10),C494 = "LW",INDEX(LW!$A$2:$K$180,MATCH($A494,LW!$A$2:$A$180,0),10),C494 = "RW",INDEX('RW'!$A$2:$L$164,MATCH($A494,'RW'!$A$2:$A$164,0),10), C494 = "D",INDEX(D!$A$2:$L$268,MATCH($A494,D!$A$2:$A$268,0),10),C494="G",INDEX(G!$A$2:$Q$78,MATCH($A494,G!$A$2:$A$78,0),16),C494="F",INDEX(F!$A$2:$K$494,MATCH($A494,F!$A$2:$A$494,0),10))</f>
        <v>187</v>
      </c>
      <c r="G494" t="str">
        <f>_xlfn.CONCAT(C494,Table16[[#This Row],[Pos Rank2]])</f>
        <v>D187</v>
      </c>
      <c r="H494" s="10">
        <f>MAX(_xlfn.IFNA(INDEX(Proj[],MATCH(Table16[[#This Row],[Player]],Proj[Player],0),29),-5000), _xlfn.IFNA(INDEX(Goalie[],MATCH(Table16[[#This Row],[Player]],Goalie[player],0),19),-5000))</f>
        <v>-356.3196385244745</v>
      </c>
      <c r="I494" t="str">
        <f>IF(_xlfn.IFNA(INDEX(Proj[],MATCH(Table16[[#This Row],[Player]],Proj[Player],0),31),INDEX(Goalie[],MATCH(Table16[[#This Row],[Player]],Goalie[player],0),20)) = 0, "",_xlfn.IFNA(INDEX(Proj[],MATCH(Table16[[#This Row],[Player]],Proj[Player],0),31),INDEX(Goalie[],MATCH(Table16[[#This Row],[Player]],Goalie[player],0),20)))</f>
        <v/>
      </c>
    </row>
    <row r="495" spans="1:9" x14ac:dyDescent="0.25">
      <c r="A495" s="18" t="s">
        <v>1184</v>
      </c>
      <c r="B495" s="2" t="s">
        <v>3</v>
      </c>
      <c r="C495" t="str">
        <f t="shared" si="7"/>
        <v>D</v>
      </c>
      <c r="D495" s="10">
        <f>MAX(_xlfn.IFNA(INDEX(Proj[],MATCH(Table16[[#This Row],[Player]],Proj[Player],0),27),-5000), _xlfn.IFNA(INDEX(Goalie[],MATCH(Table16[[#This Row],[Player]],Goalie[player],0),17),-5000))</f>
        <v>-463.94714593852461</v>
      </c>
      <c r="E495">
        <f>_xlfn.RANK.EQ(Table16[[#This Row],[VOR]],Table16[VOR])</f>
        <v>470</v>
      </c>
      <c r="F495" cm="1">
        <f t="array" ref="F495">_xlfn.IFS(C495 = "C",INDEX('C'!$A$2:$L$254,MATCH($A495,'C'!$A$2:$A$254,0),10),C495 = "LW",INDEX(LW!$A$2:$K$180,MATCH($A495,LW!$A$2:$A$180,0),10),C495 = "RW",INDEX('RW'!$A$2:$L$164,MATCH($A495,'RW'!$A$2:$A$164,0),10), C495 = "D",INDEX(D!$A$2:$L$268,MATCH($A495,D!$A$2:$A$268,0),10),C495="G",INDEX(G!$A$2:$Q$78,MATCH($A495,G!$A$2:$A$78,0),16),C495="F",INDEX(F!$A$2:$K$494,MATCH($A495,F!$A$2:$A$494,0),10))</f>
        <v>188</v>
      </c>
      <c r="G495" t="str">
        <f>_xlfn.CONCAT(C495,Table16[[#This Row],[Pos Rank2]])</f>
        <v>D188</v>
      </c>
      <c r="H495" s="10">
        <f>MAX(_xlfn.IFNA(INDEX(Proj[],MATCH(Table16[[#This Row],[Player]],Proj[Player],0),29),-5000), _xlfn.IFNA(INDEX(Goalie[],MATCH(Table16[[#This Row],[Player]],Goalie[player],0),19),-5000))</f>
        <v>-356.5823782190601</v>
      </c>
      <c r="I495" t="str">
        <f>IF(_xlfn.IFNA(INDEX(Proj[],MATCH(Table16[[#This Row],[Player]],Proj[Player],0),31),INDEX(Goalie[],MATCH(Table16[[#This Row],[Player]],Goalie[player],0),20)) = 0, "",_xlfn.IFNA(INDEX(Proj[],MATCH(Table16[[#This Row],[Player]],Proj[Player],0),31),INDEX(Goalie[],MATCH(Table16[[#This Row],[Player]],Goalie[player],0),20)))</f>
        <v/>
      </c>
    </row>
    <row r="496" spans="1:9" x14ac:dyDescent="0.25">
      <c r="A496" t="s">
        <v>1015</v>
      </c>
      <c r="B496" s="2" t="s">
        <v>104</v>
      </c>
      <c r="C496" t="str">
        <f t="shared" si="7"/>
        <v>RW</v>
      </c>
      <c r="D496" s="10">
        <f>MAX(_xlfn.IFNA(INDEX(Proj[],MATCH(Table16[[#This Row],[Player]],Proj[Player],0),27),-5000), _xlfn.IFNA(INDEX(Goalie[],MATCH(Table16[[#This Row],[Player]],Goalie[player],0),17),-5000))</f>
        <v>-517.89922349938797</v>
      </c>
      <c r="E496">
        <f>_xlfn.RANK.EQ(Table16[[#This Row],[VOR]],Table16[VOR])</f>
        <v>499</v>
      </c>
      <c r="F496" cm="1">
        <f t="array" ref="F496">_xlfn.IFS(C496 = "C",INDEX('C'!$A$2:$L$254,MATCH($A496,'C'!$A$2:$A$254,0),10),C496 = "LW",INDEX(LW!$A$2:$K$180,MATCH($A496,LW!$A$2:$A$180,0),10),C496 = "RW",INDEX('RW'!$A$2:$L$164,MATCH($A496,'RW'!$A$2:$A$164,0),10), C496 = "D",INDEX(D!$A$2:$L$268,MATCH($A496,D!$A$2:$A$268,0),10),C496="G",INDEX(G!$A$2:$Q$78,MATCH($A496,G!$A$2:$A$78,0),16),C496="F",INDEX(F!$A$2:$K$494,MATCH($A496,F!$A$2:$A$494,0),10))</f>
        <v>100</v>
      </c>
      <c r="G496" t="str">
        <f>_xlfn.CONCAT(C496,Table16[[#This Row],[Pos Rank2]])</f>
        <v>RW100</v>
      </c>
      <c r="H496" s="10">
        <f>MAX(_xlfn.IFNA(INDEX(Proj[],MATCH(Table16[[#This Row],[Player]],Proj[Player],0),29),-5000), _xlfn.IFNA(INDEX(Goalie[],MATCH(Table16[[#This Row],[Player]],Goalie[player],0),19),-5000))</f>
        <v>-71.35449910913907</v>
      </c>
      <c r="I496" t="str">
        <f>IF(_xlfn.IFNA(INDEX(Proj[],MATCH(Table16[[#This Row],[Player]],Proj[Player],0),31),INDEX(Goalie[],MATCH(Table16[[#This Row],[Player]],Goalie[player],0),20)) = 0, "",_xlfn.IFNA(INDEX(Proj[],MATCH(Table16[[#This Row],[Player]],Proj[Player],0),31),INDEX(Goalie[],MATCH(Table16[[#This Row],[Player]],Goalie[player],0),20)))</f>
        <v/>
      </c>
    </row>
    <row r="497" spans="1:9" x14ac:dyDescent="0.25">
      <c r="A497" t="s">
        <v>1210</v>
      </c>
      <c r="B497" s="2" t="s">
        <v>104</v>
      </c>
      <c r="C497" t="str">
        <f t="shared" si="7"/>
        <v>RW</v>
      </c>
      <c r="D497" s="10">
        <f>MAX(_xlfn.IFNA(INDEX(Proj[],MATCH(Table16[[#This Row],[Player]],Proj[Player],0),27),-5000), _xlfn.IFNA(INDEX(Goalie[],MATCH(Table16[[#This Row],[Player]],Goalie[player],0),17),-5000))</f>
        <v>-531.49275839884285</v>
      </c>
      <c r="E497">
        <f>_xlfn.RANK.EQ(Table16[[#This Row],[VOR]],Table16[VOR])</f>
        <v>509</v>
      </c>
      <c r="F497" cm="1">
        <f t="array" ref="F497">_xlfn.IFS(C497 = "C",INDEX('C'!$A$2:$L$254,MATCH($A497,'C'!$A$2:$A$254,0),10),C497 = "LW",INDEX(LW!$A$2:$K$180,MATCH($A497,LW!$A$2:$A$180,0),10),C497 = "RW",INDEX('RW'!$A$2:$L$164,MATCH($A497,'RW'!$A$2:$A$164,0),10), C497 = "D",INDEX(D!$A$2:$L$268,MATCH($A497,D!$A$2:$A$268,0),10),C497="G",INDEX(G!$A$2:$Q$78,MATCH($A497,G!$A$2:$A$78,0),16),C497="F",INDEX(F!$A$2:$K$494,MATCH($A497,F!$A$2:$A$494,0),10))</f>
        <v>101</v>
      </c>
      <c r="G497" t="str">
        <f>_xlfn.CONCAT(C497,Table16[[#This Row],[Pos Rank2]])</f>
        <v>RW101</v>
      </c>
      <c r="H497" s="10">
        <f>MAX(_xlfn.IFNA(INDEX(Proj[],MATCH(Table16[[#This Row],[Player]],Proj[Player],0),29),-5000), _xlfn.IFNA(INDEX(Goalie[],MATCH(Table16[[#This Row],[Player]],Goalie[player],0),19),-5000))</f>
        <v>-84.948034008593936</v>
      </c>
      <c r="I497" t="str">
        <f>IF(_xlfn.IFNA(INDEX(Proj[],MATCH(Table16[[#This Row],[Player]],Proj[Player],0),31),INDEX(Goalie[],MATCH(Table16[[#This Row],[Player]],Goalie[player],0),20)) = 0, "",_xlfn.IFNA(INDEX(Proj[],MATCH(Table16[[#This Row],[Player]],Proj[Player],0),31),INDEX(Goalie[],MATCH(Table16[[#This Row],[Player]],Goalie[player],0),20)))</f>
        <v/>
      </c>
    </row>
    <row r="498" spans="1:9" x14ac:dyDescent="0.25">
      <c r="A498" t="s">
        <v>516</v>
      </c>
      <c r="B498" s="2" t="s">
        <v>3</v>
      </c>
      <c r="C498" t="str">
        <f t="shared" si="7"/>
        <v>D</v>
      </c>
      <c r="D498" s="10">
        <f>MAX(_xlfn.IFNA(INDEX(Proj[],MATCH(Table16[[#This Row],[Player]],Proj[Player],0),27),-5000), _xlfn.IFNA(INDEX(Goalie[],MATCH(Table16[[#This Row],[Player]],Goalie[player],0),17),-5000))</f>
        <v>-457.29011587459411</v>
      </c>
      <c r="E498">
        <f>_xlfn.RANK.EQ(Table16[[#This Row],[VOR]],Table16[VOR])</f>
        <v>460</v>
      </c>
      <c r="F498" cm="1">
        <f t="array" ref="F498">_xlfn.IFS(C498 = "C",INDEX('C'!$A$2:$L$254,MATCH($A498,'C'!$A$2:$A$254,0),10),C498 = "LW",INDEX(LW!$A$2:$K$180,MATCH($A498,LW!$A$2:$A$180,0),10),C498 = "RW",INDEX('RW'!$A$2:$L$164,MATCH($A498,'RW'!$A$2:$A$164,0),10), C498 = "D",INDEX(D!$A$2:$L$268,MATCH($A498,D!$A$2:$A$268,0),10),C498="G",INDEX(G!$A$2:$Q$78,MATCH($A498,G!$A$2:$A$78,0),16),C498="F",INDEX(F!$A$2:$K$494,MATCH($A498,F!$A$2:$A$494,0),10))</f>
        <v>182</v>
      </c>
      <c r="G498" t="str">
        <f>_xlfn.CONCAT(C498,Table16[[#This Row],[Pos Rank2]])</f>
        <v>D182</v>
      </c>
      <c r="H498" s="10">
        <f>MAX(_xlfn.IFNA(INDEX(Proj[],MATCH(Table16[[#This Row],[Player]],Proj[Player],0),29),-5000), _xlfn.IFNA(INDEX(Goalie[],MATCH(Table16[[#This Row],[Player]],Goalie[player],0),19),-5000))</f>
        <v>-349.9253481551296</v>
      </c>
      <c r="I498" t="str">
        <f>IF(_xlfn.IFNA(INDEX(Proj[],MATCH(Table16[[#This Row],[Player]],Proj[Player],0),31),INDEX(Goalie[],MATCH(Table16[[#This Row],[Player]],Goalie[player],0),20)) = 0, "",_xlfn.IFNA(INDEX(Proj[],MATCH(Table16[[#This Row],[Player]],Proj[Player],0),31),INDEX(Goalie[],MATCH(Table16[[#This Row],[Player]],Goalie[player],0),20)))</f>
        <v/>
      </c>
    </row>
    <row r="499" spans="1:9" x14ac:dyDescent="0.25">
      <c r="A499" t="s">
        <v>771</v>
      </c>
      <c r="B499" s="2" t="s">
        <v>74</v>
      </c>
      <c r="C499" t="str">
        <f t="shared" si="7"/>
        <v>C</v>
      </c>
      <c r="D499" s="10">
        <f>MAX(_xlfn.IFNA(INDEX(Proj[],MATCH(Table16[[#This Row],[Player]],Proj[Player],0),27),-5000), _xlfn.IFNA(INDEX(Goalie[],MATCH(Table16[[#This Row],[Player]],Goalie[player],0),17),-5000))</f>
        <v>-479.30857216375091</v>
      </c>
      <c r="E499">
        <f>_xlfn.RANK.EQ(Table16[[#This Row],[VOR]],Table16[VOR])</f>
        <v>476</v>
      </c>
      <c r="F499" cm="1">
        <f t="array" ref="F499">_xlfn.IFS(C499 = "C",INDEX('C'!$A$2:$L$254,MATCH($A499,'C'!$A$2:$A$254,0),10),C499 = "LW",INDEX(LW!$A$2:$K$180,MATCH($A499,LW!$A$2:$A$180,0),10),C499 = "RW",INDEX('RW'!$A$2:$L$164,MATCH($A499,'RW'!$A$2:$A$164,0),10), C499 = "D",INDEX(D!$A$2:$L$268,MATCH($A499,D!$A$2:$A$268,0),10),C499="G",INDEX(G!$A$2:$Q$78,MATCH($A499,G!$A$2:$A$78,0),16),C499="F",INDEX(F!$A$2:$K$494,MATCH($A499,F!$A$2:$A$494,0),10))</f>
        <v>101</v>
      </c>
      <c r="G499" t="str">
        <f>_xlfn.CONCAT(C499,Table16[[#This Row],[Pos Rank2]])</f>
        <v>C101</v>
      </c>
      <c r="H499" s="10">
        <f>MAX(_xlfn.IFNA(INDEX(Proj[],MATCH(Table16[[#This Row],[Player]],Proj[Player],0),29),-5000), _xlfn.IFNA(INDEX(Goalie[],MATCH(Table16[[#This Row],[Player]],Goalie[player],0),19),-5000))</f>
        <v>255.32528214654769</v>
      </c>
      <c r="I499" t="str">
        <f>IF(_xlfn.IFNA(INDEX(Proj[],MATCH(Table16[[#This Row],[Player]],Proj[Player],0),31),INDEX(Goalie[],MATCH(Table16[[#This Row],[Player]],Goalie[player],0),20)) = 0, "",_xlfn.IFNA(INDEX(Proj[],MATCH(Table16[[#This Row],[Player]],Proj[Player],0),31),INDEX(Goalie[],MATCH(Table16[[#This Row],[Player]],Goalie[player],0),20)))</f>
        <v/>
      </c>
    </row>
    <row r="500" spans="1:9" x14ac:dyDescent="0.25">
      <c r="A500" t="s">
        <v>1071</v>
      </c>
      <c r="B500" s="2" t="s">
        <v>3</v>
      </c>
      <c r="C500" t="str">
        <f t="shared" si="7"/>
        <v>D</v>
      </c>
      <c r="D500" s="10">
        <f>MAX(_xlfn.IFNA(INDEX(Proj[],MATCH(Table16[[#This Row],[Player]],Proj[Player],0),27),-5000), _xlfn.IFNA(INDEX(Goalie[],MATCH(Table16[[#This Row],[Player]],Goalie[player],0),17),-5000))</f>
        <v>290.97855712391095</v>
      </c>
      <c r="E500">
        <f>_xlfn.RANK.EQ(Table16[[#This Row],[VOR]],Table16[VOR])</f>
        <v>93</v>
      </c>
      <c r="F500" cm="1">
        <f t="array" ref="F500">_xlfn.IFS(C500 = "C",INDEX('C'!$A$2:$L$254,MATCH($A500,'C'!$A$2:$A$254,0),10),C500 = "LW",INDEX(LW!$A$2:$K$180,MATCH($A500,LW!$A$2:$A$180,0),10),C500 = "RW",INDEX('RW'!$A$2:$L$164,MATCH($A500,'RW'!$A$2:$A$164,0),10), C500 = "D",INDEX(D!$A$2:$L$268,MATCH($A500,D!$A$2:$A$268,0),10),C500="G",INDEX(G!$A$2:$Q$78,MATCH($A500,G!$A$2:$A$78,0),16),C500="F",INDEX(F!$A$2:$K$494,MATCH($A500,F!$A$2:$A$494,0),10))</f>
        <v>31</v>
      </c>
      <c r="G500" t="str">
        <f>_xlfn.CONCAT(C500,Table16[[#This Row],[Pos Rank2]])</f>
        <v>D31</v>
      </c>
      <c r="H500" s="10">
        <f>MAX(_xlfn.IFNA(INDEX(Proj[],MATCH(Table16[[#This Row],[Player]],Proj[Player],0),29),-5000), _xlfn.IFNA(INDEX(Goalie[],MATCH(Table16[[#This Row],[Player]],Goalie[player],0),19),-5000))</f>
        <v>398.34332484337546</v>
      </c>
      <c r="I500" t="str">
        <f>IF(_xlfn.IFNA(INDEX(Proj[],MATCH(Table16[[#This Row],[Player]],Proj[Player],0),31),INDEX(Goalie[],MATCH(Table16[[#This Row],[Player]],Goalie[player],0),20)) = 0, "",_xlfn.IFNA(INDEX(Proj[],MATCH(Table16[[#This Row],[Player]],Proj[Player],0),31),INDEX(Goalie[],MATCH(Table16[[#This Row],[Player]],Goalie[player],0),20)))</f>
        <v/>
      </c>
    </row>
    <row r="501" spans="1:9" x14ac:dyDescent="0.25">
      <c r="A501" t="s">
        <v>727</v>
      </c>
      <c r="B501" s="2" t="s">
        <v>103</v>
      </c>
      <c r="C501" t="str">
        <f t="shared" si="7"/>
        <v>RW</v>
      </c>
      <c r="D501" s="10">
        <f>MAX(_xlfn.IFNA(INDEX(Proj[],MATCH(Table16[[#This Row],[Player]],Proj[Player],0),27),-5000), _xlfn.IFNA(INDEX(Goalie[],MATCH(Table16[[#This Row],[Player]],Goalie[player],0),17),-5000))</f>
        <v>-553.48702403216498</v>
      </c>
      <c r="E501">
        <f>_xlfn.RANK.EQ(Table16[[#This Row],[VOR]],Table16[VOR])</f>
        <v>525</v>
      </c>
      <c r="F501" cm="1">
        <f t="array" ref="F501">_xlfn.IFS(C501 = "C",INDEX('C'!$A$2:$L$254,MATCH($A501,'C'!$A$2:$A$254,0),10),C501 = "LW",INDEX(LW!$A$2:$K$180,MATCH($A501,LW!$A$2:$A$180,0),10),C501 = "RW",INDEX('RW'!$A$2:$L$164,MATCH($A501,'RW'!$A$2:$A$164,0),10), C501 = "D",INDEX(D!$A$2:$L$268,MATCH($A501,D!$A$2:$A$268,0),10),C501="G",INDEX(G!$A$2:$Q$78,MATCH($A501,G!$A$2:$A$78,0),16),C501="F",INDEX(F!$A$2:$K$494,MATCH($A501,F!$A$2:$A$494,0),10))</f>
        <v>103</v>
      </c>
      <c r="G501" t="str">
        <f>_xlfn.CONCAT(C501,Table16[[#This Row],[Pos Rank2]])</f>
        <v>RW103</v>
      </c>
      <c r="H501" s="10">
        <f>MAX(_xlfn.IFNA(INDEX(Proj[],MATCH(Table16[[#This Row],[Player]],Proj[Player],0),29),-5000), _xlfn.IFNA(INDEX(Goalie[],MATCH(Table16[[#This Row],[Player]],Goalie[player],0),19),-5000))</f>
        <v>-106.94229964191607</v>
      </c>
      <c r="I501" t="str">
        <f>IF(_xlfn.IFNA(INDEX(Proj[],MATCH(Table16[[#This Row],[Player]],Proj[Player],0),31),INDEX(Goalie[],MATCH(Table16[[#This Row],[Player]],Goalie[player],0),20)) = 0, "",_xlfn.IFNA(INDEX(Proj[],MATCH(Table16[[#This Row],[Player]],Proj[Player],0),31),INDEX(Goalie[],MATCH(Table16[[#This Row],[Player]],Goalie[player],0),20)))</f>
        <v/>
      </c>
    </row>
    <row r="502" spans="1:9" x14ac:dyDescent="0.25">
      <c r="A502" t="s">
        <v>1043</v>
      </c>
      <c r="B502" s="2" t="s">
        <v>74</v>
      </c>
      <c r="C502" t="str">
        <f t="shared" si="7"/>
        <v>C</v>
      </c>
      <c r="D502" s="10">
        <f>MAX(_xlfn.IFNA(INDEX(Proj[],MATCH(Table16[[#This Row],[Player]],Proj[Player],0),27),-5000), _xlfn.IFNA(INDEX(Goalie[],MATCH(Table16[[#This Row],[Player]],Goalie[player],0),17),-5000))</f>
        <v>-659.15910836281546</v>
      </c>
      <c r="E502">
        <f>_xlfn.RANK.EQ(Table16[[#This Row],[VOR]],Table16[VOR])</f>
        <v>574</v>
      </c>
      <c r="F502" cm="1">
        <f t="array" ref="F502">_xlfn.IFS(C502 = "C",INDEX('C'!$A$2:$L$254,MATCH($A502,'C'!$A$2:$A$254,0),10),C502 = "LW",INDEX(LW!$A$2:$K$180,MATCH($A502,LW!$A$2:$A$180,0),10),C502 = "RW",INDEX('RW'!$A$2:$L$164,MATCH($A502,'RW'!$A$2:$A$164,0),10), C502 = "D",INDEX(D!$A$2:$L$268,MATCH($A502,D!$A$2:$A$268,0),10),C502="G",INDEX(G!$A$2:$Q$78,MATCH($A502,G!$A$2:$A$78,0),16),C502="F",INDEX(F!$A$2:$K$494,MATCH($A502,F!$A$2:$A$494,0),10))</f>
        <v>131</v>
      </c>
      <c r="G502" t="str">
        <f>_xlfn.CONCAT(C502,Table16[[#This Row],[Pos Rank2]])</f>
        <v>C131</v>
      </c>
      <c r="H502" s="10">
        <f>MAX(_xlfn.IFNA(INDEX(Proj[],MATCH(Table16[[#This Row],[Player]],Proj[Player],0),29),-5000), _xlfn.IFNA(INDEX(Goalie[],MATCH(Table16[[#This Row],[Player]],Goalie[player],0),19),-5000))</f>
        <v>75.4747459474832</v>
      </c>
      <c r="I502" t="str">
        <f>IF(_xlfn.IFNA(INDEX(Proj[],MATCH(Table16[[#This Row],[Player]],Proj[Player],0),31),INDEX(Goalie[],MATCH(Table16[[#This Row],[Player]],Goalie[player],0),20)) = 0, "",_xlfn.IFNA(INDEX(Proj[],MATCH(Table16[[#This Row],[Player]],Proj[Player],0),31),INDEX(Goalie[],MATCH(Table16[[#This Row],[Player]],Goalie[player],0),20)))</f>
        <v/>
      </c>
    </row>
    <row r="503" spans="1:9" x14ac:dyDescent="0.25">
      <c r="A503" t="s">
        <v>1087</v>
      </c>
      <c r="B503" s="2" t="s">
        <v>157</v>
      </c>
      <c r="C503" t="str">
        <f t="shared" si="7"/>
        <v>G</v>
      </c>
      <c r="D503" s="10">
        <f>MAX(_xlfn.IFNA(INDEX(Proj[],MATCH(Table16[[#This Row],[Player]],Proj[Player],0),27),-5000), _xlfn.IFNA(INDEX(Goalie[],MATCH(Table16[[#This Row],[Player]],Goalie[player],0),17),-5000))</f>
        <v>-515.54462171532703</v>
      </c>
      <c r="E503">
        <f>_xlfn.RANK.EQ(Table16[[#This Row],[VOR]],Table16[VOR])</f>
        <v>497</v>
      </c>
      <c r="F503" cm="1">
        <f t="array" ref="F503">_xlfn.IFS(C503 = "C",INDEX('C'!$A$2:$L$254,MATCH($A503,'C'!$A$2:$A$254,0),10),C503 = "LW",INDEX(LW!$A$2:$K$180,MATCH($A503,LW!$A$2:$A$180,0),10),C503 = "RW",INDEX('RW'!$A$2:$L$164,MATCH($A503,'RW'!$A$2:$A$164,0),10), C503 = "D",INDEX(D!$A$2:$L$268,MATCH($A503,D!$A$2:$A$268,0),10),C503="G",INDEX(G!$A$2:$Q$78,MATCH($A503,G!$A$2:$A$78,0),16),C503="F",INDEX(F!$A$2:$K$494,MATCH($A503,F!$A$2:$A$494,0),10))</f>
        <v>67</v>
      </c>
      <c r="G503" t="str">
        <f>_xlfn.CONCAT(C503,Table16[[#This Row],[Pos Rank2]])</f>
        <v>G67</v>
      </c>
      <c r="H503" s="10">
        <f>MAX(_xlfn.IFNA(INDEX(Proj[],MATCH(Table16[[#This Row],[Player]],Proj[Player],0),29),-5000), _xlfn.IFNA(INDEX(Goalie[],MATCH(Table16[[#This Row],[Player]],Goalie[player],0),19),-5000))</f>
        <v>97.267999999999986</v>
      </c>
      <c r="I503" t="str">
        <f>IF(_xlfn.IFNA(INDEX(Proj[],MATCH(Table16[[#This Row],[Player]],Proj[Player],0),31),INDEX(Goalie[],MATCH(Table16[[#This Row],[Player]],Goalie[player],0),20)) = 0, "",_xlfn.IFNA(INDEX(Proj[],MATCH(Table16[[#This Row],[Player]],Proj[Player],0),31),INDEX(Goalie[],MATCH(Table16[[#This Row],[Player]],Goalie[player],0),20)))</f>
        <v/>
      </c>
    </row>
    <row r="504" spans="1:9" x14ac:dyDescent="0.25">
      <c r="A504" t="s">
        <v>900</v>
      </c>
      <c r="B504" s="2" t="s">
        <v>3</v>
      </c>
      <c r="C504" t="str">
        <f t="shared" si="7"/>
        <v>D</v>
      </c>
      <c r="D504" s="10">
        <f>MAX(_xlfn.IFNA(INDEX(Proj[],MATCH(Table16[[#This Row],[Player]],Proj[Player],0),27),-5000), _xlfn.IFNA(INDEX(Goalie[],MATCH(Table16[[#This Row],[Player]],Goalie[player],0),17),-5000))</f>
        <v>-483.48798327987345</v>
      </c>
      <c r="E504">
        <f>_xlfn.RANK.EQ(Table16[[#This Row],[VOR]],Table16[VOR])</f>
        <v>479</v>
      </c>
      <c r="F504" cm="1">
        <f t="array" ref="F504">_xlfn.IFS(C504 = "C",INDEX('C'!$A$2:$L$254,MATCH($A504,'C'!$A$2:$A$254,0),10),C504 = "LW",INDEX(LW!$A$2:$K$180,MATCH($A504,LW!$A$2:$A$180,0),10),C504 = "RW",INDEX('RW'!$A$2:$L$164,MATCH($A504,'RW'!$A$2:$A$164,0),10), C504 = "D",INDEX(D!$A$2:$L$268,MATCH($A504,D!$A$2:$A$268,0),10),C504="G",INDEX(G!$A$2:$Q$78,MATCH($A504,G!$A$2:$A$78,0),16),C504="F",INDEX(F!$A$2:$K$494,MATCH($A504,F!$A$2:$A$494,0),10))</f>
        <v>189</v>
      </c>
      <c r="G504" t="str">
        <f>_xlfn.CONCAT(C504,Table16[[#This Row],[Pos Rank2]])</f>
        <v>D189</v>
      </c>
      <c r="H504" s="10">
        <f>MAX(_xlfn.IFNA(INDEX(Proj[],MATCH(Table16[[#This Row],[Player]],Proj[Player],0),29),-5000), _xlfn.IFNA(INDEX(Goalie[],MATCH(Table16[[#This Row],[Player]],Goalie[player],0),19),-5000))</f>
        <v>-376.12321556040899</v>
      </c>
      <c r="I504" t="str">
        <f>IF(_xlfn.IFNA(INDEX(Proj[],MATCH(Table16[[#This Row],[Player]],Proj[Player],0),31),INDEX(Goalie[],MATCH(Table16[[#This Row],[Player]],Goalie[player],0),20)) = 0, "",_xlfn.IFNA(INDEX(Proj[],MATCH(Table16[[#This Row],[Player]],Proj[Player],0),31),INDEX(Goalie[],MATCH(Table16[[#This Row],[Player]],Goalie[player],0),20)))</f>
        <v/>
      </c>
    </row>
    <row r="505" spans="1:9" x14ac:dyDescent="0.25">
      <c r="A505" t="s">
        <v>417</v>
      </c>
      <c r="B505" s="2" t="s">
        <v>103</v>
      </c>
      <c r="C505" t="str">
        <f t="shared" si="7"/>
        <v>RW</v>
      </c>
      <c r="D505" s="10">
        <f>MAX(_xlfn.IFNA(INDEX(Proj[],MATCH(Table16[[#This Row],[Player]],Proj[Player],0),27),-5000), _xlfn.IFNA(INDEX(Goalie[],MATCH(Table16[[#This Row],[Player]],Goalie[player],0),17),-5000))</f>
        <v>-564.6766349149425</v>
      </c>
      <c r="E505">
        <f>_xlfn.RANK.EQ(Table16[[#This Row],[VOR]],Table16[VOR])</f>
        <v>532</v>
      </c>
      <c r="F505" cm="1">
        <f t="array" ref="F505">_xlfn.IFS(C505 = "C",INDEX('C'!$A$2:$L$254,MATCH($A505,'C'!$A$2:$A$254,0),10),C505 = "LW",INDEX(LW!$A$2:$K$180,MATCH($A505,LW!$A$2:$A$180,0),10),C505 = "RW",INDEX('RW'!$A$2:$L$164,MATCH($A505,'RW'!$A$2:$A$164,0),10), C505 = "D",INDEX(D!$A$2:$L$268,MATCH($A505,D!$A$2:$A$268,0),10),C505="G",INDEX(G!$A$2:$Q$78,MATCH($A505,G!$A$2:$A$78,0),16),C505="F",INDEX(F!$A$2:$K$494,MATCH($A505,F!$A$2:$A$494,0),10))</f>
        <v>104</v>
      </c>
      <c r="G505" t="str">
        <f>_xlfn.CONCAT(C505,Table16[[#This Row],[Pos Rank2]])</f>
        <v>RW104</v>
      </c>
      <c r="H505" s="10">
        <f>MAX(_xlfn.IFNA(INDEX(Proj[],MATCH(Table16[[#This Row],[Player]],Proj[Player],0),29),-5000), _xlfn.IFNA(INDEX(Goalie[],MATCH(Table16[[#This Row],[Player]],Goalie[player],0),19),-5000))</f>
        <v>-118.13191052469358</v>
      </c>
      <c r="I505" t="str">
        <f>IF(_xlfn.IFNA(INDEX(Proj[],MATCH(Table16[[#This Row],[Player]],Proj[Player],0),31),INDEX(Goalie[],MATCH(Table16[[#This Row],[Player]],Goalie[player],0),20)) = 0, "",_xlfn.IFNA(INDEX(Proj[],MATCH(Table16[[#This Row],[Player]],Proj[Player],0),31),INDEX(Goalie[],MATCH(Table16[[#This Row],[Player]],Goalie[player],0),20)))</f>
        <v/>
      </c>
    </row>
    <row r="506" spans="1:9" x14ac:dyDescent="0.25">
      <c r="A506" t="s">
        <v>517</v>
      </c>
      <c r="B506" s="2" t="s">
        <v>102</v>
      </c>
      <c r="C506" t="str">
        <f t="shared" si="7"/>
        <v>LW</v>
      </c>
      <c r="D506" s="10">
        <f>MAX(_xlfn.IFNA(INDEX(Proj[],MATCH(Table16[[#This Row],[Player]],Proj[Player],0),27),-5000), _xlfn.IFNA(INDEX(Goalie[],MATCH(Table16[[#This Row],[Player]],Goalie[player],0),17),-5000))</f>
        <v>-566.10468066514989</v>
      </c>
      <c r="E506">
        <f>_xlfn.RANK.EQ(Table16[[#This Row],[VOR]],Table16[VOR])</f>
        <v>534</v>
      </c>
      <c r="F506" cm="1">
        <f t="array" ref="F506">_xlfn.IFS(C506 = "C",INDEX('C'!$A$2:$L$254,MATCH($A506,'C'!$A$2:$A$254,0),10),C506 = "LW",INDEX(LW!$A$2:$K$180,MATCH($A506,LW!$A$2:$A$180,0),10),C506 = "RW",INDEX('RW'!$A$2:$L$164,MATCH($A506,'RW'!$A$2:$A$164,0),10), C506 = "D",INDEX(D!$A$2:$L$268,MATCH($A506,D!$A$2:$A$268,0),10),C506="G",INDEX(G!$A$2:$Q$78,MATCH($A506,G!$A$2:$A$78,0),16),C506="F",INDEX(F!$A$2:$K$494,MATCH($A506,F!$A$2:$A$494,0),10))</f>
        <v>114</v>
      </c>
      <c r="G506" t="str">
        <f>_xlfn.CONCAT(C506,Table16[[#This Row],[Pos Rank2]])</f>
        <v>LW114</v>
      </c>
      <c r="H506" s="10">
        <f>MAX(_xlfn.IFNA(INDEX(Proj[],MATCH(Table16[[#This Row],[Player]],Proj[Player],0),29),-5000), _xlfn.IFNA(INDEX(Goalie[],MATCH(Table16[[#This Row],[Player]],Goalie[player],0),19),-5000))</f>
        <v>-94.559956274901012</v>
      </c>
      <c r="I506" t="str">
        <f>IF(_xlfn.IFNA(INDEX(Proj[],MATCH(Table16[[#This Row],[Player]],Proj[Player],0),31),INDEX(Goalie[],MATCH(Table16[[#This Row],[Player]],Goalie[player],0),20)) = 0, "",_xlfn.IFNA(INDEX(Proj[],MATCH(Table16[[#This Row],[Player]],Proj[Player],0),31),INDEX(Goalie[],MATCH(Table16[[#This Row],[Player]],Goalie[player],0),20)))</f>
        <v/>
      </c>
    </row>
    <row r="507" spans="1:9" x14ac:dyDescent="0.25">
      <c r="A507" t="s">
        <v>817</v>
      </c>
      <c r="B507" s="2" t="s">
        <v>102</v>
      </c>
      <c r="C507" t="str">
        <f t="shared" si="7"/>
        <v>LW</v>
      </c>
      <c r="D507" s="10">
        <f>MAX(_xlfn.IFNA(INDEX(Proj[],MATCH(Table16[[#This Row],[Player]],Proj[Player],0),27),-5000), _xlfn.IFNA(INDEX(Goalie[],MATCH(Table16[[#This Row],[Player]],Goalie[player],0),17),-5000))</f>
        <v>-562.52499430243222</v>
      </c>
      <c r="E507">
        <f>_xlfn.RANK.EQ(Table16[[#This Row],[VOR]],Table16[VOR])</f>
        <v>531</v>
      </c>
      <c r="F507" cm="1">
        <f t="array" ref="F507">_xlfn.IFS(C507 = "C",INDEX('C'!$A$2:$L$254,MATCH($A507,'C'!$A$2:$A$254,0),10),C507 = "LW",INDEX(LW!$A$2:$K$180,MATCH($A507,LW!$A$2:$A$180,0),10),C507 = "RW",INDEX('RW'!$A$2:$L$164,MATCH($A507,'RW'!$A$2:$A$164,0),10), C507 = "D",INDEX(D!$A$2:$L$268,MATCH($A507,D!$A$2:$A$268,0),10),C507="G",INDEX(G!$A$2:$Q$78,MATCH($A507,G!$A$2:$A$78,0),16),C507="F",INDEX(F!$A$2:$K$494,MATCH($A507,F!$A$2:$A$494,0),10))</f>
        <v>113</v>
      </c>
      <c r="G507" t="str">
        <f>_xlfn.CONCAT(C507,Table16[[#This Row],[Pos Rank2]])</f>
        <v>LW113</v>
      </c>
      <c r="H507" s="10">
        <f>MAX(_xlfn.IFNA(INDEX(Proj[],MATCH(Table16[[#This Row],[Player]],Proj[Player],0),29),-5000), _xlfn.IFNA(INDEX(Goalie[],MATCH(Table16[[#This Row],[Player]],Goalie[player],0),19),-5000))</f>
        <v>-90.98026991218336</v>
      </c>
      <c r="I507" t="str">
        <f>IF(_xlfn.IFNA(INDEX(Proj[],MATCH(Table16[[#This Row],[Player]],Proj[Player],0),31),INDEX(Goalie[],MATCH(Table16[[#This Row],[Player]],Goalie[player],0),20)) = 0, "",_xlfn.IFNA(INDEX(Proj[],MATCH(Table16[[#This Row],[Player]],Proj[Player],0),31),INDEX(Goalie[],MATCH(Table16[[#This Row],[Player]],Goalie[player],0),20)))</f>
        <v/>
      </c>
    </row>
    <row r="508" spans="1:9" x14ac:dyDescent="0.25">
      <c r="A508" t="s">
        <v>195</v>
      </c>
      <c r="B508" s="2" t="s">
        <v>157</v>
      </c>
      <c r="C508" t="str">
        <f t="shared" si="7"/>
        <v>G</v>
      </c>
      <c r="D508" s="10">
        <f>MAX(_xlfn.IFNA(INDEX(Proj[],MATCH(Table16[[#This Row],[Player]],Proj[Player],0),27),-5000), _xlfn.IFNA(INDEX(Goalie[],MATCH(Table16[[#This Row],[Player]],Goalie[player],0),17),-5000))</f>
        <v>-521.66750010936369</v>
      </c>
      <c r="E508">
        <f>_xlfn.RANK.EQ(Table16[[#This Row],[VOR]],Table16[VOR])</f>
        <v>503</v>
      </c>
      <c r="F508" cm="1">
        <f t="array" ref="F508">_xlfn.IFS(C508 = "C",INDEX('C'!$A$2:$L$254,MATCH($A508,'C'!$A$2:$A$254,0),10),C508 = "LW",INDEX(LW!$A$2:$K$180,MATCH($A508,LW!$A$2:$A$180,0),10),C508 = "RW",INDEX('RW'!$A$2:$L$164,MATCH($A508,'RW'!$A$2:$A$164,0),10), C508 = "D",INDEX(D!$A$2:$L$268,MATCH($A508,D!$A$2:$A$268,0),10),C508="G",INDEX(G!$A$2:$Q$78,MATCH($A508,G!$A$2:$A$78,0),16),C508="F",INDEX(F!$A$2:$K$494,MATCH($A508,F!$A$2:$A$494,0),10))</f>
        <v>68</v>
      </c>
      <c r="G508" t="str">
        <f>_xlfn.CONCAT(C508,Table16[[#This Row],[Pos Rank2]])</f>
        <v>G68</v>
      </c>
      <c r="H508" s="10">
        <f>MAX(_xlfn.IFNA(INDEX(Proj[],MATCH(Table16[[#This Row],[Player]],Proj[Player],0),29),-5000), _xlfn.IFNA(INDEX(Goalie[],MATCH(Table16[[#This Row],[Player]],Goalie[player],0),19),-5000))</f>
        <v>201.584</v>
      </c>
      <c r="I508" t="str">
        <f>IF(_xlfn.IFNA(INDEX(Proj[],MATCH(Table16[[#This Row],[Player]],Proj[Player],0),31),INDEX(Goalie[],MATCH(Table16[[#This Row],[Player]],Goalie[player],0),20)) = 0, "",_xlfn.IFNA(INDEX(Proj[],MATCH(Table16[[#This Row],[Player]],Proj[Player],0),31),INDEX(Goalie[],MATCH(Table16[[#This Row],[Player]],Goalie[player],0),20)))</f>
        <v/>
      </c>
    </row>
    <row r="509" spans="1:9" x14ac:dyDescent="0.25">
      <c r="A509" t="s">
        <v>1117</v>
      </c>
      <c r="B509" s="2" t="s">
        <v>102</v>
      </c>
      <c r="C509" t="str">
        <f t="shared" si="7"/>
        <v>LW</v>
      </c>
      <c r="D509" s="10">
        <f>MAX(_xlfn.IFNA(INDEX(Proj[],MATCH(Table16[[#This Row],[Player]],Proj[Player],0),27),-5000), _xlfn.IFNA(INDEX(Goalie[],MATCH(Table16[[#This Row],[Player]],Goalie[player],0),17),-5000))</f>
        <v>-554.70089176889894</v>
      </c>
      <c r="E509">
        <f>_xlfn.RANK.EQ(Table16[[#This Row],[VOR]],Table16[VOR])</f>
        <v>526</v>
      </c>
      <c r="F509" cm="1">
        <f t="array" ref="F509">_xlfn.IFS(C509 = "C",INDEX('C'!$A$2:$L$254,MATCH($A509,'C'!$A$2:$A$254,0),10),C509 = "LW",INDEX(LW!$A$2:$K$180,MATCH($A509,LW!$A$2:$A$180,0),10),C509 = "RW",INDEX('RW'!$A$2:$L$164,MATCH($A509,'RW'!$A$2:$A$164,0),10), C509 = "D",INDEX(D!$A$2:$L$268,MATCH($A509,D!$A$2:$A$268,0),10),C509="G",INDEX(G!$A$2:$Q$78,MATCH($A509,G!$A$2:$A$78,0),16),C509="F",INDEX(F!$A$2:$K$494,MATCH($A509,F!$A$2:$A$494,0),10))</f>
        <v>111</v>
      </c>
      <c r="G509" t="str">
        <f>_xlfn.CONCAT(C509,Table16[[#This Row],[Pos Rank2]])</f>
        <v>LW111</v>
      </c>
      <c r="H509" s="10">
        <f>MAX(_xlfn.IFNA(INDEX(Proj[],MATCH(Table16[[#This Row],[Player]],Proj[Player],0),29),-5000), _xlfn.IFNA(INDEX(Goalie[],MATCH(Table16[[#This Row],[Player]],Goalie[player],0),19),-5000))</f>
        <v>-83.156167378650068</v>
      </c>
      <c r="I509" t="str">
        <f>IF(_xlfn.IFNA(INDEX(Proj[],MATCH(Table16[[#This Row],[Player]],Proj[Player],0),31),INDEX(Goalie[],MATCH(Table16[[#This Row],[Player]],Goalie[player],0),20)) = 0, "",_xlfn.IFNA(INDEX(Proj[],MATCH(Table16[[#This Row],[Player]],Proj[Player],0),31),INDEX(Goalie[],MATCH(Table16[[#This Row],[Player]],Goalie[player],0),20)))</f>
        <v/>
      </c>
    </row>
    <row r="510" spans="1:9" x14ac:dyDescent="0.25">
      <c r="A510" t="s">
        <v>778</v>
      </c>
      <c r="B510" s="2" t="s">
        <v>101</v>
      </c>
      <c r="C510" t="str">
        <f t="shared" si="7"/>
        <v>LW</v>
      </c>
      <c r="D510" s="10">
        <f>MAX(_xlfn.IFNA(INDEX(Proj[],MATCH(Table16[[#This Row],[Player]],Proj[Player],0),27),-5000), _xlfn.IFNA(INDEX(Goalie[],MATCH(Table16[[#This Row],[Player]],Goalie[player],0),17),-5000))</f>
        <v>-532.63287051400948</v>
      </c>
      <c r="E510">
        <f>_xlfn.RANK.EQ(Table16[[#This Row],[VOR]],Table16[VOR])</f>
        <v>510</v>
      </c>
      <c r="F510" cm="1">
        <f t="array" ref="F510">_xlfn.IFS(C510 = "C",INDEX('C'!$A$2:$L$254,MATCH($A510,'C'!$A$2:$A$254,0),10),C510 = "LW",INDEX(LW!$A$2:$K$180,MATCH($A510,LW!$A$2:$A$180,0),10),C510 = "RW",INDEX('RW'!$A$2:$L$164,MATCH($A510,'RW'!$A$2:$A$164,0),10), C510 = "D",INDEX(D!$A$2:$L$268,MATCH($A510,D!$A$2:$A$268,0),10),C510="G",INDEX(G!$A$2:$Q$78,MATCH($A510,G!$A$2:$A$78,0),16),C510="F",INDEX(F!$A$2:$K$494,MATCH($A510,F!$A$2:$A$494,0),10))</f>
        <v>108</v>
      </c>
      <c r="G510" t="str">
        <f>_xlfn.CONCAT(C510,Table16[[#This Row],[Pos Rank2]])</f>
        <v>LW108</v>
      </c>
      <c r="H510" s="10">
        <f>MAX(_xlfn.IFNA(INDEX(Proj[],MATCH(Table16[[#This Row],[Player]],Proj[Player],0),29),-5000), _xlfn.IFNA(INDEX(Goalie[],MATCH(Table16[[#This Row],[Player]],Goalie[player],0),19),-5000))</f>
        <v>-61.088146123760609</v>
      </c>
      <c r="I510" t="str">
        <f>IF(_xlfn.IFNA(INDEX(Proj[],MATCH(Table16[[#This Row],[Player]],Proj[Player],0),31),INDEX(Goalie[],MATCH(Table16[[#This Row],[Player]],Goalie[player],0),20)) = 0, "",_xlfn.IFNA(INDEX(Proj[],MATCH(Table16[[#This Row],[Player]],Proj[Player],0),31),INDEX(Goalie[],MATCH(Table16[[#This Row],[Player]],Goalie[player],0),20)))</f>
        <v/>
      </c>
    </row>
    <row r="511" spans="1:9" x14ac:dyDescent="0.25">
      <c r="A511" t="s">
        <v>472</v>
      </c>
      <c r="B511" s="2" t="s">
        <v>103</v>
      </c>
      <c r="C511" t="str">
        <f t="shared" si="7"/>
        <v>RW</v>
      </c>
      <c r="D511" s="10">
        <f>MAX(_xlfn.IFNA(INDEX(Proj[],MATCH(Table16[[#This Row],[Player]],Proj[Player],0),27),-5000), _xlfn.IFNA(INDEX(Goalie[],MATCH(Table16[[#This Row],[Player]],Goalie[player],0),17),-5000))</f>
        <v>-569.55912745870523</v>
      </c>
      <c r="E511">
        <f>_xlfn.RANK.EQ(Table16[[#This Row],[VOR]],Table16[VOR])</f>
        <v>536</v>
      </c>
      <c r="F511" cm="1">
        <f t="array" ref="F511">_xlfn.IFS(C511 = "C",INDEX('C'!$A$2:$L$254,MATCH($A511,'C'!$A$2:$A$254,0),10),C511 = "LW",INDEX(LW!$A$2:$K$180,MATCH($A511,LW!$A$2:$A$180,0),10),C511 = "RW",INDEX('RW'!$A$2:$L$164,MATCH($A511,'RW'!$A$2:$A$164,0),10), C511 = "D",INDEX(D!$A$2:$L$268,MATCH($A511,D!$A$2:$A$268,0),10),C511="G",INDEX(G!$A$2:$Q$78,MATCH($A511,G!$A$2:$A$78,0),16),C511="F",INDEX(F!$A$2:$K$494,MATCH($A511,F!$A$2:$A$494,0),10))</f>
        <v>105</v>
      </c>
      <c r="G511" t="str">
        <f>_xlfn.CONCAT(C511,Table16[[#This Row],[Pos Rank2]])</f>
        <v>RW105</v>
      </c>
      <c r="H511" s="10">
        <f>MAX(_xlfn.IFNA(INDEX(Proj[],MATCH(Table16[[#This Row],[Player]],Proj[Player],0),29),-5000), _xlfn.IFNA(INDEX(Goalie[],MATCH(Table16[[#This Row],[Player]],Goalie[player],0),19),-5000))</f>
        <v>-123.01440306845639</v>
      </c>
      <c r="I511" t="str">
        <f>IF(_xlfn.IFNA(INDEX(Proj[],MATCH(Table16[[#This Row],[Player]],Proj[Player],0),31),INDEX(Goalie[],MATCH(Table16[[#This Row],[Player]],Goalie[player],0),20)) = 0, "",_xlfn.IFNA(INDEX(Proj[],MATCH(Table16[[#This Row],[Player]],Proj[Player],0),31),INDEX(Goalie[],MATCH(Table16[[#This Row],[Player]],Goalie[player],0),20)))</f>
        <v/>
      </c>
    </row>
    <row r="512" spans="1:9" x14ac:dyDescent="0.25">
      <c r="A512" t="s">
        <v>192</v>
      </c>
      <c r="B512" s="2" t="s">
        <v>157</v>
      </c>
      <c r="C512" t="str">
        <f t="shared" si="7"/>
        <v>G</v>
      </c>
      <c r="D512" s="10">
        <f>MAX(_xlfn.IFNA(INDEX(Proj[],MATCH(Table16[[#This Row],[Player]],Proj[Player],0),27),-5000), _xlfn.IFNA(INDEX(Goalie[],MATCH(Table16[[#This Row],[Player]],Goalie[player],0),17),-5000))</f>
        <v>-535.59072903091351</v>
      </c>
      <c r="E512">
        <f>_xlfn.RANK.EQ(Table16[[#This Row],[VOR]],Table16[VOR])</f>
        <v>513</v>
      </c>
      <c r="F512" cm="1">
        <f t="array" ref="F512">_xlfn.IFS(C512 = "C",INDEX('C'!$A$2:$L$254,MATCH($A512,'C'!$A$2:$A$254,0),10),C512 = "LW",INDEX(LW!$A$2:$K$180,MATCH($A512,LW!$A$2:$A$180,0),10),C512 = "RW",INDEX('RW'!$A$2:$L$164,MATCH($A512,'RW'!$A$2:$A$164,0),10), C512 = "D",INDEX(D!$A$2:$L$268,MATCH($A512,D!$A$2:$A$268,0),10),C512="G",INDEX(G!$A$2:$Q$78,MATCH($A512,G!$A$2:$A$78,0),16),C512="F",INDEX(F!$A$2:$K$494,MATCH($A512,F!$A$2:$A$494,0),10))</f>
        <v>69</v>
      </c>
      <c r="G512" t="str">
        <f>_xlfn.CONCAT(C512,Table16[[#This Row],[Pos Rank2]])</f>
        <v>G69</v>
      </c>
      <c r="H512" s="10">
        <f>MAX(_xlfn.IFNA(INDEX(Proj[],MATCH(Table16[[#This Row],[Player]],Proj[Player],0),29),-5000), _xlfn.IFNA(INDEX(Goalie[],MATCH(Table16[[#This Row],[Player]],Goalie[player],0),19),-5000))</f>
        <v>156.46199999999999</v>
      </c>
      <c r="I512" t="str">
        <f>IF(_xlfn.IFNA(INDEX(Proj[],MATCH(Table16[[#This Row],[Player]],Proj[Player],0),31),INDEX(Goalie[],MATCH(Table16[[#This Row],[Player]],Goalie[player],0),20)) = 0, "",_xlfn.IFNA(INDEX(Proj[],MATCH(Table16[[#This Row],[Player]],Proj[Player],0),31),INDEX(Goalie[],MATCH(Table16[[#This Row],[Player]],Goalie[player],0),20)))</f>
        <v/>
      </c>
    </row>
    <row r="513" spans="1:9" x14ac:dyDescent="0.25">
      <c r="A513" t="s">
        <v>514</v>
      </c>
      <c r="B513" s="2" t="s">
        <v>3</v>
      </c>
      <c r="C513" t="str">
        <f t="shared" si="7"/>
        <v>D</v>
      </c>
      <c r="D513" s="10">
        <f>MAX(_xlfn.IFNA(INDEX(Proj[],MATCH(Table16[[#This Row],[Player]],Proj[Player],0),27),-5000), _xlfn.IFNA(INDEX(Goalie[],MATCH(Table16[[#This Row],[Player]],Goalie[player],0),17),-5000))</f>
        <v>-505.21866043774173</v>
      </c>
      <c r="E513">
        <f>_xlfn.RANK.EQ(Table16[[#This Row],[VOR]],Table16[VOR])</f>
        <v>490</v>
      </c>
      <c r="F513" cm="1">
        <f t="array" ref="F513">_xlfn.IFS(C513 = "C",INDEX('C'!$A$2:$L$254,MATCH($A513,'C'!$A$2:$A$254,0),10),C513 = "LW",INDEX(LW!$A$2:$K$180,MATCH($A513,LW!$A$2:$A$180,0),10),C513 = "RW",INDEX('RW'!$A$2:$L$164,MATCH($A513,'RW'!$A$2:$A$164,0),10), C513 = "D",INDEX(D!$A$2:$L$268,MATCH($A513,D!$A$2:$A$268,0),10),C513="G",INDEX(G!$A$2:$Q$78,MATCH($A513,G!$A$2:$A$78,0),16),C513="F",INDEX(F!$A$2:$K$494,MATCH($A513,F!$A$2:$A$494,0),10))</f>
        <v>191</v>
      </c>
      <c r="G513" t="str">
        <f>_xlfn.CONCAT(C513,Table16[[#This Row],[Pos Rank2]])</f>
        <v>D191</v>
      </c>
      <c r="H513" s="10">
        <f>MAX(_xlfn.IFNA(INDEX(Proj[],MATCH(Table16[[#This Row],[Player]],Proj[Player],0),29),-5000), _xlfn.IFNA(INDEX(Goalie[],MATCH(Table16[[#This Row],[Player]],Goalie[player],0),19),-5000))</f>
        <v>-397.85389271827722</v>
      </c>
      <c r="I513" t="str">
        <f>IF(_xlfn.IFNA(INDEX(Proj[],MATCH(Table16[[#This Row],[Player]],Proj[Player],0),31),INDEX(Goalie[],MATCH(Table16[[#This Row],[Player]],Goalie[player],0),20)) = 0, "",_xlfn.IFNA(INDEX(Proj[],MATCH(Table16[[#This Row],[Player]],Proj[Player],0),31),INDEX(Goalie[],MATCH(Table16[[#This Row],[Player]],Goalie[player],0),20)))</f>
        <v/>
      </c>
    </row>
    <row r="514" spans="1:9" x14ac:dyDescent="0.25">
      <c r="A514" t="s">
        <v>661</v>
      </c>
      <c r="B514" s="2" t="s">
        <v>3</v>
      </c>
      <c r="C514" t="str">
        <f t="shared" ref="C514:C577" si="8">SUBSTITUTE(SUBSTITUTE(B514,"C,",""),"LW,","")</f>
        <v>D</v>
      </c>
      <c r="D514" s="10">
        <f>MAX(_xlfn.IFNA(INDEX(Proj[],MATCH(Table16[[#This Row],[Player]],Proj[Player],0),27),-5000), _xlfn.IFNA(INDEX(Goalie[],MATCH(Table16[[#This Row],[Player]],Goalie[player],0),17),-5000))</f>
        <v>-505.83070458745772</v>
      </c>
      <c r="E514">
        <f>_xlfn.RANK.EQ(Table16[[#This Row],[VOR]],Table16[VOR])</f>
        <v>491</v>
      </c>
      <c r="F514" cm="1">
        <f t="array" ref="F514">_xlfn.IFS(C514 = "C",INDEX('C'!$A$2:$L$254,MATCH($A514,'C'!$A$2:$A$254,0),10),C514 = "LW",INDEX(LW!$A$2:$K$180,MATCH($A514,LW!$A$2:$A$180,0),10),C514 = "RW",INDEX('RW'!$A$2:$L$164,MATCH($A514,'RW'!$A$2:$A$164,0),10), C514 = "D",INDEX(D!$A$2:$L$268,MATCH($A514,D!$A$2:$A$268,0),10),C514="G",INDEX(G!$A$2:$Q$78,MATCH($A514,G!$A$2:$A$78,0),16),C514="F",INDEX(F!$A$2:$K$494,MATCH($A514,F!$A$2:$A$494,0),10))</f>
        <v>192</v>
      </c>
      <c r="G514" t="str">
        <f>_xlfn.CONCAT(C514,Table16[[#This Row],[Pos Rank2]])</f>
        <v>D192</v>
      </c>
      <c r="H514" s="10">
        <f>MAX(_xlfn.IFNA(INDEX(Proj[],MATCH(Table16[[#This Row],[Player]],Proj[Player],0),29),-5000), _xlfn.IFNA(INDEX(Goalie[],MATCH(Table16[[#This Row],[Player]],Goalie[player],0),19),-5000))</f>
        <v>-398.46593686799326</v>
      </c>
      <c r="I514" t="str">
        <f>IF(_xlfn.IFNA(INDEX(Proj[],MATCH(Table16[[#This Row],[Player]],Proj[Player],0),31),INDEX(Goalie[],MATCH(Table16[[#This Row],[Player]],Goalie[player],0),20)) = 0, "",_xlfn.IFNA(INDEX(Proj[],MATCH(Table16[[#This Row],[Player]],Proj[Player],0),31),INDEX(Goalie[],MATCH(Table16[[#This Row],[Player]],Goalie[player],0),20)))</f>
        <v/>
      </c>
    </row>
    <row r="515" spans="1:9" x14ac:dyDescent="0.25">
      <c r="A515" t="s">
        <v>189</v>
      </c>
      <c r="B515" s="2" t="s">
        <v>157</v>
      </c>
      <c r="C515" t="str">
        <f t="shared" si="8"/>
        <v>G</v>
      </c>
      <c r="D515" s="10">
        <f>MAX(_xlfn.IFNA(INDEX(Proj[],MATCH(Table16[[#This Row],[Player]],Proj[Player],0),27),-5000), _xlfn.IFNA(INDEX(Goalie[],MATCH(Table16[[#This Row],[Player]],Goalie[player],0),17),-5000))</f>
        <v>-537.58437216662105</v>
      </c>
      <c r="E515">
        <f>_xlfn.RANK.EQ(Table16[[#This Row],[VOR]],Table16[VOR])</f>
        <v>515</v>
      </c>
      <c r="F515" cm="1">
        <f t="array" ref="F515">_xlfn.IFS(C515 = "C",INDEX('C'!$A$2:$L$254,MATCH($A515,'C'!$A$2:$A$254,0),10),C515 = "LW",INDEX(LW!$A$2:$K$180,MATCH($A515,LW!$A$2:$A$180,0),10),C515 = "RW",INDEX('RW'!$A$2:$L$164,MATCH($A515,'RW'!$A$2:$A$164,0),10), C515 = "D",INDEX(D!$A$2:$L$268,MATCH($A515,D!$A$2:$A$268,0),10),C515="G",INDEX(G!$A$2:$Q$78,MATCH($A515,G!$A$2:$A$78,0),16),C515="F",INDEX(F!$A$2:$K$494,MATCH($A515,F!$A$2:$A$494,0),10))</f>
        <v>70</v>
      </c>
      <c r="G515" t="str">
        <f>_xlfn.CONCAT(C515,Table16[[#This Row],[Pos Rank2]])</f>
        <v>G70</v>
      </c>
      <c r="H515" s="10">
        <f>MAX(_xlfn.IFNA(INDEX(Proj[],MATCH(Table16[[#This Row],[Player]],Proj[Player],0),29),-5000), _xlfn.IFNA(INDEX(Goalie[],MATCH(Table16[[#This Row],[Player]],Goalie[player],0),19),-5000))</f>
        <v>236.72499999999999</v>
      </c>
      <c r="I515" t="str">
        <f>IF(_xlfn.IFNA(INDEX(Proj[],MATCH(Table16[[#This Row],[Player]],Proj[Player],0),31),INDEX(Goalie[],MATCH(Table16[[#This Row],[Player]],Goalie[player],0),20)) = 0, "",_xlfn.IFNA(INDEX(Proj[],MATCH(Table16[[#This Row],[Player]],Proj[Player],0),31),INDEX(Goalie[],MATCH(Table16[[#This Row],[Player]],Goalie[player],0),20)))</f>
        <v/>
      </c>
    </row>
    <row r="516" spans="1:9" x14ac:dyDescent="0.25">
      <c r="A516" t="s">
        <v>1011</v>
      </c>
      <c r="B516" s="2" t="s">
        <v>103</v>
      </c>
      <c r="C516" t="str">
        <f t="shared" si="8"/>
        <v>RW</v>
      </c>
      <c r="D516" s="10">
        <f>MAX(_xlfn.IFNA(INDEX(Proj[],MATCH(Table16[[#This Row],[Player]],Proj[Player],0),27),-5000), _xlfn.IFNA(INDEX(Goalie[],MATCH(Table16[[#This Row],[Player]],Goalie[player],0),17),-5000))</f>
        <v>-579.90518829792518</v>
      </c>
      <c r="E516">
        <f>_xlfn.RANK.EQ(Table16[[#This Row],[VOR]],Table16[VOR])</f>
        <v>541</v>
      </c>
      <c r="F516" cm="1">
        <f t="array" ref="F516">_xlfn.IFS(C516 = "C",INDEX('C'!$A$2:$L$254,MATCH($A516,'C'!$A$2:$A$254,0),10),C516 = "LW",INDEX(LW!$A$2:$K$180,MATCH($A516,LW!$A$2:$A$180,0),10),C516 = "RW",INDEX('RW'!$A$2:$L$164,MATCH($A516,'RW'!$A$2:$A$164,0),10), C516 = "D",INDEX(D!$A$2:$L$268,MATCH($A516,D!$A$2:$A$268,0),10),C516="G",INDEX(G!$A$2:$Q$78,MATCH($A516,G!$A$2:$A$78,0),16),C516="F",INDEX(F!$A$2:$K$494,MATCH($A516,F!$A$2:$A$494,0),10))</f>
        <v>106</v>
      </c>
      <c r="G516" t="str">
        <f>_xlfn.CONCAT(C516,Table16[[#This Row],[Pos Rank2]])</f>
        <v>RW106</v>
      </c>
      <c r="H516" s="10">
        <f>MAX(_xlfn.IFNA(INDEX(Proj[],MATCH(Table16[[#This Row],[Player]],Proj[Player],0),29),-5000), _xlfn.IFNA(INDEX(Goalie[],MATCH(Table16[[#This Row],[Player]],Goalie[player],0),19),-5000))</f>
        <v>-133.36046390767632</v>
      </c>
      <c r="I516" t="str">
        <f>IF(_xlfn.IFNA(INDEX(Proj[],MATCH(Table16[[#This Row],[Player]],Proj[Player],0),31),INDEX(Goalie[],MATCH(Table16[[#This Row],[Player]],Goalie[player],0),20)) = 0, "",_xlfn.IFNA(INDEX(Proj[],MATCH(Table16[[#This Row],[Player]],Proj[Player],0),31),INDEX(Goalie[],MATCH(Table16[[#This Row],[Player]],Goalie[player],0),20)))</f>
        <v/>
      </c>
    </row>
    <row r="517" spans="1:9" x14ac:dyDescent="0.25">
      <c r="A517" t="s">
        <v>774</v>
      </c>
      <c r="B517" s="2" t="s">
        <v>74</v>
      </c>
      <c r="C517" t="str">
        <f t="shared" si="8"/>
        <v>C</v>
      </c>
      <c r="D517" s="10">
        <f>MAX(_xlfn.IFNA(INDEX(Proj[],MATCH(Table16[[#This Row],[Player]],Proj[Player],0),27),-5000), _xlfn.IFNA(INDEX(Goalie[],MATCH(Table16[[#This Row],[Player]],Goalie[player],0),17),-5000))</f>
        <v>-575.01017679036693</v>
      </c>
      <c r="E517">
        <f>_xlfn.RANK.EQ(Table16[[#This Row],[VOR]],Table16[VOR])</f>
        <v>538</v>
      </c>
      <c r="F517" cm="1">
        <f t="array" ref="F517">_xlfn.IFS(C517 = "C",INDEX('C'!$A$2:$L$254,MATCH($A517,'C'!$A$2:$A$254,0),10),C517 = "LW",INDEX(LW!$A$2:$K$180,MATCH($A517,LW!$A$2:$A$180,0),10),C517 = "RW",INDEX('RW'!$A$2:$L$164,MATCH($A517,'RW'!$A$2:$A$164,0),10), C517 = "D",INDEX(D!$A$2:$L$268,MATCH($A517,D!$A$2:$A$268,0),10),C517="G",INDEX(G!$A$2:$Q$78,MATCH($A517,G!$A$2:$A$78,0),16),C517="F",INDEX(F!$A$2:$K$494,MATCH($A517,F!$A$2:$A$494,0),10))</f>
        <v>122</v>
      </c>
      <c r="G517" t="str">
        <f>_xlfn.CONCAT(C517,Table16[[#This Row],[Pos Rank2]])</f>
        <v>C122</v>
      </c>
      <c r="H517" s="10">
        <f>MAX(_xlfn.IFNA(INDEX(Proj[],MATCH(Table16[[#This Row],[Player]],Proj[Player],0),29),-5000), _xlfn.IFNA(INDEX(Goalie[],MATCH(Table16[[#This Row],[Player]],Goalie[player],0),19),-5000))</f>
        <v>159.6236775199317</v>
      </c>
      <c r="I517" t="str">
        <f>IF(_xlfn.IFNA(INDEX(Proj[],MATCH(Table16[[#This Row],[Player]],Proj[Player],0),31),INDEX(Goalie[],MATCH(Table16[[#This Row],[Player]],Goalie[player],0),20)) = 0, "",_xlfn.IFNA(INDEX(Proj[],MATCH(Table16[[#This Row],[Player]],Proj[Player],0),31),INDEX(Goalie[],MATCH(Table16[[#This Row],[Player]],Goalie[player],0),20)))</f>
        <v/>
      </c>
    </row>
    <row r="518" spans="1:9" x14ac:dyDescent="0.25">
      <c r="A518" t="s">
        <v>513</v>
      </c>
      <c r="B518" s="2" t="s">
        <v>3</v>
      </c>
      <c r="C518" t="str">
        <f t="shared" si="8"/>
        <v>D</v>
      </c>
      <c r="D518" s="10">
        <f>MAX(_xlfn.IFNA(INDEX(Proj[],MATCH(Table16[[#This Row],[Player]],Proj[Player],0),27),-5000), _xlfn.IFNA(INDEX(Goalie[],MATCH(Table16[[#This Row],[Player]],Goalie[player],0),17),-5000))</f>
        <v>-507.91992815444121</v>
      </c>
      <c r="E518">
        <f>_xlfn.RANK.EQ(Table16[[#This Row],[VOR]],Table16[VOR])</f>
        <v>493</v>
      </c>
      <c r="F518" cm="1">
        <f t="array" ref="F518">_xlfn.IFS(C518 = "C",INDEX('C'!$A$2:$L$254,MATCH($A518,'C'!$A$2:$A$254,0),10),C518 = "LW",INDEX(LW!$A$2:$K$180,MATCH($A518,LW!$A$2:$A$180,0),10),C518 = "RW",INDEX('RW'!$A$2:$L$164,MATCH($A518,'RW'!$A$2:$A$164,0),10), C518 = "D",INDEX(D!$A$2:$L$268,MATCH($A518,D!$A$2:$A$268,0),10),C518="G",INDEX(G!$A$2:$Q$78,MATCH($A518,G!$A$2:$A$78,0),16),C518="F",INDEX(F!$A$2:$K$494,MATCH($A518,F!$A$2:$A$494,0),10))</f>
        <v>193</v>
      </c>
      <c r="G518" t="str">
        <f>_xlfn.CONCAT(C518,Table16[[#This Row],[Pos Rank2]])</f>
        <v>D193</v>
      </c>
      <c r="H518" s="10">
        <f>MAX(_xlfn.IFNA(INDEX(Proj[],MATCH(Table16[[#This Row],[Player]],Proj[Player],0),29),-5000), _xlfn.IFNA(INDEX(Goalie[],MATCH(Table16[[#This Row],[Player]],Goalie[player],0),19),-5000))</f>
        <v>-400.5551604349767</v>
      </c>
      <c r="I518" t="str">
        <f>IF(_xlfn.IFNA(INDEX(Proj[],MATCH(Table16[[#This Row],[Player]],Proj[Player],0),31),INDEX(Goalie[],MATCH(Table16[[#This Row],[Player]],Goalie[player],0),20)) = 0, "",_xlfn.IFNA(INDEX(Proj[],MATCH(Table16[[#This Row],[Player]],Proj[Player],0),31),INDEX(Goalie[],MATCH(Table16[[#This Row],[Player]],Goalie[player],0),20)))</f>
        <v/>
      </c>
    </row>
    <row r="519" spans="1:9" x14ac:dyDescent="0.25">
      <c r="A519" t="s">
        <v>643</v>
      </c>
      <c r="B519" s="2" t="s">
        <v>3</v>
      </c>
      <c r="C519" t="str">
        <f t="shared" si="8"/>
        <v>D</v>
      </c>
      <c r="D519" s="10">
        <f>MAX(_xlfn.IFNA(INDEX(Proj[],MATCH(Table16[[#This Row],[Player]],Proj[Player],0),27),-5000), _xlfn.IFNA(INDEX(Goalie[],MATCH(Table16[[#This Row],[Player]],Goalie[player],0),17),-5000))</f>
        <v>-497.0247730234305</v>
      </c>
      <c r="E519">
        <f>_xlfn.RANK.EQ(Table16[[#This Row],[VOR]],Table16[VOR])</f>
        <v>484</v>
      </c>
      <c r="F519" cm="1">
        <f t="array" ref="F519">_xlfn.IFS(C519 = "C",INDEX('C'!$A$2:$L$254,MATCH($A519,'C'!$A$2:$A$254,0),10),C519 = "LW",INDEX(LW!$A$2:$K$180,MATCH($A519,LW!$A$2:$A$180,0),10),C519 = "RW",INDEX('RW'!$A$2:$L$164,MATCH($A519,'RW'!$A$2:$A$164,0),10), C519 = "D",INDEX(D!$A$2:$L$268,MATCH($A519,D!$A$2:$A$268,0),10),C519="G",INDEX(G!$A$2:$Q$78,MATCH($A519,G!$A$2:$A$78,0),16),C519="F",INDEX(F!$A$2:$K$494,MATCH($A519,F!$A$2:$A$494,0),10))</f>
        <v>190</v>
      </c>
      <c r="G519" t="str">
        <f>_xlfn.CONCAT(C519,Table16[[#This Row],[Pos Rank2]])</f>
        <v>D190</v>
      </c>
      <c r="H519" s="10">
        <f>MAX(_xlfn.IFNA(INDEX(Proj[],MATCH(Table16[[#This Row],[Player]],Proj[Player],0),29),-5000), _xlfn.IFNA(INDEX(Goalie[],MATCH(Table16[[#This Row],[Player]],Goalie[player],0),19),-5000))</f>
        <v>-389.66000530396605</v>
      </c>
      <c r="I519" t="str">
        <f>IF(_xlfn.IFNA(INDEX(Proj[],MATCH(Table16[[#This Row],[Player]],Proj[Player],0),31),INDEX(Goalie[],MATCH(Table16[[#This Row],[Player]],Goalie[player],0),20)) = 0, "",_xlfn.IFNA(INDEX(Proj[],MATCH(Table16[[#This Row],[Player]],Proj[Player],0),31),INDEX(Goalie[],MATCH(Table16[[#This Row],[Player]],Goalie[player],0),20)))</f>
        <v/>
      </c>
    </row>
    <row r="520" spans="1:9" x14ac:dyDescent="0.25">
      <c r="A520" t="s">
        <v>927</v>
      </c>
      <c r="B520" s="2" t="s">
        <v>3</v>
      </c>
      <c r="C520" t="str">
        <f t="shared" si="8"/>
        <v>D</v>
      </c>
      <c r="D520" s="10">
        <f>MAX(_xlfn.IFNA(INDEX(Proj[],MATCH(Table16[[#This Row],[Player]],Proj[Player],0),27),-5000), _xlfn.IFNA(INDEX(Goalie[],MATCH(Table16[[#This Row],[Player]],Goalie[player],0),17),-5000))</f>
        <v>-508.29085818815759</v>
      </c>
      <c r="E520">
        <f>_xlfn.RANK.EQ(Table16[[#This Row],[VOR]],Table16[VOR])</f>
        <v>494</v>
      </c>
      <c r="F520" cm="1">
        <f t="array" ref="F520">_xlfn.IFS(C520 = "C",INDEX('C'!$A$2:$L$254,MATCH($A520,'C'!$A$2:$A$254,0),10),C520 = "LW",INDEX(LW!$A$2:$K$180,MATCH($A520,LW!$A$2:$A$180,0),10),C520 = "RW",INDEX('RW'!$A$2:$L$164,MATCH($A520,'RW'!$A$2:$A$164,0),10), C520 = "D",INDEX(D!$A$2:$L$268,MATCH($A520,D!$A$2:$A$268,0),10),C520="G",INDEX(G!$A$2:$Q$78,MATCH($A520,G!$A$2:$A$78,0),16),C520="F",INDEX(F!$A$2:$K$494,MATCH($A520,F!$A$2:$A$494,0),10))</f>
        <v>194</v>
      </c>
      <c r="G520" t="str">
        <f>_xlfn.CONCAT(C520,Table16[[#This Row],[Pos Rank2]])</f>
        <v>D194</v>
      </c>
      <c r="H520" s="10">
        <f>MAX(_xlfn.IFNA(INDEX(Proj[],MATCH(Table16[[#This Row],[Player]],Proj[Player],0),29),-5000), _xlfn.IFNA(INDEX(Goalie[],MATCH(Table16[[#This Row],[Player]],Goalie[player],0),19),-5000))</f>
        <v>-400.92609046869308</v>
      </c>
      <c r="I520" t="str">
        <f>IF(_xlfn.IFNA(INDEX(Proj[],MATCH(Table16[[#This Row],[Player]],Proj[Player],0),31),INDEX(Goalie[],MATCH(Table16[[#This Row],[Player]],Goalie[player],0),20)) = 0, "",_xlfn.IFNA(INDEX(Proj[],MATCH(Table16[[#This Row],[Player]],Proj[Player],0),31),INDEX(Goalie[],MATCH(Table16[[#This Row],[Player]],Goalie[player],0),20)))</f>
        <v/>
      </c>
    </row>
    <row r="521" spans="1:9" x14ac:dyDescent="0.25">
      <c r="A521" t="s">
        <v>613</v>
      </c>
      <c r="B521" s="2" t="s">
        <v>74</v>
      </c>
      <c r="C521" t="str">
        <f t="shared" si="8"/>
        <v>C</v>
      </c>
      <c r="D521" s="10">
        <f>MAX(_xlfn.IFNA(INDEX(Proj[],MATCH(Table16[[#This Row],[Player]],Proj[Player],0),27),-5000), _xlfn.IFNA(INDEX(Goalie[],MATCH(Table16[[#This Row],[Player]],Goalie[player],0),17),-5000))</f>
        <v>-584.30304252419705</v>
      </c>
      <c r="E521">
        <f>_xlfn.RANK.EQ(Table16[[#This Row],[VOR]],Table16[VOR])</f>
        <v>546</v>
      </c>
      <c r="F521" cm="1">
        <f t="array" ref="F521">_xlfn.IFS(C521 = "C",INDEX('C'!$A$2:$L$254,MATCH($A521,'C'!$A$2:$A$254,0),10),C521 = "LW",INDEX(LW!$A$2:$K$180,MATCH($A521,LW!$A$2:$A$180,0),10),C521 = "RW",INDEX('RW'!$A$2:$L$164,MATCH($A521,'RW'!$A$2:$A$164,0),10), C521 = "D",INDEX(D!$A$2:$L$268,MATCH($A521,D!$A$2:$A$268,0),10),C521="G",INDEX(G!$A$2:$Q$78,MATCH($A521,G!$A$2:$A$78,0),16),C521="F",INDEX(F!$A$2:$K$494,MATCH($A521,F!$A$2:$A$494,0),10))</f>
        <v>125</v>
      </c>
      <c r="G521" t="str">
        <f>_xlfn.CONCAT(C521,Table16[[#This Row],[Pos Rank2]])</f>
        <v>C125</v>
      </c>
      <c r="H521" s="10">
        <f>MAX(_xlfn.IFNA(INDEX(Proj[],MATCH(Table16[[#This Row],[Player]],Proj[Player],0),29),-5000), _xlfn.IFNA(INDEX(Goalie[],MATCH(Table16[[#This Row],[Player]],Goalie[player],0),19),-5000))</f>
        <v>150.33081178610152</v>
      </c>
      <c r="I521" t="str">
        <f>IF(_xlfn.IFNA(INDEX(Proj[],MATCH(Table16[[#This Row],[Player]],Proj[Player],0),31),INDEX(Goalie[],MATCH(Table16[[#This Row],[Player]],Goalie[player],0),20)) = 0, "",_xlfn.IFNA(INDEX(Proj[],MATCH(Table16[[#This Row],[Player]],Proj[Player],0),31),INDEX(Goalie[],MATCH(Table16[[#This Row],[Player]],Goalie[player],0),20)))</f>
        <v/>
      </c>
    </row>
    <row r="522" spans="1:9" x14ac:dyDescent="0.25">
      <c r="A522" t="s">
        <v>733</v>
      </c>
      <c r="B522" s="2" t="s">
        <v>102</v>
      </c>
      <c r="C522" t="str">
        <f t="shared" si="8"/>
        <v>LW</v>
      </c>
      <c r="D522" s="10">
        <f>MAX(_xlfn.IFNA(INDEX(Proj[],MATCH(Table16[[#This Row],[Player]],Proj[Player],0),27),-5000), _xlfn.IFNA(INDEX(Goalie[],MATCH(Table16[[#This Row],[Player]],Goalie[player],0),17),-5000))</f>
        <v>-583.9886704008112</v>
      </c>
      <c r="E522">
        <f>_xlfn.RANK.EQ(Table16[[#This Row],[VOR]],Table16[VOR])</f>
        <v>544</v>
      </c>
      <c r="F522" cm="1">
        <f t="array" ref="F522">_xlfn.IFS(C522 = "C",INDEX('C'!$A$2:$L$254,MATCH($A522,'C'!$A$2:$A$254,0),10),C522 = "LW",INDEX(LW!$A$2:$K$180,MATCH($A522,LW!$A$2:$A$180,0),10),C522 = "RW",INDEX('RW'!$A$2:$L$164,MATCH($A522,'RW'!$A$2:$A$164,0),10), C522 = "D",INDEX(D!$A$2:$L$268,MATCH($A522,D!$A$2:$A$268,0),10),C522="G",INDEX(G!$A$2:$Q$78,MATCH($A522,G!$A$2:$A$78,0),16),C522="F",INDEX(F!$A$2:$K$494,MATCH($A522,F!$A$2:$A$494,0),10))</f>
        <v>117</v>
      </c>
      <c r="G522" t="str">
        <f>_xlfn.CONCAT(C522,Table16[[#This Row],[Pos Rank2]])</f>
        <v>LW117</v>
      </c>
      <c r="H522" s="10">
        <f>MAX(_xlfn.IFNA(INDEX(Proj[],MATCH(Table16[[#This Row],[Player]],Proj[Player],0),29),-5000), _xlfn.IFNA(INDEX(Goalie[],MATCH(Table16[[#This Row],[Player]],Goalie[player],0),19),-5000))</f>
        <v>-112.44394601056233</v>
      </c>
      <c r="I522" t="str">
        <f>IF(_xlfn.IFNA(INDEX(Proj[],MATCH(Table16[[#This Row],[Player]],Proj[Player],0),31),INDEX(Goalie[],MATCH(Table16[[#This Row],[Player]],Goalie[player],0),20)) = 0, "",_xlfn.IFNA(INDEX(Proj[],MATCH(Table16[[#This Row],[Player]],Proj[Player],0),31),INDEX(Goalie[],MATCH(Table16[[#This Row],[Player]],Goalie[player],0),20)))</f>
        <v/>
      </c>
    </row>
    <row r="523" spans="1:9" x14ac:dyDescent="0.25">
      <c r="A523" t="s">
        <v>1018</v>
      </c>
      <c r="B523" s="2" t="s">
        <v>102</v>
      </c>
      <c r="C523" t="str">
        <f t="shared" si="8"/>
        <v>LW</v>
      </c>
      <c r="D523" s="10">
        <f>MAX(_xlfn.IFNA(INDEX(Proj[],MATCH(Table16[[#This Row],[Player]],Proj[Player],0),27),-5000), _xlfn.IFNA(INDEX(Goalie[],MATCH(Table16[[#This Row],[Player]],Goalie[player],0),17),-5000))</f>
        <v>-582.6872656011509</v>
      </c>
      <c r="E523">
        <f>_xlfn.RANK.EQ(Table16[[#This Row],[VOR]],Table16[VOR])</f>
        <v>542</v>
      </c>
      <c r="F523" cm="1">
        <f t="array" ref="F523">_xlfn.IFS(C523 = "C",INDEX('C'!$A$2:$L$254,MATCH($A523,'C'!$A$2:$A$254,0),10),C523 = "LW",INDEX(LW!$A$2:$K$180,MATCH($A523,LW!$A$2:$A$180,0),10),C523 = "RW",INDEX('RW'!$A$2:$L$164,MATCH($A523,'RW'!$A$2:$A$164,0),10), C523 = "D",INDEX(D!$A$2:$L$268,MATCH($A523,D!$A$2:$A$268,0),10),C523="G",INDEX(G!$A$2:$Q$78,MATCH($A523,G!$A$2:$A$78,0),16),C523="F",INDEX(F!$A$2:$K$494,MATCH($A523,F!$A$2:$A$494,0),10))</f>
        <v>116</v>
      </c>
      <c r="G523" t="str">
        <f>_xlfn.CONCAT(C523,Table16[[#This Row],[Pos Rank2]])</f>
        <v>LW116</v>
      </c>
      <c r="H523" s="10">
        <f>MAX(_xlfn.IFNA(INDEX(Proj[],MATCH(Table16[[#This Row],[Player]],Proj[Player],0),29),-5000), _xlfn.IFNA(INDEX(Goalie[],MATCH(Table16[[#This Row],[Player]],Goalie[player],0),19),-5000))</f>
        <v>-111.142541210902</v>
      </c>
      <c r="I523" t="str">
        <f>IF(_xlfn.IFNA(INDEX(Proj[],MATCH(Table16[[#This Row],[Player]],Proj[Player],0),31),INDEX(Goalie[],MATCH(Table16[[#This Row],[Player]],Goalie[player],0),20)) = 0, "",_xlfn.IFNA(INDEX(Proj[],MATCH(Table16[[#This Row],[Player]],Proj[Player],0),31),INDEX(Goalie[],MATCH(Table16[[#This Row],[Player]],Goalie[player],0),20)))</f>
        <v/>
      </c>
    </row>
    <row r="524" spans="1:9" x14ac:dyDescent="0.25">
      <c r="A524" t="s">
        <v>1225</v>
      </c>
      <c r="B524" s="2" t="s">
        <v>3</v>
      </c>
      <c r="C524" t="str">
        <f t="shared" si="8"/>
        <v>D</v>
      </c>
      <c r="D524" s="10">
        <f>MAX(_xlfn.IFNA(INDEX(Proj[],MATCH(Table16[[#This Row],[Player]],Proj[Player],0),27),-5000), _xlfn.IFNA(INDEX(Goalie[],MATCH(Table16[[#This Row],[Player]],Goalie[player],0),17),-5000))</f>
        <v>-511.36422903676498</v>
      </c>
      <c r="E524">
        <f>_xlfn.RANK.EQ(Table16[[#This Row],[VOR]],Table16[VOR])</f>
        <v>495</v>
      </c>
      <c r="F524" cm="1">
        <f t="array" ref="F524">_xlfn.IFS(C524 = "C",INDEX('C'!$A$2:$L$254,MATCH($A524,'C'!$A$2:$A$254,0),10),C524 = "LW",INDEX(LW!$A$2:$K$180,MATCH($A524,LW!$A$2:$A$180,0),10),C524 = "RW",INDEX('RW'!$A$2:$L$164,MATCH($A524,'RW'!$A$2:$A$164,0),10), C524 = "D",INDEX(D!$A$2:$L$268,MATCH($A524,D!$A$2:$A$268,0),10),C524="G",INDEX(G!$A$2:$Q$78,MATCH($A524,G!$A$2:$A$78,0),16),C524="F",INDEX(F!$A$2:$K$494,MATCH($A524,F!$A$2:$A$494,0),10))</f>
        <v>195</v>
      </c>
      <c r="G524" t="str">
        <f>_xlfn.CONCAT(C524,Table16[[#This Row],[Pos Rank2]])</f>
        <v>D195</v>
      </c>
      <c r="H524" s="10">
        <f>MAX(_xlfn.IFNA(INDEX(Proj[],MATCH(Table16[[#This Row],[Player]],Proj[Player],0),29),-5000), _xlfn.IFNA(INDEX(Goalie[],MATCH(Table16[[#This Row],[Player]],Goalie[player],0),19),-5000))</f>
        <v>-403.99946131730047</v>
      </c>
      <c r="I524" t="str">
        <f>IF(_xlfn.IFNA(INDEX(Proj[],MATCH(Table16[[#This Row],[Player]],Proj[Player],0),31),INDEX(Goalie[],MATCH(Table16[[#This Row],[Player]],Goalie[player],0),20)) = 0, "",_xlfn.IFNA(INDEX(Proj[],MATCH(Table16[[#This Row],[Player]],Proj[Player],0),31),INDEX(Goalie[],MATCH(Table16[[#This Row],[Player]],Goalie[player],0),20)))</f>
        <v/>
      </c>
    </row>
    <row r="525" spans="1:9" x14ac:dyDescent="0.25">
      <c r="A525" t="s">
        <v>345</v>
      </c>
      <c r="B525" s="2" t="s">
        <v>101</v>
      </c>
      <c r="C525" t="str">
        <f t="shared" si="8"/>
        <v>LW</v>
      </c>
      <c r="D525" s="10">
        <f>MAX(_xlfn.IFNA(INDEX(Proj[],MATCH(Table16[[#This Row],[Player]],Proj[Player],0),27),-5000), _xlfn.IFNA(INDEX(Goalie[],MATCH(Table16[[#This Row],[Player]],Goalie[player],0),17),-5000))</f>
        <v>-381.19221807263932</v>
      </c>
      <c r="E525">
        <f>_xlfn.RANK.EQ(Table16[[#This Row],[VOR]],Table16[VOR])</f>
        <v>422</v>
      </c>
      <c r="F525" cm="1">
        <f t="array" ref="F525">_xlfn.IFS(C525 = "C",INDEX('C'!$A$2:$L$254,MATCH($A525,'C'!$A$2:$A$254,0),10),C525 = "LW",INDEX(LW!$A$2:$K$180,MATCH($A525,LW!$A$2:$A$180,0),10),C525 = "RW",INDEX('RW'!$A$2:$L$164,MATCH($A525,'RW'!$A$2:$A$164,0),10), C525 = "D",INDEX(D!$A$2:$L$268,MATCH($A525,D!$A$2:$A$268,0),10),C525="G",INDEX(G!$A$2:$Q$78,MATCH($A525,G!$A$2:$A$78,0),16),C525="F",INDEX(F!$A$2:$K$494,MATCH($A525,F!$A$2:$A$494,0),10))</f>
        <v>95</v>
      </c>
      <c r="G525" t="str">
        <f>_xlfn.CONCAT(C525,Table16[[#This Row],[Pos Rank2]])</f>
        <v>LW95</v>
      </c>
      <c r="H525" s="10">
        <f>MAX(_xlfn.IFNA(INDEX(Proj[],MATCH(Table16[[#This Row],[Player]],Proj[Player],0),29),-5000), _xlfn.IFNA(INDEX(Goalie[],MATCH(Table16[[#This Row],[Player]],Goalie[player],0),19),-5000))</f>
        <v>90.352506317609553</v>
      </c>
      <c r="I525" t="str">
        <f>IF(_xlfn.IFNA(INDEX(Proj[],MATCH(Table16[[#This Row],[Player]],Proj[Player],0),31),INDEX(Goalie[],MATCH(Table16[[#This Row],[Player]],Goalie[player],0),20)) = 0, "",_xlfn.IFNA(INDEX(Proj[],MATCH(Table16[[#This Row],[Player]],Proj[Player],0),31),INDEX(Goalie[],MATCH(Table16[[#This Row],[Player]],Goalie[player],0),20)))</f>
        <v/>
      </c>
    </row>
    <row r="526" spans="1:9" x14ac:dyDescent="0.25">
      <c r="A526" t="s">
        <v>866</v>
      </c>
      <c r="B526" s="2" t="s">
        <v>101</v>
      </c>
      <c r="C526" t="str">
        <f t="shared" si="8"/>
        <v>LW</v>
      </c>
      <c r="D526" s="10">
        <f>MAX(_xlfn.IFNA(INDEX(Proj[],MATCH(Table16[[#This Row],[Player]],Proj[Player],0),27),-5000), _xlfn.IFNA(INDEX(Goalie[],MATCH(Table16[[#This Row],[Player]],Goalie[player],0),17),-5000))</f>
        <v>-552.00315002984689</v>
      </c>
      <c r="E526">
        <f>_xlfn.RANK.EQ(Table16[[#This Row],[VOR]],Table16[VOR])</f>
        <v>524</v>
      </c>
      <c r="F526" cm="1">
        <f t="array" ref="F526">_xlfn.IFS(C526 = "C",INDEX('C'!$A$2:$L$254,MATCH($A526,'C'!$A$2:$A$254,0),10),C526 = "LW",INDEX(LW!$A$2:$K$180,MATCH($A526,LW!$A$2:$A$180,0),10),C526 = "RW",INDEX('RW'!$A$2:$L$164,MATCH($A526,'RW'!$A$2:$A$164,0),10), C526 = "D",INDEX(D!$A$2:$L$268,MATCH($A526,D!$A$2:$A$268,0),10),C526="G",INDEX(G!$A$2:$Q$78,MATCH($A526,G!$A$2:$A$78,0),16),C526="F",INDEX(F!$A$2:$K$494,MATCH($A526,F!$A$2:$A$494,0),10))</f>
        <v>110</v>
      </c>
      <c r="G526" t="str">
        <f>_xlfn.CONCAT(C526,Table16[[#This Row],[Pos Rank2]])</f>
        <v>LW110</v>
      </c>
      <c r="H526" s="10">
        <f>MAX(_xlfn.IFNA(INDEX(Proj[],MATCH(Table16[[#This Row],[Player]],Proj[Player],0),29),-5000), _xlfn.IFNA(INDEX(Goalie[],MATCH(Table16[[#This Row],[Player]],Goalie[player],0),19),-5000))</f>
        <v>-80.458425639598076</v>
      </c>
      <c r="I526" t="str">
        <f>IF(_xlfn.IFNA(INDEX(Proj[],MATCH(Table16[[#This Row],[Player]],Proj[Player],0),31),INDEX(Goalie[],MATCH(Table16[[#This Row],[Player]],Goalie[player],0),20)) = 0, "",_xlfn.IFNA(INDEX(Proj[],MATCH(Table16[[#This Row],[Player]],Proj[Player],0),31),INDEX(Goalie[],MATCH(Table16[[#This Row],[Player]],Goalie[player],0),20)))</f>
        <v/>
      </c>
    </row>
    <row r="527" spans="1:9" x14ac:dyDescent="0.25">
      <c r="A527" t="s">
        <v>486</v>
      </c>
      <c r="B527" s="2" t="s">
        <v>74</v>
      </c>
      <c r="C527" t="str">
        <f t="shared" si="8"/>
        <v>C</v>
      </c>
      <c r="D527" s="10">
        <f>MAX(_xlfn.IFNA(INDEX(Proj[],MATCH(Table16[[#This Row],[Player]],Proj[Player],0),27),-5000), _xlfn.IFNA(INDEX(Goalie[],MATCH(Table16[[#This Row],[Player]],Goalie[player],0),17),-5000))</f>
        <v>-743.55487713318871</v>
      </c>
      <c r="E527">
        <f>_xlfn.RANK.EQ(Table16[[#This Row],[VOR]],Table16[VOR])</f>
        <v>628</v>
      </c>
      <c r="F527" cm="1">
        <f t="array" ref="F527">_xlfn.IFS(C527 = "C",INDEX('C'!$A$2:$L$254,MATCH($A527,'C'!$A$2:$A$254,0),10),C527 = "LW",INDEX(LW!$A$2:$K$180,MATCH($A527,LW!$A$2:$A$180,0),10),C527 = "RW",INDEX('RW'!$A$2:$L$164,MATCH($A527,'RW'!$A$2:$A$164,0),10), C527 = "D",INDEX(D!$A$2:$L$268,MATCH($A527,D!$A$2:$A$268,0),10),C527="G",INDEX(G!$A$2:$Q$78,MATCH($A527,G!$A$2:$A$78,0),16),C527="F",INDEX(F!$A$2:$K$494,MATCH($A527,F!$A$2:$A$494,0),10))</f>
        <v>146</v>
      </c>
      <c r="G527" t="str">
        <f>_xlfn.CONCAT(C527,Table16[[#This Row],[Pos Rank2]])</f>
        <v>C146</v>
      </c>
      <c r="H527" s="10">
        <f>MAX(_xlfn.IFNA(INDEX(Proj[],MATCH(Table16[[#This Row],[Player]],Proj[Player],0),29),-5000), _xlfn.IFNA(INDEX(Goalie[],MATCH(Table16[[#This Row],[Player]],Goalie[player],0),19),-5000))</f>
        <v>-8.9210228228900679</v>
      </c>
      <c r="I527" t="str">
        <f>IF(_xlfn.IFNA(INDEX(Proj[],MATCH(Table16[[#This Row],[Player]],Proj[Player],0),31),INDEX(Goalie[],MATCH(Table16[[#This Row],[Player]],Goalie[player],0),20)) = 0, "",_xlfn.IFNA(INDEX(Proj[],MATCH(Table16[[#This Row],[Player]],Proj[Player],0),31),INDEX(Goalie[],MATCH(Table16[[#This Row],[Player]],Goalie[player],0),20)))</f>
        <v/>
      </c>
    </row>
    <row r="528" spans="1:9" x14ac:dyDescent="0.25">
      <c r="A528" t="s">
        <v>164</v>
      </c>
      <c r="B528" s="2" t="s">
        <v>157</v>
      </c>
      <c r="C528" t="str">
        <f t="shared" si="8"/>
        <v>G</v>
      </c>
      <c r="D528" s="10">
        <f>MAX(_xlfn.IFNA(INDEX(Proj[],MATCH(Table16[[#This Row],[Player]],Proj[Player],0),27),-5000), _xlfn.IFNA(INDEX(Goalie[],MATCH(Table16[[#This Row],[Player]],Goalie[player],0),17),-5000))</f>
        <v>-548.08739621218695</v>
      </c>
      <c r="E528">
        <f>_xlfn.RANK.EQ(Table16[[#This Row],[VOR]],Table16[VOR])</f>
        <v>521</v>
      </c>
      <c r="F528" cm="1">
        <f t="array" ref="F528">_xlfn.IFS(C528 = "C",INDEX('C'!$A$2:$L$254,MATCH($A528,'C'!$A$2:$A$254,0),10),C528 = "LW",INDEX(LW!$A$2:$K$180,MATCH($A528,LW!$A$2:$A$180,0),10),C528 = "RW",INDEX('RW'!$A$2:$L$164,MATCH($A528,'RW'!$A$2:$A$164,0),10), C528 = "D",INDEX(D!$A$2:$L$268,MATCH($A528,D!$A$2:$A$268,0),10),C528="G",INDEX(G!$A$2:$Q$78,MATCH($A528,G!$A$2:$A$78,0),16),C528="F",INDEX(F!$A$2:$K$494,MATCH($A528,F!$A$2:$A$494,0),10))</f>
        <v>71</v>
      </c>
      <c r="G528" t="str">
        <f>_xlfn.CONCAT(C528,Table16[[#This Row],[Pos Rank2]])</f>
        <v>G71</v>
      </c>
      <c r="H528" s="10">
        <f>MAX(_xlfn.IFNA(INDEX(Proj[],MATCH(Table16[[#This Row],[Player]],Proj[Player],0),29),-5000), _xlfn.IFNA(INDEX(Goalie[],MATCH(Table16[[#This Row],[Player]],Goalie[player],0),19),-5000))</f>
        <v>92.579999999999984</v>
      </c>
      <c r="I528" t="str">
        <f>IF(_xlfn.IFNA(INDEX(Proj[],MATCH(Table16[[#This Row],[Player]],Proj[Player],0),31),INDEX(Goalie[],MATCH(Table16[[#This Row],[Player]],Goalie[player],0),20)) = 0, "",_xlfn.IFNA(INDEX(Proj[],MATCH(Table16[[#This Row],[Player]],Proj[Player],0),31),INDEX(Goalie[],MATCH(Table16[[#This Row],[Player]],Goalie[player],0),20)))</f>
        <v/>
      </c>
    </row>
    <row r="529" spans="1:9" x14ac:dyDescent="0.25">
      <c r="A529" t="s">
        <v>718</v>
      </c>
      <c r="B529" s="2" t="s">
        <v>102</v>
      </c>
      <c r="C529" t="str">
        <f t="shared" si="8"/>
        <v>LW</v>
      </c>
      <c r="D529" s="10">
        <f>MAX(_xlfn.IFNA(INDEX(Proj[],MATCH(Table16[[#This Row],[Player]],Proj[Player],0),27),-5000), _xlfn.IFNA(INDEX(Goalie[],MATCH(Table16[[#This Row],[Player]],Goalie[player],0),17),-5000))</f>
        <v>-590.21715373334996</v>
      </c>
      <c r="E529">
        <f>_xlfn.RANK.EQ(Table16[[#This Row],[VOR]],Table16[VOR])</f>
        <v>548</v>
      </c>
      <c r="F529" cm="1">
        <f t="array" ref="F529">_xlfn.IFS(C529 = "C",INDEX('C'!$A$2:$L$254,MATCH($A529,'C'!$A$2:$A$254,0),10),C529 = "LW",INDEX(LW!$A$2:$K$180,MATCH($A529,LW!$A$2:$A$180,0),10),C529 = "RW",INDEX('RW'!$A$2:$L$164,MATCH($A529,'RW'!$A$2:$A$164,0),10), C529 = "D",INDEX(D!$A$2:$L$268,MATCH($A529,D!$A$2:$A$268,0),10),C529="G",INDEX(G!$A$2:$Q$78,MATCH($A529,G!$A$2:$A$78,0),16),C529="F",INDEX(F!$A$2:$K$494,MATCH($A529,F!$A$2:$A$494,0),10))</f>
        <v>119</v>
      </c>
      <c r="G529" t="str">
        <f>_xlfn.CONCAT(C529,Table16[[#This Row],[Pos Rank2]])</f>
        <v>LW119</v>
      </c>
      <c r="H529" s="10">
        <f>MAX(_xlfn.IFNA(INDEX(Proj[],MATCH(Table16[[#This Row],[Player]],Proj[Player],0),29),-5000), _xlfn.IFNA(INDEX(Goalie[],MATCH(Table16[[#This Row],[Player]],Goalie[player],0),19),-5000))</f>
        <v>-118.67242934310111</v>
      </c>
      <c r="I529" t="str">
        <f>IF(_xlfn.IFNA(INDEX(Proj[],MATCH(Table16[[#This Row],[Player]],Proj[Player],0),31),INDEX(Goalie[],MATCH(Table16[[#This Row],[Player]],Goalie[player],0),20)) = 0, "",_xlfn.IFNA(INDEX(Proj[],MATCH(Table16[[#This Row],[Player]],Proj[Player],0),31),INDEX(Goalie[],MATCH(Table16[[#This Row],[Player]],Goalie[player],0),20)))</f>
        <v/>
      </c>
    </row>
    <row r="530" spans="1:9" x14ac:dyDescent="0.25">
      <c r="A530" t="s">
        <v>943</v>
      </c>
      <c r="B530" s="2" t="s">
        <v>3</v>
      </c>
      <c r="C530" t="str">
        <f t="shared" si="8"/>
        <v>D</v>
      </c>
      <c r="D530" s="10">
        <f>MAX(_xlfn.IFNA(INDEX(Proj[],MATCH(Table16[[#This Row],[Player]],Proj[Player],0),27),-5000), _xlfn.IFNA(INDEX(Goalie[],MATCH(Table16[[#This Row],[Player]],Goalie[player],0),17),-5000))</f>
        <v>-519.99438271253757</v>
      </c>
      <c r="E530">
        <f>_xlfn.RANK.EQ(Table16[[#This Row],[VOR]],Table16[VOR])</f>
        <v>501</v>
      </c>
      <c r="F530" cm="1">
        <f t="array" ref="F530">_xlfn.IFS(C530 = "C",INDEX('C'!$A$2:$L$254,MATCH($A530,'C'!$A$2:$A$254,0),10),C530 = "LW",INDEX(LW!$A$2:$K$180,MATCH($A530,LW!$A$2:$A$180,0),10),C530 = "RW",INDEX('RW'!$A$2:$L$164,MATCH($A530,'RW'!$A$2:$A$164,0),10), C530 = "D",INDEX(D!$A$2:$L$268,MATCH($A530,D!$A$2:$A$268,0),10),C530="G",INDEX(G!$A$2:$Q$78,MATCH($A530,G!$A$2:$A$78,0),16),C530="F",INDEX(F!$A$2:$K$494,MATCH($A530,F!$A$2:$A$494,0),10))</f>
        <v>196</v>
      </c>
      <c r="G530" t="str">
        <f>_xlfn.CONCAT(C530,Table16[[#This Row],[Pos Rank2]])</f>
        <v>D196</v>
      </c>
      <c r="H530" s="10">
        <f>MAX(_xlfn.IFNA(INDEX(Proj[],MATCH(Table16[[#This Row],[Player]],Proj[Player],0),29),-5000), _xlfn.IFNA(INDEX(Goalie[],MATCH(Table16[[#This Row],[Player]],Goalie[player],0),19),-5000))</f>
        <v>-412.62961499307312</v>
      </c>
      <c r="I530" t="str">
        <f>IF(_xlfn.IFNA(INDEX(Proj[],MATCH(Table16[[#This Row],[Player]],Proj[Player],0),31),INDEX(Goalie[],MATCH(Table16[[#This Row],[Player]],Goalie[player],0),20)) = 0, "",_xlfn.IFNA(INDEX(Proj[],MATCH(Table16[[#This Row],[Player]],Proj[Player],0),31),INDEX(Goalie[],MATCH(Table16[[#This Row],[Player]],Goalie[player],0),20)))</f>
        <v/>
      </c>
    </row>
    <row r="531" spans="1:9" x14ac:dyDescent="0.25">
      <c r="A531" t="s">
        <v>534</v>
      </c>
      <c r="B531" s="2" t="s">
        <v>3</v>
      </c>
      <c r="C531" t="str">
        <f t="shared" si="8"/>
        <v>D</v>
      </c>
      <c r="D531" s="10">
        <f>MAX(_xlfn.IFNA(INDEX(Proj[],MATCH(Table16[[#This Row],[Player]],Proj[Player],0),27),-5000), _xlfn.IFNA(INDEX(Goalie[],MATCH(Table16[[#This Row],[Player]],Goalie[player],0),17),-5000))</f>
        <v>-522.28157424868652</v>
      </c>
      <c r="E531">
        <f>_xlfn.RANK.EQ(Table16[[#This Row],[VOR]],Table16[VOR])</f>
        <v>504</v>
      </c>
      <c r="F531" cm="1">
        <f t="array" ref="F531">_xlfn.IFS(C531 = "C",INDEX('C'!$A$2:$L$254,MATCH($A531,'C'!$A$2:$A$254,0),10),C531 = "LW",INDEX(LW!$A$2:$K$180,MATCH($A531,LW!$A$2:$A$180,0),10),C531 = "RW",INDEX('RW'!$A$2:$L$164,MATCH($A531,'RW'!$A$2:$A$164,0),10), C531 = "D",INDEX(D!$A$2:$L$268,MATCH($A531,D!$A$2:$A$268,0),10),C531="G",INDEX(G!$A$2:$Q$78,MATCH($A531,G!$A$2:$A$78,0),16),C531="F",INDEX(F!$A$2:$K$494,MATCH($A531,F!$A$2:$A$494,0),10))</f>
        <v>197</v>
      </c>
      <c r="G531" t="str">
        <f>_xlfn.CONCAT(C531,Table16[[#This Row],[Pos Rank2]])</f>
        <v>D197</v>
      </c>
      <c r="H531" s="10">
        <f>MAX(_xlfn.IFNA(INDEX(Proj[],MATCH(Table16[[#This Row],[Player]],Proj[Player],0),29),-5000), _xlfn.IFNA(INDEX(Goalie[],MATCH(Table16[[#This Row],[Player]],Goalie[player],0),19),-5000))</f>
        <v>-414.91680652922201</v>
      </c>
      <c r="I531" t="str">
        <f>IF(_xlfn.IFNA(INDEX(Proj[],MATCH(Table16[[#This Row],[Player]],Proj[Player],0),31),INDEX(Goalie[],MATCH(Table16[[#This Row],[Player]],Goalie[player],0),20)) = 0, "",_xlfn.IFNA(INDEX(Proj[],MATCH(Table16[[#This Row],[Player]],Proj[Player],0),31),INDEX(Goalie[],MATCH(Table16[[#This Row],[Player]],Goalie[player],0),20)))</f>
        <v/>
      </c>
    </row>
    <row r="532" spans="1:9" x14ac:dyDescent="0.25">
      <c r="A532" t="s">
        <v>1162</v>
      </c>
      <c r="B532" s="2" t="s">
        <v>102</v>
      </c>
      <c r="C532" t="str">
        <f t="shared" si="8"/>
        <v>LW</v>
      </c>
      <c r="D532" s="10">
        <f>MAX(_xlfn.IFNA(INDEX(Proj[],MATCH(Table16[[#This Row],[Player]],Proj[Player],0),27),-5000), _xlfn.IFNA(INDEX(Goalie[],MATCH(Table16[[#This Row],[Player]],Goalie[player],0),17),-5000))</f>
        <v>-574.75273390192899</v>
      </c>
      <c r="E532">
        <f>_xlfn.RANK.EQ(Table16[[#This Row],[VOR]],Table16[VOR])</f>
        <v>537</v>
      </c>
      <c r="F532" cm="1">
        <f t="array" ref="F532">_xlfn.IFS(C532 = "C",INDEX('C'!$A$2:$L$254,MATCH($A532,'C'!$A$2:$A$254,0),10),C532 = "LW",INDEX(LW!$A$2:$K$180,MATCH($A532,LW!$A$2:$A$180,0),10),C532 = "RW",INDEX('RW'!$A$2:$L$164,MATCH($A532,'RW'!$A$2:$A$164,0),10), C532 = "D",INDEX(D!$A$2:$L$268,MATCH($A532,D!$A$2:$A$268,0),10),C532="G",INDEX(G!$A$2:$Q$78,MATCH($A532,G!$A$2:$A$78,0),16),C532="F",INDEX(F!$A$2:$K$494,MATCH($A532,F!$A$2:$A$494,0),10))</f>
        <v>115</v>
      </c>
      <c r="G532" t="str">
        <f>_xlfn.CONCAT(C532,Table16[[#This Row],[Pos Rank2]])</f>
        <v>LW115</v>
      </c>
      <c r="H532" s="10">
        <f>MAX(_xlfn.IFNA(INDEX(Proj[],MATCH(Table16[[#This Row],[Player]],Proj[Player],0),29),-5000), _xlfn.IFNA(INDEX(Goalie[],MATCH(Table16[[#This Row],[Player]],Goalie[player],0),19),-5000))</f>
        <v>-103.20800951168016</v>
      </c>
      <c r="I532" t="str">
        <f>IF(_xlfn.IFNA(INDEX(Proj[],MATCH(Table16[[#This Row],[Player]],Proj[Player],0),31),INDEX(Goalie[],MATCH(Table16[[#This Row],[Player]],Goalie[player],0),20)) = 0, "",_xlfn.IFNA(INDEX(Proj[],MATCH(Table16[[#This Row],[Player]],Proj[Player],0),31),INDEX(Goalie[],MATCH(Table16[[#This Row],[Player]],Goalie[player],0),20)))</f>
        <v/>
      </c>
    </row>
    <row r="533" spans="1:9" x14ac:dyDescent="0.25">
      <c r="A533" t="s">
        <v>1060</v>
      </c>
      <c r="B533" s="2" t="s">
        <v>3</v>
      </c>
      <c r="C533" t="str">
        <f t="shared" si="8"/>
        <v>D</v>
      </c>
      <c r="D533" s="10">
        <f>MAX(_xlfn.IFNA(INDEX(Proj[],MATCH(Table16[[#This Row],[Player]],Proj[Player],0),27),-5000), _xlfn.IFNA(INDEX(Goalie[],MATCH(Table16[[#This Row],[Player]],Goalie[player],0),17),-5000))</f>
        <v>-525.17950888222674</v>
      </c>
      <c r="E533">
        <f>_xlfn.RANK.EQ(Table16[[#This Row],[VOR]],Table16[VOR])</f>
        <v>506</v>
      </c>
      <c r="F533" cm="1">
        <f t="array" ref="F533">_xlfn.IFS(C533 = "C",INDEX('C'!$A$2:$L$254,MATCH($A533,'C'!$A$2:$A$254,0),10),C533 = "LW",INDEX(LW!$A$2:$K$180,MATCH($A533,LW!$A$2:$A$180,0),10),C533 = "RW",INDEX('RW'!$A$2:$L$164,MATCH($A533,'RW'!$A$2:$A$164,0),10), C533 = "D",INDEX(D!$A$2:$L$268,MATCH($A533,D!$A$2:$A$268,0),10),C533="G",INDEX(G!$A$2:$Q$78,MATCH($A533,G!$A$2:$A$78,0),16),C533="F",INDEX(F!$A$2:$K$494,MATCH($A533,F!$A$2:$A$494,0),10))</f>
        <v>199</v>
      </c>
      <c r="G533" t="str">
        <f>_xlfn.CONCAT(C533,Table16[[#This Row],[Pos Rank2]])</f>
        <v>D199</v>
      </c>
      <c r="H533" s="10">
        <f>MAX(_xlfn.IFNA(INDEX(Proj[],MATCH(Table16[[#This Row],[Player]],Proj[Player],0),29),-5000), _xlfn.IFNA(INDEX(Goalie[],MATCH(Table16[[#This Row],[Player]],Goalie[player],0),19),-5000))</f>
        <v>-417.81474116276229</v>
      </c>
      <c r="I533" t="str">
        <f>IF(_xlfn.IFNA(INDEX(Proj[],MATCH(Table16[[#This Row],[Player]],Proj[Player],0),31),INDEX(Goalie[],MATCH(Table16[[#This Row],[Player]],Goalie[player],0),20)) = 0, "",_xlfn.IFNA(INDEX(Proj[],MATCH(Table16[[#This Row],[Player]],Proj[Player],0),31),INDEX(Goalie[],MATCH(Table16[[#This Row],[Player]],Goalie[player],0),20)))</f>
        <v/>
      </c>
    </row>
    <row r="534" spans="1:9" x14ac:dyDescent="0.25">
      <c r="A534" t="s">
        <v>609</v>
      </c>
      <c r="B534" s="2" t="s">
        <v>103</v>
      </c>
      <c r="C534" t="str">
        <f t="shared" si="8"/>
        <v>RW</v>
      </c>
      <c r="D534" s="10">
        <f>MAX(_xlfn.IFNA(INDEX(Proj[],MATCH(Table16[[#This Row],[Player]],Proj[Player],0),27),-5000), _xlfn.IFNA(INDEX(Goalie[],MATCH(Table16[[#This Row],[Player]],Goalie[player],0),17),-5000))</f>
        <v>-598.68592532432535</v>
      </c>
      <c r="E534">
        <f>_xlfn.RANK.EQ(Table16[[#This Row],[VOR]],Table16[VOR])</f>
        <v>550</v>
      </c>
      <c r="F534" cm="1">
        <f t="array" ref="F534">_xlfn.IFS(C534 = "C",INDEX('C'!$A$2:$L$254,MATCH($A534,'C'!$A$2:$A$254,0),10),C534 = "LW",INDEX(LW!$A$2:$K$180,MATCH($A534,LW!$A$2:$A$180,0),10),C534 = "RW",INDEX('RW'!$A$2:$L$164,MATCH($A534,'RW'!$A$2:$A$164,0),10), C534 = "D",INDEX(D!$A$2:$L$268,MATCH($A534,D!$A$2:$A$268,0),10),C534="G",INDEX(G!$A$2:$Q$78,MATCH($A534,G!$A$2:$A$78,0),16),C534="F",INDEX(F!$A$2:$K$494,MATCH($A534,F!$A$2:$A$494,0),10))</f>
        <v>107</v>
      </c>
      <c r="G534" t="str">
        <f>_xlfn.CONCAT(C534,Table16[[#This Row],[Pos Rank2]])</f>
        <v>RW107</v>
      </c>
      <c r="H534" s="10">
        <f>MAX(_xlfn.IFNA(INDEX(Proj[],MATCH(Table16[[#This Row],[Player]],Proj[Player],0),29),-5000), _xlfn.IFNA(INDEX(Goalie[],MATCH(Table16[[#This Row],[Player]],Goalie[player],0),19),-5000))</f>
        <v>-152.14120093407649</v>
      </c>
      <c r="I534" t="str">
        <f>IF(_xlfn.IFNA(INDEX(Proj[],MATCH(Table16[[#This Row],[Player]],Proj[Player],0),31),INDEX(Goalie[],MATCH(Table16[[#This Row],[Player]],Goalie[player],0),20)) = 0, "",_xlfn.IFNA(INDEX(Proj[],MATCH(Table16[[#This Row],[Player]],Proj[Player],0),31),INDEX(Goalie[],MATCH(Table16[[#This Row],[Player]],Goalie[player],0),20)))</f>
        <v/>
      </c>
    </row>
    <row r="535" spans="1:9" x14ac:dyDescent="0.25">
      <c r="A535" t="s">
        <v>569</v>
      </c>
      <c r="B535" s="2" t="s">
        <v>103</v>
      </c>
      <c r="C535" t="str">
        <f t="shared" si="8"/>
        <v>RW</v>
      </c>
      <c r="D535" s="10">
        <f>MAX(_xlfn.IFNA(INDEX(Proj[],MATCH(Table16[[#This Row],[Player]],Proj[Player],0),27),-5000), _xlfn.IFNA(INDEX(Goalie[],MATCH(Table16[[#This Row],[Player]],Goalie[player],0),17),-5000))</f>
        <v>-602.95694263830046</v>
      </c>
      <c r="E535">
        <f>_xlfn.RANK.EQ(Table16[[#This Row],[VOR]],Table16[VOR])</f>
        <v>552</v>
      </c>
      <c r="F535" cm="1">
        <f t="array" ref="F535">_xlfn.IFS(C535 = "C",INDEX('C'!$A$2:$L$254,MATCH($A535,'C'!$A$2:$A$254,0),10),C535 = "LW",INDEX(LW!$A$2:$K$180,MATCH($A535,LW!$A$2:$A$180,0),10),C535 = "RW",INDEX('RW'!$A$2:$L$164,MATCH($A535,'RW'!$A$2:$A$164,0),10), C535 = "D",INDEX(D!$A$2:$L$268,MATCH($A535,D!$A$2:$A$268,0),10),C535="G",INDEX(G!$A$2:$Q$78,MATCH($A535,G!$A$2:$A$78,0),16),C535="F",INDEX(F!$A$2:$K$494,MATCH($A535,F!$A$2:$A$494,0),10))</f>
        <v>108</v>
      </c>
      <c r="G535" t="str">
        <f>_xlfn.CONCAT(C535,Table16[[#This Row],[Pos Rank2]])</f>
        <v>RW108</v>
      </c>
      <c r="H535" s="10">
        <f>MAX(_xlfn.IFNA(INDEX(Proj[],MATCH(Table16[[#This Row],[Player]],Proj[Player],0),29),-5000), _xlfn.IFNA(INDEX(Goalie[],MATCH(Table16[[#This Row],[Player]],Goalie[player],0),19),-5000))</f>
        <v>-156.41221824805166</v>
      </c>
      <c r="I535" t="str">
        <f>IF(_xlfn.IFNA(INDEX(Proj[],MATCH(Table16[[#This Row],[Player]],Proj[Player],0),31),INDEX(Goalie[],MATCH(Table16[[#This Row],[Player]],Goalie[player],0),20)) = 0, "",_xlfn.IFNA(INDEX(Proj[],MATCH(Table16[[#This Row],[Player]],Proj[Player],0),31),INDEX(Goalie[],MATCH(Table16[[#This Row],[Player]],Goalie[player],0),20)))</f>
        <v/>
      </c>
    </row>
    <row r="536" spans="1:9" x14ac:dyDescent="0.25">
      <c r="A536" t="s">
        <v>679</v>
      </c>
      <c r="B536" s="2" t="s">
        <v>74</v>
      </c>
      <c r="C536" t="str">
        <f t="shared" si="8"/>
        <v>C</v>
      </c>
      <c r="D536" s="10">
        <f>MAX(_xlfn.IFNA(INDEX(Proj[],MATCH(Table16[[#This Row],[Player]],Proj[Player],0),27),-5000), _xlfn.IFNA(INDEX(Goalie[],MATCH(Table16[[#This Row],[Player]],Goalie[player],0),17),-5000))</f>
        <v>-658.86341173799747</v>
      </c>
      <c r="E536">
        <f>_xlfn.RANK.EQ(Table16[[#This Row],[VOR]],Table16[VOR])</f>
        <v>573</v>
      </c>
      <c r="F536" cm="1">
        <f t="array" ref="F536">_xlfn.IFS(C536 = "C",INDEX('C'!$A$2:$L$254,MATCH($A536,'C'!$A$2:$A$254,0),10),C536 = "LW",INDEX(LW!$A$2:$K$180,MATCH($A536,LW!$A$2:$A$180,0),10),C536 = "RW",INDEX('RW'!$A$2:$L$164,MATCH($A536,'RW'!$A$2:$A$164,0),10), C536 = "D",INDEX(D!$A$2:$L$268,MATCH($A536,D!$A$2:$A$268,0),10),C536="G",INDEX(G!$A$2:$Q$78,MATCH($A536,G!$A$2:$A$78,0),16),C536="F",INDEX(F!$A$2:$K$494,MATCH($A536,F!$A$2:$A$494,0),10))</f>
        <v>130</v>
      </c>
      <c r="G536" t="str">
        <f>_xlfn.CONCAT(C536,Table16[[#This Row],[Pos Rank2]])</f>
        <v>C130</v>
      </c>
      <c r="H536" s="10">
        <f>MAX(_xlfn.IFNA(INDEX(Proj[],MATCH(Table16[[#This Row],[Player]],Proj[Player],0),29),-5000), _xlfn.IFNA(INDEX(Goalie[],MATCH(Table16[[#This Row],[Player]],Goalie[player],0),19),-5000))</f>
        <v>75.770442572301093</v>
      </c>
      <c r="I536" t="str">
        <f>IF(_xlfn.IFNA(INDEX(Proj[],MATCH(Table16[[#This Row],[Player]],Proj[Player],0),31),INDEX(Goalie[],MATCH(Table16[[#This Row],[Player]],Goalie[player],0),20)) = 0, "",_xlfn.IFNA(INDEX(Proj[],MATCH(Table16[[#This Row],[Player]],Proj[Player],0),31),INDEX(Goalie[],MATCH(Table16[[#This Row],[Player]],Goalie[player],0),20)))</f>
        <v/>
      </c>
    </row>
    <row r="537" spans="1:9" x14ac:dyDescent="0.25">
      <c r="A537" t="s">
        <v>704</v>
      </c>
      <c r="B537" s="2" t="s">
        <v>74</v>
      </c>
      <c r="C537" t="str">
        <f t="shared" si="8"/>
        <v>C</v>
      </c>
      <c r="D537" s="10">
        <f>MAX(_xlfn.IFNA(INDEX(Proj[],MATCH(Table16[[#This Row],[Player]],Proj[Player],0),27),-5000), _xlfn.IFNA(INDEX(Goalie[],MATCH(Table16[[#This Row],[Player]],Goalie[player],0),17),-5000))</f>
        <v>-715.34479351618336</v>
      </c>
      <c r="E537">
        <f>_xlfn.RANK.EQ(Table16[[#This Row],[VOR]],Table16[VOR])</f>
        <v>608</v>
      </c>
      <c r="F537" cm="1">
        <f t="array" ref="F537">_xlfn.IFS(C537 = "C",INDEX('C'!$A$2:$L$254,MATCH($A537,'C'!$A$2:$A$254,0),10),C537 = "LW",INDEX(LW!$A$2:$K$180,MATCH($A537,LW!$A$2:$A$180,0),10),C537 = "RW",INDEX('RW'!$A$2:$L$164,MATCH($A537,'RW'!$A$2:$A$164,0),10), C537 = "D",INDEX(D!$A$2:$L$268,MATCH($A537,D!$A$2:$A$268,0),10),C537="G",INDEX(G!$A$2:$Q$78,MATCH($A537,G!$A$2:$A$78,0),16),C537="F",INDEX(F!$A$2:$K$494,MATCH($A537,F!$A$2:$A$494,0),10))</f>
        <v>140</v>
      </c>
      <c r="G537" t="str">
        <f>_xlfn.CONCAT(C537,Table16[[#This Row],[Pos Rank2]])</f>
        <v>C140</v>
      </c>
      <c r="H537" s="10">
        <f>MAX(_xlfn.IFNA(INDEX(Proj[],MATCH(Table16[[#This Row],[Player]],Proj[Player],0),29),-5000), _xlfn.IFNA(INDEX(Goalie[],MATCH(Table16[[#This Row],[Player]],Goalie[player],0),19),-5000))</f>
        <v>19.289060794115262</v>
      </c>
      <c r="I537" t="str">
        <f>IF(_xlfn.IFNA(INDEX(Proj[],MATCH(Table16[[#This Row],[Player]],Proj[Player],0),31),INDEX(Goalie[],MATCH(Table16[[#This Row],[Player]],Goalie[player],0),20)) = 0, "",_xlfn.IFNA(INDEX(Proj[],MATCH(Table16[[#This Row],[Player]],Proj[Player],0),31),INDEX(Goalie[],MATCH(Table16[[#This Row],[Player]],Goalie[player],0),20)))</f>
        <v/>
      </c>
    </row>
    <row r="538" spans="1:9" x14ac:dyDescent="0.25">
      <c r="A538" t="s">
        <v>714</v>
      </c>
      <c r="B538" s="2" t="s">
        <v>105</v>
      </c>
      <c r="C538" t="str">
        <f t="shared" si="8"/>
        <v>RW</v>
      </c>
      <c r="D538" s="10">
        <f>MAX(_xlfn.IFNA(INDEX(Proj[],MATCH(Table16[[#This Row],[Player]],Proj[Player],0),27),-5000), _xlfn.IFNA(INDEX(Goalie[],MATCH(Table16[[#This Row],[Player]],Goalie[player],0),17),-5000))</f>
        <v>-507.91658701468828</v>
      </c>
      <c r="E538">
        <f>_xlfn.RANK.EQ(Table16[[#This Row],[VOR]],Table16[VOR])</f>
        <v>492</v>
      </c>
      <c r="F538" cm="1">
        <f t="array" ref="F538">_xlfn.IFS(C538 = "C",INDEX('C'!$A$2:$L$254,MATCH($A538,'C'!$A$2:$A$254,0),10),C538 = "LW",INDEX(LW!$A$2:$K$180,MATCH($A538,LW!$A$2:$A$180,0),10),C538 = "RW",INDEX('RW'!$A$2:$L$164,MATCH($A538,'RW'!$A$2:$A$164,0),10), C538 = "D",INDEX(D!$A$2:$L$268,MATCH($A538,D!$A$2:$A$268,0),10),C538="G",INDEX(G!$A$2:$Q$78,MATCH($A538,G!$A$2:$A$78,0),16),C538="F",INDEX(F!$A$2:$K$494,MATCH($A538,F!$A$2:$A$494,0),10))</f>
        <v>99</v>
      </c>
      <c r="G538" t="str">
        <f>_xlfn.CONCAT(C538,Table16[[#This Row],[Pos Rank2]])</f>
        <v>RW99</v>
      </c>
      <c r="H538" s="10">
        <f>MAX(_xlfn.IFNA(INDEX(Proj[],MATCH(Table16[[#This Row],[Player]],Proj[Player],0),29),-5000), _xlfn.IFNA(INDEX(Goalie[],MATCH(Table16[[#This Row],[Player]],Goalie[player],0),19),-5000))</f>
        <v>-61.371862624439459</v>
      </c>
      <c r="I538" t="str">
        <f>IF(_xlfn.IFNA(INDEX(Proj[],MATCH(Table16[[#This Row],[Player]],Proj[Player],0),31),INDEX(Goalie[],MATCH(Table16[[#This Row],[Player]],Goalie[player],0),20)) = 0, "",_xlfn.IFNA(INDEX(Proj[],MATCH(Table16[[#This Row],[Player]],Proj[Player],0),31),INDEX(Goalie[],MATCH(Table16[[#This Row],[Player]],Goalie[player],0),20)))</f>
        <v/>
      </c>
    </row>
    <row r="539" spans="1:9" x14ac:dyDescent="0.25">
      <c r="A539" t="s">
        <v>801</v>
      </c>
      <c r="B539" s="2" t="s">
        <v>3</v>
      </c>
      <c r="C539" t="str">
        <f t="shared" si="8"/>
        <v>D</v>
      </c>
      <c r="D539" s="10">
        <f>MAX(_xlfn.IFNA(INDEX(Proj[],MATCH(Table16[[#This Row],[Player]],Proj[Player],0),27),-5000), _xlfn.IFNA(INDEX(Goalie[],MATCH(Table16[[#This Row],[Player]],Goalie[player],0),17),-5000))</f>
        <v>-535.01956983332695</v>
      </c>
      <c r="E539">
        <f>_xlfn.RANK.EQ(Table16[[#This Row],[VOR]],Table16[VOR])</f>
        <v>512</v>
      </c>
      <c r="F539" cm="1">
        <f t="array" ref="F539">_xlfn.IFS(C539 = "C",INDEX('C'!$A$2:$L$254,MATCH($A539,'C'!$A$2:$A$254,0),10),C539 = "LW",INDEX(LW!$A$2:$K$180,MATCH($A539,LW!$A$2:$A$180,0),10),C539 = "RW",INDEX('RW'!$A$2:$L$164,MATCH($A539,'RW'!$A$2:$A$164,0),10), C539 = "D",INDEX(D!$A$2:$L$268,MATCH($A539,D!$A$2:$A$268,0),10),C539="G",INDEX(G!$A$2:$Q$78,MATCH($A539,G!$A$2:$A$78,0),16),C539="F",INDEX(F!$A$2:$K$494,MATCH($A539,F!$A$2:$A$494,0),10))</f>
        <v>200</v>
      </c>
      <c r="G539" t="str">
        <f>_xlfn.CONCAT(C539,Table16[[#This Row],[Pos Rank2]])</f>
        <v>D200</v>
      </c>
      <c r="H539" s="10">
        <f>MAX(_xlfn.IFNA(INDEX(Proj[],MATCH(Table16[[#This Row],[Player]],Proj[Player],0),29),-5000), _xlfn.IFNA(INDEX(Goalie[],MATCH(Table16[[#This Row],[Player]],Goalie[player],0),19),-5000))</f>
        <v>-427.65480211386244</v>
      </c>
      <c r="I539" t="str">
        <f>IF(_xlfn.IFNA(INDEX(Proj[],MATCH(Table16[[#This Row],[Player]],Proj[Player],0),31),INDEX(Goalie[],MATCH(Table16[[#This Row],[Player]],Goalie[player],0),20)) = 0, "",_xlfn.IFNA(INDEX(Proj[],MATCH(Table16[[#This Row],[Player]],Proj[Player],0),31),INDEX(Goalie[],MATCH(Table16[[#This Row],[Player]],Goalie[player],0),20)))</f>
        <v/>
      </c>
    </row>
    <row r="540" spans="1:9" x14ac:dyDescent="0.25">
      <c r="A540" t="s">
        <v>1169</v>
      </c>
      <c r="B540" s="2" t="s">
        <v>102</v>
      </c>
      <c r="C540" t="str">
        <f t="shared" si="8"/>
        <v>LW</v>
      </c>
      <c r="D540" s="10">
        <f>MAX(_xlfn.IFNA(INDEX(Proj[],MATCH(Table16[[#This Row],[Player]],Proj[Player],0),27),-5000), _xlfn.IFNA(INDEX(Goalie[],MATCH(Table16[[#This Row],[Player]],Goalie[player],0),17),-5000))</f>
        <v>-599.37605707073067</v>
      </c>
      <c r="E540">
        <f>_xlfn.RANK.EQ(Table16[[#This Row],[VOR]],Table16[VOR])</f>
        <v>551</v>
      </c>
      <c r="F540" cm="1">
        <f t="array" ref="F540">_xlfn.IFS(C540 = "C",INDEX('C'!$A$2:$L$254,MATCH($A540,'C'!$A$2:$A$254,0),10),C540 = "LW",INDEX(LW!$A$2:$K$180,MATCH($A540,LW!$A$2:$A$180,0),10),C540 = "RW",INDEX('RW'!$A$2:$L$164,MATCH($A540,'RW'!$A$2:$A$164,0),10), C540 = "D",INDEX(D!$A$2:$L$268,MATCH($A540,D!$A$2:$A$268,0),10),C540="G",INDEX(G!$A$2:$Q$78,MATCH($A540,G!$A$2:$A$78,0),16),C540="F",INDEX(F!$A$2:$K$494,MATCH($A540,F!$A$2:$A$494,0),10))</f>
        <v>120</v>
      </c>
      <c r="G540" t="str">
        <f>_xlfn.CONCAT(C540,Table16[[#This Row],[Pos Rank2]])</f>
        <v>LW120</v>
      </c>
      <c r="H540" s="10">
        <f>MAX(_xlfn.IFNA(INDEX(Proj[],MATCH(Table16[[#This Row],[Player]],Proj[Player],0),29),-5000), _xlfn.IFNA(INDEX(Goalie[],MATCH(Table16[[#This Row],[Player]],Goalie[player],0),19),-5000))</f>
        <v>-127.83133268048181</v>
      </c>
      <c r="I540" t="str">
        <f>IF(_xlfn.IFNA(INDEX(Proj[],MATCH(Table16[[#This Row],[Player]],Proj[Player],0),31),INDEX(Goalie[],MATCH(Table16[[#This Row],[Player]],Goalie[player],0),20)) = 0, "",_xlfn.IFNA(INDEX(Proj[],MATCH(Table16[[#This Row],[Player]],Proj[Player],0),31),INDEX(Goalie[],MATCH(Table16[[#This Row],[Player]],Goalie[player],0),20)))</f>
        <v/>
      </c>
    </row>
    <row r="541" spans="1:9" x14ac:dyDescent="0.25">
      <c r="A541" t="s">
        <v>399</v>
      </c>
      <c r="B541" s="2" t="s">
        <v>102</v>
      </c>
      <c r="C541" t="str">
        <f t="shared" si="8"/>
        <v>LW</v>
      </c>
      <c r="D541" s="10">
        <f>MAX(_xlfn.IFNA(INDEX(Proj[],MATCH(Table16[[#This Row],[Player]],Proj[Player],0),27),-5000), _xlfn.IFNA(INDEX(Goalie[],MATCH(Table16[[#This Row],[Player]],Goalie[player],0),17),-5000))</f>
        <v>-612.74856245058845</v>
      </c>
      <c r="E541">
        <f>_xlfn.RANK.EQ(Table16[[#This Row],[VOR]],Table16[VOR])</f>
        <v>556</v>
      </c>
      <c r="F541" cm="1">
        <f t="array" ref="F541">_xlfn.IFS(C541 = "C",INDEX('C'!$A$2:$L$254,MATCH($A541,'C'!$A$2:$A$254,0),10),C541 = "LW",INDEX(LW!$A$2:$K$180,MATCH($A541,LW!$A$2:$A$180,0),10),C541 = "RW",INDEX('RW'!$A$2:$L$164,MATCH($A541,'RW'!$A$2:$A$164,0),10), C541 = "D",INDEX(D!$A$2:$L$268,MATCH($A541,D!$A$2:$A$268,0),10),C541="G",INDEX(G!$A$2:$Q$78,MATCH($A541,G!$A$2:$A$78,0),16),C541="F",INDEX(F!$A$2:$K$494,MATCH($A541,F!$A$2:$A$494,0),10))</f>
        <v>121</v>
      </c>
      <c r="G541" t="str">
        <f>_xlfn.CONCAT(C541,Table16[[#This Row],[Pos Rank2]])</f>
        <v>LW121</v>
      </c>
      <c r="H541" s="10">
        <f>MAX(_xlfn.IFNA(INDEX(Proj[],MATCH(Table16[[#This Row],[Player]],Proj[Player],0),29),-5000), _xlfn.IFNA(INDEX(Goalie[],MATCH(Table16[[#This Row],[Player]],Goalie[player],0),19),-5000))</f>
        <v>-141.20383806033954</v>
      </c>
      <c r="I541" t="str">
        <f>IF(_xlfn.IFNA(INDEX(Proj[],MATCH(Table16[[#This Row],[Player]],Proj[Player],0),31),INDEX(Goalie[],MATCH(Table16[[#This Row],[Player]],Goalie[player],0),20)) = 0, "",_xlfn.IFNA(INDEX(Proj[],MATCH(Table16[[#This Row],[Player]],Proj[Player],0),31),INDEX(Goalie[],MATCH(Table16[[#This Row],[Player]],Goalie[player],0),20)))</f>
        <v/>
      </c>
    </row>
    <row r="542" spans="1:9" x14ac:dyDescent="0.25">
      <c r="A542" t="s">
        <v>1024</v>
      </c>
      <c r="B542" s="2" t="s">
        <v>3</v>
      </c>
      <c r="C542" t="str">
        <f t="shared" si="8"/>
        <v>D</v>
      </c>
      <c r="D542" s="10">
        <f>MAX(_xlfn.IFNA(INDEX(Proj[],MATCH(Table16[[#This Row],[Player]],Proj[Player],0),27),-5000), _xlfn.IFNA(INDEX(Goalie[],MATCH(Table16[[#This Row],[Player]],Goalie[player],0),17),-5000))</f>
        <v>-537.35793570786075</v>
      </c>
      <c r="E542">
        <f>_xlfn.RANK.EQ(Table16[[#This Row],[VOR]],Table16[VOR])</f>
        <v>514</v>
      </c>
      <c r="F542" cm="1">
        <f t="array" ref="F542">_xlfn.IFS(C542 = "C",INDEX('C'!$A$2:$L$254,MATCH($A542,'C'!$A$2:$A$254,0),10),C542 = "LW",INDEX(LW!$A$2:$K$180,MATCH($A542,LW!$A$2:$A$180,0),10),C542 = "RW",INDEX('RW'!$A$2:$L$164,MATCH($A542,'RW'!$A$2:$A$164,0),10), C542 = "D",INDEX(D!$A$2:$L$268,MATCH($A542,D!$A$2:$A$268,0),10),C542="G",INDEX(G!$A$2:$Q$78,MATCH($A542,G!$A$2:$A$78,0),16),C542="F",INDEX(F!$A$2:$K$494,MATCH($A542,F!$A$2:$A$494,0),10))</f>
        <v>201</v>
      </c>
      <c r="G542" t="str">
        <f>_xlfn.CONCAT(C542,Table16[[#This Row],[Pos Rank2]])</f>
        <v>D201</v>
      </c>
      <c r="H542" s="10">
        <f>MAX(_xlfn.IFNA(INDEX(Proj[],MATCH(Table16[[#This Row],[Player]],Proj[Player],0),29),-5000), _xlfn.IFNA(INDEX(Goalie[],MATCH(Table16[[#This Row],[Player]],Goalie[player],0),19),-5000))</f>
        <v>-429.99316798839624</v>
      </c>
      <c r="I542" t="str">
        <f>IF(_xlfn.IFNA(INDEX(Proj[],MATCH(Table16[[#This Row],[Player]],Proj[Player],0),31),INDEX(Goalie[],MATCH(Table16[[#This Row],[Player]],Goalie[player],0),20)) = 0, "",_xlfn.IFNA(INDEX(Proj[],MATCH(Table16[[#This Row],[Player]],Proj[Player],0),31),INDEX(Goalie[],MATCH(Table16[[#This Row],[Player]],Goalie[player],0),20)))</f>
        <v/>
      </c>
    </row>
    <row r="543" spans="1:9" x14ac:dyDescent="0.25">
      <c r="A543" t="s">
        <v>973</v>
      </c>
      <c r="B543" s="2" t="s">
        <v>3</v>
      </c>
      <c r="C543" t="str">
        <f t="shared" si="8"/>
        <v>D</v>
      </c>
      <c r="D543" s="10">
        <f>MAX(_xlfn.IFNA(INDEX(Proj[],MATCH(Table16[[#This Row],[Player]],Proj[Player],0),27),-5000), _xlfn.IFNA(INDEX(Goalie[],MATCH(Table16[[#This Row],[Player]],Goalie[player],0),17),-5000))</f>
        <v>-524.04533806493259</v>
      </c>
      <c r="E543">
        <f>_xlfn.RANK.EQ(Table16[[#This Row],[VOR]],Table16[VOR])</f>
        <v>505</v>
      </c>
      <c r="F543" cm="1">
        <f t="array" ref="F543">_xlfn.IFS(C543 = "C",INDEX('C'!$A$2:$L$254,MATCH($A543,'C'!$A$2:$A$254,0),10),C543 = "LW",INDEX(LW!$A$2:$K$180,MATCH($A543,LW!$A$2:$A$180,0),10),C543 = "RW",INDEX('RW'!$A$2:$L$164,MATCH($A543,'RW'!$A$2:$A$164,0),10), C543 = "D",INDEX(D!$A$2:$L$268,MATCH($A543,D!$A$2:$A$268,0),10),C543="G",INDEX(G!$A$2:$Q$78,MATCH($A543,G!$A$2:$A$78,0),16),C543="F",INDEX(F!$A$2:$K$494,MATCH($A543,F!$A$2:$A$494,0),10))</f>
        <v>198</v>
      </c>
      <c r="G543" t="str">
        <f>_xlfn.CONCAT(C543,Table16[[#This Row],[Pos Rank2]])</f>
        <v>D198</v>
      </c>
      <c r="H543" s="10">
        <f>MAX(_xlfn.IFNA(INDEX(Proj[],MATCH(Table16[[#This Row],[Player]],Proj[Player],0),29),-5000), _xlfn.IFNA(INDEX(Goalie[],MATCH(Table16[[#This Row],[Player]],Goalie[player],0),19),-5000))</f>
        <v>-416.68057034546814</v>
      </c>
      <c r="I543" t="str">
        <f>IF(_xlfn.IFNA(INDEX(Proj[],MATCH(Table16[[#This Row],[Player]],Proj[Player],0),31),INDEX(Goalie[],MATCH(Table16[[#This Row],[Player]],Goalie[player],0),20)) = 0, "",_xlfn.IFNA(INDEX(Proj[],MATCH(Table16[[#This Row],[Player]],Proj[Player],0),31),INDEX(Goalie[],MATCH(Table16[[#This Row],[Player]],Goalie[player],0),20)))</f>
        <v/>
      </c>
    </row>
    <row r="544" spans="1:9" x14ac:dyDescent="0.25">
      <c r="A544" t="s">
        <v>979</v>
      </c>
      <c r="B544" s="2" t="s">
        <v>74</v>
      </c>
      <c r="C544" t="str">
        <f t="shared" si="8"/>
        <v>C</v>
      </c>
      <c r="D544" s="10">
        <f>MAX(_xlfn.IFNA(INDEX(Proj[],MATCH(Table16[[#This Row],[Player]],Proj[Player],0),27),-5000), _xlfn.IFNA(INDEX(Goalie[],MATCH(Table16[[#This Row],[Player]],Goalie[player],0),17),-5000))</f>
        <v>-802.61217734818888</v>
      </c>
      <c r="E544">
        <f>_xlfn.RANK.EQ(Table16[[#This Row],[VOR]],Table16[VOR])</f>
        <v>663</v>
      </c>
      <c r="F544" cm="1">
        <f t="array" ref="F544">_xlfn.IFS(C544 = "C",INDEX('C'!$A$2:$L$254,MATCH($A544,'C'!$A$2:$A$254,0),10),C544 = "LW",INDEX(LW!$A$2:$K$180,MATCH($A544,LW!$A$2:$A$180,0),10),C544 = "RW",INDEX('RW'!$A$2:$L$164,MATCH($A544,'RW'!$A$2:$A$164,0),10), C544 = "D",INDEX(D!$A$2:$L$268,MATCH($A544,D!$A$2:$A$268,0),10),C544="G",INDEX(G!$A$2:$Q$78,MATCH($A544,G!$A$2:$A$78,0),16),C544="F",INDEX(F!$A$2:$K$494,MATCH($A544,F!$A$2:$A$494,0),10))</f>
        <v>160</v>
      </c>
      <c r="G544" t="str">
        <f>_xlfn.CONCAT(C544,Table16[[#This Row],[Pos Rank2]])</f>
        <v>C160</v>
      </c>
      <c r="H544" s="10">
        <f>MAX(_xlfn.IFNA(INDEX(Proj[],MATCH(Table16[[#This Row],[Player]],Proj[Player],0),29),-5000), _xlfn.IFNA(INDEX(Goalie[],MATCH(Table16[[#This Row],[Player]],Goalie[player],0),19),-5000))</f>
        <v>-67.97832303789032</v>
      </c>
      <c r="I544" t="str">
        <f>IF(_xlfn.IFNA(INDEX(Proj[],MATCH(Table16[[#This Row],[Player]],Proj[Player],0),31),INDEX(Goalie[],MATCH(Table16[[#This Row],[Player]],Goalie[player],0),20)) = 0, "",_xlfn.IFNA(INDEX(Proj[],MATCH(Table16[[#This Row],[Player]],Proj[Player],0),31),INDEX(Goalie[],MATCH(Table16[[#This Row],[Player]],Goalie[player],0),20)))</f>
        <v/>
      </c>
    </row>
    <row r="545" spans="1:9" x14ac:dyDescent="0.25">
      <c r="A545" t="s">
        <v>448</v>
      </c>
      <c r="B545" s="2" t="s">
        <v>3</v>
      </c>
      <c r="C545" t="str">
        <f t="shared" si="8"/>
        <v>D</v>
      </c>
      <c r="D545" s="10">
        <f>MAX(_xlfn.IFNA(INDEX(Proj[],MATCH(Table16[[#This Row],[Player]],Proj[Player],0),27),-5000), _xlfn.IFNA(INDEX(Goalie[],MATCH(Table16[[#This Row],[Player]],Goalie[player],0),17),-5000))</f>
        <v>-541.97495853033024</v>
      </c>
      <c r="E545">
        <f>_xlfn.RANK.EQ(Table16[[#This Row],[VOR]],Table16[VOR])</f>
        <v>516</v>
      </c>
      <c r="F545" cm="1">
        <f t="array" ref="F545">_xlfn.IFS(C545 = "C",INDEX('C'!$A$2:$L$254,MATCH($A545,'C'!$A$2:$A$254,0),10),C545 = "LW",INDEX(LW!$A$2:$K$180,MATCH($A545,LW!$A$2:$A$180,0),10),C545 = "RW",INDEX('RW'!$A$2:$L$164,MATCH($A545,'RW'!$A$2:$A$164,0),10), C545 = "D",INDEX(D!$A$2:$L$268,MATCH($A545,D!$A$2:$A$268,0),10),C545="G",INDEX(G!$A$2:$Q$78,MATCH($A545,G!$A$2:$A$78,0),16),C545="F",INDEX(F!$A$2:$K$494,MATCH($A545,F!$A$2:$A$494,0),10))</f>
        <v>202</v>
      </c>
      <c r="G545" t="str">
        <f>_xlfn.CONCAT(C545,Table16[[#This Row],[Pos Rank2]])</f>
        <v>D202</v>
      </c>
      <c r="H545" s="10">
        <f>MAX(_xlfn.IFNA(INDEX(Proj[],MATCH(Table16[[#This Row],[Player]],Proj[Player],0),29),-5000), _xlfn.IFNA(INDEX(Goalie[],MATCH(Table16[[#This Row],[Player]],Goalie[player],0),19),-5000))</f>
        <v>-434.61019081086579</v>
      </c>
      <c r="I545" t="str">
        <f>IF(_xlfn.IFNA(INDEX(Proj[],MATCH(Table16[[#This Row],[Player]],Proj[Player],0),31),INDEX(Goalie[],MATCH(Table16[[#This Row],[Player]],Goalie[player],0),20)) = 0, "",_xlfn.IFNA(INDEX(Proj[],MATCH(Table16[[#This Row],[Player]],Proj[Player],0),31),INDEX(Goalie[],MATCH(Table16[[#This Row],[Player]],Goalie[player],0),20)))</f>
        <v/>
      </c>
    </row>
    <row r="546" spans="1:9" x14ac:dyDescent="0.25">
      <c r="A546" t="s">
        <v>1053</v>
      </c>
      <c r="B546" s="2" t="s">
        <v>3</v>
      </c>
      <c r="C546" t="str">
        <f t="shared" si="8"/>
        <v>D</v>
      </c>
      <c r="D546" s="10">
        <f>MAX(_xlfn.IFNA(INDEX(Proj[],MATCH(Table16[[#This Row],[Player]],Proj[Player],0),27),-5000), _xlfn.IFNA(INDEX(Goalie[],MATCH(Table16[[#This Row],[Player]],Goalie[player],0),17),-5000))</f>
        <v>-542.50442389888451</v>
      </c>
      <c r="E546">
        <f>_xlfn.RANK.EQ(Table16[[#This Row],[VOR]],Table16[VOR])</f>
        <v>517</v>
      </c>
      <c r="F546" cm="1">
        <f t="array" ref="F546">_xlfn.IFS(C546 = "C",INDEX('C'!$A$2:$L$254,MATCH($A546,'C'!$A$2:$A$254,0),10),C546 = "LW",INDEX(LW!$A$2:$K$180,MATCH($A546,LW!$A$2:$A$180,0),10),C546 = "RW",INDEX('RW'!$A$2:$L$164,MATCH($A546,'RW'!$A$2:$A$164,0),10), C546 = "D",INDEX(D!$A$2:$L$268,MATCH($A546,D!$A$2:$A$268,0),10),C546="G",INDEX(G!$A$2:$Q$78,MATCH($A546,G!$A$2:$A$78,0),16),C546="F",INDEX(F!$A$2:$K$494,MATCH($A546,F!$A$2:$A$494,0),10))</f>
        <v>203</v>
      </c>
      <c r="G546" t="str">
        <f>_xlfn.CONCAT(C546,Table16[[#This Row],[Pos Rank2]])</f>
        <v>D203</v>
      </c>
      <c r="H546" s="10">
        <f>MAX(_xlfn.IFNA(INDEX(Proj[],MATCH(Table16[[#This Row],[Player]],Proj[Player],0),29),-5000), _xlfn.IFNA(INDEX(Goalie[],MATCH(Table16[[#This Row],[Player]],Goalie[player],0),19),-5000))</f>
        <v>-435.13965617942</v>
      </c>
      <c r="I546" t="str">
        <f>IF(_xlfn.IFNA(INDEX(Proj[],MATCH(Table16[[#This Row],[Player]],Proj[Player],0),31),INDEX(Goalie[],MATCH(Table16[[#This Row],[Player]],Goalie[player],0),20)) = 0, "",_xlfn.IFNA(INDEX(Proj[],MATCH(Table16[[#This Row],[Player]],Proj[Player],0),31),INDEX(Goalie[],MATCH(Table16[[#This Row],[Player]],Goalie[player],0),20)))</f>
        <v/>
      </c>
    </row>
    <row r="547" spans="1:9" x14ac:dyDescent="0.25">
      <c r="A547" t="s">
        <v>945</v>
      </c>
      <c r="B547" s="2" t="s">
        <v>3</v>
      </c>
      <c r="C547" t="str">
        <f t="shared" si="8"/>
        <v>D</v>
      </c>
      <c r="D547" s="10">
        <f>MAX(_xlfn.IFNA(INDEX(Proj[],MATCH(Table16[[#This Row],[Player]],Proj[Player],0),27),-5000), _xlfn.IFNA(INDEX(Goalie[],MATCH(Table16[[#This Row],[Player]],Goalie[player],0),17),-5000))</f>
        <v>-545.23332597818307</v>
      </c>
      <c r="E547">
        <f>_xlfn.RANK.EQ(Table16[[#This Row],[VOR]],Table16[VOR])</f>
        <v>518</v>
      </c>
      <c r="F547" cm="1">
        <f t="array" ref="F547">_xlfn.IFS(C547 = "C",INDEX('C'!$A$2:$L$254,MATCH($A547,'C'!$A$2:$A$254,0),10),C547 = "LW",INDEX(LW!$A$2:$K$180,MATCH($A547,LW!$A$2:$A$180,0),10),C547 = "RW",INDEX('RW'!$A$2:$L$164,MATCH($A547,'RW'!$A$2:$A$164,0),10), C547 = "D",INDEX(D!$A$2:$L$268,MATCH($A547,D!$A$2:$A$268,0),10),C547="G",INDEX(G!$A$2:$Q$78,MATCH($A547,G!$A$2:$A$78,0),16),C547="F",INDEX(F!$A$2:$K$494,MATCH($A547,F!$A$2:$A$494,0),10))</f>
        <v>204</v>
      </c>
      <c r="G547" t="str">
        <f>_xlfn.CONCAT(C547,Table16[[#This Row],[Pos Rank2]])</f>
        <v>D204</v>
      </c>
      <c r="H547" s="10">
        <f>MAX(_xlfn.IFNA(INDEX(Proj[],MATCH(Table16[[#This Row],[Player]],Proj[Player],0),29),-5000), _xlfn.IFNA(INDEX(Goalie[],MATCH(Table16[[#This Row],[Player]],Goalie[player],0),19),-5000))</f>
        <v>-437.86855825871856</v>
      </c>
      <c r="I547" t="str">
        <f>IF(_xlfn.IFNA(INDEX(Proj[],MATCH(Table16[[#This Row],[Player]],Proj[Player],0),31),INDEX(Goalie[],MATCH(Table16[[#This Row],[Player]],Goalie[player],0),20)) = 0, "",_xlfn.IFNA(INDEX(Proj[],MATCH(Table16[[#This Row],[Player]],Proj[Player],0),31),INDEX(Goalie[],MATCH(Table16[[#This Row],[Player]],Goalie[player],0),20)))</f>
        <v/>
      </c>
    </row>
    <row r="548" spans="1:9" x14ac:dyDescent="0.25">
      <c r="A548" t="s">
        <v>970</v>
      </c>
      <c r="B548" s="2" t="s">
        <v>3</v>
      </c>
      <c r="C548" t="str">
        <f t="shared" si="8"/>
        <v>D</v>
      </c>
      <c r="D548" s="10">
        <f>MAX(_xlfn.IFNA(INDEX(Proj[],MATCH(Table16[[#This Row],[Player]],Proj[Player],0),27),-5000), _xlfn.IFNA(INDEX(Goalie[],MATCH(Table16[[#This Row],[Player]],Goalie[player],0),17),-5000))</f>
        <v>-546.83138652850482</v>
      </c>
      <c r="E548">
        <f>_xlfn.RANK.EQ(Table16[[#This Row],[VOR]],Table16[VOR])</f>
        <v>519</v>
      </c>
      <c r="F548" cm="1">
        <f t="array" ref="F548">_xlfn.IFS(C548 = "C",INDEX('C'!$A$2:$L$254,MATCH($A548,'C'!$A$2:$A$254,0),10),C548 = "LW",INDEX(LW!$A$2:$K$180,MATCH($A548,LW!$A$2:$A$180,0),10),C548 = "RW",INDEX('RW'!$A$2:$L$164,MATCH($A548,'RW'!$A$2:$A$164,0),10), C548 = "D",INDEX(D!$A$2:$L$268,MATCH($A548,D!$A$2:$A$268,0),10),C548="G",INDEX(G!$A$2:$Q$78,MATCH($A548,G!$A$2:$A$78,0),16),C548="F",INDEX(F!$A$2:$K$494,MATCH($A548,F!$A$2:$A$494,0),10))</f>
        <v>205</v>
      </c>
      <c r="G548" t="str">
        <f>_xlfn.CONCAT(C548,Table16[[#This Row],[Pos Rank2]])</f>
        <v>D205</v>
      </c>
      <c r="H548" s="10">
        <f>MAX(_xlfn.IFNA(INDEX(Proj[],MATCH(Table16[[#This Row],[Player]],Proj[Player],0),29),-5000), _xlfn.IFNA(INDEX(Goalie[],MATCH(Table16[[#This Row],[Player]],Goalie[player],0),19),-5000))</f>
        <v>-439.46661880904037</v>
      </c>
      <c r="I548" t="str">
        <f>IF(_xlfn.IFNA(INDEX(Proj[],MATCH(Table16[[#This Row],[Player]],Proj[Player],0),31),INDEX(Goalie[],MATCH(Table16[[#This Row],[Player]],Goalie[player],0),20)) = 0, "",_xlfn.IFNA(INDEX(Proj[],MATCH(Table16[[#This Row],[Player]],Proj[Player],0),31),INDEX(Goalie[],MATCH(Table16[[#This Row],[Player]],Goalie[player],0),20)))</f>
        <v/>
      </c>
    </row>
    <row r="549" spans="1:9" x14ac:dyDescent="0.25">
      <c r="A549" t="s">
        <v>917</v>
      </c>
      <c r="B549" s="2" t="s">
        <v>3</v>
      </c>
      <c r="C549" t="str">
        <f t="shared" si="8"/>
        <v>D</v>
      </c>
      <c r="D549" s="10">
        <f>MAX(_xlfn.IFNA(INDEX(Proj[],MATCH(Table16[[#This Row],[Player]],Proj[Player],0),27),-5000), _xlfn.IFNA(INDEX(Goalie[],MATCH(Table16[[#This Row],[Player]],Goalie[player],0),17),-5000))</f>
        <v>-547.31955839606974</v>
      </c>
      <c r="E549">
        <f>_xlfn.RANK.EQ(Table16[[#This Row],[VOR]],Table16[VOR])</f>
        <v>520</v>
      </c>
      <c r="F549" cm="1">
        <f t="array" ref="F549">_xlfn.IFS(C549 = "C",INDEX('C'!$A$2:$L$254,MATCH($A549,'C'!$A$2:$A$254,0),10),C549 = "LW",INDEX(LW!$A$2:$K$180,MATCH($A549,LW!$A$2:$A$180,0),10),C549 = "RW",INDEX('RW'!$A$2:$L$164,MATCH($A549,'RW'!$A$2:$A$164,0),10), C549 = "D",INDEX(D!$A$2:$L$268,MATCH($A549,D!$A$2:$A$268,0),10),C549="G",INDEX(G!$A$2:$Q$78,MATCH($A549,G!$A$2:$A$78,0),16),C549="F",INDEX(F!$A$2:$K$494,MATCH($A549,F!$A$2:$A$494,0),10))</f>
        <v>206</v>
      </c>
      <c r="G549" t="str">
        <f>_xlfn.CONCAT(C549,Table16[[#This Row],[Pos Rank2]])</f>
        <v>D206</v>
      </c>
      <c r="H549" s="10">
        <f>MAX(_xlfn.IFNA(INDEX(Proj[],MATCH(Table16[[#This Row],[Player]],Proj[Player],0),29),-5000), _xlfn.IFNA(INDEX(Goalie[],MATCH(Table16[[#This Row],[Player]],Goalie[player],0),19),-5000))</f>
        <v>-439.95479067660528</v>
      </c>
      <c r="I549" t="str">
        <f>IF(_xlfn.IFNA(INDEX(Proj[],MATCH(Table16[[#This Row],[Player]],Proj[Player],0),31),INDEX(Goalie[],MATCH(Table16[[#This Row],[Player]],Goalie[player],0),20)) = 0, "",_xlfn.IFNA(INDEX(Proj[],MATCH(Table16[[#This Row],[Player]],Proj[Player],0),31),INDEX(Goalie[],MATCH(Table16[[#This Row],[Player]],Goalie[player],0),20)))</f>
        <v/>
      </c>
    </row>
    <row r="550" spans="1:9" x14ac:dyDescent="0.25">
      <c r="A550" t="s">
        <v>1075</v>
      </c>
      <c r="B550" s="2" t="s">
        <v>3</v>
      </c>
      <c r="C550" t="str">
        <f t="shared" si="8"/>
        <v>D</v>
      </c>
      <c r="D550" s="10">
        <f>MAX(_xlfn.IFNA(INDEX(Proj[],MATCH(Table16[[#This Row],[Player]],Proj[Player],0),27),-5000), _xlfn.IFNA(INDEX(Goalie[],MATCH(Table16[[#This Row],[Player]],Goalie[player],0),17),-5000))</f>
        <v>-560.12860083116084</v>
      </c>
      <c r="E550">
        <f>_xlfn.RANK.EQ(Table16[[#This Row],[VOR]],Table16[VOR])</f>
        <v>528</v>
      </c>
      <c r="F550" cm="1">
        <f t="array" ref="F550">_xlfn.IFS(C550 = "C",INDEX('C'!$A$2:$L$254,MATCH($A550,'C'!$A$2:$A$254,0),10),C550 = "LW",INDEX(LW!$A$2:$K$180,MATCH($A550,LW!$A$2:$A$180,0),10),C550 = "RW",INDEX('RW'!$A$2:$L$164,MATCH($A550,'RW'!$A$2:$A$164,0),10), C550 = "D",INDEX(D!$A$2:$L$268,MATCH($A550,D!$A$2:$A$268,0),10),C550="G",INDEX(G!$A$2:$Q$78,MATCH($A550,G!$A$2:$A$78,0),16),C550="F",INDEX(F!$A$2:$K$494,MATCH($A550,F!$A$2:$A$494,0),10))</f>
        <v>208</v>
      </c>
      <c r="G550" t="str">
        <f>_xlfn.CONCAT(C550,Table16[[#This Row],[Pos Rank2]])</f>
        <v>D208</v>
      </c>
      <c r="H550" s="10">
        <f>MAX(_xlfn.IFNA(INDEX(Proj[],MATCH(Table16[[#This Row],[Player]],Proj[Player],0),29),-5000), _xlfn.IFNA(INDEX(Goalie[],MATCH(Table16[[#This Row],[Player]],Goalie[player],0),19),-5000))</f>
        <v>-452.76383311169639</v>
      </c>
      <c r="I550" t="str">
        <f>IF(_xlfn.IFNA(INDEX(Proj[],MATCH(Table16[[#This Row],[Player]],Proj[Player],0),31),INDEX(Goalie[],MATCH(Table16[[#This Row],[Player]],Goalie[player],0),20)) = 0, "",_xlfn.IFNA(INDEX(Proj[],MATCH(Table16[[#This Row],[Player]],Proj[Player],0),31),INDEX(Goalie[],MATCH(Table16[[#This Row],[Player]],Goalie[player],0),20)))</f>
        <v/>
      </c>
    </row>
    <row r="551" spans="1:9" x14ac:dyDescent="0.25">
      <c r="A551" t="s">
        <v>767</v>
      </c>
      <c r="B551" s="2" t="s">
        <v>74</v>
      </c>
      <c r="C551" t="str">
        <f t="shared" si="8"/>
        <v>C</v>
      </c>
      <c r="D551" s="10">
        <f>MAX(_xlfn.IFNA(INDEX(Proj[],MATCH(Table16[[#This Row],[Player]],Proj[Player],0),27),-5000), _xlfn.IFNA(INDEX(Goalie[],MATCH(Table16[[#This Row],[Player]],Goalie[player],0),17),-5000))</f>
        <v>-757.87927544342347</v>
      </c>
      <c r="E551">
        <f>_xlfn.RANK.EQ(Table16[[#This Row],[VOR]],Table16[VOR])</f>
        <v>634</v>
      </c>
      <c r="F551" cm="1">
        <f t="array" ref="F551">_xlfn.IFS(C551 = "C",INDEX('C'!$A$2:$L$254,MATCH($A551,'C'!$A$2:$A$254,0),10),C551 = "LW",INDEX(LW!$A$2:$K$180,MATCH($A551,LW!$A$2:$A$180,0),10),C551 = "RW",INDEX('RW'!$A$2:$L$164,MATCH($A551,'RW'!$A$2:$A$164,0),10), C551 = "D",INDEX(D!$A$2:$L$268,MATCH($A551,D!$A$2:$A$268,0),10),C551="G",INDEX(G!$A$2:$Q$78,MATCH($A551,G!$A$2:$A$78,0),16),C551="F",INDEX(F!$A$2:$K$494,MATCH($A551,F!$A$2:$A$494,0),10))</f>
        <v>148</v>
      </c>
      <c r="G551" t="str">
        <f>_xlfn.CONCAT(C551,Table16[[#This Row],[Pos Rank2]])</f>
        <v>C148</v>
      </c>
      <c r="H551" s="10">
        <f>MAX(_xlfn.IFNA(INDEX(Proj[],MATCH(Table16[[#This Row],[Player]],Proj[Player],0),29),-5000), _xlfn.IFNA(INDEX(Goalie[],MATCH(Table16[[#This Row],[Player]],Goalie[player],0),19),-5000))</f>
        <v>-23.245421133124843</v>
      </c>
      <c r="I551" t="str">
        <f>IF(_xlfn.IFNA(INDEX(Proj[],MATCH(Table16[[#This Row],[Player]],Proj[Player],0),31),INDEX(Goalie[],MATCH(Table16[[#This Row],[Player]],Goalie[player],0),20)) = 0, "",_xlfn.IFNA(INDEX(Proj[],MATCH(Table16[[#This Row],[Player]],Proj[Player],0),31),INDEX(Goalie[],MATCH(Table16[[#This Row],[Player]],Goalie[player],0),20)))</f>
        <v/>
      </c>
    </row>
    <row r="552" spans="1:9" x14ac:dyDescent="0.25">
      <c r="A552" t="s">
        <v>1031</v>
      </c>
      <c r="B552" s="2" t="s">
        <v>102</v>
      </c>
      <c r="C552" t="str">
        <f t="shared" si="8"/>
        <v>LW</v>
      </c>
      <c r="D552" s="10">
        <f>MAX(_xlfn.IFNA(INDEX(Proj[],MATCH(Table16[[#This Row],[Player]],Proj[Player],0),27),-5000), _xlfn.IFNA(INDEX(Goalie[],MATCH(Table16[[#This Row],[Player]],Goalie[player],0),17),-5000))</f>
        <v>-623.9129635229765</v>
      </c>
      <c r="E552">
        <f>_xlfn.RANK.EQ(Table16[[#This Row],[VOR]],Table16[VOR])</f>
        <v>560</v>
      </c>
      <c r="F552" cm="1">
        <f t="array" ref="F552">_xlfn.IFS(C552 = "C",INDEX('C'!$A$2:$L$254,MATCH($A552,'C'!$A$2:$A$254,0),10),C552 = "LW",INDEX(LW!$A$2:$K$180,MATCH($A552,LW!$A$2:$A$180,0),10),C552 = "RW",INDEX('RW'!$A$2:$L$164,MATCH($A552,'RW'!$A$2:$A$164,0),10), C552 = "D",INDEX(D!$A$2:$L$268,MATCH($A552,D!$A$2:$A$268,0),10),C552="G",INDEX(G!$A$2:$Q$78,MATCH($A552,G!$A$2:$A$78,0),16),C552="F",INDEX(F!$A$2:$K$494,MATCH($A552,F!$A$2:$A$494,0),10))</f>
        <v>122</v>
      </c>
      <c r="G552" t="str">
        <f>_xlfn.CONCAT(C552,Table16[[#This Row],[Pos Rank2]])</f>
        <v>LW122</v>
      </c>
      <c r="H552" s="10">
        <f>MAX(_xlfn.IFNA(INDEX(Proj[],MATCH(Table16[[#This Row],[Player]],Proj[Player],0),29),-5000), _xlfn.IFNA(INDEX(Goalie[],MATCH(Table16[[#This Row],[Player]],Goalie[player],0),19),-5000))</f>
        <v>-152.36823913272767</v>
      </c>
      <c r="I552" t="str">
        <f>IF(_xlfn.IFNA(INDEX(Proj[],MATCH(Table16[[#This Row],[Player]],Proj[Player],0),31),INDEX(Goalie[],MATCH(Table16[[#This Row],[Player]],Goalie[player],0),20)) = 0, "",_xlfn.IFNA(INDEX(Proj[],MATCH(Table16[[#This Row],[Player]],Proj[Player],0),31),INDEX(Goalie[],MATCH(Table16[[#This Row],[Player]],Goalie[player],0),20)))</f>
        <v/>
      </c>
    </row>
    <row r="553" spans="1:9" x14ac:dyDescent="0.25">
      <c r="A553" t="s">
        <v>493</v>
      </c>
      <c r="B553" s="2" t="s">
        <v>102</v>
      </c>
      <c r="C553" t="str">
        <f t="shared" si="8"/>
        <v>LW</v>
      </c>
      <c r="D553" s="10">
        <f>MAX(_xlfn.IFNA(INDEX(Proj[],MATCH(Table16[[#This Row],[Player]],Proj[Player],0),27),-5000), _xlfn.IFNA(INDEX(Goalie[],MATCH(Table16[[#This Row],[Player]],Goalie[player],0),17),-5000))</f>
        <v>-627.39460242600182</v>
      </c>
      <c r="E553">
        <f>_xlfn.RANK.EQ(Table16[[#This Row],[VOR]],Table16[VOR])</f>
        <v>561</v>
      </c>
      <c r="F553" cm="1">
        <f t="array" ref="F553">_xlfn.IFS(C553 = "C",INDEX('C'!$A$2:$L$254,MATCH($A553,'C'!$A$2:$A$254,0),10),C553 = "LW",INDEX(LW!$A$2:$K$180,MATCH($A553,LW!$A$2:$A$180,0),10),C553 = "RW",INDEX('RW'!$A$2:$L$164,MATCH($A553,'RW'!$A$2:$A$164,0),10), C553 = "D",INDEX(D!$A$2:$L$268,MATCH($A553,D!$A$2:$A$268,0),10),C553="G",INDEX(G!$A$2:$Q$78,MATCH($A553,G!$A$2:$A$78,0),16),C553="F",INDEX(F!$A$2:$K$494,MATCH($A553,F!$A$2:$A$494,0),10))</f>
        <v>123</v>
      </c>
      <c r="G553" t="str">
        <f>_xlfn.CONCAT(C553,Table16[[#This Row],[Pos Rank2]])</f>
        <v>LW123</v>
      </c>
      <c r="H553" s="10">
        <f>MAX(_xlfn.IFNA(INDEX(Proj[],MATCH(Table16[[#This Row],[Player]],Proj[Player],0),29),-5000), _xlfn.IFNA(INDEX(Goalie[],MATCH(Table16[[#This Row],[Player]],Goalie[player],0),19),-5000))</f>
        <v>-155.84987803575294</v>
      </c>
      <c r="I553" t="str">
        <f>IF(_xlfn.IFNA(INDEX(Proj[],MATCH(Table16[[#This Row],[Player]],Proj[Player],0),31),INDEX(Goalie[],MATCH(Table16[[#This Row],[Player]],Goalie[player],0),20)) = 0, "",_xlfn.IFNA(INDEX(Proj[],MATCH(Table16[[#This Row],[Player]],Proj[Player],0),31),INDEX(Goalie[],MATCH(Table16[[#This Row],[Player]],Goalie[player],0),20)))</f>
        <v/>
      </c>
    </row>
    <row r="554" spans="1:9" x14ac:dyDescent="0.25">
      <c r="A554" t="s">
        <v>512</v>
      </c>
      <c r="B554" s="2" t="s">
        <v>3</v>
      </c>
      <c r="C554" t="str">
        <f t="shared" si="8"/>
        <v>D</v>
      </c>
      <c r="D554" s="10">
        <f>MAX(_xlfn.IFNA(INDEX(Proj[],MATCH(Table16[[#This Row],[Player]],Proj[Player],0),27),-5000), _xlfn.IFNA(INDEX(Goalie[],MATCH(Table16[[#This Row],[Player]],Goalie[player],0),17),-5000))</f>
        <v>-555.1788017526062</v>
      </c>
      <c r="E554">
        <f>_xlfn.RANK.EQ(Table16[[#This Row],[VOR]],Table16[VOR])</f>
        <v>527</v>
      </c>
      <c r="F554" cm="1">
        <f t="array" ref="F554">_xlfn.IFS(C554 = "C",INDEX('C'!$A$2:$L$254,MATCH($A554,'C'!$A$2:$A$254,0),10),C554 = "LW",INDEX(LW!$A$2:$K$180,MATCH($A554,LW!$A$2:$A$180,0),10),C554 = "RW",INDEX('RW'!$A$2:$L$164,MATCH($A554,'RW'!$A$2:$A$164,0),10), C554 = "D",INDEX(D!$A$2:$L$268,MATCH($A554,D!$A$2:$A$268,0),10),C554="G",INDEX(G!$A$2:$Q$78,MATCH($A554,G!$A$2:$A$78,0),16),C554="F",INDEX(F!$A$2:$K$494,MATCH($A554,F!$A$2:$A$494,0),10))</f>
        <v>207</v>
      </c>
      <c r="G554" t="str">
        <f>_xlfn.CONCAT(C554,Table16[[#This Row],[Pos Rank2]])</f>
        <v>D207</v>
      </c>
      <c r="H554" s="10">
        <f>MAX(_xlfn.IFNA(INDEX(Proj[],MATCH(Table16[[#This Row],[Player]],Proj[Player],0),29),-5000), _xlfn.IFNA(INDEX(Goalie[],MATCH(Table16[[#This Row],[Player]],Goalie[player],0),19),-5000))</f>
        <v>-447.8140340331417</v>
      </c>
      <c r="I554" t="str">
        <f>IF(_xlfn.IFNA(INDEX(Proj[],MATCH(Table16[[#This Row],[Player]],Proj[Player],0),31),INDEX(Goalie[],MATCH(Table16[[#This Row],[Player]],Goalie[player],0),20)) = 0, "",_xlfn.IFNA(INDEX(Proj[],MATCH(Table16[[#This Row],[Player]],Proj[Player],0),31),INDEX(Goalie[],MATCH(Table16[[#This Row],[Player]],Goalie[player],0),20)))</f>
        <v/>
      </c>
    </row>
    <row r="555" spans="1:9" x14ac:dyDescent="0.25">
      <c r="A555" t="s">
        <v>633</v>
      </c>
      <c r="B555" s="2" t="s">
        <v>74</v>
      </c>
      <c r="C555" t="str">
        <f t="shared" si="8"/>
        <v>C</v>
      </c>
      <c r="D555" s="10">
        <f>MAX(_xlfn.IFNA(INDEX(Proj[],MATCH(Table16[[#This Row],[Player]],Proj[Player],0),27),-5000), _xlfn.IFNA(INDEX(Goalie[],MATCH(Table16[[#This Row],[Player]],Goalie[player],0),17),-5000))</f>
        <v>-577.5785601740123</v>
      </c>
      <c r="E555">
        <f>_xlfn.RANK.EQ(Table16[[#This Row],[VOR]],Table16[VOR])</f>
        <v>540</v>
      </c>
      <c r="F555" cm="1">
        <f t="array" ref="F555">_xlfn.IFS(C555 = "C",INDEX('C'!$A$2:$L$254,MATCH($A555,'C'!$A$2:$A$254,0),10),C555 = "LW",INDEX(LW!$A$2:$K$180,MATCH($A555,LW!$A$2:$A$180,0),10),C555 = "RW",INDEX('RW'!$A$2:$L$164,MATCH($A555,'RW'!$A$2:$A$164,0),10), C555 = "D",INDEX(D!$A$2:$L$268,MATCH($A555,D!$A$2:$A$268,0),10),C555="G",INDEX(G!$A$2:$Q$78,MATCH($A555,G!$A$2:$A$78,0),16),C555="F",INDEX(F!$A$2:$K$494,MATCH($A555,F!$A$2:$A$494,0),10))</f>
        <v>123</v>
      </c>
      <c r="G555" t="str">
        <f>_xlfn.CONCAT(C555,Table16[[#This Row],[Pos Rank2]])</f>
        <v>C123</v>
      </c>
      <c r="H555" s="10">
        <f>MAX(_xlfn.IFNA(INDEX(Proj[],MATCH(Table16[[#This Row],[Player]],Proj[Player],0),29),-5000), _xlfn.IFNA(INDEX(Goalie[],MATCH(Table16[[#This Row],[Player]],Goalie[player],0),19),-5000))</f>
        <v>157.05529413628631</v>
      </c>
      <c r="I555" t="str">
        <f>IF(_xlfn.IFNA(INDEX(Proj[],MATCH(Table16[[#This Row],[Player]],Proj[Player],0),31),INDEX(Goalie[],MATCH(Table16[[#This Row],[Player]],Goalie[player],0),20)) = 0, "",_xlfn.IFNA(INDEX(Proj[],MATCH(Table16[[#This Row],[Player]],Proj[Player],0),31),INDEX(Goalie[],MATCH(Table16[[#This Row],[Player]],Goalie[player],0),20)))</f>
        <v/>
      </c>
    </row>
    <row r="556" spans="1:9" x14ac:dyDescent="0.25">
      <c r="A556" t="s">
        <v>474</v>
      </c>
      <c r="B556" s="2" t="s">
        <v>103</v>
      </c>
      <c r="C556" t="str">
        <f t="shared" si="8"/>
        <v>RW</v>
      </c>
      <c r="D556" s="10">
        <f>MAX(_xlfn.IFNA(INDEX(Proj[],MATCH(Table16[[#This Row],[Player]],Proj[Player],0),27),-5000), _xlfn.IFNA(INDEX(Goalie[],MATCH(Table16[[#This Row],[Player]],Goalie[player],0),17),-5000))</f>
        <v>-636.49150191008562</v>
      </c>
      <c r="E556">
        <f>_xlfn.RANK.EQ(Table16[[#This Row],[VOR]],Table16[VOR])</f>
        <v>564</v>
      </c>
      <c r="F556" cm="1">
        <f t="array" ref="F556">_xlfn.IFS(C556 = "C",INDEX('C'!$A$2:$L$254,MATCH($A556,'C'!$A$2:$A$254,0),10),C556 = "LW",INDEX(LW!$A$2:$K$180,MATCH($A556,LW!$A$2:$A$180,0),10),C556 = "RW",INDEX('RW'!$A$2:$L$164,MATCH($A556,'RW'!$A$2:$A$164,0),10), C556 = "D",INDEX(D!$A$2:$L$268,MATCH($A556,D!$A$2:$A$268,0),10),C556="G",INDEX(G!$A$2:$Q$78,MATCH($A556,G!$A$2:$A$78,0),16),C556="F",INDEX(F!$A$2:$K$494,MATCH($A556,F!$A$2:$A$494,0),10))</f>
        <v>110</v>
      </c>
      <c r="G556" t="str">
        <f>_xlfn.CONCAT(C556,Table16[[#This Row],[Pos Rank2]])</f>
        <v>RW110</v>
      </c>
      <c r="H556" s="10">
        <f>MAX(_xlfn.IFNA(INDEX(Proj[],MATCH(Table16[[#This Row],[Player]],Proj[Player],0),29),-5000), _xlfn.IFNA(INDEX(Goalie[],MATCH(Table16[[#This Row],[Player]],Goalie[player],0),19),-5000))</f>
        <v>-189.94677751983679</v>
      </c>
      <c r="I556" t="str">
        <f>IF(_xlfn.IFNA(INDEX(Proj[],MATCH(Table16[[#This Row],[Player]],Proj[Player],0),31),INDEX(Goalie[],MATCH(Table16[[#This Row],[Player]],Goalie[player],0),20)) = 0, "",_xlfn.IFNA(INDEX(Proj[],MATCH(Table16[[#This Row],[Player]],Proj[Player],0),31),INDEX(Goalie[],MATCH(Table16[[#This Row],[Player]],Goalie[player],0),20)))</f>
        <v/>
      </c>
    </row>
    <row r="557" spans="1:9" x14ac:dyDescent="0.25">
      <c r="A557" t="s">
        <v>959</v>
      </c>
      <c r="B557" s="2" t="s">
        <v>102</v>
      </c>
      <c r="C557" t="str">
        <f t="shared" si="8"/>
        <v>LW</v>
      </c>
      <c r="D557" s="10">
        <f>MAX(_xlfn.IFNA(INDEX(Proj[],MATCH(Table16[[#This Row],[Player]],Proj[Player],0),27),-5000), _xlfn.IFNA(INDEX(Goalie[],MATCH(Table16[[#This Row],[Player]],Goalie[player],0),17),-5000))</f>
        <v>-739.55871612054443</v>
      </c>
      <c r="E557">
        <f>_xlfn.RANK.EQ(Table16[[#This Row],[VOR]],Table16[VOR])</f>
        <v>626</v>
      </c>
      <c r="F557" cm="1">
        <f t="array" ref="F557">_xlfn.IFS(C557 = "C",INDEX('C'!$A$2:$L$254,MATCH($A557,'C'!$A$2:$A$254,0),10),C557 = "LW",INDEX(LW!$A$2:$K$180,MATCH($A557,LW!$A$2:$A$180,0),10),C557 = "RW",INDEX('RW'!$A$2:$L$164,MATCH($A557,'RW'!$A$2:$A$164,0),10), C557 = "D",INDEX(D!$A$2:$L$268,MATCH($A557,D!$A$2:$A$268,0),10),C557="G",INDEX(G!$A$2:$Q$78,MATCH($A557,G!$A$2:$A$78,0),16),C557="F",INDEX(F!$A$2:$K$494,MATCH($A557,F!$A$2:$A$494,0),10))</f>
        <v>140</v>
      </c>
      <c r="G557" t="str">
        <f>_xlfn.CONCAT(C557,Table16[[#This Row],[Pos Rank2]])</f>
        <v>LW140</v>
      </c>
      <c r="H557" s="10">
        <f>MAX(_xlfn.IFNA(INDEX(Proj[],MATCH(Table16[[#This Row],[Player]],Proj[Player],0),29),-5000), _xlfn.IFNA(INDEX(Goalie[],MATCH(Table16[[#This Row],[Player]],Goalie[player],0),19),-5000))</f>
        <v>-268.01399173029552</v>
      </c>
      <c r="I557" t="str">
        <f>IF(_xlfn.IFNA(INDEX(Proj[],MATCH(Table16[[#This Row],[Player]],Proj[Player],0),31),INDEX(Goalie[],MATCH(Table16[[#This Row],[Player]],Goalie[player],0),20)) = 0, "",_xlfn.IFNA(INDEX(Proj[],MATCH(Table16[[#This Row],[Player]],Proj[Player],0),31),INDEX(Goalie[],MATCH(Table16[[#This Row],[Player]],Goalie[player],0),20)))</f>
        <v/>
      </c>
    </row>
    <row r="558" spans="1:9" x14ac:dyDescent="0.25">
      <c r="A558" t="s">
        <v>1123</v>
      </c>
      <c r="B558" s="2" t="s">
        <v>105</v>
      </c>
      <c r="C558" t="str">
        <f t="shared" si="8"/>
        <v>RW</v>
      </c>
      <c r="D558" s="10">
        <f>MAX(_xlfn.IFNA(INDEX(Proj[],MATCH(Table16[[#This Row],[Player]],Proj[Player],0),27),-5000), _xlfn.IFNA(INDEX(Goalie[],MATCH(Table16[[#This Row],[Player]],Goalie[player],0),17),-5000))</f>
        <v>-613.74423087685625</v>
      </c>
      <c r="E558">
        <f>_xlfn.RANK.EQ(Table16[[#This Row],[VOR]],Table16[VOR])</f>
        <v>557</v>
      </c>
      <c r="F558" cm="1">
        <f t="array" ref="F558">_xlfn.IFS(C558 = "C",INDEX('C'!$A$2:$L$254,MATCH($A558,'C'!$A$2:$A$254,0),10),C558 = "LW",INDEX(LW!$A$2:$K$180,MATCH($A558,LW!$A$2:$A$180,0),10),C558 = "RW",INDEX('RW'!$A$2:$L$164,MATCH($A558,'RW'!$A$2:$A$164,0),10), C558 = "D",INDEX(D!$A$2:$L$268,MATCH($A558,D!$A$2:$A$268,0),10),C558="G",INDEX(G!$A$2:$Q$78,MATCH($A558,G!$A$2:$A$78,0),16),C558="F",INDEX(F!$A$2:$K$494,MATCH($A558,F!$A$2:$A$494,0),10))</f>
        <v>109</v>
      </c>
      <c r="G558" t="str">
        <f>_xlfn.CONCAT(C558,Table16[[#This Row],[Pos Rank2]])</f>
        <v>RW109</v>
      </c>
      <c r="H558" s="10">
        <f>MAX(_xlfn.IFNA(INDEX(Proj[],MATCH(Table16[[#This Row],[Player]],Proj[Player],0),29),-5000), _xlfn.IFNA(INDEX(Goalie[],MATCH(Table16[[#This Row],[Player]],Goalie[player],0),19),-5000))</f>
        <v>-167.19950648660742</v>
      </c>
      <c r="I558" t="str">
        <f>IF(_xlfn.IFNA(INDEX(Proj[],MATCH(Table16[[#This Row],[Player]],Proj[Player],0),31),INDEX(Goalie[],MATCH(Table16[[#This Row],[Player]],Goalie[player],0),20)) = 0, "",_xlfn.IFNA(INDEX(Proj[],MATCH(Table16[[#This Row],[Player]],Proj[Player],0),31),INDEX(Goalie[],MATCH(Table16[[#This Row],[Player]],Goalie[player],0),20)))</f>
        <v/>
      </c>
    </row>
    <row r="559" spans="1:9" x14ac:dyDescent="0.25">
      <c r="A559" t="s">
        <v>500</v>
      </c>
      <c r="B559" s="2" t="s">
        <v>74</v>
      </c>
      <c r="C559" t="str">
        <f t="shared" si="8"/>
        <v>C</v>
      </c>
      <c r="D559" s="10">
        <f>MAX(_xlfn.IFNA(INDEX(Proj[],MATCH(Table16[[#This Row],[Player]],Proj[Player],0),27),-5000), _xlfn.IFNA(INDEX(Goalie[],MATCH(Table16[[#This Row],[Player]],Goalie[player],0),17),-5000))</f>
        <v>-789.54041635555984</v>
      </c>
      <c r="E559">
        <f>_xlfn.RANK.EQ(Table16[[#This Row],[VOR]],Table16[VOR])</f>
        <v>654</v>
      </c>
      <c r="F559" cm="1">
        <f t="array" ref="F559">_xlfn.IFS(C559 = "C",INDEX('C'!$A$2:$L$254,MATCH($A559,'C'!$A$2:$A$254,0),10),C559 = "LW",INDEX(LW!$A$2:$K$180,MATCH($A559,LW!$A$2:$A$180,0),10),C559 = "RW",INDEX('RW'!$A$2:$L$164,MATCH($A559,'RW'!$A$2:$A$164,0),10), C559 = "D",INDEX(D!$A$2:$L$268,MATCH($A559,D!$A$2:$A$268,0),10),C559="G",INDEX(G!$A$2:$Q$78,MATCH($A559,G!$A$2:$A$78,0),16),C559="F",INDEX(F!$A$2:$K$494,MATCH($A559,F!$A$2:$A$494,0),10))</f>
        <v>155</v>
      </c>
      <c r="G559" t="str">
        <f>_xlfn.CONCAT(C559,Table16[[#This Row],[Pos Rank2]])</f>
        <v>C155</v>
      </c>
      <c r="H559" s="10">
        <f>MAX(_xlfn.IFNA(INDEX(Proj[],MATCH(Table16[[#This Row],[Player]],Proj[Player],0),29),-5000), _xlfn.IFNA(INDEX(Goalie[],MATCH(Table16[[#This Row],[Player]],Goalie[player],0),19),-5000))</f>
        <v>-54.90656204526119</v>
      </c>
      <c r="I559" t="str">
        <f>IF(_xlfn.IFNA(INDEX(Proj[],MATCH(Table16[[#This Row],[Player]],Proj[Player],0),31),INDEX(Goalie[],MATCH(Table16[[#This Row],[Player]],Goalie[player],0),20)) = 0, "",_xlfn.IFNA(INDEX(Proj[],MATCH(Table16[[#This Row],[Player]],Proj[Player],0),31),INDEX(Goalie[],MATCH(Table16[[#This Row],[Player]],Goalie[player],0),20)))</f>
        <v/>
      </c>
    </row>
    <row r="560" spans="1:9" x14ac:dyDescent="0.25">
      <c r="A560" t="s">
        <v>874</v>
      </c>
      <c r="B560" s="2" t="s">
        <v>3</v>
      </c>
      <c r="C560" t="str">
        <f t="shared" si="8"/>
        <v>D</v>
      </c>
      <c r="D560" s="10">
        <f>MAX(_xlfn.IFNA(INDEX(Proj[],MATCH(Table16[[#This Row],[Player]],Proj[Player],0),27),-5000), _xlfn.IFNA(INDEX(Goalie[],MATCH(Table16[[#This Row],[Player]],Goalie[player],0),17),-5000))</f>
        <v>-562.03756046344643</v>
      </c>
      <c r="E560">
        <f>_xlfn.RANK.EQ(Table16[[#This Row],[VOR]],Table16[VOR])</f>
        <v>530</v>
      </c>
      <c r="F560" cm="1">
        <f t="array" ref="F560">_xlfn.IFS(C560 = "C",INDEX('C'!$A$2:$L$254,MATCH($A560,'C'!$A$2:$A$254,0),10),C560 = "LW",INDEX(LW!$A$2:$K$180,MATCH($A560,LW!$A$2:$A$180,0),10),C560 = "RW",INDEX('RW'!$A$2:$L$164,MATCH($A560,'RW'!$A$2:$A$164,0),10), C560 = "D",INDEX(D!$A$2:$L$268,MATCH($A560,D!$A$2:$A$268,0),10),C560="G",INDEX(G!$A$2:$Q$78,MATCH($A560,G!$A$2:$A$78,0),16),C560="F",INDEX(F!$A$2:$K$494,MATCH($A560,F!$A$2:$A$494,0),10))</f>
        <v>210</v>
      </c>
      <c r="G560" t="str">
        <f>_xlfn.CONCAT(C560,Table16[[#This Row],[Pos Rank2]])</f>
        <v>D210</v>
      </c>
      <c r="H560" s="10">
        <f>MAX(_xlfn.IFNA(INDEX(Proj[],MATCH(Table16[[#This Row],[Player]],Proj[Player],0),29),-5000), _xlfn.IFNA(INDEX(Goalie[],MATCH(Table16[[#This Row],[Player]],Goalie[player],0),19),-5000))</f>
        <v>-454.67279274398197</v>
      </c>
      <c r="I560" t="str">
        <f>IF(_xlfn.IFNA(INDEX(Proj[],MATCH(Table16[[#This Row],[Player]],Proj[Player],0),31),INDEX(Goalie[],MATCH(Table16[[#This Row],[Player]],Goalie[player],0),20)) = 0, "",_xlfn.IFNA(INDEX(Proj[],MATCH(Table16[[#This Row],[Player]],Proj[Player],0),31),INDEX(Goalie[],MATCH(Table16[[#This Row],[Player]],Goalie[player],0),20)))</f>
        <v/>
      </c>
    </row>
    <row r="561" spans="1:9" x14ac:dyDescent="0.25">
      <c r="A561" t="s">
        <v>573</v>
      </c>
      <c r="B561" s="2" t="s">
        <v>3</v>
      </c>
      <c r="C561" t="str">
        <f t="shared" si="8"/>
        <v>D</v>
      </c>
      <c r="D561" s="10">
        <f>MAX(_xlfn.IFNA(INDEX(Proj[],MATCH(Table16[[#This Row],[Player]],Proj[Player],0),27),-5000), _xlfn.IFNA(INDEX(Goalie[],MATCH(Table16[[#This Row],[Player]],Goalie[player],0),17),-5000))</f>
        <v>-562.03327161675315</v>
      </c>
      <c r="E561">
        <f>_xlfn.RANK.EQ(Table16[[#This Row],[VOR]],Table16[VOR])</f>
        <v>529</v>
      </c>
      <c r="F561" cm="1">
        <f t="array" ref="F561">_xlfn.IFS(C561 = "C",INDEX('C'!$A$2:$L$254,MATCH($A561,'C'!$A$2:$A$254,0),10),C561 = "LW",INDEX(LW!$A$2:$K$180,MATCH($A561,LW!$A$2:$A$180,0),10),C561 = "RW",INDEX('RW'!$A$2:$L$164,MATCH($A561,'RW'!$A$2:$A$164,0),10), C561 = "D",INDEX(D!$A$2:$L$268,MATCH($A561,D!$A$2:$A$268,0),10),C561="G",INDEX(G!$A$2:$Q$78,MATCH($A561,G!$A$2:$A$78,0),16),C561="F",INDEX(F!$A$2:$K$494,MATCH($A561,F!$A$2:$A$494,0),10))</f>
        <v>209</v>
      </c>
      <c r="G561" t="str">
        <f>_xlfn.CONCAT(C561,Table16[[#This Row],[Pos Rank2]])</f>
        <v>D209</v>
      </c>
      <c r="H561" s="10">
        <f>MAX(_xlfn.IFNA(INDEX(Proj[],MATCH(Table16[[#This Row],[Player]],Proj[Player],0),29),-5000), _xlfn.IFNA(INDEX(Goalie[],MATCH(Table16[[#This Row],[Player]],Goalie[player],0),19),-5000))</f>
        <v>-454.6685038972887</v>
      </c>
      <c r="I561" t="str">
        <f>IF(_xlfn.IFNA(INDEX(Proj[],MATCH(Table16[[#This Row],[Player]],Proj[Player],0),31),INDEX(Goalie[],MATCH(Table16[[#This Row],[Player]],Goalie[player],0),20)) = 0, "",_xlfn.IFNA(INDEX(Proj[],MATCH(Table16[[#This Row],[Player]],Proj[Player],0),31),INDEX(Goalie[],MATCH(Table16[[#This Row],[Player]],Goalie[player],0),20)))</f>
        <v/>
      </c>
    </row>
    <row r="562" spans="1:9" x14ac:dyDescent="0.25">
      <c r="A562" t="s">
        <v>944</v>
      </c>
      <c r="B562" s="2" t="s">
        <v>3</v>
      </c>
      <c r="C562" t="str">
        <f t="shared" si="8"/>
        <v>D</v>
      </c>
      <c r="D562" s="10">
        <f>MAX(_xlfn.IFNA(INDEX(Proj[],MATCH(Table16[[#This Row],[Player]],Proj[Player],0),27),-5000), _xlfn.IFNA(INDEX(Goalie[],MATCH(Table16[[#This Row],[Player]],Goalie[player],0),17),-5000))</f>
        <v>-565.2861893432339</v>
      </c>
      <c r="E562">
        <f>_xlfn.RANK.EQ(Table16[[#This Row],[VOR]],Table16[VOR])</f>
        <v>533</v>
      </c>
      <c r="F562" cm="1">
        <f t="array" ref="F562">_xlfn.IFS(C562 = "C",INDEX('C'!$A$2:$L$254,MATCH($A562,'C'!$A$2:$A$254,0),10),C562 = "LW",INDEX(LW!$A$2:$K$180,MATCH($A562,LW!$A$2:$A$180,0),10),C562 = "RW",INDEX('RW'!$A$2:$L$164,MATCH($A562,'RW'!$A$2:$A$164,0),10), C562 = "D",INDEX(D!$A$2:$L$268,MATCH($A562,D!$A$2:$A$268,0),10),C562="G",INDEX(G!$A$2:$Q$78,MATCH($A562,G!$A$2:$A$78,0),16),C562="F",INDEX(F!$A$2:$K$494,MATCH($A562,F!$A$2:$A$494,0),10))</f>
        <v>211</v>
      </c>
      <c r="G562" t="str">
        <f>_xlfn.CONCAT(C562,Table16[[#This Row],[Pos Rank2]])</f>
        <v>D211</v>
      </c>
      <c r="H562" s="10">
        <f>MAX(_xlfn.IFNA(INDEX(Proj[],MATCH(Table16[[#This Row],[Player]],Proj[Player],0),29),-5000), _xlfn.IFNA(INDEX(Goalie[],MATCH(Table16[[#This Row],[Player]],Goalie[player],0),19),-5000))</f>
        <v>-457.92142162376945</v>
      </c>
      <c r="I562" t="str">
        <f>IF(_xlfn.IFNA(INDEX(Proj[],MATCH(Table16[[#This Row],[Player]],Proj[Player],0),31),INDEX(Goalie[],MATCH(Table16[[#This Row],[Player]],Goalie[player],0),20)) = 0, "",_xlfn.IFNA(INDEX(Proj[],MATCH(Table16[[#This Row],[Player]],Proj[Player],0),31),INDEX(Goalie[],MATCH(Table16[[#This Row],[Player]],Goalie[player],0),20)))</f>
        <v/>
      </c>
    </row>
    <row r="563" spans="1:9" x14ac:dyDescent="0.25">
      <c r="A563" t="s">
        <v>647</v>
      </c>
      <c r="B563" s="2" t="s">
        <v>74</v>
      </c>
      <c r="C563" t="str">
        <f t="shared" si="8"/>
        <v>C</v>
      </c>
      <c r="D563" s="10">
        <f>MAX(_xlfn.IFNA(INDEX(Proj[],MATCH(Table16[[#This Row],[Player]],Proj[Player],0),27),-5000), _xlfn.IFNA(INDEX(Goalie[],MATCH(Table16[[#This Row],[Player]],Goalie[player],0),17),-5000))</f>
        <v>-673.35022641505975</v>
      </c>
      <c r="E563">
        <f>_xlfn.RANK.EQ(Table16[[#This Row],[VOR]],Table16[VOR])</f>
        <v>586</v>
      </c>
      <c r="F563" cm="1">
        <f t="array" ref="F563">_xlfn.IFS(C563 = "C",INDEX('C'!$A$2:$L$254,MATCH($A563,'C'!$A$2:$A$254,0),10),C563 = "LW",INDEX(LW!$A$2:$K$180,MATCH($A563,LW!$A$2:$A$180,0),10),C563 = "RW",INDEX('RW'!$A$2:$L$164,MATCH($A563,'RW'!$A$2:$A$164,0),10), C563 = "D",INDEX(D!$A$2:$L$268,MATCH($A563,D!$A$2:$A$268,0),10),C563="G",INDEX(G!$A$2:$Q$78,MATCH($A563,G!$A$2:$A$78,0),16),C563="F",INDEX(F!$A$2:$K$494,MATCH($A563,F!$A$2:$A$494,0),10))</f>
        <v>134</v>
      </c>
      <c r="G563" t="str">
        <f>_xlfn.CONCAT(C563,Table16[[#This Row],[Pos Rank2]])</f>
        <v>C134</v>
      </c>
      <c r="H563" s="10">
        <f>MAX(_xlfn.IFNA(INDEX(Proj[],MATCH(Table16[[#This Row],[Player]],Proj[Player],0),29),-5000), _xlfn.IFNA(INDEX(Goalie[],MATCH(Table16[[#This Row],[Player]],Goalie[player],0),19),-5000))</f>
        <v>61.283627895238865</v>
      </c>
      <c r="I563" t="str">
        <f>IF(_xlfn.IFNA(INDEX(Proj[],MATCH(Table16[[#This Row],[Player]],Proj[Player],0),31),INDEX(Goalie[],MATCH(Table16[[#This Row],[Player]],Goalie[player],0),20)) = 0, "",_xlfn.IFNA(INDEX(Proj[],MATCH(Table16[[#This Row],[Player]],Proj[Player],0),31),INDEX(Goalie[],MATCH(Table16[[#This Row],[Player]],Goalie[player],0),20)))</f>
        <v/>
      </c>
    </row>
    <row r="564" spans="1:9" x14ac:dyDescent="0.25">
      <c r="A564" t="s">
        <v>544</v>
      </c>
      <c r="B564" s="2" t="s">
        <v>3</v>
      </c>
      <c r="C564" t="str">
        <f t="shared" si="8"/>
        <v>D</v>
      </c>
      <c r="D564" s="10">
        <f>MAX(_xlfn.IFNA(INDEX(Proj[],MATCH(Table16[[#This Row],[Player]],Proj[Player],0),27),-5000), _xlfn.IFNA(INDEX(Goalie[],MATCH(Table16[[#This Row],[Player]],Goalie[player],0),17),-5000))</f>
        <v>-566.52460674504118</v>
      </c>
      <c r="E564">
        <f>_xlfn.RANK.EQ(Table16[[#This Row],[VOR]],Table16[VOR])</f>
        <v>535</v>
      </c>
      <c r="F564" cm="1">
        <f t="array" ref="F564">_xlfn.IFS(C564 = "C",INDEX('C'!$A$2:$L$254,MATCH($A564,'C'!$A$2:$A$254,0),10),C564 = "LW",INDEX(LW!$A$2:$K$180,MATCH($A564,LW!$A$2:$A$180,0),10),C564 = "RW",INDEX('RW'!$A$2:$L$164,MATCH($A564,'RW'!$A$2:$A$164,0),10), C564 = "D",INDEX(D!$A$2:$L$268,MATCH($A564,D!$A$2:$A$268,0),10),C564="G",INDEX(G!$A$2:$Q$78,MATCH($A564,G!$A$2:$A$78,0),16),C564="F",INDEX(F!$A$2:$K$494,MATCH($A564,F!$A$2:$A$494,0),10))</f>
        <v>212</v>
      </c>
      <c r="G564" t="str">
        <f>_xlfn.CONCAT(C564,Table16[[#This Row],[Pos Rank2]])</f>
        <v>D212</v>
      </c>
      <c r="H564" s="10">
        <f>MAX(_xlfn.IFNA(INDEX(Proj[],MATCH(Table16[[#This Row],[Player]],Proj[Player],0),29),-5000), _xlfn.IFNA(INDEX(Goalie[],MATCH(Table16[[#This Row],[Player]],Goalie[player],0),19),-5000))</f>
        <v>-459.15983902557667</v>
      </c>
      <c r="I564" t="str">
        <f>IF(_xlfn.IFNA(INDEX(Proj[],MATCH(Table16[[#This Row],[Player]],Proj[Player],0),31),INDEX(Goalie[],MATCH(Table16[[#This Row],[Player]],Goalie[player],0),20)) = 0, "",_xlfn.IFNA(INDEX(Proj[],MATCH(Table16[[#This Row],[Player]],Proj[Player],0),31),INDEX(Goalie[],MATCH(Table16[[#This Row],[Player]],Goalie[player],0),20)))</f>
        <v/>
      </c>
    </row>
    <row r="565" spans="1:9" x14ac:dyDescent="0.25">
      <c r="A565" t="s">
        <v>798</v>
      </c>
      <c r="B565" s="2" t="s">
        <v>103</v>
      </c>
      <c r="C565" t="str">
        <f t="shared" si="8"/>
        <v>RW</v>
      </c>
      <c r="D565" s="10">
        <f>MAX(_xlfn.IFNA(INDEX(Proj[],MATCH(Table16[[#This Row],[Player]],Proj[Player],0),27),-5000), _xlfn.IFNA(INDEX(Goalie[],MATCH(Table16[[#This Row],[Player]],Goalie[player],0),17),-5000))</f>
        <v>-647.20487223764292</v>
      </c>
      <c r="E565">
        <f>_xlfn.RANK.EQ(Table16[[#This Row],[VOR]],Table16[VOR])</f>
        <v>570</v>
      </c>
      <c r="F565" cm="1">
        <f t="array" ref="F565">_xlfn.IFS(C565 = "C",INDEX('C'!$A$2:$L$254,MATCH($A565,'C'!$A$2:$A$254,0),10),C565 = "LW",INDEX(LW!$A$2:$K$180,MATCH($A565,LW!$A$2:$A$180,0),10),C565 = "RW",INDEX('RW'!$A$2:$L$164,MATCH($A565,'RW'!$A$2:$A$164,0),10), C565 = "D",INDEX(D!$A$2:$L$268,MATCH($A565,D!$A$2:$A$268,0),10),C565="G",INDEX(G!$A$2:$Q$78,MATCH($A565,G!$A$2:$A$78,0),16),C565="F",INDEX(F!$A$2:$K$494,MATCH($A565,F!$A$2:$A$494,0),10))</f>
        <v>112</v>
      </c>
      <c r="G565" t="str">
        <f>_xlfn.CONCAT(C565,Table16[[#This Row],[Pos Rank2]])</f>
        <v>RW112</v>
      </c>
      <c r="H565" s="10">
        <f>MAX(_xlfn.IFNA(INDEX(Proj[],MATCH(Table16[[#This Row],[Player]],Proj[Player],0),29),-5000), _xlfn.IFNA(INDEX(Goalie[],MATCH(Table16[[#This Row],[Player]],Goalie[player],0),19),-5000))</f>
        <v>-200.66014784739403</v>
      </c>
      <c r="I565" t="str">
        <f>IF(_xlfn.IFNA(INDEX(Proj[],MATCH(Table16[[#This Row],[Player]],Proj[Player],0),31),INDEX(Goalie[],MATCH(Table16[[#This Row],[Player]],Goalie[player],0),20)) = 0, "",_xlfn.IFNA(INDEX(Proj[],MATCH(Table16[[#This Row],[Player]],Proj[Player],0),31),INDEX(Goalie[],MATCH(Table16[[#This Row],[Player]],Goalie[player],0),20)))</f>
        <v/>
      </c>
    </row>
    <row r="566" spans="1:9" x14ac:dyDescent="0.25">
      <c r="A566" t="s">
        <v>991</v>
      </c>
      <c r="B566" s="2" t="s">
        <v>102</v>
      </c>
      <c r="C566" t="str">
        <f t="shared" si="8"/>
        <v>LW</v>
      </c>
      <c r="D566" s="10">
        <f>MAX(_xlfn.IFNA(INDEX(Proj[],MATCH(Table16[[#This Row],[Player]],Proj[Player],0),27),-5000), _xlfn.IFNA(INDEX(Goalie[],MATCH(Table16[[#This Row],[Player]],Goalie[player],0),17),-5000))</f>
        <v>-646.64098819515436</v>
      </c>
      <c r="E566">
        <f>_xlfn.RANK.EQ(Table16[[#This Row],[VOR]],Table16[VOR])</f>
        <v>569</v>
      </c>
      <c r="F566" cm="1">
        <f t="array" ref="F566">_xlfn.IFS(C566 = "C",INDEX('C'!$A$2:$L$254,MATCH($A566,'C'!$A$2:$A$254,0),10),C566 = "LW",INDEX(LW!$A$2:$K$180,MATCH($A566,LW!$A$2:$A$180,0),10),C566 = "RW",INDEX('RW'!$A$2:$L$164,MATCH($A566,'RW'!$A$2:$A$164,0),10), C566 = "D",INDEX(D!$A$2:$L$268,MATCH($A566,D!$A$2:$A$268,0),10),C566="G",INDEX(G!$A$2:$Q$78,MATCH($A566,G!$A$2:$A$78,0),16),C566="F",INDEX(F!$A$2:$K$494,MATCH($A566,F!$A$2:$A$494,0),10))</f>
        <v>125</v>
      </c>
      <c r="G566" t="str">
        <f>_xlfn.CONCAT(C566,Table16[[#This Row],[Pos Rank2]])</f>
        <v>LW125</v>
      </c>
      <c r="H566" s="10">
        <f>MAX(_xlfn.IFNA(INDEX(Proj[],MATCH(Table16[[#This Row],[Player]],Proj[Player],0),29),-5000), _xlfn.IFNA(INDEX(Goalie[],MATCH(Table16[[#This Row],[Player]],Goalie[player],0),19),-5000))</f>
        <v>-175.09626380490548</v>
      </c>
      <c r="I566" t="str">
        <f>IF(_xlfn.IFNA(INDEX(Proj[],MATCH(Table16[[#This Row],[Player]],Proj[Player],0),31),INDEX(Goalie[],MATCH(Table16[[#This Row],[Player]],Goalie[player],0),20)) = 0, "",_xlfn.IFNA(INDEX(Proj[],MATCH(Table16[[#This Row],[Player]],Proj[Player],0),31),INDEX(Goalie[],MATCH(Table16[[#This Row],[Player]],Goalie[player],0),20)))</f>
        <v/>
      </c>
    </row>
    <row r="567" spans="1:9" x14ac:dyDescent="0.25">
      <c r="A567" t="s">
        <v>1223</v>
      </c>
      <c r="B567" s="2" t="s">
        <v>3</v>
      </c>
      <c r="C567" t="str">
        <f t="shared" si="8"/>
        <v>D</v>
      </c>
      <c r="D567" s="10">
        <f>MAX(_xlfn.IFNA(INDEX(Proj[],MATCH(Table16[[#This Row],[Player]],Proj[Player],0),27),-5000), _xlfn.IFNA(INDEX(Goalie[],MATCH(Table16[[#This Row],[Player]],Goalie[player],0),17),-5000))</f>
        <v>-575.92235521097473</v>
      </c>
      <c r="E567">
        <f>_xlfn.RANK.EQ(Table16[[#This Row],[VOR]],Table16[VOR])</f>
        <v>539</v>
      </c>
      <c r="F567" cm="1">
        <f t="array" ref="F567">_xlfn.IFS(C567 = "C",INDEX('C'!$A$2:$L$254,MATCH($A567,'C'!$A$2:$A$254,0),10),C567 = "LW",INDEX(LW!$A$2:$K$180,MATCH($A567,LW!$A$2:$A$180,0),10),C567 = "RW",INDEX('RW'!$A$2:$L$164,MATCH($A567,'RW'!$A$2:$A$164,0),10), C567 = "D",INDEX(D!$A$2:$L$268,MATCH($A567,D!$A$2:$A$268,0),10),C567="G",INDEX(G!$A$2:$Q$78,MATCH($A567,G!$A$2:$A$78,0),16),C567="F",INDEX(F!$A$2:$K$494,MATCH($A567,F!$A$2:$A$494,0),10))</f>
        <v>213</v>
      </c>
      <c r="G567" t="str">
        <f>_xlfn.CONCAT(C567,Table16[[#This Row],[Pos Rank2]])</f>
        <v>D213</v>
      </c>
      <c r="H567" s="10">
        <f>MAX(_xlfn.IFNA(INDEX(Proj[],MATCH(Table16[[#This Row],[Player]],Proj[Player],0),29),-5000), _xlfn.IFNA(INDEX(Goalie[],MATCH(Table16[[#This Row],[Player]],Goalie[player],0),19),-5000))</f>
        <v>-468.55758749151022</v>
      </c>
      <c r="I567" t="str">
        <f>IF(_xlfn.IFNA(INDEX(Proj[],MATCH(Table16[[#This Row],[Player]],Proj[Player],0),31),INDEX(Goalie[],MATCH(Table16[[#This Row],[Player]],Goalie[player],0),20)) = 0, "",_xlfn.IFNA(INDEX(Proj[],MATCH(Table16[[#This Row],[Player]],Proj[Player],0),31),INDEX(Goalie[],MATCH(Table16[[#This Row],[Player]],Goalie[player],0),20)))</f>
        <v/>
      </c>
    </row>
    <row r="568" spans="1:9" x14ac:dyDescent="0.25">
      <c r="A568" t="s">
        <v>670</v>
      </c>
      <c r="B568" s="2" t="s">
        <v>105</v>
      </c>
      <c r="C568" t="str">
        <f t="shared" si="8"/>
        <v>RW</v>
      </c>
      <c r="D568" s="10">
        <f>MAX(_xlfn.IFNA(INDEX(Proj[],MATCH(Table16[[#This Row],[Player]],Proj[Player],0),27),-5000), _xlfn.IFNA(INDEX(Goalie[],MATCH(Table16[[#This Row],[Player]],Goalie[player],0),17),-5000))</f>
        <v>-643.12301004322478</v>
      </c>
      <c r="E568">
        <f>_xlfn.RANK.EQ(Table16[[#This Row],[VOR]],Table16[VOR])</f>
        <v>568</v>
      </c>
      <c r="F568" cm="1">
        <f t="array" ref="F568">_xlfn.IFS(C568 = "C",INDEX('C'!$A$2:$L$254,MATCH($A568,'C'!$A$2:$A$254,0),10),C568 = "LW",INDEX(LW!$A$2:$K$180,MATCH($A568,LW!$A$2:$A$180,0),10),C568 = "RW",INDEX('RW'!$A$2:$L$164,MATCH($A568,'RW'!$A$2:$A$164,0),10), C568 = "D",INDEX(D!$A$2:$L$268,MATCH($A568,D!$A$2:$A$268,0),10),C568="G",INDEX(G!$A$2:$Q$78,MATCH($A568,G!$A$2:$A$78,0),16),C568="F",INDEX(F!$A$2:$K$494,MATCH($A568,F!$A$2:$A$494,0),10))</f>
        <v>111</v>
      </c>
      <c r="G568" t="str">
        <f>_xlfn.CONCAT(C568,Table16[[#This Row],[Pos Rank2]])</f>
        <v>RW111</v>
      </c>
      <c r="H568" s="10">
        <f>MAX(_xlfn.IFNA(INDEX(Proj[],MATCH(Table16[[#This Row],[Player]],Proj[Player],0),29),-5000), _xlfn.IFNA(INDEX(Goalie[],MATCH(Table16[[#This Row],[Player]],Goalie[player],0),19),-5000))</f>
        <v>-196.57828565297595</v>
      </c>
      <c r="I568" t="str">
        <f>IF(_xlfn.IFNA(INDEX(Proj[],MATCH(Table16[[#This Row],[Player]],Proj[Player],0),31),INDEX(Goalie[],MATCH(Table16[[#This Row],[Player]],Goalie[player],0),20)) = 0, "",_xlfn.IFNA(INDEX(Proj[],MATCH(Table16[[#This Row],[Player]],Proj[Player],0),31),INDEX(Goalie[],MATCH(Table16[[#This Row],[Player]],Goalie[player],0),20)))</f>
        <v/>
      </c>
    </row>
    <row r="569" spans="1:9" x14ac:dyDescent="0.25">
      <c r="A569" t="s">
        <v>548</v>
      </c>
      <c r="B569" s="2" t="s">
        <v>74</v>
      </c>
      <c r="C569" t="str">
        <f t="shared" si="8"/>
        <v>C</v>
      </c>
      <c r="D569" s="10">
        <f>MAX(_xlfn.IFNA(INDEX(Proj[],MATCH(Table16[[#This Row],[Player]],Proj[Player],0),27),-5000), _xlfn.IFNA(INDEX(Goalie[],MATCH(Table16[[#This Row],[Player]],Goalie[player],0),17),-5000))</f>
        <v>-459.78769050532605</v>
      </c>
      <c r="E569">
        <f>_xlfn.RANK.EQ(Table16[[#This Row],[VOR]],Table16[VOR])</f>
        <v>465</v>
      </c>
      <c r="F569" cm="1">
        <f t="array" ref="F569">_xlfn.IFS(C569 = "C",INDEX('C'!$A$2:$L$254,MATCH($A569,'C'!$A$2:$A$254,0),10),C569 = "LW",INDEX(LW!$A$2:$K$180,MATCH($A569,LW!$A$2:$A$180,0),10),C569 = "RW",INDEX('RW'!$A$2:$L$164,MATCH($A569,'RW'!$A$2:$A$164,0),10), C569 = "D",INDEX(D!$A$2:$L$268,MATCH($A569,D!$A$2:$A$268,0),10),C569="G",INDEX(G!$A$2:$Q$78,MATCH($A569,G!$A$2:$A$78,0),16),C569="F",INDEX(F!$A$2:$K$494,MATCH($A569,F!$A$2:$A$494,0),10))</f>
        <v>95</v>
      </c>
      <c r="G569" t="str">
        <f>_xlfn.CONCAT(C569,Table16[[#This Row],[Pos Rank2]])</f>
        <v>C95</v>
      </c>
      <c r="H569" s="10">
        <f>MAX(_xlfn.IFNA(INDEX(Proj[],MATCH(Table16[[#This Row],[Player]],Proj[Player],0),29),-5000), _xlfn.IFNA(INDEX(Goalie[],MATCH(Table16[[#This Row],[Player]],Goalie[player],0),19),-5000))</f>
        <v>274.84616380497255</v>
      </c>
      <c r="I569" t="str">
        <f>IF(_xlfn.IFNA(INDEX(Proj[],MATCH(Table16[[#This Row],[Player]],Proj[Player],0),31),INDEX(Goalie[],MATCH(Table16[[#This Row],[Player]],Goalie[player],0),20)) = 0, "",_xlfn.IFNA(INDEX(Proj[],MATCH(Table16[[#This Row],[Player]],Proj[Player],0),31),INDEX(Goalie[],MATCH(Table16[[#This Row],[Player]],Goalie[player],0),20)))</f>
        <v/>
      </c>
    </row>
    <row r="570" spans="1:9" x14ac:dyDescent="0.25">
      <c r="A570" t="s">
        <v>739</v>
      </c>
      <c r="B570" s="2" t="s">
        <v>102</v>
      </c>
      <c r="C570" t="str">
        <f t="shared" si="8"/>
        <v>LW</v>
      </c>
      <c r="D570" s="10">
        <f>MAX(_xlfn.IFNA(INDEX(Proj[],MATCH(Table16[[#This Row],[Player]],Proj[Player],0),27),-5000), _xlfn.IFNA(INDEX(Goalie[],MATCH(Table16[[#This Row],[Player]],Goalie[player],0),17),-5000))</f>
        <v>-636.4416813852888</v>
      </c>
      <c r="E570">
        <f>_xlfn.RANK.EQ(Table16[[#This Row],[VOR]],Table16[VOR])</f>
        <v>563</v>
      </c>
      <c r="F570" cm="1">
        <f t="array" ref="F570">_xlfn.IFS(C570 = "C",INDEX('C'!$A$2:$L$254,MATCH($A570,'C'!$A$2:$A$254,0),10),C570 = "LW",INDEX(LW!$A$2:$K$180,MATCH($A570,LW!$A$2:$A$180,0),10),C570 = "RW",INDEX('RW'!$A$2:$L$164,MATCH($A570,'RW'!$A$2:$A$164,0),10), C570 = "D",INDEX(D!$A$2:$L$268,MATCH($A570,D!$A$2:$A$268,0),10),C570="G",INDEX(G!$A$2:$Q$78,MATCH($A570,G!$A$2:$A$78,0),16),C570="F",INDEX(F!$A$2:$K$494,MATCH($A570,F!$A$2:$A$494,0),10))</f>
        <v>124</v>
      </c>
      <c r="G570" t="str">
        <f>_xlfn.CONCAT(C570,Table16[[#This Row],[Pos Rank2]])</f>
        <v>LW124</v>
      </c>
      <c r="H570" s="10">
        <f>MAX(_xlfn.IFNA(INDEX(Proj[],MATCH(Table16[[#This Row],[Player]],Proj[Player],0),29),-5000), _xlfn.IFNA(INDEX(Goalie[],MATCH(Table16[[#This Row],[Player]],Goalie[player],0),19),-5000))</f>
        <v>-164.89695699503989</v>
      </c>
      <c r="I570" t="str">
        <f>IF(_xlfn.IFNA(INDEX(Proj[],MATCH(Table16[[#This Row],[Player]],Proj[Player],0),31),INDEX(Goalie[],MATCH(Table16[[#This Row],[Player]],Goalie[player],0),20)) = 0, "",_xlfn.IFNA(INDEX(Proj[],MATCH(Table16[[#This Row],[Player]],Proj[Player],0),31),INDEX(Goalie[],MATCH(Table16[[#This Row],[Player]],Goalie[player],0),20)))</f>
        <v/>
      </c>
    </row>
    <row r="571" spans="1:9" x14ac:dyDescent="0.25">
      <c r="A571" t="s">
        <v>669</v>
      </c>
      <c r="B571" s="2" t="s">
        <v>101</v>
      </c>
      <c r="C571" t="str">
        <f t="shared" si="8"/>
        <v>LW</v>
      </c>
      <c r="D571" s="10">
        <f>MAX(_xlfn.IFNA(INDEX(Proj[],MATCH(Table16[[#This Row],[Player]],Proj[Player],0),27),-5000), _xlfn.IFNA(INDEX(Goalie[],MATCH(Table16[[#This Row],[Player]],Goalie[player],0),17),-5000))</f>
        <v>-588.39363812338445</v>
      </c>
      <c r="E571">
        <f>_xlfn.RANK.EQ(Table16[[#This Row],[VOR]],Table16[VOR])</f>
        <v>547</v>
      </c>
      <c r="F571" cm="1">
        <f t="array" ref="F571">_xlfn.IFS(C571 = "C",INDEX('C'!$A$2:$L$254,MATCH($A571,'C'!$A$2:$A$254,0),10),C571 = "LW",INDEX(LW!$A$2:$K$180,MATCH($A571,LW!$A$2:$A$180,0),10),C571 = "RW",INDEX('RW'!$A$2:$L$164,MATCH($A571,'RW'!$A$2:$A$164,0),10), C571 = "D",INDEX(D!$A$2:$L$268,MATCH($A571,D!$A$2:$A$268,0),10),C571="G",INDEX(G!$A$2:$Q$78,MATCH($A571,G!$A$2:$A$78,0),16),C571="F",INDEX(F!$A$2:$K$494,MATCH($A571,F!$A$2:$A$494,0),10))</f>
        <v>118</v>
      </c>
      <c r="G571" t="str">
        <f>_xlfn.CONCAT(C571,Table16[[#This Row],[Pos Rank2]])</f>
        <v>LW118</v>
      </c>
      <c r="H571" s="10">
        <f>MAX(_xlfn.IFNA(INDEX(Proj[],MATCH(Table16[[#This Row],[Player]],Proj[Player],0),29),-5000), _xlfn.IFNA(INDEX(Goalie[],MATCH(Table16[[#This Row],[Player]],Goalie[player],0),19),-5000))</f>
        <v>-116.84891373313562</v>
      </c>
      <c r="I571" t="str">
        <f>IF(_xlfn.IFNA(INDEX(Proj[],MATCH(Table16[[#This Row],[Player]],Proj[Player],0),31),INDEX(Goalie[],MATCH(Table16[[#This Row],[Player]],Goalie[player],0),20)) = 0, "",_xlfn.IFNA(INDEX(Proj[],MATCH(Table16[[#This Row],[Player]],Proj[Player],0),31),INDEX(Goalie[],MATCH(Table16[[#This Row],[Player]],Goalie[player],0),20)))</f>
        <v/>
      </c>
    </row>
    <row r="572" spans="1:9" x14ac:dyDescent="0.25">
      <c r="A572" t="s">
        <v>713</v>
      </c>
      <c r="B572" s="2" t="s">
        <v>3</v>
      </c>
      <c r="C572" t="str">
        <f t="shared" si="8"/>
        <v>D</v>
      </c>
      <c r="D572" s="10">
        <f>MAX(_xlfn.IFNA(INDEX(Proj[],MATCH(Table16[[#This Row],[Player]],Proj[Player],0),27),-5000), _xlfn.IFNA(INDEX(Goalie[],MATCH(Table16[[#This Row],[Player]],Goalie[player],0),17),-5000))</f>
        <v>-583.13859749593632</v>
      </c>
      <c r="E572">
        <f>_xlfn.RANK.EQ(Table16[[#This Row],[VOR]],Table16[VOR])</f>
        <v>543</v>
      </c>
      <c r="F572" cm="1">
        <f t="array" ref="F572">_xlfn.IFS(C572 = "C",INDEX('C'!$A$2:$L$254,MATCH($A572,'C'!$A$2:$A$254,0),10),C572 = "LW",INDEX(LW!$A$2:$K$180,MATCH($A572,LW!$A$2:$A$180,0),10),C572 = "RW",INDEX('RW'!$A$2:$L$164,MATCH($A572,'RW'!$A$2:$A$164,0),10), C572 = "D",INDEX(D!$A$2:$L$268,MATCH($A572,D!$A$2:$A$268,0),10),C572="G",INDEX(G!$A$2:$Q$78,MATCH($A572,G!$A$2:$A$78,0),16),C572="F",INDEX(F!$A$2:$K$494,MATCH($A572,F!$A$2:$A$494,0),10))</f>
        <v>214</v>
      </c>
      <c r="G572" t="str">
        <f>_xlfn.CONCAT(C572,Table16[[#This Row],[Pos Rank2]])</f>
        <v>D214</v>
      </c>
      <c r="H572" s="10">
        <f>MAX(_xlfn.IFNA(INDEX(Proj[],MATCH(Table16[[#This Row],[Player]],Proj[Player],0),29),-5000), _xlfn.IFNA(INDEX(Goalie[],MATCH(Table16[[#This Row],[Player]],Goalie[player],0),19),-5000))</f>
        <v>-475.77382977647187</v>
      </c>
      <c r="I572" t="str">
        <f>IF(_xlfn.IFNA(INDEX(Proj[],MATCH(Table16[[#This Row],[Player]],Proj[Player],0),31),INDEX(Goalie[],MATCH(Table16[[#This Row],[Player]],Goalie[player],0),20)) = 0, "",_xlfn.IFNA(INDEX(Proj[],MATCH(Table16[[#This Row],[Player]],Proj[Player],0),31),INDEX(Goalie[],MATCH(Table16[[#This Row],[Player]],Goalie[player],0),20)))</f>
        <v/>
      </c>
    </row>
    <row r="573" spans="1:9" x14ac:dyDescent="0.25">
      <c r="A573" t="s">
        <v>691</v>
      </c>
      <c r="B573" s="2" t="s">
        <v>3</v>
      </c>
      <c r="C573" t="str">
        <f t="shared" si="8"/>
        <v>D</v>
      </c>
      <c r="D573" s="10">
        <f>MAX(_xlfn.IFNA(INDEX(Proj[],MATCH(Table16[[#This Row],[Player]],Proj[Player],0),27),-5000), _xlfn.IFNA(INDEX(Goalie[],MATCH(Table16[[#This Row],[Player]],Goalie[player],0),17),-5000))</f>
        <v>-584.00486840962935</v>
      </c>
      <c r="E573">
        <f>_xlfn.RANK.EQ(Table16[[#This Row],[VOR]],Table16[VOR])</f>
        <v>545</v>
      </c>
      <c r="F573" cm="1">
        <f t="array" ref="F573">_xlfn.IFS(C573 = "C",INDEX('C'!$A$2:$L$254,MATCH($A573,'C'!$A$2:$A$254,0),10),C573 = "LW",INDEX(LW!$A$2:$K$180,MATCH($A573,LW!$A$2:$A$180,0),10),C573 = "RW",INDEX('RW'!$A$2:$L$164,MATCH($A573,'RW'!$A$2:$A$164,0),10), C573 = "D",INDEX(D!$A$2:$L$268,MATCH($A573,D!$A$2:$A$268,0),10),C573="G",INDEX(G!$A$2:$Q$78,MATCH($A573,G!$A$2:$A$78,0),16),C573="F",INDEX(F!$A$2:$K$494,MATCH($A573,F!$A$2:$A$494,0),10))</f>
        <v>215</v>
      </c>
      <c r="G573" t="str">
        <f>_xlfn.CONCAT(C573,Table16[[#This Row],[Pos Rank2]])</f>
        <v>D215</v>
      </c>
      <c r="H573" s="10">
        <f>MAX(_xlfn.IFNA(INDEX(Proj[],MATCH(Table16[[#This Row],[Player]],Proj[Player],0),29),-5000), _xlfn.IFNA(INDEX(Goalie[],MATCH(Table16[[#This Row],[Player]],Goalie[player],0),19),-5000))</f>
        <v>-476.64010069016484</v>
      </c>
      <c r="I573" t="str">
        <f>IF(_xlfn.IFNA(INDEX(Proj[],MATCH(Table16[[#This Row],[Player]],Proj[Player],0),31),INDEX(Goalie[],MATCH(Table16[[#This Row],[Player]],Goalie[player],0),20)) = 0, "",_xlfn.IFNA(INDEX(Proj[],MATCH(Table16[[#This Row],[Player]],Proj[Player],0),31),INDEX(Goalie[],MATCH(Table16[[#This Row],[Player]],Goalie[player],0),20)))</f>
        <v/>
      </c>
    </row>
    <row r="574" spans="1:9" x14ac:dyDescent="0.25">
      <c r="A574" t="s">
        <v>453</v>
      </c>
      <c r="B574" s="2" t="s">
        <v>102</v>
      </c>
      <c r="C574" t="str">
        <f t="shared" si="8"/>
        <v>LW</v>
      </c>
      <c r="D574" s="10">
        <f>MAX(_xlfn.IFNA(INDEX(Proj[],MATCH(Table16[[#This Row],[Player]],Proj[Player],0),27),-5000), _xlfn.IFNA(INDEX(Goalie[],MATCH(Table16[[#This Row],[Player]],Goalie[player],0),17),-5000))</f>
        <v>-660.18775113603317</v>
      </c>
      <c r="E574">
        <f>_xlfn.RANK.EQ(Table16[[#This Row],[VOR]],Table16[VOR])</f>
        <v>576</v>
      </c>
      <c r="F574" cm="1">
        <f t="array" ref="F574">_xlfn.IFS(C574 = "C",INDEX('C'!$A$2:$L$254,MATCH($A574,'C'!$A$2:$A$254,0),10),C574 = "LW",INDEX(LW!$A$2:$K$180,MATCH($A574,LW!$A$2:$A$180,0),10),C574 = "RW",INDEX('RW'!$A$2:$L$164,MATCH($A574,'RW'!$A$2:$A$164,0),10), C574 = "D",INDEX(D!$A$2:$L$268,MATCH($A574,D!$A$2:$A$268,0),10),C574="G",INDEX(G!$A$2:$Q$78,MATCH($A574,G!$A$2:$A$78,0),16),C574="F",INDEX(F!$A$2:$K$494,MATCH($A574,F!$A$2:$A$494,0),10))</f>
        <v>126</v>
      </c>
      <c r="G574" t="str">
        <f>_xlfn.CONCAT(C574,Table16[[#This Row],[Pos Rank2]])</f>
        <v>LW126</v>
      </c>
      <c r="H574" s="10">
        <f>MAX(_xlfn.IFNA(INDEX(Proj[],MATCH(Table16[[#This Row],[Player]],Proj[Player],0),29),-5000), _xlfn.IFNA(INDEX(Goalie[],MATCH(Table16[[#This Row],[Player]],Goalie[player],0),19),-5000))</f>
        <v>-188.64302674578431</v>
      </c>
      <c r="I574" t="str">
        <f>IF(_xlfn.IFNA(INDEX(Proj[],MATCH(Table16[[#This Row],[Player]],Proj[Player],0),31),INDEX(Goalie[],MATCH(Table16[[#This Row],[Player]],Goalie[player],0),20)) = 0, "",_xlfn.IFNA(INDEX(Proj[],MATCH(Table16[[#This Row],[Player]],Proj[Player],0),31),INDEX(Goalie[],MATCH(Table16[[#This Row],[Player]],Goalie[player],0),20)))</f>
        <v/>
      </c>
    </row>
    <row r="575" spans="1:9" x14ac:dyDescent="0.25">
      <c r="A575" t="s">
        <v>813</v>
      </c>
      <c r="B575" s="2" t="s">
        <v>103</v>
      </c>
      <c r="C575" t="str">
        <f t="shared" si="8"/>
        <v>RW</v>
      </c>
      <c r="D575" s="10">
        <f>MAX(_xlfn.IFNA(INDEX(Proj[],MATCH(Table16[[#This Row],[Player]],Proj[Player],0),27),-5000), _xlfn.IFNA(INDEX(Goalie[],MATCH(Table16[[#This Row],[Player]],Goalie[player],0),17),-5000))</f>
        <v>-669.31641992913649</v>
      </c>
      <c r="E575">
        <f>_xlfn.RANK.EQ(Table16[[#This Row],[VOR]],Table16[VOR])</f>
        <v>582</v>
      </c>
      <c r="F575" cm="1">
        <f t="array" ref="F575">_xlfn.IFS(C575 = "C",INDEX('C'!$A$2:$L$254,MATCH($A575,'C'!$A$2:$A$254,0),10),C575 = "LW",INDEX(LW!$A$2:$K$180,MATCH($A575,LW!$A$2:$A$180,0),10),C575 = "RW",INDEX('RW'!$A$2:$L$164,MATCH($A575,'RW'!$A$2:$A$164,0),10), C575 = "D",INDEX(D!$A$2:$L$268,MATCH($A575,D!$A$2:$A$268,0),10),C575="G",INDEX(G!$A$2:$Q$78,MATCH($A575,G!$A$2:$A$78,0),16),C575="F",INDEX(F!$A$2:$K$494,MATCH($A575,F!$A$2:$A$494,0),10))</f>
        <v>116</v>
      </c>
      <c r="G575" t="str">
        <f>_xlfn.CONCAT(C575,Table16[[#This Row],[Pos Rank2]])</f>
        <v>RW116</v>
      </c>
      <c r="H575" s="10">
        <f>MAX(_xlfn.IFNA(INDEX(Proj[],MATCH(Table16[[#This Row],[Player]],Proj[Player],0),29),-5000), _xlfn.IFNA(INDEX(Goalie[],MATCH(Table16[[#This Row],[Player]],Goalie[player],0),19),-5000))</f>
        <v>-222.77169553888766</v>
      </c>
      <c r="I575" t="str">
        <f>IF(_xlfn.IFNA(INDEX(Proj[],MATCH(Table16[[#This Row],[Player]],Proj[Player],0),31),INDEX(Goalie[],MATCH(Table16[[#This Row],[Player]],Goalie[player],0),20)) = 0, "",_xlfn.IFNA(INDEX(Proj[],MATCH(Table16[[#This Row],[Player]],Proj[Player],0),31),INDEX(Goalie[],MATCH(Table16[[#This Row],[Player]],Goalie[player],0),20)))</f>
        <v/>
      </c>
    </row>
    <row r="576" spans="1:9" x14ac:dyDescent="0.25">
      <c r="A576" t="s">
        <v>1068</v>
      </c>
      <c r="B576" s="2" t="s">
        <v>74</v>
      </c>
      <c r="C576" t="str">
        <f t="shared" si="8"/>
        <v>C</v>
      </c>
      <c r="D576" s="10">
        <f>MAX(_xlfn.IFNA(INDEX(Proj[],MATCH(Table16[[#This Row],[Player]],Proj[Player],0),27),-5000), _xlfn.IFNA(INDEX(Goalie[],MATCH(Table16[[#This Row],[Player]],Goalie[player],0),17),-5000))</f>
        <v>-763.74473318338187</v>
      </c>
      <c r="E576">
        <f>_xlfn.RANK.EQ(Table16[[#This Row],[VOR]],Table16[VOR])</f>
        <v>639</v>
      </c>
      <c r="F576" cm="1">
        <f t="array" ref="F576">_xlfn.IFS(C576 = "C",INDEX('C'!$A$2:$L$254,MATCH($A576,'C'!$A$2:$A$254,0),10),C576 = "LW",INDEX(LW!$A$2:$K$180,MATCH($A576,LW!$A$2:$A$180,0),10),C576 = "RW",INDEX('RW'!$A$2:$L$164,MATCH($A576,'RW'!$A$2:$A$164,0),10), C576 = "D",INDEX(D!$A$2:$L$268,MATCH($A576,D!$A$2:$A$268,0),10),C576="G",INDEX(G!$A$2:$Q$78,MATCH($A576,G!$A$2:$A$78,0),16),C576="F",INDEX(F!$A$2:$K$494,MATCH($A576,F!$A$2:$A$494,0),10))</f>
        <v>149</v>
      </c>
      <c r="G576" t="str">
        <f>_xlfn.CONCAT(C576,Table16[[#This Row],[Pos Rank2]])</f>
        <v>C149</v>
      </c>
      <c r="H576" s="10">
        <f>MAX(_xlfn.IFNA(INDEX(Proj[],MATCH(Table16[[#This Row],[Player]],Proj[Player],0),29),-5000), _xlfn.IFNA(INDEX(Goalie[],MATCH(Table16[[#This Row],[Player]],Goalie[player],0),19),-5000))</f>
        <v>-29.110878873083283</v>
      </c>
      <c r="I576" t="str">
        <f>IF(_xlfn.IFNA(INDEX(Proj[],MATCH(Table16[[#This Row],[Player]],Proj[Player],0),31),INDEX(Goalie[],MATCH(Table16[[#This Row],[Player]],Goalie[player],0),20)) = 0, "",_xlfn.IFNA(INDEX(Proj[],MATCH(Table16[[#This Row],[Player]],Proj[Player],0),31),INDEX(Goalie[],MATCH(Table16[[#This Row],[Player]],Goalie[player],0),20)))</f>
        <v/>
      </c>
    </row>
    <row r="577" spans="1:9" x14ac:dyDescent="0.25">
      <c r="A577" t="s">
        <v>663</v>
      </c>
      <c r="B577" s="2" t="s">
        <v>74</v>
      </c>
      <c r="C577" t="str">
        <f t="shared" si="8"/>
        <v>C</v>
      </c>
      <c r="D577" s="10">
        <f>MAX(_xlfn.IFNA(INDEX(Proj[],MATCH(Table16[[#This Row],[Player]],Proj[Player],0),27),-5000), _xlfn.IFNA(INDEX(Goalie[],MATCH(Table16[[#This Row],[Player]],Goalie[player],0),17),-5000))</f>
        <v>-595.81775526431102</v>
      </c>
      <c r="E577">
        <f>_xlfn.RANK.EQ(Table16[[#This Row],[VOR]],Table16[VOR])</f>
        <v>549</v>
      </c>
      <c r="F577" cm="1">
        <f t="array" ref="F577">_xlfn.IFS(C577 = "C",INDEX('C'!$A$2:$L$254,MATCH($A577,'C'!$A$2:$A$254,0),10),C577 = "LW",INDEX(LW!$A$2:$K$180,MATCH($A577,LW!$A$2:$A$180,0),10),C577 = "RW",INDEX('RW'!$A$2:$L$164,MATCH($A577,'RW'!$A$2:$A$164,0),10), C577 = "D",INDEX(D!$A$2:$L$268,MATCH($A577,D!$A$2:$A$268,0),10),C577="G",INDEX(G!$A$2:$Q$78,MATCH($A577,G!$A$2:$A$78,0),16),C577="F",INDEX(F!$A$2:$K$494,MATCH($A577,F!$A$2:$A$494,0),10))</f>
        <v>126</v>
      </c>
      <c r="G577" t="str">
        <f>_xlfn.CONCAT(C577,Table16[[#This Row],[Pos Rank2]])</f>
        <v>C126</v>
      </c>
      <c r="H577" s="10">
        <f>MAX(_xlfn.IFNA(INDEX(Proj[],MATCH(Table16[[#This Row],[Player]],Proj[Player],0),29),-5000), _xlfn.IFNA(INDEX(Goalie[],MATCH(Table16[[#This Row],[Player]],Goalie[player],0),19),-5000))</f>
        <v>138.81609904598756</v>
      </c>
      <c r="I577" t="str">
        <f>IF(_xlfn.IFNA(INDEX(Proj[],MATCH(Table16[[#This Row],[Player]],Proj[Player],0),31),INDEX(Goalie[],MATCH(Table16[[#This Row],[Player]],Goalie[player],0),20)) = 0, "",_xlfn.IFNA(INDEX(Proj[],MATCH(Table16[[#This Row],[Player]],Proj[Player],0),31),INDEX(Goalie[],MATCH(Table16[[#This Row],[Player]],Goalie[player],0),20)))</f>
        <v/>
      </c>
    </row>
    <row r="578" spans="1:9" x14ac:dyDescent="0.25">
      <c r="A578" t="s">
        <v>951</v>
      </c>
      <c r="B578" s="2" t="s">
        <v>74</v>
      </c>
      <c r="C578" t="str">
        <f t="shared" ref="C578:C641" si="9">SUBSTITUTE(SUBSTITUTE(B578,"C,",""),"LW,","")</f>
        <v>C</v>
      </c>
      <c r="D578" s="10">
        <f>MAX(_xlfn.IFNA(INDEX(Proj[],MATCH(Table16[[#This Row],[Player]],Proj[Player],0),27),-5000), _xlfn.IFNA(INDEX(Goalie[],MATCH(Table16[[#This Row],[Player]],Goalie[player],0),17),-5000))</f>
        <v>-725.98021061419547</v>
      </c>
      <c r="E578">
        <f>_xlfn.RANK.EQ(Table16[[#This Row],[VOR]],Table16[VOR])</f>
        <v>613</v>
      </c>
      <c r="F578" cm="1">
        <f t="array" ref="F578">_xlfn.IFS(C578 = "C",INDEX('C'!$A$2:$L$254,MATCH($A578,'C'!$A$2:$A$254,0),10),C578 = "LW",INDEX(LW!$A$2:$K$180,MATCH($A578,LW!$A$2:$A$180,0),10),C578 = "RW",INDEX('RW'!$A$2:$L$164,MATCH($A578,'RW'!$A$2:$A$164,0),10), C578 = "D",INDEX(D!$A$2:$L$268,MATCH($A578,D!$A$2:$A$268,0),10),C578="G",INDEX(G!$A$2:$Q$78,MATCH($A578,G!$A$2:$A$78,0),16),C578="F",INDEX(F!$A$2:$K$494,MATCH($A578,F!$A$2:$A$494,0),10))</f>
        <v>142</v>
      </c>
      <c r="G578" t="str">
        <f>_xlfn.CONCAT(C578,Table16[[#This Row],[Pos Rank2]])</f>
        <v>C142</v>
      </c>
      <c r="H578" s="10">
        <f>MAX(_xlfn.IFNA(INDEX(Proj[],MATCH(Table16[[#This Row],[Player]],Proj[Player],0),29),-5000), _xlfn.IFNA(INDEX(Goalie[],MATCH(Table16[[#This Row],[Player]],Goalie[player],0),19),-5000))</f>
        <v>8.6536436961031526</v>
      </c>
      <c r="I578" t="str">
        <f>IF(_xlfn.IFNA(INDEX(Proj[],MATCH(Table16[[#This Row],[Player]],Proj[Player],0),31),INDEX(Goalie[],MATCH(Table16[[#This Row],[Player]],Goalie[player],0),20)) = 0, "",_xlfn.IFNA(INDEX(Proj[],MATCH(Table16[[#This Row],[Player]],Proj[Player],0),31),INDEX(Goalie[],MATCH(Table16[[#This Row],[Player]],Goalie[player],0),20)))</f>
        <v/>
      </c>
    </row>
    <row r="579" spans="1:9" x14ac:dyDescent="0.25">
      <c r="A579" t="s">
        <v>715</v>
      </c>
      <c r="B579" s="2" t="s">
        <v>103</v>
      </c>
      <c r="C579" t="str">
        <f t="shared" si="9"/>
        <v>RW</v>
      </c>
      <c r="D579" s="10">
        <f>MAX(_xlfn.IFNA(INDEX(Proj[],MATCH(Table16[[#This Row],[Player]],Proj[Player],0),27),-5000), _xlfn.IFNA(INDEX(Goalie[],MATCH(Table16[[#This Row],[Player]],Goalie[player],0),17),-5000))</f>
        <v>-679.71998354603863</v>
      </c>
      <c r="E579">
        <f>_xlfn.RANK.EQ(Table16[[#This Row],[VOR]],Table16[VOR])</f>
        <v>588</v>
      </c>
      <c r="F579" cm="1">
        <f t="array" ref="F579">_xlfn.IFS(C579 = "C",INDEX('C'!$A$2:$L$254,MATCH($A579,'C'!$A$2:$A$254,0),10),C579 = "LW",INDEX(LW!$A$2:$K$180,MATCH($A579,LW!$A$2:$A$180,0),10),C579 = "RW",INDEX('RW'!$A$2:$L$164,MATCH($A579,'RW'!$A$2:$A$164,0),10), C579 = "D",INDEX(D!$A$2:$L$268,MATCH($A579,D!$A$2:$A$268,0),10),C579="G",INDEX(G!$A$2:$Q$78,MATCH($A579,G!$A$2:$A$78,0),16),C579="F",INDEX(F!$A$2:$K$494,MATCH($A579,F!$A$2:$A$494,0),10))</f>
        <v>118</v>
      </c>
      <c r="G579" t="str">
        <f>_xlfn.CONCAT(C579,Table16[[#This Row],[Pos Rank2]])</f>
        <v>RW118</v>
      </c>
      <c r="H579" s="10">
        <f>MAX(_xlfn.IFNA(INDEX(Proj[],MATCH(Table16[[#This Row],[Player]],Proj[Player],0),29),-5000), _xlfn.IFNA(INDEX(Goalie[],MATCH(Table16[[#This Row],[Player]],Goalie[player],0),19),-5000))</f>
        <v>-233.17525915578977</v>
      </c>
      <c r="I579" t="str">
        <f>IF(_xlfn.IFNA(INDEX(Proj[],MATCH(Table16[[#This Row],[Player]],Proj[Player],0),31),INDEX(Goalie[],MATCH(Table16[[#This Row],[Player]],Goalie[player],0),20)) = 0, "",_xlfn.IFNA(INDEX(Proj[],MATCH(Table16[[#This Row],[Player]],Proj[Player],0),31),INDEX(Goalie[],MATCH(Table16[[#This Row],[Player]],Goalie[player],0),20)))</f>
        <v/>
      </c>
    </row>
    <row r="580" spans="1:9" x14ac:dyDescent="0.25">
      <c r="A580" t="s">
        <v>644</v>
      </c>
      <c r="B580" s="2" t="s">
        <v>74</v>
      </c>
      <c r="C580" t="str">
        <f t="shared" si="9"/>
        <v>C</v>
      </c>
      <c r="D580" s="10">
        <f>MAX(_xlfn.IFNA(INDEX(Proj[],MATCH(Table16[[#This Row],[Player]],Proj[Player],0),27),-5000), _xlfn.IFNA(INDEX(Goalie[],MATCH(Table16[[#This Row],[Player]],Goalie[player],0),17),-5000))</f>
        <v>-785.887542725721</v>
      </c>
      <c r="E580">
        <f>_xlfn.RANK.EQ(Table16[[#This Row],[VOR]],Table16[VOR])</f>
        <v>652</v>
      </c>
      <c r="F580" cm="1">
        <f t="array" ref="F580">_xlfn.IFS(C580 = "C",INDEX('C'!$A$2:$L$254,MATCH($A580,'C'!$A$2:$A$254,0),10),C580 = "LW",INDEX(LW!$A$2:$K$180,MATCH($A580,LW!$A$2:$A$180,0),10),C580 = "RW",INDEX('RW'!$A$2:$L$164,MATCH($A580,'RW'!$A$2:$A$164,0),10), C580 = "D",INDEX(D!$A$2:$L$268,MATCH($A580,D!$A$2:$A$268,0),10),C580="G",INDEX(G!$A$2:$Q$78,MATCH($A580,G!$A$2:$A$78,0),16),C580="F",INDEX(F!$A$2:$K$494,MATCH($A580,F!$A$2:$A$494,0),10))</f>
        <v>154</v>
      </c>
      <c r="G580" t="str">
        <f>_xlfn.CONCAT(C580,Table16[[#This Row],[Pos Rank2]])</f>
        <v>C154</v>
      </c>
      <c r="H580" s="10">
        <f>MAX(_xlfn.IFNA(INDEX(Proj[],MATCH(Table16[[#This Row],[Player]],Proj[Player],0),29),-5000), _xlfn.IFNA(INDEX(Goalie[],MATCH(Table16[[#This Row],[Player]],Goalie[player],0),19),-5000))</f>
        <v>-51.253688415422452</v>
      </c>
      <c r="I580" t="str">
        <f>IF(_xlfn.IFNA(INDEX(Proj[],MATCH(Table16[[#This Row],[Player]],Proj[Player],0),31),INDEX(Goalie[],MATCH(Table16[[#This Row],[Player]],Goalie[player],0),20)) = 0, "",_xlfn.IFNA(INDEX(Proj[],MATCH(Table16[[#This Row],[Player]],Proj[Player],0),31),INDEX(Goalie[],MATCH(Table16[[#This Row],[Player]],Goalie[player],0),20)))</f>
        <v/>
      </c>
    </row>
    <row r="581" spans="1:9" x14ac:dyDescent="0.25">
      <c r="A581" t="s">
        <v>1164</v>
      </c>
      <c r="B581" s="2" t="s">
        <v>103</v>
      </c>
      <c r="C581" t="str">
        <f t="shared" si="9"/>
        <v>RW</v>
      </c>
      <c r="D581" s="10">
        <f>MAX(_xlfn.IFNA(INDEX(Proj[],MATCH(Table16[[#This Row],[Player]],Proj[Player],0),27),-5000), _xlfn.IFNA(INDEX(Goalie[],MATCH(Table16[[#This Row],[Player]],Goalie[player],0),17),-5000))</f>
        <v>-668.26903540008163</v>
      </c>
      <c r="E581">
        <f>_xlfn.RANK.EQ(Table16[[#This Row],[VOR]],Table16[VOR])</f>
        <v>581</v>
      </c>
      <c r="F581" cm="1">
        <f t="array" ref="F581">_xlfn.IFS(C581 = "C",INDEX('C'!$A$2:$L$254,MATCH($A581,'C'!$A$2:$A$254,0),10),C581 = "LW",INDEX(LW!$A$2:$K$180,MATCH($A581,LW!$A$2:$A$180,0),10),C581 = "RW",INDEX('RW'!$A$2:$L$164,MATCH($A581,'RW'!$A$2:$A$164,0),10), C581 = "D",INDEX(D!$A$2:$L$268,MATCH($A581,D!$A$2:$A$268,0),10),C581="G",INDEX(G!$A$2:$Q$78,MATCH($A581,G!$A$2:$A$78,0),16),C581="F",INDEX(F!$A$2:$K$494,MATCH($A581,F!$A$2:$A$494,0),10))</f>
        <v>115</v>
      </c>
      <c r="G581" t="str">
        <f>_xlfn.CONCAT(C581,Table16[[#This Row],[Pos Rank2]])</f>
        <v>RW115</v>
      </c>
      <c r="H581" s="10">
        <f>MAX(_xlfn.IFNA(INDEX(Proj[],MATCH(Table16[[#This Row],[Player]],Proj[Player],0),29),-5000), _xlfn.IFNA(INDEX(Goalie[],MATCH(Table16[[#This Row],[Player]],Goalie[player],0),19),-5000))</f>
        <v>-221.72431100983277</v>
      </c>
      <c r="I581" t="str">
        <f>IF(_xlfn.IFNA(INDEX(Proj[],MATCH(Table16[[#This Row],[Player]],Proj[Player],0),31),INDEX(Goalie[],MATCH(Table16[[#This Row],[Player]],Goalie[player],0),20)) = 0, "",_xlfn.IFNA(INDEX(Proj[],MATCH(Table16[[#This Row],[Player]],Proj[Player],0),31),INDEX(Goalie[],MATCH(Table16[[#This Row],[Player]],Goalie[player],0),20)))</f>
        <v/>
      </c>
    </row>
    <row r="582" spans="1:9" x14ac:dyDescent="0.25">
      <c r="A582" t="s">
        <v>1048</v>
      </c>
      <c r="B582" s="2" t="s">
        <v>74</v>
      </c>
      <c r="C582" t="str">
        <f t="shared" si="9"/>
        <v>C</v>
      </c>
      <c r="D582" s="10">
        <f>MAX(_xlfn.IFNA(INDEX(Proj[],MATCH(Table16[[#This Row],[Player]],Proj[Player],0),27),-5000), _xlfn.IFNA(INDEX(Goalie[],MATCH(Table16[[#This Row],[Player]],Goalie[player],0),17),-5000))</f>
        <v>-714.9534046419268</v>
      </c>
      <c r="E582">
        <f>_xlfn.RANK.EQ(Table16[[#This Row],[VOR]],Table16[VOR])</f>
        <v>607</v>
      </c>
      <c r="F582" cm="1">
        <f t="array" ref="F582">_xlfn.IFS(C582 = "C",INDEX('C'!$A$2:$L$254,MATCH($A582,'C'!$A$2:$A$254,0),10),C582 = "LW",INDEX(LW!$A$2:$K$180,MATCH($A582,LW!$A$2:$A$180,0),10),C582 = "RW",INDEX('RW'!$A$2:$L$164,MATCH($A582,'RW'!$A$2:$A$164,0),10), C582 = "D",INDEX(D!$A$2:$L$268,MATCH($A582,D!$A$2:$A$268,0),10),C582="G",INDEX(G!$A$2:$Q$78,MATCH($A582,G!$A$2:$A$78,0),16),C582="F",INDEX(F!$A$2:$K$494,MATCH($A582,F!$A$2:$A$494,0),10))</f>
        <v>139</v>
      </c>
      <c r="G582" t="str">
        <f>_xlfn.CONCAT(C582,Table16[[#This Row],[Pos Rank2]])</f>
        <v>C139</v>
      </c>
      <c r="H582" s="10">
        <f>MAX(_xlfn.IFNA(INDEX(Proj[],MATCH(Table16[[#This Row],[Player]],Proj[Player],0),29),-5000), _xlfn.IFNA(INDEX(Goalie[],MATCH(Table16[[#This Row],[Player]],Goalie[player],0),19),-5000))</f>
        <v>19.680449668371846</v>
      </c>
      <c r="I582" t="str">
        <f>IF(_xlfn.IFNA(INDEX(Proj[],MATCH(Table16[[#This Row],[Player]],Proj[Player],0),31),INDEX(Goalie[],MATCH(Table16[[#This Row],[Player]],Goalie[player],0),20)) = 0, "",_xlfn.IFNA(INDEX(Proj[],MATCH(Table16[[#This Row],[Player]],Proj[Player],0),31),INDEX(Goalie[],MATCH(Table16[[#This Row],[Player]],Goalie[player],0),20)))</f>
        <v/>
      </c>
    </row>
    <row r="583" spans="1:9" x14ac:dyDescent="0.25">
      <c r="A583" t="s">
        <v>626</v>
      </c>
      <c r="B583" s="2" t="s">
        <v>3</v>
      </c>
      <c r="C583" t="str">
        <f t="shared" si="9"/>
        <v>D</v>
      </c>
      <c r="D583" s="10">
        <f>MAX(_xlfn.IFNA(INDEX(Proj[],MATCH(Table16[[#This Row],[Player]],Proj[Player],0),27),-5000), _xlfn.IFNA(INDEX(Goalie[],MATCH(Table16[[#This Row],[Player]],Goalie[player],0),17),-5000))</f>
        <v>-606.19775878619259</v>
      </c>
      <c r="E583">
        <f>_xlfn.RANK.EQ(Table16[[#This Row],[VOR]],Table16[VOR])</f>
        <v>553</v>
      </c>
      <c r="F583" cm="1">
        <f t="array" ref="F583">_xlfn.IFS(C583 = "C",INDEX('C'!$A$2:$L$254,MATCH($A583,'C'!$A$2:$A$254,0),10),C583 = "LW",INDEX(LW!$A$2:$K$180,MATCH($A583,LW!$A$2:$A$180,0),10),C583 = "RW",INDEX('RW'!$A$2:$L$164,MATCH($A583,'RW'!$A$2:$A$164,0),10), C583 = "D",INDEX(D!$A$2:$L$268,MATCH($A583,D!$A$2:$A$268,0),10),C583="G",INDEX(G!$A$2:$Q$78,MATCH($A583,G!$A$2:$A$78,0),16),C583="F",INDEX(F!$A$2:$K$494,MATCH($A583,F!$A$2:$A$494,0),10))</f>
        <v>216</v>
      </c>
      <c r="G583" t="str">
        <f>_xlfn.CONCAT(C583,Table16[[#This Row],[Pos Rank2]])</f>
        <v>D216</v>
      </c>
      <c r="H583" s="10">
        <f>MAX(_xlfn.IFNA(INDEX(Proj[],MATCH(Table16[[#This Row],[Player]],Proj[Player],0),29),-5000), _xlfn.IFNA(INDEX(Goalie[],MATCH(Table16[[#This Row],[Player]],Goalie[player],0),19),-5000))</f>
        <v>-498.83299106672814</v>
      </c>
      <c r="I583" t="str">
        <f>IF(_xlfn.IFNA(INDEX(Proj[],MATCH(Table16[[#This Row],[Player]],Proj[Player],0),31),INDEX(Goalie[],MATCH(Table16[[#This Row],[Player]],Goalie[player],0),20)) = 0, "",_xlfn.IFNA(INDEX(Proj[],MATCH(Table16[[#This Row],[Player]],Proj[Player],0),31),INDEX(Goalie[],MATCH(Table16[[#This Row],[Player]],Goalie[player],0),20)))</f>
        <v/>
      </c>
    </row>
    <row r="584" spans="1:9" x14ac:dyDescent="0.25">
      <c r="A584" t="s">
        <v>929</v>
      </c>
      <c r="B584" s="2" t="s">
        <v>3</v>
      </c>
      <c r="C584" t="str">
        <f t="shared" si="9"/>
        <v>D</v>
      </c>
      <c r="D584" s="10">
        <f>MAX(_xlfn.IFNA(INDEX(Proj[],MATCH(Table16[[#This Row],[Player]],Proj[Player],0),27),-5000), _xlfn.IFNA(INDEX(Goalie[],MATCH(Table16[[#This Row],[Player]],Goalie[player],0),17),-5000))</f>
        <v>-609.56005275787413</v>
      </c>
      <c r="E584">
        <f>_xlfn.RANK.EQ(Table16[[#This Row],[VOR]],Table16[VOR])</f>
        <v>554</v>
      </c>
      <c r="F584" cm="1">
        <f t="array" ref="F584">_xlfn.IFS(C584 = "C",INDEX('C'!$A$2:$L$254,MATCH($A584,'C'!$A$2:$A$254,0),10),C584 = "LW",INDEX(LW!$A$2:$K$180,MATCH($A584,LW!$A$2:$A$180,0),10),C584 = "RW",INDEX('RW'!$A$2:$L$164,MATCH($A584,'RW'!$A$2:$A$164,0),10), C584 = "D",INDEX(D!$A$2:$L$268,MATCH($A584,D!$A$2:$A$268,0),10),C584="G",INDEX(G!$A$2:$Q$78,MATCH($A584,G!$A$2:$A$78,0),16),C584="F",INDEX(F!$A$2:$K$494,MATCH($A584,F!$A$2:$A$494,0),10))</f>
        <v>217</v>
      </c>
      <c r="G584" t="str">
        <f>_xlfn.CONCAT(C584,Table16[[#This Row],[Pos Rank2]])</f>
        <v>D217</v>
      </c>
      <c r="H584" s="10">
        <f>MAX(_xlfn.IFNA(INDEX(Proj[],MATCH(Table16[[#This Row],[Player]],Proj[Player],0),29),-5000), _xlfn.IFNA(INDEX(Goalie[],MATCH(Table16[[#This Row],[Player]],Goalie[player],0),19),-5000))</f>
        <v>-502.19528503840962</v>
      </c>
      <c r="I584" t="str">
        <f>IF(_xlfn.IFNA(INDEX(Proj[],MATCH(Table16[[#This Row],[Player]],Proj[Player],0),31),INDEX(Goalie[],MATCH(Table16[[#This Row],[Player]],Goalie[player],0),20)) = 0, "",_xlfn.IFNA(INDEX(Proj[],MATCH(Table16[[#This Row],[Player]],Proj[Player],0),31),INDEX(Goalie[],MATCH(Table16[[#This Row],[Player]],Goalie[player],0),20)))</f>
        <v/>
      </c>
    </row>
    <row r="585" spans="1:9" x14ac:dyDescent="0.25">
      <c r="A585" t="s">
        <v>1022</v>
      </c>
      <c r="B585" s="2" t="s">
        <v>3</v>
      </c>
      <c r="C585" t="str">
        <f t="shared" si="9"/>
        <v>D</v>
      </c>
      <c r="D585" s="10">
        <f>MAX(_xlfn.IFNA(INDEX(Proj[],MATCH(Table16[[#This Row],[Player]],Proj[Player],0),27),-5000), _xlfn.IFNA(INDEX(Goalie[],MATCH(Table16[[#This Row],[Player]],Goalie[player],0),17),-5000))</f>
        <v>-611.24196603975042</v>
      </c>
      <c r="E585">
        <f>_xlfn.RANK.EQ(Table16[[#This Row],[VOR]],Table16[VOR])</f>
        <v>555</v>
      </c>
      <c r="F585" cm="1">
        <f t="array" ref="F585">_xlfn.IFS(C585 = "C",INDEX('C'!$A$2:$L$254,MATCH($A585,'C'!$A$2:$A$254,0),10),C585 = "LW",INDEX(LW!$A$2:$K$180,MATCH($A585,LW!$A$2:$A$180,0),10),C585 = "RW",INDEX('RW'!$A$2:$L$164,MATCH($A585,'RW'!$A$2:$A$164,0),10), C585 = "D",INDEX(D!$A$2:$L$268,MATCH($A585,D!$A$2:$A$268,0),10),C585="G",INDEX(G!$A$2:$Q$78,MATCH($A585,G!$A$2:$A$78,0),16),C585="F",INDEX(F!$A$2:$K$494,MATCH($A585,F!$A$2:$A$494,0),10))</f>
        <v>218</v>
      </c>
      <c r="G585" t="str">
        <f>_xlfn.CONCAT(C585,Table16[[#This Row],[Pos Rank2]])</f>
        <v>D218</v>
      </c>
      <c r="H585" s="10">
        <f>MAX(_xlfn.IFNA(INDEX(Proj[],MATCH(Table16[[#This Row],[Player]],Proj[Player],0),29),-5000), _xlfn.IFNA(INDEX(Goalie[],MATCH(Table16[[#This Row],[Player]],Goalie[player],0),19),-5000))</f>
        <v>-503.87719832028591</v>
      </c>
      <c r="I585" t="str">
        <f>IF(_xlfn.IFNA(INDEX(Proj[],MATCH(Table16[[#This Row],[Player]],Proj[Player],0),31),INDEX(Goalie[],MATCH(Table16[[#This Row],[Player]],Goalie[player],0),20)) = 0, "",_xlfn.IFNA(INDEX(Proj[],MATCH(Table16[[#This Row],[Player]],Proj[Player],0),31),INDEX(Goalie[],MATCH(Table16[[#This Row],[Player]],Goalie[player],0),20)))</f>
        <v/>
      </c>
    </row>
    <row r="586" spans="1:9" x14ac:dyDescent="0.25">
      <c r="A586" t="s">
        <v>1094</v>
      </c>
      <c r="B586" s="2" t="s">
        <v>74</v>
      </c>
      <c r="C586" t="str">
        <f t="shared" si="9"/>
        <v>C</v>
      </c>
      <c r="D586" s="10">
        <f>MAX(_xlfn.IFNA(INDEX(Proj[],MATCH(Table16[[#This Row],[Player]],Proj[Player],0),27),-5000), _xlfn.IFNA(INDEX(Goalie[],MATCH(Table16[[#This Row],[Player]],Goalie[player],0),17),-5000))</f>
        <v>-821.15501268126286</v>
      </c>
      <c r="E586">
        <f>_xlfn.RANK.EQ(Table16[[#This Row],[VOR]],Table16[VOR])</f>
        <v>674</v>
      </c>
      <c r="F586" cm="1">
        <f t="array" ref="F586">_xlfn.IFS(C586 = "C",INDEX('C'!$A$2:$L$254,MATCH($A586,'C'!$A$2:$A$254,0),10),C586 = "LW",INDEX(LW!$A$2:$K$180,MATCH($A586,LW!$A$2:$A$180,0),10),C586 = "RW",INDEX('RW'!$A$2:$L$164,MATCH($A586,'RW'!$A$2:$A$164,0),10), C586 = "D",INDEX(D!$A$2:$L$268,MATCH($A586,D!$A$2:$A$268,0),10),C586="G",INDEX(G!$A$2:$Q$78,MATCH($A586,G!$A$2:$A$78,0),16),C586="F",INDEX(F!$A$2:$K$494,MATCH($A586,F!$A$2:$A$494,0),10))</f>
        <v>165</v>
      </c>
      <c r="G586" t="str">
        <f>_xlfn.CONCAT(C586,Table16[[#This Row],[Pos Rank2]])</f>
        <v>C165</v>
      </c>
      <c r="H586" s="10">
        <f>MAX(_xlfn.IFNA(INDEX(Proj[],MATCH(Table16[[#This Row],[Player]],Proj[Player],0),29),-5000), _xlfn.IFNA(INDEX(Goalie[],MATCH(Table16[[#This Row],[Player]],Goalie[player],0),19),-5000))</f>
        <v>-86.521158370964301</v>
      </c>
      <c r="I586" t="str">
        <f>IF(_xlfn.IFNA(INDEX(Proj[],MATCH(Table16[[#This Row],[Player]],Proj[Player],0),31),INDEX(Goalie[],MATCH(Table16[[#This Row],[Player]],Goalie[player],0),20)) = 0, "",_xlfn.IFNA(INDEX(Proj[],MATCH(Table16[[#This Row],[Player]],Proj[Player],0),31),INDEX(Goalie[],MATCH(Table16[[#This Row],[Player]],Goalie[player],0),20)))</f>
        <v/>
      </c>
    </row>
    <row r="587" spans="1:9" x14ac:dyDescent="0.25">
      <c r="A587" t="s">
        <v>1008</v>
      </c>
      <c r="B587" s="2" t="s">
        <v>103</v>
      </c>
      <c r="C587" t="str">
        <f t="shared" si="9"/>
        <v>RW</v>
      </c>
      <c r="D587" s="10">
        <f>MAX(_xlfn.IFNA(INDEX(Proj[],MATCH(Table16[[#This Row],[Player]],Proj[Player],0),27),-5000), _xlfn.IFNA(INDEX(Goalie[],MATCH(Table16[[#This Row],[Player]],Goalie[player],0),17),-5000))</f>
        <v>-669.7536437917172</v>
      </c>
      <c r="E587">
        <f>_xlfn.RANK.EQ(Table16[[#This Row],[VOR]],Table16[VOR])</f>
        <v>584</v>
      </c>
      <c r="F587" cm="1">
        <f t="array" ref="F587">_xlfn.IFS(C587 = "C",INDEX('C'!$A$2:$L$254,MATCH($A587,'C'!$A$2:$A$254,0),10),C587 = "LW",INDEX(LW!$A$2:$K$180,MATCH($A587,LW!$A$2:$A$180,0),10),C587 = "RW",INDEX('RW'!$A$2:$L$164,MATCH($A587,'RW'!$A$2:$A$164,0),10), C587 = "D",INDEX(D!$A$2:$L$268,MATCH($A587,D!$A$2:$A$268,0),10),C587="G",INDEX(G!$A$2:$Q$78,MATCH($A587,G!$A$2:$A$78,0),16),C587="F",INDEX(F!$A$2:$K$494,MATCH($A587,F!$A$2:$A$494,0),10))</f>
        <v>117</v>
      </c>
      <c r="G587" t="str">
        <f>_xlfn.CONCAT(C587,Table16[[#This Row],[Pos Rank2]])</f>
        <v>RW117</v>
      </c>
      <c r="H587" s="10">
        <f>MAX(_xlfn.IFNA(INDEX(Proj[],MATCH(Table16[[#This Row],[Player]],Proj[Player],0),29),-5000), _xlfn.IFNA(INDEX(Goalie[],MATCH(Table16[[#This Row],[Player]],Goalie[player],0),19),-5000))</f>
        <v>-223.20891940146828</v>
      </c>
      <c r="I587" t="str">
        <f>IF(_xlfn.IFNA(INDEX(Proj[],MATCH(Table16[[#This Row],[Player]],Proj[Player],0),31),INDEX(Goalie[],MATCH(Table16[[#This Row],[Player]],Goalie[player],0),20)) = 0, "",_xlfn.IFNA(INDEX(Proj[],MATCH(Table16[[#This Row],[Player]],Proj[Player],0),31),INDEX(Goalie[],MATCH(Table16[[#This Row],[Player]],Goalie[player],0),20)))</f>
        <v/>
      </c>
    </row>
    <row r="588" spans="1:9" x14ac:dyDescent="0.25">
      <c r="A588" t="s">
        <v>420</v>
      </c>
      <c r="B588" s="2" t="s">
        <v>74</v>
      </c>
      <c r="C588" t="str">
        <f t="shared" si="9"/>
        <v>C</v>
      </c>
      <c r="D588" s="10">
        <f>MAX(_xlfn.IFNA(INDEX(Proj[],MATCH(Table16[[#This Row],[Player]],Proj[Player],0),27),-5000), _xlfn.IFNA(INDEX(Goalie[],MATCH(Table16[[#This Row],[Player]],Goalie[player],0),17),-5000))</f>
        <v>-730.5364188845906</v>
      </c>
      <c r="E588">
        <f>_xlfn.RANK.EQ(Table16[[#This Row],[VOR]],Table16[VOR])</f>
        <v>617</v>
      </c>
      <c r="F588" cm="1">
        <f t="array" ref="F588">_xlfn.IFS(C588 = "C",INDEX('C'!$A$2:$L$254,MATCH($A588,'C'!$A$2:$A$254,0),10),C588 = "LW",INDEX(LW!$A$2:$K$180,MATCH($A588,LW!$A$2:$A$180,0),10),C588 = "RW",INDEX('RW'!$A$2:$L$164,MATCH($A588,'RW'!$A$2:$A$164,0),10), C588 = "D",INDEX(D!$A$2:$L$268,MATCH($A588,D!$A$2:$A$268,0),10),C588="G",INDEX(G!$A$2:$Q$78,MATCH($A588,G!$A$2:$A$78,0),16),C588="F",INDEX(F!$A$2:$K$494,MATCH($A588,F!$A$2:$A$494,0),10))</f>
        <v>143</v>
      </c>
      <c r="G588" t="str">
        <f>_xlfn.CONCAT(C588,Table16[[#This Row],[Pos Rank2]])</f>
        <v>C143</v>
      </c>
      <c r="H588" s="10">
        <f>MAX(_xlfn.IFNA(INDEX(Proj[],MATCH(Table16[[#This Row],[Player]],Proj[Player],0),29),-5000), _xlfn.IFNA(INDEX(Goalie[],MATCH(Table16[[#This Row],[Player]],Goalie[player],0),19),-5000))</f>
        <v>4.0974354257079737</v>
      </c>
      <c r="I588" t="str">
        <f>IF(_xlfn.IFNA(INDEX(Proj[],MATCH(Table16[[#This Row],[Player]],Proj[Player],0),31),INDEX(Goalie[],MATCH(Table16[[#This Row],[Player]],Goalie[player],0),20)) = 0, "",_xlfn.IFNA(INDEX(Proj[],MATCH(Table16[[#This Row],[Player]],Proj[Player],0),31),INDEX(Goalie[],MATCH(Table16[[#This Row],[Player]],Goalie[player],0),20)))</f>
        <v/>
      </c>
    </row>
    <row r="589" spans="1:9" x14ac:dyDescent="0.25">
      <c r="A589" t="s">
        <v>811</v>
      </c>
      <c r="B589" s="2" t="s">
        <v>103</v>
      </c>
      <c r="C589" t="str">
        <f t="shared" si="9"/>
        <v>RW</v>
      </c>
      <c r="D589" s="10">
        <f>MAX(_xlfn.IFNA(INDEX(Proj[],MATCH(Table16[[#This Row],[Player]],Proj[Player],0),27),-5000), _xlfn.IFNA(INDEX(Goalie[],MATCH(Table16[[#This Row],[Player]],Goalie[player],0),17),-5000))</f>
        <v>-695.01276197439574</v>
      </c>
      <c r="E589">
        <f>_xlfn.RANK.EQ(Table16[[#This Row],[VOR]],Table16[VOR])</f>
        <v>595</v>
      </c>
      <c r="F589" cm="1">
        <f t="array" ref="F589">_xlfn.IFS(C589 = "C",INDEX('C'!$A$2:$L$254,MATCH($A589,'C'!$A$2:$A$254,0),10),C589 = "LW",INDEX(LW!$A$2:$K$180,MATCH($A589,LW!$A$2:$A$180,0),10),C589 = "RW",INDEX('RW'!$A$2:$L$164,MATCH($A589,'RW'!$A$2:$A$164,0),10), C589 = "D",INDEX(D!$A$2:$L$268,MATCH($A589,D!$A$2:$A$268,0),10),C589="G",INDEX(G!$A$2:$Q$78,MATCH($A589,G!$A$2:$A$78,0),16),C589="F",INDEX(F!$A$2:$K$494,MATCH($A589,F!$A$2:$A$494,0),10))</f>
        <v>121</v>
      </c>
      <c r="G589" t="str">
        <f>_xlfn.CONCAT(C589,Table16[[#This Row],[Pos Rank2]])</f>
        <v>RW121</v>
      </c>
      <c r="H589" s="10">
        <f>MAX(_xlfn.IFNA(INDEX(Proj[],MATCH(Table16[[#This Row],[Player]],Proj[Player],0),29),-5000), _xlfn.IFNA(INDEX(Goalie[],MATCH(Table16[[#This Row],[Player]],Goalie[player],0),19),-5000))</f>
        <v>-248.46803758414686</v>
      </c>
      <c r="I589" t="str">
        <f>IF(_xlfn.IFNA(INDEX(Proj[],MATCH(Table16[[#This Row],[Player]],Proj[Player],0),31),INDEX(Goalie[],MATCH(Table16[[#This Row],[Player]],Goalie[player],0),20)) = 0, "",_xlfn.IFNA(INDEX(Proj[],MATCH(Table16[[#This Row],[Player]],Proj[Player],0),31),INDEX(Goalie[],MATCH(Table16[[#This Row],[Player]],Goalie[player],0),20)))</f>
        <v/>
      </c>
    </row>
    <row r="590" spans="1:9" x14ac:dyDescent="0.25">
      <c r="A590" t="s">
        <v>481</v>
      </c>
      <c r="B590" s="2" t="s">
        <v>103</v>
      </c>
      <c r="C590" t="str">
        <f t="shared" si="9"/>
        <v>RW</v>
      </c>
      <c r="D590" s="10">
        <f>MAX(_xlfn.IFNA(INDEX(Proj[],MATCH(Table16[[#This Row],[Player]],Proj[Player],0),27),-5000), _xlfn.IFNA(INDEX(Goalie[],MATCH(Table16[[#This Row],[Player]],Goalie[player],0),17),-5000))</f>
        <v>-692.45873025613128</v>
      </c>
      <c r="E590">
        <f>_xlfn.RANK.EQ(Table16[[#This Row],[VOR]],Table16[VOR])</f>
        <v>594</v>
      </c>
      <c r="F590" cm="1">
        <f t="array" ref="F590">_xlfn.IFS(C590 = "C",INDEX('C'!$A$2:$L$254,MATCH($A590,'C'!$A$2:$A$254,0),10),C590 = "LW",INDEX(LW!$A$2:$K$180,MATCH($A590,LW!$A$2:$A$180,0),10),C590 = "RW",INDEX('RW'!$A$2:$L$164,MATCH($A590,'RW'!$A$2:$A$164,0),10), C590 = "D",INDEX(D!$A$2:$L$268,MATCH($A590,D!$A$2:$A$268,0),10),C590="G",INDEX(G!$A$2:$Q$78,MATCH($A590,G!$A$2:$A$78,0),16),C590="F",INDEX(F!$A$2:$K$494,MATCH($A590,F!$A$2:$A$494,0),10))</f>
        <v>120</v>
      </c>
      <c r="G590" t="str">
        <f>_xlfn.CONCAT(C590,Table16[[#This Row],[Pos Rank2]])</f>
        <v>RW120</v>
      </c>
      <c r="H590" s="10">
        <f>MAX(_xlfn.IFNA(INDEX(Proj[],MATCH(Table16[[#This Row],[Player]],Proj[Player],0),29),-5000), _xlfn.IFNA(INDEX(Goalie[],MATCH(Table16[[#This Row],[Player]],Goalie[player],0),19),-5000))</f>
        <v>-245.91400586588242</v>
      </c>
      <c r="I590" t="str">
        <f>IF(_xlfn.IFNA(INDEX(Proj[],MATCH(Table16[[#This Row],[Player]],Proj[Player],0),31),INDEX(Goalie[],MATCH(Table16[[#This Row],[Player]],Goalie[player],0),20)) = 0, "",_xlfn.IFNA(INDEX(Proj[],MATCH(Table16[[#This Row],[Player]],Proj[Player],0),31),INDEX(Goalie[],MATCH(Table16[[#This Row],[Player]],Goalie[player],0),20)))</f>
        <v/>
      </c>
    </row>
    <row r="591" spans="1:9" x14ac:dyDescent="0.25">
      <c r="A591" t="s">
        <v>746</v>
      </c>
      <c r="B591" s="2" t="s">
        <v>3</v>
      </c>
      <c r="C591" t="str">
        <f t="shared" si="9"/>
        <v>D</v>
      </c>
      <c r="D591" s="10">
        <f>MAX(_xlfn.IFNA(INDEX(Proj[],MATCH(Table16[[#This Row],[Player]],Proj[Player],0),27),-5000), _xlfn.IFNA(INDEX(Goalie[],MATCH(Table16[[#This Row],[Player]],Goalie[player],0),17),-5000))</f>
        <v>-621.37295847116536</v>
      </c>
      <c r="E591">
        <f>_xlfn.RANK.EQ(Table16[[#This Row],[VOR]],Table16[VOR])</f>
        <v>559</v>
      </c>
      <c r="F591" cm="1">
        <f t="array" ref="F591">_xlfn.IFS(C591 = "C",INDEX('C'!$A$2:$L$254,MATCH($A591,'C'!$A$2:$A$254,0),10),C591 = "LW",INDEX(LW!$A$2:$K$180,MATCH($A591,LW!$A$2:$A$180,0),10),C591 = "RW",INDEX('RW'!$A$2:$L$164,MATCH($A591,'RW'!$A$2:$A$164,0),10), C591 = "D",INDEX(D!$A$2:$L$268,MATCH($A591,D!$A$2:$A$268,0),10),C591="G",INDEX(G!$A$2:$Q$78,MATCH($A591,G!$A$2:$A$78,0),16),C591="F",INDEX(F!$A$2:$K$494,MATCH($A591,F!$A$2:$A$494,0),10))</f>
        <v>219</v>
      </c>
      <c r="G591" t="str">
        <f>_xlfn.CONCAT(C591,Table16[[#This Row],[Pos Rank2]])</f>
        <v>D219</v>
      </c>
      <c r="H591" s="10">
        <f>MAX(_xlfn.IFNA(INDEX(Proj[],MATCH(Table16[[#This Row],[Player]],Proj[Player],0),29),-5000), _xlfn.IFNA(INDEX(Goalie[],MATCH(Table16[[#This Row],[Player]],Goalie[player],0),19),-5000))</f>
        <v>-514.00819075170091</v>
      </c>
      <c r="I591" t="str">
        <f>IF(_xlfn.IFNA(INDEX(Proj[],MATCH(Table16[[#This Row],[Player]],Proj[Player],0),31),INDEX(Goalie[],MATCH(Table16[[#This Row],[Player]],Goalie[player],0),20)) = 0, "",_xlfn.IFNA(INDEX(Proj[],MATCH(Table16[[#This Row],[Player]],Proj[Player],0),31),INDEX(Goalie[],MATCH(Table16[[#This Row],[Player]],Goalie[player],0),20)))</f>
        <v/>
      </c>
    </row>
    <row r="592" spans="1:9" x14ac:dyDescent="0.25">
      <c r="A592" t="s">
        <v>542</v>
      </c>
      <c r="B592" s="2" t="s">
        <v>102</v>
      </c>
      <c r="C592" t="str">
        <f t="shared" si="9"/>
        <v>LW</v>
      </c>
      <c r="D592" s="10">
        <f>MAX(_xlfn.IFNA(INDEX(Proj[],MATCH(Table16[[#This Row],[Player]],Proj[Player],0),27),-5000), _xlfn.IFNA(INDEX(Goalie[],MATCH(Table16[[#This Row],[Player]],Goalie[player],0),17),-5000))</f>
        <v>-690.21289144560478</v>
      </c>
      <c r="E592">
        <f>_xlfn.RANK.EQ(Table16[[#This Row],[VOR]],Table16[VOR])</f>
        <v>593</v>
      </c>
      <c r="F592" cm="1">
        <f t="array" ref="F592">_xlfn.IFS(C592 = "C",INDEX('C'!$A$2:$L$254,MATCH($A592,'C'!$A$2:$A$254,0),10),C592 = "LW",INDEX(LW!$A$2:$K$180,MATCH($A592,LW!$A$2:$A$180,0),10),C592 = "RW",INDEX('RW'!$A$2:$L$164,MATCH($A592,'RW'!$A$2:$A$164,0),10), C592 = "D",INDEX(D!$A$2:$L$268,MATCH($A592,D!$A$2:$A$268,0),10),C592="G",INDEX(G!$A$2:$Q$78,MATCH($A592,G!$A$2:$A$78,0),16),C592="F",INDEX(F!$A$2:$K$494,MATCH($A592,F!$A$2:$A$494,0),10))</f>
        <v>129</v>
      </c>
      <c r="G592" t="str">
        <f>_xlfn.CONCAT(C592,Table16[[#This Row],[Pos Rank2]])</f>
        <v>LW129</v>
      </c>
      <c r="H592" s="10">
        <f>MAX(_xlfn.IFNA(INDEX(Proj[],MATCH(Table16[[#This Row],[Player]],Proj[Player],0),29),-5000), _xlfn.IFNA(INDEX(Goalie[],MATCH(Table16[[#This Row],[Player]],Goalie[player],0),19),-5000))</f>
        <v>-218.66816705535587</v>
      </c>
      <c r="I592" t="str">
        <f>IF(_xlfn.IFNA(INDEX(Proj[],MATCH(Table16[[#This Row],[Player]],Proj[Player],0),31),INDEX(Goalie[],MATCH(Table16[[#This Row],[Player]],Goalie[player],0),20)) = 0, "",_xlfn.IFNA(INDEX(Proj[],MATCH(Table16[[#This Row],[Player]],Proj[Player],0),31),INDEX(Goalie[],MATCH(Table16[[#This Row],[Player]],Goalie[player],0),20)))</f>
        <v/>
      </c>
    </row>
    <row r="593" spans="1:9" x14ac:dyDescent="0.25">
      <c r="A593" t="s">
        <v>764</v>
      </c>
      <c r="B593" s="2" t="s">
        <v>102</v>
      </c>
      <c r="C593" t="str">
        <f t="shared" si="9"/>
        <v>LW</v>
      </c>
      <c r="D593" s="10">
        <f>MAX(_xlfn.IFNA(INDEX(Proj[],MATCH(Table16[[#This Row],[Player]],Proj[Player],0),27),-5000), _xlfn.IFNA(INDEX(Goalie[],MATCH(Table16[[#This Row],[Player]],Goalie[player],0),17),-5000))</f>
        <v>-707.26161142168314</v>
      </c>
      <c r="E593">
        <f>_xlfn.RANK.EQ(Table16[[#This Row],[VOR]],Table16[VOR])</f>
        <v>600</v>
      </c>
      <c r="F593" cm="1">
        <f t="array" ref="F593">_xlfn.IFS(C593 = "C",INDEX('C'!$A$2:$L$254,MATCH($A593,'C'!$A$2:$A$254,0),10),C593 = "LW",INDEX(LW!$A$2:$K$180,MATCH($A593,LW!$A$2:$A$180,0),10),C593 = "RW",INDEX('RW'!$A$2:$L$164,MATCH($A593,'RW'!$A$2:$A$164,0),10), C593 = "D",INDEX(D!$A$2:$L$268,MATCH($A593,D!$A$2:$A$268,0),10),C593="G",INDEX(G!$A$2:$Q$78,MATCH($A593,G!$A$2:$A$78,0),16),C593="F",INDEX(F!$A$2:$K$494,MATCH($A593,F!$A$2:$A$494,0),10))</f>
        <v>130</v>
      </c>
      <c r="G593" t="str">
        <f>_xlfn.CONCAT(C593,Table16[[#This Row],[Pos Rank2]])</f>
        <v>LW130</v>
      </c>
      <c r="H593" s="10">
        <f>MAX(_xlfn.IFNA(INDEX(Proj[],MATCH(Table16[[#This Row],[Player]],Proj[Player],0),29),-5000), _xlfn.IFNA(INDEX(Goalie[],MATCH(Table16[[#This Row],[Player]],Goalie[player],0),19),-5000))</f>
        <v>-235.71688703143428</v>
      </c>
      <c r="I593" t="str">
        <f>IF(_xlfn.IFNA(INDEX(Proj[],MATCH(Table16[[#This Row],[Player]],Proj[Player],0),31),INDEX(Goalie[],MATCH(Table16[[#This Row],[Player]],Goalie[player],0),20)) = 0, "",_xlfn.IFNA(INDEX(Proj[],MATCH(Table16[[#This Row],[Player]],Proj[Player],0),31),INDEX(Goalie[],MATCH(Table16[[#This Row],[Player]],Goalie[player],0),20)))</f>
        <v/>
      </c>
    </row>
    <row r="594" spans="1:9" x14ac:dyDescent="0.25">
      <c r="A594" t="s">
        <v>1049</v>
      </c>
      <c r="B594" s="2" t="s">
        <v>102</v>
      </c>
      <c r="C594" t="str">
        <f t="shared" si="9"/>
        <v>LW</v>
      </c>
      <c r="D594" s="10">
        <f>MAX(_xlfn.IFNA(INDEX(Proj[],MATCH(Table16[[#This Row],[Player]],Proj[Player],0),27),-5000), _xlfn.IFNA(INDEX(Goalie[],MATCH(Table16[[#This Row],[Player]],Goalie[player],0),17),-5000))</f>
        <v>-711.38812350954788</v>
      </c>
      <c r="E594">
        <f>_xlfn.RANK.EQ(Table16[[#This Row],[VOR]],Table16[VOR])</f>
        <v>604</v>
      </c>
      <c r="F594" cm="1">
        <f t="array" ref="F594">_xlfn.IFS(C594 = "C",INDEX('C'!$A$2:$L$254,MATCH($A594,'C'!$A$2:$A$254,0),10),C594 = "LW",INDEX(LW!$A$2:$K$180,MATCH($A594,LW!$A$2:$A$180,0),10),C594 = "RW",INDEX('RW'!$A$2:$L$164,MATCH($A594,'RW'!$A$2:$A$164,0),10), C594 = "D",INDEX(D!$A$2:$L$268,MATCH($A594,D!$A$2:$A$268,0),10),C594="G",INDEX(G!$A$2:$Q$78,MATCH($A594,G!$A$2:$A$78,0),16),C594="F",INDEX(F!$A$2:$K$494,MATCH($A594,F!$A$2:$A$494,0),10))</f>
        <v>133</v>
      </c>
      <c r="G594" t="str">
        <f>_xlfn.CONCAT(C594,Table16[[#This Row],[Pos Rank2]])</f>
        <v>LW133</v>
      </c>
      <c r="H594" s="10">
        <f>MAX(_xlfn.IFNA(INDEX(Proj[],MATCH(Table16[[#This Row],[Player]],Proj[Player],0),29),-5000), _xlfn.IFNA(INDEX(Goalie[],MATCH(Table16[[#This Row],[Player]],Goalie[player],0),19),-5000))</f>
        <v>-239.84339911929902</v>
      </c>
      <c r="I594" t="str">
        <f>IF(_xlfn.IFNA(INDEX(Proj[],MATCH(Table16[[#This Row],[Player]],Proj[Player],0),31),INDEX(Goalie[],MATCH(Table16[[#This Row],[Player]],Goalie[player],0),20)) = 0, "",_xlfn.IFNA(INDEX(Proj[],MATCH(Table16[[#This Row],[Player]],Proj[Player],0),31),INDEX(Goalie[],MATCH(Table16[[#This Row],[Player]],Goalie[player],0),20)))</f>
        <v/>
      </c>
    </row>
    <row r="595" spans="1:9" x14ac:dyDescent="0.25">
      <c r="A595" t="s">
        <v>536</v>
      </c>
      <c r="B595" s="2" t="s">
        <v>101</v>
      </c>
      <c r="C595" t="str">
        <f t="shared" si="9"/>
        <v>LW</v>
      </c>
      <c r="D595" s="10">
        <f>MAX(_xlfn.IFNA(INDEX(Proj[],MATCH(Table16[[#This Row],[Player]],Proj[Player],0),27),-5000), _xlfn.IFNA(INDEX(Goalie[],MATCH(Table16[[#This Row],[Player]],Goalie[player],0),17),-5000))</f>
        <v>-680.85057468622972</v>
      </c>
      <c r="E595">
        <f>_xlfn.RANK.EQ(Table16[[#This Row],[VOR]],Table16[VOR])</f>
        <v>589</v>
      </c>
      <c r="F595" cm="1">
        <f t="array" ref="F595">_xlfn.IFS(C595 = "C",INDEX('C'!$A$2:$L$254,MATCH($A595,'C'!$A$2:$A$254,0),10),C595 = "LW",INDEX(LW!$A$2:$K$180,MATCH($A595,LW!$A$2:$A$180,0),10),C595 = "RW",INDEX('RW'!$A$2:$L$164,MATCH($A595,'RW'!$A$2:$A$164,0),10), C595 = "D",INDEX(D!$A$2:$L$268,MATCH($A595,D!$A$2:$A$268,0),10),C595="G",INDEX(G!$A$2:$Q$78,MATCH($A595,G!$A$2:$A$78,0),16),C595="F",INDEX(F!$A$2:$K$494,MATCH($A595,F!$A$2:$A$494,0),10))</f>
        <v>128</v>
      </c>
      <c r="G595" t="str">
        <f>_xlfn.CONCAT(C595,Table16[[#This Row],[Pos Rank2]])</f>
        <v>LW128</v>
      </c>
      <c r="H595" s="10">
        <f>MAX(_xlfn.IFNA(INDEX(Proj[],MATCH(Table16[[#This Row],[Player]],Proj[Player],0),29),-5000), _xlfn.IFNA(INDEX(Goalie[],MATCH(Table16[[#This Row],[Player]],Goalie[player],0),19),-5000))</f>
        <v>-209.3058502959808</v>
      </c>
      <c r="I595" t="str">
        <f>IF(_xlfn.IFNA(INDEX(Proj[],MATCH(Table16[[#This Row],[Player]],Proj[Player],0),31),INDEX(Goalie[],MATCH(Table16[[#This Row],[Player]],Goalie[player],0),20)) = 0, "",_xlfn.IFNA(INDEX(Proj[],MATCH(Table16[[#This Row],[Player]],Proj[Player],0),31),INDEX(Goalie[],MATCH(Table16[[#This Row],[Player]],Goalie[player],0),20)))</f>
        <v/>
      </c>
    </row>
    <row r="596" spans="1:9" x14ac:dyDescent="0.25">
      <c r="A596" t="s">
        <v>599</v>
      </c>
      <c r="B596" s="2" t="s">
        <v>3</v>
      </c>
      <c r="C596" t="str">
        <f t="shared" si="9"/>
        <v>D</v>
      </c>
      <c r="D596" s="10">
        <f>MAX(_xlfn.IFNA(INDEX(Proj[],MATCH(Table16[[#This Row],[Player]],Proj[Player],0),27),-5000), _xlfn.IFNA(INDEX(Goalie[],MATCH(Table16[[#This Row],[Player]],Goalie[player],0),17),-5000))</f>
        <v>-635.76654579940873</v>
      </c>
      <c r="E596">
        <f>_xlfn.RANK.EQ(Table16[[#This Row],[VOR]],Table16[VOR])</f>
        <v>562</v>
      </c>
      <c r="F596" cm="1">
        <f t="array" ref="F596">_xlfn.IFS(C596 = "C",INDEX('C'!$A$2:$L$254,MATCH($A596,'C'!$A$2:$A$254,0),10),C596 = "LW",INDEX(LW!$A$2:$K$180,MATCH($A596,LW!$A$2:$A$180,0),10),C596 = "RW",INDEX('RW'!$A$2:$L$164,MATCH($A596,'RW'!$A$2:$A$164,0),10), C596 = "D",INDEX(D!$A$2:$L$268,MATCH($A596,D!$A$2:$A$268,0),10),C596="G",INDEX(G!$A$2:$Q$78,MATCH($A596,G!$A$2:$A$78,0),16),C596="F",INDEX(F!$A$2:$K$494,MATCH($A596,F!$A$2:$A$494,0),10))</f>
        <v>220</v>
      </c>
      <c r="G596" t="str">
        <f>_xlfn.CONCAT(C596,Table16[[#This Row],[Pos Rank2]])</f>
        <v>D220</v>
      </c>
      <c r="H596" s="10">
        <f>MAX(_xlfn.IFNA(INDEX(Proj[],MATCH(Table16[[#This Row],[Player]],Proj[Player],0),29),-5000), _xlfn.IFNA(INDEX(Goalie[],MATCH(Table16[[#This Row],[Player]],Goalie[player],0),19),-5000))</f>
        <v>-528.40177807994428</v>
      </c>
      <c r="I596" t="str">
        <f>IF(_xlfn.IFNA(INDEX(Proj[],MATCH(Table16[[#This Row],[Player]],Proj[Player],0),31),INDEX(Goalie[],MATCH(Table16[[#This Row],[Player]],Goalie[player],0),20)) = 0, "",_xlfn.IFNA(INDEX(Proj[],MATCH(Table16[[#This Row],[Player]],Proj[Player],0),31),INDEX(Goalie[],MATCH(Table16[[#This Row],[Player]],Goalie[player],0),20)))</f>
        <v/>
      </c>
    </row>
    <row r="597" spans="1:9" x14ac:dyDescent="0.25">
      <c r="A597" t="s">
        <v>744</v>
      </c>
      <c r="B597" s="2" t="s">
        <v>103</v>
      </c>
      <c r="C597" t="str">
        <f t="shared" si="9"/>
        <v>RW</v>
      </c>
      <c r="D597" s="10">
        <f>MAX(_xlfn.IFNA(INDEX(Proj[],MATCH(Table16[[#This Row],[Player]],Proj[Player],0),27),-5000), _xlfn.IFNA(INDEX(Goalie[],MATCH(Table16[[#This Row],[Player]],Goalie[player],0),17),-5000))</f>
        <v>-711.98466173727616</v>
      </c>
      <c r="E597">
        <f>_xlfn.RANK.EQ(Table16[[#This Row],[VOR]],Table16[VOR])</f>
        <v>605</v>
      </c>
      <c r="F597" cm="1">
        <f t="array" ref="F597">_xlfn.IFS(C597 = "C",INDEX('C'!$A$2:$L$254,MATCH($A597,'C'!$A$2:$A$254,0),10),C597 = "LW",INDEX(LW!$A$2:$K$180,MATCH($A597,LW!$A$2:$A$180,0),10),C597 = "RW",INDEX('RW'!$A$2:$L$164,MATCH($A597,'RW'!$A$2:$A$164,0),10), C597 = "D",INDEX(D!$A$2:$L$268,MATCH($A597,D!$A$2:$A$268,0),10),C597="G",INDEX(G!$A$2:$Q$78,MATCH($A597,G!$A$2:$A$78,0),16),C597="F",INDEX(F!$A$2:$K$494,MATCH($A597,F!$A$2:$A$494,0),10))</f>
        <v>123</v>
      </c>
      <c r="G597" t="str">
        <f>_xlfn.CONCAT(C597,Table16[[#This Row],[Pos Rank2]])</f>
        <v>RW123</v>
      </c>
      <c r="H597" s="10">
        <f>MAX(_xlfn.IFNA(INDEX(Proj[],MATCH(Table16[[#This Row],[Player]],Proj[Player],0),29),-5000), _xlfn.IFNA(INDEX(Goalie[],MATCH(Table16[[#This Row],[Player]],Goalie[player],0),19),-5000))</f>
        <v>-265.43993734702724</v>
      </c>
      <c r="I597" t="str">
        <f>IF(_xlfn.IFNA(INDEX(Proj[],MATCH(Table16[[#This Row],[Player]],Proj[Player],0),31),INDEX(Goalie[],MATCH(Table16[[#This Row],[Player]],Goalie[player],0),20)) = 0, "",_xlfn.IFNA(INDEX(Proj[],MATCH(Table16[[#This Row],[Player]],Proj[Player],0),31),INDEX(Goalie[],MATCH(Table16[[#This Row],[Player]],Goalie[player],0),20)))</f>
        <v/>
      </c>
    </row>
    <row r="598" spans="1:9" x14ac:dyDescent="0.25">
      <c r="A598" t="s">
        <v>1080</v>
      </c>
      <c r="B598" s="2" t="s">
        <v>157</v>
      </c>
      <c r="C598" t="str">
        <f t="shared" si="9"/>
        <v>G</v>
      </c>
      <c r="D598" s="10">
        <f>MAX(_xlfn.IFNA(INDEX(Proj[],MATCH(Table16[[#This Row],[Player]],Proj[Player],0),27),-5000), _xlfn.IFNA(INDEX(Goalie[],MATCH(Table16[[#This Row],[Player]],Goalie[player],0),17),-5000))</f>
        <v>-669.74206032726397</v>
      </c>
      <c r="E598">
        <f>_xlfn.RANK.EQ(Table16[[#This Row],[VOR]],Table16[VOR])</f>
        <v>583</v>
      </c>
      <c r="F598" cm="1">
        <f t="array" ref="F598">_xlfn.IFS(C598 = "C",INDEX('C'!$A$2:$L$254,MATCH($A598,'C'!$A$2:$A$254,0),10),C598 = "LW",INDEX(LW!$A$2:$K$180,MATCH($A598,LW!$A$2:$A$180,0),10),C598 = "RW",INDEX('RW'!$A$2:$L$164,MATCH($A598,'RW'!$A$2:$A$164,0),10), C598 = "D",INDEX(D!$A$2:$L$268,MATCH($A598,D!$A$2:$A$268,0),10),C598="G",INDEX(G!$A$2:$Q$78,MATCH($A598,G!$A$2:$A$78,0),16),C598="F",INDEX(F!$A$2:$K$494,MATCH($A598,F!$A$2:$A$494,0),10))</f>
        <v>72</v>
      </c>
      <c r="G598" t="str">
        <f>_xlfn.CONCAT(C598,Table16[[#This Row],[Pos Rank2]])</f>
        <v>G72</v>
      </c>
      <c r="H598" s="10">
        <f>MAX(_xlfn.IFNA(INDEX(Proj[],MATCH(Table16[[#This Row],[Player]],Proj[Player],0),29),-5000), _xlfn.IFNA(INDEX(Goalie[],MATCH(Table16[[#This Row],[Player]],Goalie[player],0),19),-5000))</f>
        <v>97.894000000000005</v>
      </c>
      <c r="I598" t="str">
        <f>IF(_xlfn.IFNA(INDEX(Proj[],MATCH(Table16[[#This Row],[Player]],Proj[Player],0),31),INDEX(Goalie[],MATCH(Table16[[#This Row],[Player]],Goalie[player],0),20)) = 0, "",_xlfn.IFNA(INDEX(Proj[],MATCH(Table16[[#This Row],[Player]],Proj[Player],0),31),INDEX(Goalie[],MATCH(Table16[[#This Row],[Player]],Goalie[player],0),20)))</f>
        <v/>
      </c>
    </row>
    <row r="599" spans="1:9" x14ac:dyDescent="0.25">
      <c r="A599" t="s">
        <v>642</v>
      </c>
      <c r="B599" s="2" t="s">
        <v>3</v>
      </c>
      <c r="C599" t="str">
        <f t="shared" si="9"/>
        <v>D</v>
      </c>
      <c r="D599" s="10">
        <f>MAX(_xlfn.IFNA(INDEX(Proj[],MATCH(Table16[[#This Row],[Player]],Proj[Player],0),27),-5000), _xlfn.IFNA(INDEX(Goalie[],MATCH(Table16[[#This Row],[Player]],Goalie[player],0),17),-5000))</f>
        <v>-639.24113380668643</v>
      </c>
      <c r="E599">
        <f>_xlfn.RANK.EQ(Table16[[#This Row],[VOR]],Table16[VOR])</f>
        <v>565</v>
      </c>
      <c r="F599" cm="1">
        <f t="array" ref="F599">_xlfn.IFS(C599 = "C",INDEX('C'!$A$2:$L$254,MATCH($A599,'C'!$A$2:$A$254,0),10),C599 = "LW",INDEX(LW!$A$2:$K$180,MATCH($A599,LW!$A$2:$A$180,0),10),C599 = "RW",INDEX('RW'!$A$2:$L$164,MATCH($A599,'RW'!$A$2:$A$164,0),10), C599 = "D",INDEX(D!$A$2:$L$268,MATCH($A599,D!$A$2:$A$268,0),10),C599="G",INDEX(G!$A$2:$Q$78,MATCH($A599,G!$A$2:$A$78,0),16),C599="F",INDEX(F!$A$2:$K$494,MATCH($A599,F!$A$2:$A$494,0),10))</f>
        <v>221</v>
      </c>
      <c r="G599" t="str">
        <f>_xlfn.CONCAT(C599,Table16[[#This Row],[Pos Rank2]])</f>
        <v>D221</v>
      </c>
      <c r="H599" s="10">
        <f>MAX(_xlfn.IFNA(INDEX(Proj[],MATCH(Table16[[#This Row],[Player]],Proj[Player],0),29),-5000), _xlfn.IFNA(INDEX(Goalie[],MATCH(Table16[[#This Row],[Player]],Goalie[player],0),19),-5000))</f>
        <v>-531.87636608722198</v>
      </c>
      <c r="I599" t="str">
        <f>IF(_xlfn.IFNA(INDEX(Proj[],MATCH(Table16[[#This Row],[Player]],Proj[Player],0),31),INDEX(Goalie[],MATCH(Table16[[#This Row],[Player]],Goalie[player],0),20)) = 0, "",_xlfn.IFNA(INDEX(Proj[],MATCH(Table16[[#This Row],[Player]],Proj[Player],0),31),INDEX(Goalie[],MATCH(Table16[[#This Row],[Player]],Goalie[player],0),20)))</f>
        <v/>
      </c>
    </row>
    <row r="600" spans="1:9" x14ac:dyDescent="0.25">
      <c r="A600" t="s">
        <v>692</v>
      </c>
      <c r="B600" s="2" t="s">
        <v>3</v>
      </c>
      <c r="C600" t="str">
        <f t="shared" si="9"/>
        <v>D</v>
      </c>
      <c r="D600" s="10">
        <f>MAX(_xlfn.IFNA(INDEX(Proj[],MATCH(Table16[[#This Row],[Player]],Proj[Player],0),27),-5000), _xlfn.IFNA(INDEX(Goalie[],MATCH(Table16[[#This Row],[Player]],Goalie[player],0),17),-5000))</f>
        <v>-639.85306777469339</v>
      </c>
      <c r="E600">
        <f>_xlfn.RANK.EQ(Table16[[#This Row],[VOR]],Table16[VOR])</f>
        <v>566</v>
      </c>
      <c r="F600" cm="1">
        <f t="array" ref="F600">_xlfn.IFS(C600 = "C",INDEX('C'!$A$2:$L$254,MATCH($A600,'C'!$A$2:$A$254,0),10),C600 = "LW",INDEX(LW!$A$2:$K$180,MATCH($A600,LW!$A$2:$A$180,0),10),C600 = "RW",INDEX('RW'!$A$2:$L$164,MATCH($A600,'RW'!$A$2:$A$164,0),10), C600 = "D",INDEX(D!$A$2:$L$268,MATCH($A600,D!$A$2:$A$268,0),10),C600="G",INDEX(G!$A$2:$Q$78,MATCH($A600,G!$A$2:$A$78,0),16),C600="F",INDEX(F!$A$2:$K$494,MATCH($A600,F!$A$2:$A$494,0),10))</f>
        <v>222</v>
      </c>
      <c r="G600" t="str">
        <f>_xlfn.CONCAT(C600,Table16[[#This Row],[Pos Rank2]])</f>
        <v>D222</v>
      </c>
      <c r="H600" s="10">
        <f>MAX(_xlfn.IFNA(INDEX(Proj[],MATCH(Table16[[#This Row],[Player]],Proj[Player],0),29),-5000), _xlfn.IFNA(INDEX(Goalie[],MATCH(Table16[[#This Row],[Player]],Goalie[player],0),19),-5000))</f>
        <v>-532.48830005522893</v>
      </c>
      <c r="I600" t="str">
        <f>IF(_xlfn.IFNA(INDEX(Proj[],MATCH(Table16[[#This Row],[Player]],Proj[Player],0),31),INDEX(Goalie[],MATCH(Table16[[#This Row],[Player]],Goalie[player],0),20)) = 0, "",_xlfn.IFNA(INDEX(Proj[],MATCH(Table16[[#This Row],[Player]],Proj[Player],0),31),INDEX(Goalie[],MATCH(Table16[[#This Row],[Player]],Goalie[player],0),20)))</f>
        <v/>
      </c>
    </row>
    <row r="601" spans="1:9" x14ac:dyDescent="0.25">
      <c r="A601" t="s">
        <v>1020</v>
      </c>
      <c r="B601" s="2" t="s">
        <v>3</v>
      </c>
      <c r="C601" t="str">
        <f t="shared" si="9"/>
        <v>D</v>
      </c>
      <c r="D601" s="10">
        <f>MAX(_xlfn.IFNA(INDEX(Proj[],MATCH(Table16[[#This Row],[Player]],Proj[Player],0),27),-5000), _xlfn.IFNA(INDEX(Goalie[],MATCH(Table16[[#This Row],[Player]],Goalie[player],0),17),-5000))</f>
        <v>-640.93919894004921</v>
      </c>
      <c r="E601">
        <f>_xlfn.RANK.EQ(Table16[[#This Row],[VOR]],Table16[VOR])</f>
        <v>567</v>
      </c>
      <c r="F601" cm="1">
        <f t="array" ref="F601">_xlfn.IFS(C601 = "C",INDEX('C'!$A$2:$L$254,MATCH($A601,'C'!$A$2:$A$254,0),10),C601 = "LW",INDEX(LW!$A$2:$K$180,MATCH($A601,LW!$A$2:$A$180,0),10),C601 = "RW",INDEX('RW'!$A$2:$L$164,MATCH($A601,'RW'!$A$2:$A$164,0),10), C601 = "D",INDEX(D!$A$2:$L$268,MATCH($A601,D!$A$2:$A$268,0),10),C601="G",INDEX(G!$A$2:$Q$78,MATCH($A601,G!$A$2:$A$78,0),16),C601="F",INDEX(F!$A$2:$K$494,MATCH($A601,F!$A$2:$A$494,0),10))</f>
        <v>223</v>
      </c>
      <c r="G601" t="str">
        <f>_xlfn.CONCAT(C601,Table16[[#This Row],[Pos Rank2]])</f>
        <v>D223</v>
      </c>
      <c r="H601" s="10">
        <f>MAX(_xlfn.IFNA(INDEX(Proj[],MATCH(Table16[[#This Row],[Player]],Proj[Player],0),29),-5000), _xlfn.IFNA(INDEX(Goalie[],MATCH(Table16[[#This Row],[Player]],Goalie[player],0),19),-5000))</f>
        <v>-533.57443122058476</v>
      </c>
      <c r="I601" t="str">
        <f>IF(_xlfn.IFNA(INDEX(Proj[],MATCH(Table16[[#This Row],[Player]],Proj[Player],0),31),INDEX(Goalie[],MATCH(Table16[[#This Row],[Player]],Goalie[player],0),20)) = 0, "",_xlfn.IFNA(INDEX(Proj[],MATCH(Table16[[#This Row],[Player]],Proj[Player],0),31),INDEX(Goalie[],MATCH(Table16[[#This Row],[Player]],Goalie[player],0),20)))</f>
        <v/>
      </c>
    </row>
    <row r="602" spans="1:9" x14ac:dyDescent="0.25">
      <c r="A602" t="s">
        <v>650</v>
      </c>
      <c r="B602" s="2" t="s">
        <v>103</v>
      </c>
      <c r="C602" t="str">
        <f t="shared" si="9"/>
        <v>RW</v>
      </c>
      <c r="D602" s="10">
        <f>MAX(_xlfn.IFNA(INDEX(Proj[],MATCH(Table16[[#This Row],[Player]],Proj[Player],0),27),-5000), _xlfn.IFNA(INDEX(Goalie[],MATCH(Table16[[#This Row],[Player]],Goalie[player],0),17),-5000))</f>
        <v>-661.6309873010357</v>
      </c>
      <c r="E602">
        <f>_xlfn.RANK.EQ(Table16[[#This Row],[VOR]],Table16[VOR])</f>
        <v>577</v>
      </c>
      <c r="F602" cm="1">
        <f t="array" ref="F602">_xlfn.IFS(C602 = "C",INDEX('C'!$A$2:$L$254,MATCH($A602,'C'!$A$2:$A$254,0),10),C602 = "LW",INDEX(LW!$A$2:$K$180,MATCH($A602,LW!$A$2:$A$180,0),10),C602 = "RW",INDEX('RW'!$A$2:$L$164,MATCH($A602,'RW'!$A$2:$A$164,0),10), C602 = "D",INDEX(D!$A$2:$L$268,MATCH($A602,D!$A$2:$A$268,0),10),C602="G",INDEX(G!$A$2:$Q$78,MATCH($A602,G!$A$2:$A$78,0),16),C602="F",INDEX(F!$A$2:$K$494,MATCH($A602,F!$A$2:$A$494,0),10))</f>
        <v>114</v>
      </c>
      <c r="G602" t="str">
        <f>_xlfn.CONCAT(C602,Table16[[#This Row],[Pos Rank2]])</f>
        <v>RW114</v>
      </c>
      <c r="H602" s="10">
        <f>MAX(_xlfn.IFNA(INDEX(Proj[],MATCH(Table16[[#This Row],[Player]],Proj[Player],0),29),-5000), _xlfn.IFNA(INDEX(Goalie[],MATCH(Table16[[#This Row],[Player]],Goalie[player],0),19),-5000))</f>
        <v>-215.0862629107869</v>
      </c>
      <c r="I602" t="str">
        <f>IF(_xlfn.IFNA(INDEX(Proj[],MATCH(Table16[[#This Row],[Player]],Proj[Player],0),31),INDEX(Goalie[],MATCH(Table16[[#This Row],[Player]],Goalie[player],0),20)) = 0, "",_xlfn.IFNA(INDEX(Proj[],MATCH(Table16[[#This Row],[Player]],Proj[Player],0),31),INDEX(Goalie[],MATCH(Table16[[#This Row],[Player]],Goalie[player],0),20)))</f>
        <v/>
      </c>
    </row>
    <row r="603" spans="1:9" x14ac:dyDescent="0.25">
      <c r="A603" t="s">
        <v>1178</v>
      </c>
      <c r="B603" s="2" t="s">
        <v>3</v>
      </c>
      <c r="C603" t="str">
        <f t="shared" si="9"/>
        <v>D</v>
      </c>
      <c r="D603" s="10">
        <f>MAX(_xlfn.IFNA(INDEX(Proj[],MATCH(Table16[[#This Row],[Player]],Proj[Player],0),27),-5000), _xlfn.IFNA(INDEX(Goalie[],MATCH(Table16[[#This Row],[Player]],Goalie[player],0),17),-5000))</f>
        <v>-653.98445553813258</v>
      </c>
      <c r="E603">
        <f>_xlfn.RANK.EQ(Table16[[#This Row],[VOR]],Table16[VOR])</f>
        <v>571</v>
      </c>
      <c r="F603" cm="1">
        <f t="array" ref="F603">_xlfn.IFS(C603 = "C",INDEX('C'!$A$2:$L$254,MATCH($A603,'C'!$A$2:$A$254,0),10),C603 = "LW",INDEX(LW!$A$2:$K$180,MATCH($A603,LW!$A$2:$A$180,0),10),C603 = "RW",INDEX('RW'!$A$2:$L$164,MATCH($A603,'RW'!$A$2:$A$164,0),10), C603 = "D",INDEX(D!$A$2:$L$268,MATCH($A603,D!$A$2:$A$268,0),10),C603="G",INDEX(G!$A$2:$Q$78,MATCH($A603,G!$A$2:$A$78,0),16),C603="F",INDEX(F!$A$2:$K$494,MATCH($A603,F!$A$2:$A$494,0),10))</f>
        <v>224</v>
      </c>
      <c r="G603" t="str">
        <f>_xlfn.CONCAT(C603,Table16[[#This Row],[Pos Rank2]])</f>
        <v>D224</v>
      </c>
      <c r="H603" s="10">
        <f>MAX(_xlfn.IFNA(INDEX(Proj[],MATCH(Table16[[#This Row],[Player]],Proj[Player],0),29),-5000), _xlfn.IFNA(INDEX(Goalie[],MATCH(Table16[[#This Row],[Player]],Goalie[player],0),19),-5000))</f>
        <v>-546.61968781866813</v>
      </c>
      <c r="I603" t="str">
        <f>IF(_xlfn.IFNA(INDEX(Proj[],MATCH(Table16[[#This Row],[Player]],Proj[Player],0),31),INDEX(Goalie[],MATCH(Table16[[#This Row],[Player]],Goalie[player],0),20)) = 0, "",_xlfn.IFNA(INDEX(Proj[],MATCH(Table16[[#This Row],[Player]],Proj[Player],0),31),INDEX(Goalie[],MATCH(Table16[[#This Row],[Player]],Goalie[player],0),20)))</f>
        <v/>
      </c>
    </row>
    <row r="604" spans="1:9" x14ac:dyDescent="0.25">
      <c r="A604" t="s">
        <v>723</v>
      </c>
      <c r="B604" s="2" t="s">
        <v>74</v>
      </c>
      <c r="C604" t="str">
        <f t="shared" si="9"/>
        <v>C</v>
      </c>
      <c r="D604" s="10">
        <f>MAX(_xlfn.IFNA(INDEX(Proj[],MATCH(Table16[[#This Row],[Player]],Proj[Player],0),27),-5000), _xlfn.IFNA(INDEX(Goalie[],MATCH(Table16[[#This Row],[Player]],Goalie[player],0),17),-5000))</f>
        <v>-808.95887502061953</v>
      </c>
      <c r="E604">
        <f>_xlfn.RANK.EQ(Table16[[#This Row],[VOR]],Table16[VOR])</f>
        <v>668</v>
      </c>
      <c r="F604" cm="1">
        <f t="array" ref="F604">_xlfn.IFS(C604 = "C",INDEX('C'!$A$2:$L$254,MATCH($A604,'C'!$A$2:$A$254,0),10),C604 = "LW",INDEX(LW!$A$2:$K$180,MATCH($A604,LW!$A$2:$A$180,0),10),C604 = "RW",INDEX('RW'!$A$2:$L$164,MATCH($A604,'RW'!$A$2:$A$164,0),10), C604 = "D",INDEX(D!$A$2:$L$268,MATCH($A604,D!$A$2:$A$268,0),10),C604="G",INDEX(G!$A$2:$Q$78,MATCH($A604,G!$A$2:$A$78,0),16),C604="F",INDEX(F!$A$2:$K$494,MATCH($A604,F!$A$2:$A$494,0),10))</f>
        <v>161</v>
      </c>
      <c r="G604" t="str">
        <f>_xlfn.CONCAT(C604,Table16[[#This Row],[Pos Rank2]])</f>
        <v>C161</v>
      </c>
      <c r="H604" s="10">
        <f>MAX(_xlfn.IFNA(INDEX(Proj[],MATCH(Table16[[#This Row],[Player]],Proj[Player],0),29),-5000), _xlfn.IFNA(INDEX(Goalie[],MATCH(Table16[[#This Row],[Player]],Goalie[player],0),19),-5000))</f>
        <v>-74.325020710320956</v>
      </c>
      <c r="I604" t="str">
        <f>IF(_xlfn.IFNA(INDEX(Proj[],MATCH(Table16[[#This Row],[Player]],Proj[Player],0),31),INDEX(Goalie[],MATCH(Table16[[#This Row],[Player]],Goalie[player],0),20)) = 0, "",_xlfn.IFNA(INDEX(Proj[],MATCH(Table16[[#This Row],[Player]],Proj[Player],0),31),INDEX(Goalie[],MATCH(Table16[[#This Row],[Player]],Goalie[player],0),20)))</f>
        <v/>
      </c>
    </row>
    <row r="605" spans="1:9" x14ac:dyDescent="0.25">
      <c r="A605" t="s">
        <v>523</v>
      </c>
      <c r="B605" s="2" t="s">
        <v>1108</v>
      </c>
      <c r="C605" t="str">
        <f t="shared" si="9"/>
        <v>RW</v>
      </c>
      <c r="D605" s="10">
        <f>MAX(_xlfn.IFNA(INDEX(Proj[],MATCH(Table16[[#This Row],[Player]],Proj[Player],0),27),-5000), _xlfn.IFNA(INDEX(Goalie[],MATCH(Table16[[#This Row],[Player]],Goalie[player],0),17),-5000))</f>
        <v>-708.35312071322778</v>
      </c>
      <c r="E605">
        <f>_xlfn.RANK.EQ(Table16[[#This Row],[VOR]],Table16[VOR])</f>
        <v>601</v>
      </c>
      <c r="F605" cm="1">
        <f t="array" ref="F605">_xlfn.IFS(C605 = "C",INDEX('C'!$A$2:$L$254,MATCH($A605,'C'!$A$2:$A$254,0),10),C605 = "LW",INDEX(LW!$A$2:$K$180,MATCH($A605,LW!$A$2:$A$180,0),10),C605 = "RW",INDEX('RW'!$A$2:$L$164,MATCH($A605,'RW'!$A$2:$A$164,0),10), C605 = "D",INDEX(D!$A$2:$L$268,MATCH($A605,D!$A$2:$A$268,0),10),C605="G",INDEX(G!$A$2:$Q$78,MATCH($A605,G!$A$2:$A$78,0),16),C605="F",INDEX(F!$A$2:$K$494,MATCH($A605,F!$A$2:$A$494,0),10))</f>
        <v>122</v>
      </c>
      <c r="G605" t="str">
        <f>_xlfn.CONCAT(C605,Table16[[#This Row],[Pos Rank2]])</f>
        <v>RW122</v>
      </c>
      <c r="H605" s="10">
        <f>MAX(_xlfn.IFNA(INDEX(Proj[],MATCH(Table16[[#This Row],[Player]],Proj[Player],0),29),-5000), _xlfn.IFNA(INDEX(Goalie[],MATCH(Table16[[#This Row],[Player]],Goalie[player],0),19),-5000))</f>
        <v>-261.80839632297887</v>
      </c>
      <c r="I605" t="str">
        <f>IF(_xlfn.IFNA(INDEX(Proj[],MATCH(Table16[[#This Row],[Player]],Proj[Player],0),31),INDEX(Goalie[],MATCH(Table16[[#This Row],[Player]],Goalie[player],0),20)) = 0, "",_xlfn.IFNA(INDEX(Proj[],MATCH(Table16[[#This Row],[Player]],Proj[Player],0),31),INDEX(Goalie[],MATCH(Table16[[#This Row],[Player]],Goalie[player],0),20)))</f>
        <v/>
      </c>
    </row>
    <row r="606" spans="1:9" x14ac:dyDescent="0.25">
      <c r="A606" t="s">
        <v>665</v>
      </c>
      <c r="B606" s="2" t="s">
        <v>102</v>
      </c>
      <c r="C606" t="str">
        <f t="shared" si="9"/>
        <v>LW</v>
      </c>
      <c r="D606" s="10">
        <f>MAX(_xlfn.IFNA(INDEX(Proj[],MATCH(Table16[[#This Row],[Player]],Proj[Player],0),27),-5000), _xlfn.IFNA(INDEX(Goalie[],MATCH(Table16[[#This Row],[Player]],Goalie[player],0),17),-5000))</f>
        <v>-708.80259875930756</v>
      </c>
      <c r="E606">
        <f>_xlfn.RANK.EQ(Table16[[#This Row],[VOR]],Table16[VOR])</f>
        <v>602</v>
      </c>
      <c r="F606" cm="1">
        <f t="array" ref="F606">_xlfn.IFS(C606 = "C",INDEX('C'!$A$2:$L$254,MATCH($A606,'C'!$A$2:$A$254,0),10),C606 = "LW",INDEX(LW!$A$2:$K$180,MATCH($A606,LW!$A$2:$A$180,0),10),C606 = "RW",INDEX('RW'!$A$2:$L$164,MATCH($A606,'RW'!$A$2:$A$164,0),10), C606 = "D",INDEX(D!$A$2:$L$268,MATCH($A606,D!$A$2:$A$268,0),10),C606="G",INDEX(G!$A$2:$Q$78,MATCH($A606,G!$A$2:$A$78,0),16),C606="F",INDEX(F!$A$2:$K$494,MATCH($A606,F!$A$2:$A$494,0),10))</f>
        <v>131</v>
      </c>
      <c r="G606" t="str">
        <f>_xlfn.CONCAT(C606,Table16[[#This Row],[Pos Rank2]])</f>
        <v>LW131</v>
      </c>
      <c r="H606" s="10">
        <f>MAX(_xlfn.IFNA(INDEX(Proj[],MATCH(Table16[[#This Row],[Player]],Proj[Player],0),29),-5000), _xlfn.IFNA(INDEX(Goalie[],MATCH(Table16[[#This Row],[Player]],Goalie[player],0),19),-5000))</f>
        <v>-237.25787436905873</v>
      </c>
      <c r="I606" t="str">
        <f>IF(_xlfn.IFNA(INDEX(Proj[],MATCH(Table16[[#This Row],[Player]],Proj[Player],0),31),INDEX(Goalie[],MATCH(Table16[[#This Row],[Player]],Goalie[player],0),20)) = 0, "",_xlfn.IFNA(INDEX(Proj[],MATCH(Table16[[#This Row],[Player]],Proj[Player],0),31),INDEX(Goalie[],MATCH(Table16[[#This Row],[Player]],Goalie[player],0),20)))</f>
        <v/>
      </c>
    </row>
    <row r="607" spans="1:9" x14ac:dyDescent="0.25">
      <c r="A607" t="s">
        <v>1152</v>
      </c>
      <c r="B607" s="2" t="s">
        <v>74</v>
      </c>
      <c r="C607" t="str">
        <f t="shared" si="9"/>
        <v>C</v>
      </c>
      <c r="D607" s="10">
        <f>MAX(_xlfn.IFNA(INDEX(Proj[],MATCH(Table16[[#This Row],[Player]],Proj[Player],0),27),-5000), _xlfn.IFNA(INDEX(Goalie[],MATCH(Table16[[#This Row],[Player]],Goalie[player],0),17),-5000))</f>
        <v>-796.46293279275972</v>
      </c>
      <c r="E607">
        <f>_xlfn.RANK.EQ(Table16[[#This Row],[VOR]],Table16[VOR])</f>
        <v>657</v>
      </c>
      <c r="F607" cm="1">
        <f t="array" ref="F607">_xlfn.IFS(C607 = "C",INDEX('C'!$A$2:$L$254,MATCH($A607,'C'!$A$2:$A$254,0),10),C607 = "LW",INDEX(LW!$A$2:$K$180,MATCH($A607,LW!$A$2:$A$180,0),10),C607 = "RW",INDEX('RW'!$A$2:$L$164,MATCH($A607,'RW'!$A$2:$A$164,0),10), C607 = "D",INDEX(D!$A$2:$L$268,MATCH($A607,D!$A$2:$A$268,0),10),C607="G",INDEX(G!$A$2:$Q$78,MATCH($A607,G!$A$2:$A$78,0),16),C607="F",INDEX(F!$A$2:$K$494,MATCH($A607,F!$A$2:$A$494,0),10))</f>
        <v>158</v>
      </c>
      <c r="G607" t="str">
        <f>_xlfn.CONCAT(C607,Table16[[#This Row],[Pos Rank2]])</f>
        <v>C158</v>
      </c>
      <c r="H607" s="10">
        <f>MAX(_xlfn.IFNA(INDEX(Proj[],MATCH(Table16[[#This Row],[Player]],Proj[Player],0),29),-5000), _xlfn.IFNA(INDEX(Goalie[],MATCH(Table16[[#This Row],[Player]],Goalie[player],0),19),-5000))</f>
        <v>-61.829078482461085</v>
      </c>
      <c r="I607" t="str">
        <f>IF(_xlfn.IFNA(INDEX(Proj[],MATCH(Table16[[#This Row],[Player]],Proj[Player],0),31),INDEX(Goalie[],MATCH(Table16[[#This Row],[Player]],Goalie[player],0),20)) = 0, "",_xlfn.IFNA(INDEX(Proj[],MATCH(Table16[[#This Row],[Player]],Proj[Player],0),31),INDEX(Goalie[],MATCH(Table16[[#This Row],[Player]],Goalie[player],0),20)))</f>
        <v/>
      </c>
    </row>
    <row r="608" spans="1:9" x14ac:dyDescent="0.25">
      <c r="A608" t="s">
        <v>603</v>
      </c>
      <c r="B608" s="2" t="s">
        <v>102</v>
      </c>
      <c r="C608" t="str">
        <f t="shared" si="9"/>
        <v>LW</v>
      </c>
      <c r="D608" s="10">
        <f>MAX(_xlfn.IFNA(INDEX(Proj[],MATCH(Table16[[#This Row],[Player]],Proj[Player],0),27),-5000), _xlfn.IFNA(INDEX(Goalie[],MATCH(Table16[[#This Row],[Player]],Goalie[player],0),17),-5000))</f>
        <v>-723.93637634310153</v>
      </c>
      <c r="E608">
        <f>_xlfn.RANK.EQ(Table16[[#This Row],[VOR]],Table16[VOR])</f>
        <v>612</v>
      </c>
      <c r="F608" cm="1">
        <f t="array" ref="F608">_xlfn.IFS(C608 = "C",INDEX('C'!$A$2:$L$254,MATCH($A608,'C'!$A$2:$A$254,0),10),C608 = "LW",INDEX(LW!$A$2:$K$180,MATCH($A608,LW!$A$2:$A$180,0),10),C608 = "RW",INDEX('RW'!$A$2:$L$164,MATCH($A608,'RW'!$A$2:$A$164,0),10), C608 = "D",INDEX(D!$A$2:$L$268,MATCH($A608,D!$A$2:$A$268,0),10),C608="G",INDEX(G!$A$2:$Q$78,MATCH($A608,G!$A$2:$A$78,0),16),C608="F",INDEX(F!$A$2:$K$494,MATCH($A608,F!$A$2:$A$494,0),10))</f>
        <v>134</v>
      </c>
      <c r="G608" t="str">
        <f>_xlfn.CONCAT(C608,Table16[[#This Row],[Pos Rank2]])</f>
        <v>LW134</v>
      </c>
      <c r="H608" s="10">
        <f>MAX(_xlfn.IFNA(INDEX(Proj[],MATCH(Table16[[#This Row],[Player]],Proj[Player],0),29),-5000), _xlfn.IFNA(INDEX(Goalie[],MATCH(Table16[[#This Row],[Player]],Goalie[player],0),19),-5000))</f>
        <v>-252.39165195285267</v>
      </c>
      <c r="I608" t="str">
        <f>IF(_xlfn.IFNA(INDEX(Proj[],MATCH(Table16[[#This Row],[Player]],Proj[Player],0),31),INDEX(Goalie[],MATCH(Table16[[#This Row],[Player]],Goalie[player],0),20)) = 0, "",_xlfn.IFNA(INDEX(Proj[],MATCH(Table16[[#This Row],[Player]],Proj[Player],0),31),INDEX(Goalie[],MATCH(Table16[[#This Row],[Player]],Goalie[player],0),20)))</f>
        <v/>
      </c>
    </row>
    <row r="609" spans="1:9" x14ac:dyDescent="0.25">
      <c r="A609" t="s">
        <v>996</v>
      </c>
      <c r="B609" s="2" t="s">
        <v>74</v>
      </c>
      <c r="C609" t="str">
        <f t="shared" si="9"/>
        <v>C</v>
      </c>
      <c r="D609" s="10">
        <f>MAX(_xlfn.IFNA(INDEX(Proj[],MATCH(Table16[[#This Row],[Player]],Proj[Player],0),27),-5000), _xlfn.IFNA(INDEX(Goalie[],MATCH(Table16[[#This Row],[Player]],Goalie[player],0),17),-5000))</f>
        <v>-809.04983452932106</v>
      </c>
      <c r="E609">
        <f>_xlfn.RANK.EQ(Table16[[#This Row],[VOR]],Table16[VOR])</f>
        <v>669</v>
      </c>
      <c r="F609" cm="1">
        <f t="array" ref="F609">_xlfn.IFS(C609 = "C",INDEX('C'!$A$2:$L$254,MATCH($A609,'C'!$A$2:$A$254,0),10),C609 = "LW",INDEX(LW!$A$2:$K$180,MATCH($A609,LW!$A$2:$A$180,0),10),C609 = "RW",INDEX('RW'!$A$2:$L$164,MATCH($A609,'RW'!$A$2:$A$164,0),10), C609 = "D",INDEX(D!$A$2:$L$268,MATCH($A609,D!$A$2:$A$268,0),10),C609="G",INDEX(G!$A$2:$Q$78,MATCH($A609,G!$A$2:$A$78,0),16),C609="F",INDEX(F!$A$2:$K$494,MATCH($A609,F!$A$2:$A$494,0),10))</f>
        <v>162</v>
      </c>
      <c r="G609" t="str">
        <f>_xlfn.CONCAT(C609,Table16[[#This Row],[Pos Rank2]])</f>
        <v>C162</v>
      </c>
      <c r="H609" s="10">
        <f>MAX(_xlfn.IFNA(INDEX(Proj[],MATCH(Table16[[#This Row],[Player]],Proj[Player],0),29),-5000), _xlfn.IFNA(INDEX(Goalie[],MATCH(Table16[[#This Row],[Player]],Goalie[player],0),19),-5000))</f>
        <v>-74.415980219022444</v>
      </c>
      <c r="I609" t="str">
        <f>IF(_xlfn.IFNA(INDEX(Proj[],MATCH(Table16[[#This Row],[Player]],Proj[Player],0),31),INDEX(Goalie[],MATCH(Table16[[#This Row],[Player]],Goalie[player],0),20)) = 0, "",_xlfn.IFNA(INDEX(Proj[],MATCH(Table16[[#This Row],[Player]],Proj[Player],0),31),INDEX(Goalie[],MATCH(Table16[[#This Row],[Player]],Goalie[player],0),20)))</f>
        <v/>
      </c>
    </row>
    <row r="610" spans="1:9" x14ac:dyDescent="0.25">
      <c r="A610" t="s">
        <v>814</v>
      </c>
      <c r="B610" s="2" t="s">
        <v>74</v>
      </c>
      <c r="C610" t="str">
        <f t="shared" si="9"/>
        <v>C</v>
      </c>
      <c r="D610" s="10">
        <f>MAX(_xlfn.IFNA(INDEX(Proj[],MATCH(Table16[[#This Row],[Player]],Proj[Player],0),27),-5000), _xlfn.IFNA(INDEX(Goalie[],MATCH(Table16[[#This Row],[Player]],Goalie[player],0),17),-5000))</f>
        <v>-914.92613145307621</v>
      </c>
      <c r="E610">
        <f>_xlfn.RANK.EQ(Table16[[#This Row],[VOR]],Table16[VOR])</f>
        <v>710</v>
      </c>
      <c r="F610" cm="1">
        <f t="array" ref="F610">_xlfn.IFS(C610 = "C",INDEX('C'!$A$2:$L$254,MATCH($A610,'C'!$A$2:$A$254,0),10),C610 = "LW",INDEX(LW!$A$2:$K$180,MATCH($A610,LW!$A$2:$A$180,0),10),C610 = "RW",INDEX('RW'!$A$2:$L$164,MATCH($A610,'RW'!$A$2:$A$164,0),10), C610 = "D",INDEX(D!$A$2:$L$268,MATCH($A610,D!$A$2:$A$268,0),10),C610="G",INDEX(G!$A$2:$Q$78,MATCH($A610,G!$A$2:$A$78,0),16),C610="F",INDEX(F!$A$2:$K$494,MATCH($A610,F!$A$2:$A$494,0),10))</f>
        <v>175</v>
      </c>
      <c r="G610" t="str">
        <f>_xlfn.CONCAT(C610,Table16[[#This Row],[Pos Rank2]])</f>
        <v>C175</v>
      </c>
      <c r="H610" s="10">
        <f>MAX(_xlfn.IFNA(INDEX(Proj[],MATCH(Table16[[#This Row],[Player]],Proj[Player],0),29),-5000), _xlfn.IFNA(INDEX(Goalie[],MATCH(Table16[[#This Row],[Player]],Goalie[player],0),19),-5000))</f>
        <v>-180.29227714277761</v>
      </c>
      <c r="I610" t="str">
        <f>IF(_xlfn.IFNA(INDEX(Proj[],MATCH(Table16[[#This Row],[Player]],Proj[Player],0),31),INDEX(Goalie[],MATCH(Table16[[#This Row],[Player]],Goalie[player],0),20)) = 0, "",_xlfn.IFNA(INDEX(Proj[],MATCH(Table16[[#This Row],[Player]],Proj[Player],0),31),INDEX(Goalie[],MATCH(Table16[[#This Row],[Player]],Goalie[player],0),20)))</f>
        <v/>
      </c>
    </row>
    <row r="611" spans="1:9" x14ac:dyDescent="0.25">
      <c r="A611" t="s">
        <v>568</v>
      </c>
      <c r="B611" s="2" t="s">
        <v>102</v>
      </c>
      <c r="C611" t="str">
        <f t="shared" si="9"/>
        <v>LW</v>
      </c>
      <c r="D611" s="10">
        <f>MAX(_xlfn.IFNA(INDEX(Proj[],MATCH(Table16[[#This Row],[Player]],Proj[Player],0),27),-5000), _xlfn.IFNA(INDEX(Goalie[],MATCH(Table16[[#This Row],[Player]],Goalie[player],0),17),-5000))</f>
        <v>-710.43713930977867</v>
      </c>
      <c r="E611">
        <f>_xlfn.RANK.EQ(Table16[[#This Row],[VOR]],Table16[VOR])</f>
        <v>603</v>
      </c>
      <c r="F611" cm="1">
        <f t="array" ref="F611">_xlfn.IFS(C611 = "C",INDEX('C'!$A$2:$L$254,MATCH($A611,'C'!$A$2:$A$254,0),10),C611 = "LW",INDEX(LW!$A$2:$K$180,MATCH($A611,LW!$A$2:$A$180,0),10),C611 = "RW",INDEX('RW'!$A$2:$L$164,MATCH($A611,'RW'!$A$2:$A$164,0),10), C611 = "D",INDEX(D!$A$2:$L$268,MATCH($A611,D!$A$2:$A$268,0),10),C611="G",INDEX(G!$A$2:$Q$78,MATCH($A611,G!$A$2:$A$78,0),16),C611="F",INDEX(F!$A$2:$K$494,MATCH($A611,F!$A$2:$A$494,0),10))</f>
        <v>132</v>
      </c>
      <c r="G611" t="str">
        <f>_xlfn.CONCAT(C611,Table16[[#This Row],[Pos Rank2]])</f>
        <v>LW132</v>
      </c>
      <c r="H611" s="10">
        <f>MAX(_xlfn.IFNA(INDEX(Proj[],MATCH(Table16[[#This Row],[Player]],Proj[Player],0),29),-5000), _xlfn.IFNA(INDEX(Goalie[],MATCH(Table16[[#This Row],[Player]],Goalie[player],0),19),-5000))</f>
        <v>-238.89241491952978</v>
      </c>
      <c r="I611" t="str">
        <f>IF(_xlfn.IFNA(INDEX(Proj[],MATCH(Table16[[#This Row],[Player]],Proj[Player],0),31),INDEX(Goalie[],MATCH(Table16[[#This Row],[Player]],Goalie[player],0),20)) = 0, "",_xlfn.IFNA(INDEX(Proj[],MATCH(Table16[[#This Row],[Player]],Proj[Player],0),31),INDEX(Goalie[],MATCH(Table16[[#This Row],[Player]],Goalie[player],0),20)))</f>
        <v/>
      </c>
    </row>
    <row r="612" spans="1:9" x14ac:dyDescent="0.25">
      <c r="A612" t="s">
        <v>187</v>
      </c>
      <c r="B612" s="2" t="s">
        <v>157</v>
      </c>
      <c r="C612" t="str">
        <f t="shared" si="9"/>
        <v>G</v>
      </c>
      <c r="D612" s="10">
        <f>MAX(_xlfn.IFNA(INDEX(Proj[],MATCH(Table16[[#This Row],[Player]],Proj[Player],0),27),-5000), _xlfn.IFNA(INDEX(Goalie[],MATCH(Table16[[#This Row],[Player]],Goalie[player],0),17),-5000))</f>
        <v>-682.98596692148078</v>
      </c>
      <c r="E612">
        <f>_xlfn.RANK.EQ(Table16[[#This Row],[VOR]],Table16[VOR])</f>
        <v>591</v>
      </c>
      <c r="F612" cm="1">
        <f t="array" ref="F612">_xlfn.IFS(C612 = "C",INDEX('C'!$A$2:$L$254,MATCH($A612,'C'!$A$2:$A$254,0),10),C612 = "LW",INDEX(LW!$A$2:$K$180,MATCH($A612,LW!$A$2:$A$180,0),10),C612 = "RW",INDEX('RW'!$A$2:$L$164,MATCH($A612,'RW'!$A$2:$A$164,0),10), C612 = "D",INDEX(D!$A$2:$L$268,MATCH($A612,D!$A$2:$A$268,0),10),C612="G",INDEX(G!$A$2:$Q$78,MATCH($A612,G!$A$2:$A$78,0),16),C612="F",INDEX(F!$A$2:$K$494,MATCH($A612,F!$A$2:$A$494,0),10))</f>
        <v>73</v>
      </c>
      <c r="G612" t="str">
        <f>_xlfn.CONCAT(C612,Table16[[#This Row],[Pos Rank2]])</f>
        <v>G73</v>
      </c>
      <c r="H612" s="10">
        <f>MAX(_xlfn.IFNA(INDEX(Proj[],MATCH(Table16[[#This Row],[Player]],Proj[Player],0),29),-5000), _xlfn.IFNA(INDEX(Goalie[],MATCH(Table16[[#This Row],[Player]],Goalie[player],0),19),-5000))</f>
        <v>75.740800000000007</v>
      </c>
      <c r="I612" t="str">
        <f>IF(_xlfn.IFNA(INDEX(Proj[],MATCH(Table16[[#This Row],[Player]],Proj[Player],0),31),INDEX(Goalie[],MATCH(Table16[[#This Row],[Player]],Goalie[player],0),20)) = 0, "",_xlfn.IFNA(INDEX(Proj[],MATCH(Table16[[#This Row],[Player]],Proj[Player],0),31),INDEX(Goalie[],MATCH(Table16[[#This Row],[Player]],Goalie[player],0),20)))</f>
        <v/>
      </c>
    </row>
    <row r="613" spans="1:9" x14ac:dyDescent="0.25">
      <c r="A613" t="s">
        <v>446</v>
      </c>
      <c r="B613" s="2" t="s">
        <v>101</v>
      </c>
      <c r="C613" t="str">
        <f t="shared" si="9"/>
        <v>LW</v>
      </c>
      <c r="D613" s="10">
        <f>MAX(_xlfn.IFNA(INDEX(Proj[],MATCH(Table16[[#This Row],[Player]],Proj[Player],0),27),-5000), _xlfn.IFNA(INDEX(Goalie[],MATCH(Table16[[#This Row],[Player]],Goalie[player],0),17),-5000))</f>
        <v>-457.397015161718</v>
      </c>
      <c r="E613">
        <f>_xlfn.RANK.EQ(Table16[[#This Row],[VOR]],Table16[VOR])</f>
        <v>461</v>
      </c>
      <c r="F613" cm="1">
        <f t="array" ref="F613">_xlfn.IFS(C613 = "C",INDEX('C'!$A$2:$L$254,MATCH($A613,'C'!$A$2:$A$254,0),10),C613 = "LW",INDEX(LW!$A$2:$K$180,MATCH($A613,LW!$A$2:$A$180,0),10),C613 = "RW",INDEX('RW'!$A$2:$L$164,MATCH($A613,'RW'!$A$2:$A$164,0),10), C613 = "D",INDEX(D!$A$2:$L$268,MATCH($A613,D!$A$2:$A$268,0),10),C613="G",INDEX(G!$A$2:$Q$78,MATCH($A613,G!$A$2:$A$78,0),16),C613="F",INDEX(F!$A$2:$K$494,MATCH($A613,F!$A$2:$A$494,0),10))</f>
        <v>100</v>
      </c>
      <c r="G613" t="str">
        <f>_xlfn.CONCAT(C613,Table16[[#This Row],[Pos Rank2]])</f>
        <v>LW100</v>
      </c>
      <c r="H613" s="10">
        <f>MAX(_xlfn.IFNA(INDEX(Proj[],MATCH(Table16[[#This Row],[Player]],Proj[Player],0),29),-5000), _xlfn.IFNA(INDEX(Goalie[],MATCH(Table16[[#This Row],[Player]],Goalie[player],0),19),-5000))</f>
        <v>14.14770922853087</v>
      </c>
      <c r="I613" t="str">
        <f>IF(_xlfn.IFNA(INDEX(Proj[],MATCH(Table16[[#This Row],[Player]],Proj[Player],0),31),INDEX(Goalie[],MATCH(Table16[[#This Row],[Player]],Goalie[player],0),20)) = 0, "",_xlfn.IFNA(INDEX(Proj[],MATCH(Table16[[#This Row],[Player]],Proj[Player],0),31),INDEX(Goalie[],MATCH(Table16[[#This Row],[Player]],Goalie[player],0),20)))</f>
        <v/>
      </c>
    </row>
    <row r="614" spans="1:9" x14ac:dyDescent="0.25">
      <c r="A614" t="s">
        <v>997</v>
      </c>
      <c r="B614" s="2" t="s">
        <v>103</v>
      </c>
      <c r="C614" t="str">
        <f t="shared" si="9"/>
        <v>RW</v>
      </c>
      <c r="D614" s="10">
        <f>MAX(_xlfn.IFNA(INDEX(Proj[],MATCH(Table16[[#This Row],[Player]],Proj[Player],0),27),-5000), _xlfn.IFNA(INDEX(Goalie[],MATCH(Table16[[#This Row],[Player]],Goalie[player],0),17),-5000))</f>
        <v>-721.26080343811134</v>
      </c>
      <c r="E614">
        <f>_xlfn.RANK.EQ(Table16[[#This Row],[VOR]],Table16[VOR])</f>
        <v>609</v>
      </c>
      <c r="F614" cm="1">
        <f t="array" ref="F614">_xlfn.IFS(C614 = "C",INDEX('C'!$A$2:$L$254,MATCH($A614,'C'!$A$2:$A$254,0),10),C614 = "LW",INDEX(LW!$A$2:$K$180,MATCH($A614,LW!$A$2:$A$180,0),10),C614 = "RW",INDEX('RW'!$A$2:$L$164,MATCH($A614,'RW'!$A$2:$A$164,0),10), C614 = "D",INDEX(D!$A$2:$L$268,MATCH($A614,D!$A$2:$A$268,0),10),C614="G",INDEX(G!$A$2:$Q$78,MATCH($A614,G!$A$2:$A$78,0),16),C614="F",INDEX(F!$A$2:$K$494,MATCH($A614,F!$A$2:$A$494,0),10))</f>
        <v>124</v>
      </c>
      <c r="G614" t="str">
        <f>_xlfn.CONCAT(C614,Table16[[#This Row],[Pos Rank2]])</f>
        <v>RW124</v>
      </c>
      <c r="H614" s="10">
        <f>MAX(_xlfn.IFNA(INDEX(Proj[],MATCH(Table16[[#This Row],[Player]],Proj[Player],0),29),-5000), _xlfn.IFNA(INDEX(Goalie[],MATCH(Table16[[#This Row],[Player]],Goalie[player],0),19),-5000))</f>
        <v>-274.71607904786248</v>
      </c>
      <c r="I614" t="str">
        <f>IF(_xlfn.IFNA(INDEX(Proj[],MATCH(Table16[[#This Row],[Player]],Proj[Player],0),31),INDEX(Goalie[],MATCH(Table16[[#This Row],[Player]],Goalie[player],0),20)) = 0, "",_xlfn.IFNA(INDEX(Proj[],MATCH(Table16[[#This Row],[Player]],Proj[Player],0),31),INDEX(Goalie[],MATCH(Table16[[#This Row],[Player]],Goalie[player],0),20)))</f>
        <v/>
      </c>
    </row>
    <row r="615" spans="1:9" x14ac:dyDescent="0.25">
      <c r="A615" t="s">
        <v>956</v>
      </c>
      <c r="B615" s="2" t="s">
        <v>3</v>
      </c>
      <c r="C615" t="str">
        <f t="shared" si="9"/>
        <v>D</v>
      </c>
      <c r="D615" s="10">
        <f>MAX(_xlfn.IFNA(INDEX(Proj[],MATCH(Table16[[#This Row],[Player]],Proj[Player],0),27),-5000), _xlfn.IFNA(INDEX(Goalie[],MATCH(Table16[[#This Row],[Player]],Goalie[player],0),17),-5000))</f>
        <v>-658.48904983356294</v>
      </c>
      <c r="E615">
        <f>_xlfn.RANK.EQ(Table16[[#This Row],[VOR]],Table16[VOR])</f>
        <v>572</v>
      </c>
      <c r="F615" cm="1">
        <f t="array" ref="F615">_xlfn.IFS(C615 = "C",INDEX('C'!$A$2:$L$254,MATCH($A615,'C'!$A$2:$A$254,0),10),C615 = "LW",INDEX(LW!$A$2:$K$180,MATCH($A615,LW!$A$2:$A$180,0),10),C615 = "RW",INDEX('RW'!$A$2:$L$164,MATCH($A615,'RW'!$A$2:$A$164,0),10), C615 = "D",INDEX(D!$A$2:$L$268,MATCH($A615,D!$A$2:$A$268,0),10),C615="G",INDEX(G!$A$2:$Q$78,MATCH($A615,G!$A$2:$A$78,0),16),C615="F",INDEX(F!$A$2:$K$494,MATCH($A615,F!$A$2:$A$494,0),10))</f>
        <v>225</v>
      </c>
      <c r="G615" t="str">
        <f>_xlfn.CONCAT(C615,Table16[[#This Row],[Pos Rank2]])</f>
        <v>D225</v>
      </c>
      <c r="H615" s="10">
        <f>MAX(_xlfn.IFNA(INDEX(Proj[],MATCH(Table16[[#This Row],[Player]],Proj[Player],0),29),-5000), _xlfn.IFNA(INDEX(Goalie[],MATCH(Table16[[#This Row],[Player]],Goalie[player],0),19),-5000))</f>
        <v>-551.12428211409849</v>
      </c>
      <c r="I615" t="str">
        <f>IF(_xlfn.IFNA(INDEX(Proj[],MATCH(Table16[[#This Row],[Player]],Proj[Player],0),31),INDEX(Goalie[],MATCH(Table16[[#This Row],[Player]],Goalie[player],0),20)) = 0, "",_xlfn.IFNA(INDEX(Proj[],MATCH(Table16[[#This Row],[Player]],Proj[Player],0),31),INDEX(Goalie[],MATCH(Table16[[#This Row],[Player]],Goalie[player],0),20)))</f>
        <v/>
      </c>
    </row>
    <row r="616" spans="1:9" x14ac:dyDescent="0.25">
      <c r="A616" t="s">
        <v>575</v>
      </c>
      <c r="B616" s="2" t="s">
        <v>102</v>
      </c>
      <c r="C616" t="str">
        <f t="shared" si="9"/>
        <v>LW</v>
      </c>
      <c r="D616" s="10">
        <f>MAX(_xlfn.IFNA(INDEX(Proj[],MATCH(Table16[[#This Row],[Player]],Proj[Player],0),27),-5000), _xlfn.IFNA(INDEX(Goalie[],MATCH(Table16[[#This Row],[Player]],Goalie[player],0),17),-5000))</f>
        <v>-731.87090210095459</v>
      </c>
      <c r="E616">
        <f>_xlfn.RANK.EQ(Table16[[#This Row],[VOR]],Table16[VOR])</f>
        <v>619</v>
      </c>
      <c r="F616" cm="1">
        <f t="array" ref="F616">_xlfn.IFS(C616 = "C",INDEX('C'!$A$2:$L$254,MATCH($A616,'C'!$A$2:$A$254,0),10),C616 = "LW",INDEX(LW!$A$2:$K$180,MATCH($A616,LW!$A$2:$A$180,0),10),C616 = "RW",INDEX('RW'!$A$2:$L$164,MATCH($A616,'RW'!$A$2:$A$164,0),10), C616 = "D",INDEX(D!$A$2:$L$268,MATCH($A616,D!$A$2:$A$268,0),10),C616="G",INDEX(G!$A$2:$Q$78,MATCH($A616,G!$A$2:$A$78,0),16),C616="F",INDEX(F!$A$2:$K$494,MATCH($A616,F!$A$2:$A$494,0),10))</f>
        <v>137</v>
      </c>
      <c r="G616" t="str">
        <f>_xlfn.CONCAT(C616,Table16[[#This Row],[Pos Rank2]])</f>
        <v>LW137</v>
      </c>
      <c r="H616" s="10">
        <f>MAX(_xlfn.IFNA(INDEX(Proj[],MATCH(Table16[[#This Row],[Player]],Proj[Player],0),29),-5000), _xlfn.IFNA(INDEX(Goalie[],MATCH(Table16[[#This Row],[Player]],Goalie[player],0),19),-5000))</f>
        <v>-260.32617771070574</v>
      </c>
      <c r="I616" t="str">
        <f>IF(_xlfn.IFNA(INDEX(Proj[],MATCH(Table16[[#This Row],[Player]],Proj[Player],0),31),INDEX(Goalie[],MATCH(Table16[[#This Row],[Player]],Goalie[player],0),20)) = 0, "",_xlfn.IFNA(INDEX(Proj[],MATCH(Table16[[#This Row],[Player]],Proj[Player],0),31),INDEX(Goalie[],MATCH(Table16[[#This Row],[Player]],Goalie[player],0),20)))</f>
        <v/>
      </c>
    </row>
    <row r="617" spans="1:9" x14ac:dyDescent="0.25">
      <c r="A617" t="s">
        <v>682</v>
      </c>
      <c r="B617" s="2" t="s">
        <v>102</v>
      </c>
      <c r="C617" t="str">
        <f t="shared" si="9"/>
        <v>LW</v>
      </c>
      <c r="D617" s="10">
        <f>MAX(_xlfn.IFNA(INDEX(Proj[],MATCH(Table16[[#This Row],[Player]],Proj[Player],0),27),-5000), _xlfn.IFNA(INDEX(Goalie[],MATCH(Table16[[#This Row],[Player]],Goalie[player],0),17),-5000))</f>
        <v>-730.40656217427613</v>
      </c>
      <c r="E617">
        <f>_xlfn.RANK.EQ(Table16[[#This Row],[VOR]],Table16[VOR])</f>
        <v>616</v>
      </c>
      <c r="F617" cm="1">
        <f t="array" ref="F617">_xlfn.IFS(C617 = "C",INDEX('C'!$A$2:$L$254,MATCH($A617,'C'!$A$2:$A$254,0),10),C617 = "LW",INDEX(LW!$A$2:$K$180,MATCH($A617,LW!$A$2:$A$180,0),10),C617 = "RW",INDEX('RW'!$A$2:$L$164,MATCH($A617,'RW'!$A$2:$A$164,0),10), C617 = "D",INDEX(D!$A$2:$L$268,MATCH($A617,D!$A$2:$A$268,0),10),C617="G",INDEX(G!$A$2:$Q$78,MATCH($A617,G!$A$2:$A$78,0),16),C617="F",INDEX(F!$A$2:$K$494,MATCH($A617,F!$A$2:$A$494,0),10))</f>
        <v>136</v>
      </c>
      <c r="G617" t="str">
        <f>_xlfn.CONCAT(C617,Table16[[#This Row],[Pos Rank2]])</f>
        <v>LW136</v>
      </c>
      <c r="H617" s="10">
        <f>MAX(_xlfn.IFNA(INDEX(Proj[],MATCH(Table16[[#This Row],[Player]],Proj[Player],0),29),-5000), _xlfn.IFNA(INDEX(Goalie[],MATCH(Table16[[#This Row],[Player]],Goalie[player],0),19),-5000))</f>
        <v>-258.86183778402733</v>
      </c>
      <c r="I617" t="str">
        <f>IF(_xlfn.IFNA(INDEX(Proj[],MATCH(Table16[[#This Row],[Player]],Proj[Player],0),31),INDEX(Goalie[],MATCH(Table16[[#This Row],[Player]],Goalie[player],0),20)) = 0, "",_xlfn.IFNA(INDEX(Proj[],MATCH(Table16[[#This Row],[Player]],Proj[Player],0),31),INDEX(Goalie[],MATCH(Table16[[#This Row],[Player]],Goalie[player],0),20)))</f>
        <v/>
      </c>
    </row>
    <row r="618" spans="1:9" x14ac:dyDescent="0.25">
      <c r="A618" t="s">
        <v>1216</v>
      </c>
      <c r="B618" s="2" t="s">
        <v>103</v>
      </c>
      <c r="C618" t="str">
        <f t="shared" si="9"/>
        <v>RW</v>
      </c>
      <c r="D618" s="10">
        <f>MAX(_xlfn.IFNA(INDEX(Proj[],MATCH(Table16[[#This Row],[Player]],Proj[Player],0),27),-5000), _xlfn.IFNA(INDEX(Goalie[],MATCH(Table16[[#This Row],[Player]],Goalie[player],0),17),-5000))</f>
        <v>-733.13493130778306</v>
      </c>
      <c r="E618">
        <f>_xlfn.RANK.EQ(Table16[[#This Row],[VOR]],Table16[VOR])</f>
        <v>623</v>
      </c>
      <c r="F618" cm="1">
        <f t="array" ref="F618">_xlfn.IFS(C618 = "C",INDEX('C'!$A$2:$L$254,MATCH($A618,'C'!$A$2:$A$254,0),10),C618 = "LW",INDEX(LW!$A$2:$K$180,MATCH($A618,LW!$A$2:$A$180,0),10),C618 = "RW",INDEX('RW'!$A$2:$L$164,MATCH($A618,'RW'!$A$2:$A$164,0),10), C618 = "D",INDEX(D!$A$2:$L$268,MATCH($A618,D!$A$2:$A$268,0),10),C618="G",INDEX(G!$A$2:$Q$78,MATCH($A618,G!$A$2:$A$78,0),16),C618="F",INDEX(F!$A$2:$K$494,MATCH($A618,F!$A$2:$A$494,0),10))</f>
        <v>126</v>
      </c>
      <c r="G618" t="str">
        <f>_xlfn.CONCAT(C618,Table16[[#This Row],[Pos Rank2]])</f>
        <v>RW126</v>
      </c>
      <c r="H618" s="10">
        <f>MAX(_xlfn.IFNA(INDEX(Proj[],MATCH(Table16[[#This Row],[Player]],Proj[Player],0),29),-5000), _xlfn.IFNA(INDEX(Goalie[],MATCH(Table16[[#This Row],[Player]],Goalie[player],0),19),-5000))</f>
        <v>-286.59020691753426</v>
      </c>
      <c r="I618" t="str">
        <f>IF(_xlfn.IFNA(INDEX(Proj[],MATCH(Table16[[#This Row],[Player]],Proj[Player],0),31),INDEX(Goalie[],MATCH(Table16[[#This Row],[Player]],Goalie[player],0),20)) = 0, "",_xlfn.IFNA(INDEX(Proj[],MATCH(Table16[[#This Row],[Player]],Proj[Player],0),31),INDEX(Goalie[],MATCH(Table16[[#This Row],[Player]],Goalie[player],0),20)))</f>
        <v/>
      </c>
    </row>
    <row r="619" spans="1:9" x14ac:dyDescent="0.25">
      <c r="A619" t="s">
        <v>627</v>
      </c>
      <c r="B619" s="2" t="s">
        <v>102</v>
      </c>
      <c r="C619" t="str">
        <f t="shared" si="9"/>
        <v>LW</v>
      </c>
      <c r="D619" s="10">
        <f>MAX(_xlfn.IFNA(INDEX(Proj[],MATCH(Table16[[#This Row],[Player]],Proj[Player],0),27),-5000), _xlfn.IFNA(INDEX(Goalie[],MATCH(Table16[[#This Row],[Player]],Goalie[player],0),17),-5000))</f>
        <v>-737.16626083744359</v>
      </c>
      <c r="E619">
        <f>_xlfn.RANK.EQ(Table16[[#This Row],[VOR]],Table16[VOR])</f>
        <v>625</v>
      </c>
      <c r="F619" cm="1">
        <f t="array" ref="F619">_xlfn.IFS(C619 = "C",INDEX('C'!$A$2:$L$254,MATCH($A619,'C'!$A$2:$A$254,0),10),C619 = "LW",INDEX(LW!$A$2:$K$180,MATCH($A619,LW!$A$2:$A$180,0),10),C619 = "RW",INDEX('RW'!$A$2:$L$164,MATCH($A619,'RW'!$A$2:$A$164,0),10), C619 = "D",INDEX(D!$A$2:$L$268,MATCH($A619,D!$A$2:$A$268,0),10),C619="G",INDEX(G!$A$2:$Q$78,MATCH($A619,G!$A$2:$A$78,0),16),C619="F",INDEX(F!$A$2:$K$494,MATCH($A619,F!$A$2:$A$494,0),10))</f>
        <v>139</v>
      </c>
      <c r="G619" t="str">
        <f>_xlfn.CONCAT(C619,Table16[[#This Row],[Pos Rank2]])</f>
        <v>LW139</v>
      </c>
      <c r="H619" s="10">
        <f>MAX(_xlfn.IFNA(INDEX(Proj[],MATCH(Table16[[#This Row],[Player]],Proj[Player],0),29),-5000), _xlfn.IFNA(INDEX(Goalie[],MATCH(Table16[[#This Row],[Player]],Goalie[player],0),19),-5000))</f>
        <v>-265.62153644719467</v>
      </c>
      <c r="I619" t="str">
        <f>IF(_xlfn.IFNA(INDEX(Proj[],MATCH(Table16[[#This Row],[Player]],Proj[Player],0),31),INDEX(Goalie[],MATCH(Table16[[#This Row],[Player]],Goalie[player],0),20)) = 0, "",_xlfn.IFNA(INDEX(Proj[],MATCH(Table16[[#This Row],[Player]],Proj[Player],0),31),INDEX(Goalie[],MATCH(Table16[[#This Row],[Player]],Goalie[player],0),20)))</f>
        <v/>
      </c>
    </row>
    <row r="620" spans="1:9" x14ac:dyDescent="0.25">
      <c r="A620" t="s">
        <v>1176</v>
      </c>
      <c r="B620" s="2" t="s">
        <v>3</v>
      </c>
      <c r="C620" t="str">
        <f t="shared" si="9"/>
        <v>D</v>
      </c>
      <c r="D620" s="10">
        <f>MAX(_xlfn.IFNA(INDEX(Proj[],MATCH(Table16[[#This Row],[Player]],Proj[Player],0),27),-5000), _xlfn.IFNA(INDEX(Goalie[],MATCH(Table16[[#This Row],[Player]],Goalie[player],0),17),-5000))</f>
        <v>-663.43920628013518</v>
      </c>
      <c r="E620">
        <f>_xlfn.RANK.EQ(Table16[[#This Row],[VOR]],Table16[VOR])</f>
        <v>579</v>
      </c>
      <c r="F620" cm="1">
        <f t="array" ref="F620">_xlfn.IFS(C620 = "C",INDEX('C'!$A$2:$L$254,MATCH($A620,'C'!$A$2:$A$254,0),10),C620 = "LW",INDEX(LW!$A$2:$K$180,MATCH($A620,LW!$A$2:$A$180,0),10),C620 = "RW",INDEX('RW'!$A$2:$L$164,MATCH($A620,'RW'!$A$2:$A$164,0),10), C620 = "D",INDEX(D!$A$2:$L$268,MATCH($A620,D!$A$2:$A$268,0),10),C620="G",INDEX(G!$A$2:$Q$78,MATCH($A620,G!$A$2:$A$78,0),16),C620="F",INDEX(F!$A$2:$K$494,MATCH($A620,F!$A$2:$A$494,0),10))</f>
        <v>226</v>
      </c>
      <c r="G620" t="str">
        <f>_xlfn.CONCAT(C620,Table16[[#This Row],[Pos Rank2]])</f>
        <v>D226</v>
      </c>
      <c r="H620" s="10">
        <f>MAX(_xlfn.IFNA(INDEX(Proj[],MATCH(Table16[[#This Row],[Player]],Proj[Player],0),29),-5000), _xlfn.IFNA(INDEX(Goalie[],MATCH(Table16[[#This Row],[Player]],Goalie[player],0),19),-5000))</f>
        <v>-556.07443856067073</v>
      </c>
      <c r="I620" t="str">
        <f>IF(_xlfn.IFNA(INDEX(Proj[],MATCH(Table16[[#This Row],[Player]],Proj[Player],0),31),INDEX(Goalie[],MATCH(Table16[[#This Row],[Player]],Goalie[player],0),20)) = 0, "",_xlfn.IFNA(INDEX(Proj[],MATCH(Table16[[#This Row],[Player]],Proj[Player],0),31),INDEX(Goalie[],MATCH(Table16[[#This Row],[Player]],Goalie[player],0),20)))</f>
        <v/>
      </c>
    </row>
    <row r="621" spans="1:9" x14ac:dyDescent="0.25">
      <c r="A621" t="s">
        <v>721</v>
      </c>
      <c r="B621" s="2" t="s">
        <v>3</v>
      </c>
      <c r="C621" t="str">
        <f t="shared" si="9"/>
        <v>D</v>
      </c>
      <c r="D621" s="10">
        <f>MAX(_xlfn.IFNA(INDEX(Proj[],MATCH(Table16[[#This Row],[Player]],Proj[Player],0),27),-5000), _xlfn.IFNA(INDEX(Goalie[],MATCH(Table16[[#This Row],[Player]],Goalie[player],0),17),-5000))</f>
        <v>-663.86929392912816</v>
      </c>
      <c r="E621">
        <f>_xlfn.RANK.EQ(Table16[[#This Row],[VOR]],Table16[VOR])</f>
        <v>580</v>
      </c>
      <c r="F621" cm="1">
        <f t="array" ref="F621">_xlfn.IFS(C621 = "C",INDEX('C'!$A$2:$L$254,MATCH($A621,'C'!$A$2:$A$254,0),10),C621 = "LW",INDEX(LW!$A$2:$K$180,MATCH($A621,LW!$A$2:$A$180,0),10),C621 = "RW",INDEX('RW'!$A$2:$L$164,MATCH($A621,'RW'!$A$2:$A$164,0),10), C621 = "D",INDEX(D!$A$2:$L$268,MATCH($A621,D!$A$2:$A$268,0),10),C621="G",INDEX(G!$A$2:$Q$78,MATCH($A621,G!$A$2:$A$78,0),16),C621="F",INDEX(F!$A$2:$K$494,MATCH($A621,F!$A$2:$A$494,0),10))</f>
        <v>227</v>
      </c>
      <c r="G621" t="str">
        <f>_xlfn.CONCAT(C621,Table16[[#This Row],[Pos Rank2]])</f>
        <v>D227</v>
      </c>
      <c r="H621" s="10">
        <f>MAX(_xlfn.IFNA(INDEX(Proj[],MATCH(Table16[[#This Row],[Player]],Proj[Player],0),29),-5000), _xlfn.IFNA(INDEX(Goalie[],MATCH(Table16[[#This Row],[Player]],Goalie[player],0),19),-5000))</f>
        <v>-556.50452620966371</v>
      </c>
      <c r="I621" t="str">
        <f>IF(_xlfn.IFNA(INDEX(Proj[],MATCH(Table16[[#This Row],[Player]],Proj[Player],0),31),INDEX(Goalie[],MATCH(Table16[[#This Row],[Player]],Goalie[player],0),20)) = 0, "",_xlfn.IFNA(INDEX(Proj[],MATCH(Table16[[#This Row],[Player]],Proj[Player],0),31),INDEX(Goalie[],MATCH(Table16[[#This Row],[Player]],Goalie[player],0),20)))</f>
        <v/>
      </c>
    </row>
    <row r="622" spans="1:9" x14ac:dyDescent="0.25">
      <c r="A622" t="s">
        <v>830</v>
      </c>
      <c r="B622" s="2" t="s">
        <v>102</v>
      </c>
      <c r="C622" t="str">
        <f t="shared" si="9"/>
        <v>LW</v>
      </c>
      <c r="D622" s="10">
        <f>MAX(_xlfn.IFNA(INDEX(Proj[],MATCH(Table16[[#This Row],[Player]],Proj[Player],0),27),-5000), _xlfn.IFNA(INDEX(Goalie[],MATCH(Table16[[#This Row],[Player]],Goalie[player],0),17),-5000))</f>
        <v>-727.11148192528924</v>
      </c>
      <c r="E622">
        <f>_xlfn.RANK.EQ(Table16[[#This Row],[VOR]],Table16[VOR])</f>
        <v>614</v>
      </c>
      <c r="F622" cm="1">
        <f t="array" ref="F622">_xlfn.IFS(C622 = "C",INDEX('C'!$A$2:$L$254,MATCH($A622,'C'!$A$2:$A$254,0),10),C622 = "LW",INDEX(LW!$A$2:$K$180,MATCH($A622,LW!$A$2:$A$180,0),10),C622 = "RW",INDEX('RW'!$A$2:$L$164,MATCH($A622,'RW'!$A$2:$A$164,0),10), C622 = "D",INDEX(D!$A$2:$L$268,MATCH($A622,D!$A$2:$A$268,0),10),C622="G",INDEX(G!$A$2:$Q$78,MATCH($A622,G!$A$2:$A$78,0),16),C622="F",INDEX(F!$A$2:$K$494,MATCH($A622,F!$A$2:$A$494,0),10))</f>
        <v>135</v>
      </c>
      <c r="G622" t="str">
        <f>_xlfn.CONCAT(C622,Table16[[#This Row],[Pos Rank2]])</f>
        <v>LW135</v>
      </c>
      <c r="H622" s="10">
        <f>MAX(_xlfn.IFNA(INDEX(Proj[],MATCH(Table16[[#This Row],[Player]],Proj[Player],0),29),-5000), _xlfn.IFNA(INDEX(Goalie[],MATCH(Table16[[#This Row],[Player]],Goalie[player],0),19),-5000))</f>
        <v>-255.56675753504038</v>
      </c>
      <c r="I622" t="str">
        <f>IF(_xlfn.IFNA(INDEX(Proj[],MATCH(Table16[[#This Row],[Player]],Proj[Player],0),31),INDEX(Goalie[],MATCH(Table16[[#This Row],[Player]],Goalie[player],0),20)) = 0, "",_xlfn.IFNA(INDEX(Proj[],MATCH(Table16[[#This Row],[Player]],Proj[Player],0),31),INDEX(Goalie[],MATCH(Table16[[#This Row],[Player]],Goalie[player],0),20)))</f>
        <v/>
      </c>
    </row>
    <row r="623" spans="1:9" x14ac:dyDescent="0.25">
      <c r="A623" t="s">
        <v>987</v>
      </c>
      <c r="B623" s="2" t="s">
        <v>103</v>
      </c>
      <c r="C623" t="str">
        <f t="shared" si="9"/>
        <v>RW</v>
      </c>
      <c r="D623" s="10">
        <f>MAX(_xlfn.IFNA(INDEX(Proj[],MATCH(Table16[[#This Row],[Player]],Proj[Player],0),27),-5000), _xlfn.IFNA(INDEX(Goalie[],MATCH(Table16[[#This Row],[Player]],Goalie[player],0),17),-5000))</f>
        <v>-659.71149220202597</v>
      </c>
      <c r="E623">
        <f>_xlfn.RANK.EQ(Table16[[#This Row],[VOR]],Table16[VOR])</f>
        <v>575</v>
      </c>
      <c r="F623" cm="1">
        <f t="array" ref="F623">_xlfn.IFS(C623 = "C",INDEX('C'!$A$2:$L$254,MATCH($A623,'C'!$A$2:$A$254,0),10),C623 = "LW",INDEX(LW!$A$2:$K$180,MATCH($A623,LW!$A$2:$A$180,0),10),C623 = "RW",INDEX('RW'!$A$2:$L$164,MATCH($A623,'RW'!$A$2:$A$164,0),10), C623 = "D",INDEX(D!$A$2:$L$268,MATCH($A623,D!$A$2:$A$268,0),10),C623="G",INDEX(G!$A$2:$Q$78,MATCH($A623,G!$A$2:$A$78,0),16),C623="F",INDEX(F!$A$2:$K$494,MATCH($A623,F!$A$2:$A$494,0),10))</f>
        <v>113</v>
      </c>
      <c r="G623" t="str">
        <f>_xlfn.CONCAT(C623,Table16[[#This Row],[Pos Rank2]])</f>
        <v>RW113</v>
      </c>
      <c r="H623" s="10">
        <f>MAX(_xlfn.IFNA(INDEX(Proj[],MATCH(Table16[[#This Row],[Player]],Proj[Player],0),29),-5000), _xlfn.IFNA(INDEX(Goalie[],MATCH(Table16[[#This Row],[Player]],Goalie[player],0),19),-5000))</f>
        <v>-213.16676781177713</v>
      </c>
      <c r="I623" t="str">
        <f>IF(_xlfn.IFNA(INDEX(Proj[],MATCH(Table16[[#This Row],[Player]],Proj[Player],0),31),INDEX(Goalie[],MATCH(Table16[[#This Row],[Player]],Goalie[player],0),20)) = 0, "",_xlfn.IFNA(INDEX(Proj[],MATCH(Table16[[#This Row],[Player]],Proj[Player],0),31),INDEX(Goalie[],MATCH(Table16[[#This Row],[Player]],Goalie[player],0),20)))</f>
        <v/>
      </c>
    </row>
    <row r="624" spans="1:9" x14ac:dyDescent="0.25">
      <c r="A624" t="s">
        <v>1141</v>
      </c>
      <c r="B624" s="2" t="s">
        <v>103</v>
      </c>
      <c r="C624" t="str">
        <f t="shared" si="9"/>
        <v>RW</v>
      </c>
      <c r="D624" s="10">
        <f>MAX(_xlfn.IFNA(INDEX(Proj[],MATCH(Table16[[#This Row],[Player]],Proj[Player],0),27),-5000), _xlfn.IFNA(INDEX(Goalie[],MATCH(Table16[[#This Row],[Player]],Goalie[player],0),17),-5000))</f>
        <v>-723.21298450946551</v>
      </c>
      <c r="E624">
        <f>_xlfn.RANK.EQ(Table16[[#This Row],[VOR]],Table16[VOR])</f>
        <v>611</v>
      </c>
      <c r="F624" cm="1">
        <f t="array" ref="F624">_xlfn.IFS(C624 = "C",INDEX('C'!$A$2:$L$254,MATCH($A624,'C'!$A$2:$A$254,0),10),C624 = "LW",INDEX(LW!$A$2:$K$180,MATCH($A624,LW!$A$2:$A$180,0),10),C624 = "RW",INDEX('RW'!$A$2:$L$164,MATCH($A624,'RW'!$A$2:$A$164,0),10), C624 = "D",INDEX(D!$A$2:$L$268,MATCH($A624,D!$A$2:$A$268,0),10),C624="G",INDEX(G!$A$2:$Q$78,MATCH($A624,G!$A$2:$A$78,0),16),C624="F",INDEX(F!$A$2:$K$494,MATCH($A624,F!$A$2:$A$494,0),10))</f>
        <v>125</v>
      </c>
      <c r="G624" t="str">
        <f>_xlfn.CONCAT(C624,Table16[[#This Row],[Pos Rank2]])</f>
        <v>RW125</v>
      </c>
      <c r="H624" s="10">
        <f>MAX(_xlfn.IFNA(INDEX(Proj[],MATCH(Table16[[#This Row],[Player]],Proj[Player],0),29),-5000), _xlfn.IFNA(INDEX(Goalie[],MATCH(Table16[[#This Row],[Player]],Goalie[player],0),19),-5000))</f>
        <v>-276.6682601192166</v>
      </c>
      <c r="I624" t="str">
        <f>IF(_xlfn.IFNA(INDEX(Proj[],MATCH(Table16[[#This Row],[Player]],Proj[Player],0),31),INDEX(Goalie[],MATCH(Table16[[#This Row],[Player]],Goalie[player],0),20)) = 0, "",_xlfn.IFNA(INDEX(Proj[],MATCH(Table16[[#This Row],[Player]],Proj[Player],0),31),INDEX(Goalie[],MATCH(Table16[[#This Row],[Player]],Goalie[player],0),20)))</f>
        <v/>
      </c>
    </row>
    <row r="625" spans="1:9" x14ac:dyDescent="0.25">
      <c r="A625" t="s">
        <v>680</v>
      </c>
      <c r="B625" s="2" t="s">
        <v>105</v>
      </c>
      <c r="C625" t="str">
        <f t="shared" si="9"/>
        <v>RW</v>
      </c>
      <c r="D625" s="10">
        <f>MAX(_xlfn.IFNA(INDEX(Proj[],MATCH(Table16[[#This Row],[Player]],Proj[Player],0),27),-5000), _xlfn.IFNA(INDEX(Goalie[],MATCH(Table16[[#This Row],[Player]],Goalie[player],0),17),-5000))</f>
        <v>-747.11463930606351</v>
      </c>
      <c r="E625">
        <f>_xlfn.RANK.EQ(Table16[[#This Row],[VOR]],Table16[VOR])</f>
        <v>631</v>
      </c>
      <c r="F625" cm="1">
        <f t="array" ref="F625">_xlfn.IFS(C625 = "C",INDEX('C'!$A$2:$L$254,MATCH($A625,'C'!$A$2:$A$254,0),10),C625 = "LW",INDEX(LW!$A$2:$K$180,MATCH($A625,LW!$A$2:$A$180,0),10),C625 = "RW",INDEX('RW'!$A$2:$L$164,MATCH($A625,'RW'!$A$2:$A$164,0),10), C625 = "D",INDEX(D!$A$2:$L$268,MATCH($A625,D!$A$2:$A$268,0),10),C625="G",INDEX(G!$A$2:$Q$78,MATCH($A625,G!$A$2:$A$78,0),16),C625="F",INDEX(F!$A$2:$K$494,MATCH($A625,F!$A$2:$A$494,0),10))</f>
        <v>128</v>
      </c>
      <c r="G625" t="str">
        <f>_xlfn.CONCAT(C625,Table16[[#This Row],[Pos Rank2]])</f>
        <v>RW128</v>
      </c>
      <c r="H625" s="10">
        <f>MAX(_xlfn.IFNA(INDEX(Proj[],MATCH(Table16[[#This Row],[Player]],Proj[Player],0),29),-5000), _xlfn.IFNA(INDEX(Goalie[],MATCH(Table16[[#This Row],[Player]],Goalie[player],0),19),-5000))</f>
        <v>-300.56991491581471</v>
      </c>
      <c r="I625" t="str">
        <f>IF(_xlfn.IFNA(INDEX(Proj[],MATCH(Table16[[#This Row],[Player]],Proj[Player],0),31),INDEX(Goalie[],MATCH(Table16[[#This Row],[Player]],Goalie[player],0),20)) = 0, "",_xlfn.IFNA(INDEX(Proj[],MATCH(Table16[[#This Row],[Player]],Proj[Player],0),31),INDEX(Goalie[],MATCH(Table16[[#This Row],[Player]],Goalie[player],0),20)))</f>
        <v/>
      </c>
    </row>
    <row r="626" spans="1:9" x14ac:dyDescent="0.25">
      <c r="A626" t="s">
        <v>716</v>
      </c>
      <c r="B626" s="2" t="s">
        <v>103</v>
      </c>
      <c r="C626" t="str">
        <f t="shared" si="9"/>
        <v>RW</v>
      </c>
      <c r="D626" s="10">
        <f>MAX(_xlfn.IFNA(INDEX(Proj[],MATCH(Table16[[#This Row],[Player]],Proj[Player],0),27),-5000), _xlfn.IFNA(INDEX(Goalie[],MATCH(Table16[[#This Row],[Player]],Goalie[player],0),17),-5000))</f>
        <v>-745.28686111349202</v>
      </c>
      <c r="E626">
        <f>_xlfn.RANK.EQ(Table16[[#This Row],[VOR]],Table16[VOR])</f>
        <v>630</v>
      </c>
      <c r="F626" cm="1">
        <f t="array" ref="F626">_xlfn.IFS(C626 = "C",INDEX('C'!$A$2:$L$254,MATCH($A626,'C'!$A$2:$A$254,0),10),C626 = "LW",INDEX(LW!$A$2:$K$180,MATCH($A626,LW!$A$2:$A$180,0),10),C626 = "RW",INDEX('RW'!$A$2:$L$164,MATCH($A626,'RW'!$A$2:$A$164,0),10), C626 = "D",INDEX(D!$A$2:$L$268,MATCH($A626,D!$A$2:$A$268,0),10),C626="G",INDEX(G!$A$2:$Q$78,MATCH($A626,G!$A$2:$A$78,0),16),C626="F",INDEX(F!$A$2:$K$494,MATCH($A626,F!$A$2:$A$494,0),10))</f>
        <v>127</v>
      </c>
      <c r="G626" t="str">
        <f>_xlfn.CONCAT(C626,Table16[[#This Row],[Pos Rank2]])</f>
        <v>RW127</v>
      </c>
      <c r="H626" s="10">
        <f>MAX(_xlfn.IFNA(INDEX(Proj[],MATCH(Table16[[#This Row],[Player]],Proj[Player],0),29),-5000), _xlfn.IFNA(INDEX(Goalie[],MATCH(Table16[[#This Row],[Player]],Goalie[player],0),19),-5000))</f>
        <v>-298.74213672324311</v>
      </c>
      <c r="I626" t="str">
        <f>IF(_xlfn.IFNA(INDEX(Proj[],MATCH(Table16[[#This Row],[Player]],Proj[Player],0),31),INDEX(Goalie[],MATCH(Table16[[#This Row],[Player]],Goalie[player],0),20)) = 0, "",_xlfn.IFNA(INDEX(Proj[],MATCH(Table16[[#This Row],[Player]],Proj[Player],0),31),INDEX(Goalie[],MATCH(Table16[[#This Row],[Player]],Goalie[player],0),20)))</f>
        <v/>
      </c>
    </row>
    <row r="627" spans="1:9" x14ac:dyDescent="0.25">
      <c r="A627" t="s">
        <v>686</v>
      </c>
      <c r="B627" s="2" t="s">
        <v>74</v>
      </c>
      <c r="C627" t="str">
        <f t="shared" si="9"/>
        <v>C</v>
      </c>
      <c r="D627" s="10">
        <f>MAX(_xlfn.IFNA(INDEX(Proj[],MATCH(Table16[[#This Row],[Player]],Proj[Player],0),27),-5000), _xlfn.IFNA(INDEX(Goalie[],MATCH(Table16[[#This Row],[Player]],Goalie[player],0),17),-5000))</f>
        <v>-661.92213103469089</v>
      </c>
      <c r="E627">
        <f>_xlfn.RANK.EQ(Table16[[#This Row],[VOR]],Table16[VOR])</f>
        <v>578</v>
      </c>
      <c r="F627" cm="1">
        <f t="array" ref="F627">_xlfn.IFS(C627 = "C",INDEX('C'!$A$2:$L$254,MATCH($A627,'C'!$A$2:$A$254,0),10),C627 = "LW",INDEX(LW!$A$2:$K$180,MATCH($A627,LW!$A$2:$A$180,0),10),C627 = "RW",INDEX('RW'!$A$2:$L$164,MATCH($A627,'RW'!$A$2:$A$164,0),10), C627 = "D",INDEX(D!$A$2:$L$268,MATCH($A627,D!$A$2:$A$268,0),10),C627="G",INDEX(G!$A$2:$Q$78,MATCH($A627,G!$A$2:$A$78,0),16),C627="F",INDEX(F!$A$2:$K$494,MATCH($A627,F!$A$2:$A$494,0),10))</f>
        <v>132</v>
      </c>
      <c r="G627" t="str">
        <f>_xlfn.CONCAT(C627,Table16[[#This Row],[Pos Rank2]])</f>
        <v>C132</v>
      </c>
      <c r="H627" s="10">
        <f>MAX(_xlfn.IFNA(INDEX(Proj[],MATCH(Table16[[#This Row],[Player]],Proj[Player],0),29),-5000), _xlfn.IFNA(INDEX(Goalie[],MATCH(Table16[[#This Row],[Player]],Goalie[player],0),19),-5000))</f>
        <v>72.71172327560771</v>
      </c>
      <c r="I627" t="str">
        <f>IF(_xlfn.IFNA(INDEX(Proj[],MATCH(Table16[[#This Row],[Player]],Proj[Player],0),31),INDEX(Goalie[],MATCH(Table16[[#This Row],[Player]],Goalie[player],0),20)) = 0, "",_xlfn.IFNA(INDEX(Proj[],MATCH(Table16[[#This Row],[Player]],Proj[Player],0),31),INDEX(Goalie[],MATCH(Table16[[#This Row],[Player]],Goalie[player],0),20)))</f>
        <v/>
      </c>
    </row>
    <row r="628" spans="1:9" x14ac:dyDescent="0.25">
      <c r="A628" t="s">
        <v>594</v>
      </c>
      <c r="B628" s="2" t="s">
        <v>74</v>
      </c>
      <c r="C628" t="str">
        <f t="shared" si="9"/>
        <v>C</v>
      </c>
      <c r="D628" s="10">
        <f>MAX(_xlfn.IFNA(INDEX(Proj[],MATCH(Table16[[#This Row],[Player]],Proj[Player],0),27),-5000), _xlfn.IFNA(INDEX(Goalie[],MATCH(Table16[[#This Row],[Player]],Goalie[player],0),17),-5000))</f>
        <v>-676.26355522883307</v>
      </c>
      <c r="E628">
        <f>_xlfn.RANK.EQ(Table16[[#This Row],[VOR]],Table16[VOR])</f>
        <v>587</v>
      </c>
      <c r="F628" cm="1">
        <f t="array" ref="F628">_xlfn.IFS(C628 = "C",INDEX('C'!$A$2:$L$254,MATCH($A628,'C'!$A$2:$A$254,0),10),C628 = "LW",INDEX(LW!$A$2:$K$180,MATCH($A628,LW!$A$2:$A$180,0),10),C628 = "RW",INDEX('RW'!$A$2:$L$164,MATCH($A628,'RW'!$A$2:$A$164,0),10), C628 = "D",INDEX(D!$A$2:$L$268,MATCH($A628,D!$A$2:$A$268,0),10),C628="G",INDEX(G!$A$2:$Q$78,MATCH($A628,G!$A$2:$A$78,0),16),C628="F",INDEX(F!$A$2:$K$494,MATCH($A628,F!$A$2:$A$494,0),10))</f>
        <v>137</v>
      </c>
      <c r="G628" t="str">
        <f>_xlfn.CONCAT(C628,Table16[[#This Row],[Pos Rank2]])</f>
        <v>C137</v>
      </c>
      <c r="H628" s="10">
        <f>MAX(_xlfn.IFNA(INDEX(Proj[],MATCH(Table16[[#This Row],[Player]],Proj[Player],0),29),-5000), _xlfn.IFNA(INDEX(Goalie[],MATCH(Table16[[#This Row],[Player]],Goalie[player],0),19),-5000))</f>
        <v>58.370299081465546</v>
      </c>
      <c r="I628" t="str">
        <f>IF(_xlfn.IFNA(INDEX(Proj[],MATCH(Table16[[#This Row],[Player]],Proj[Player],0),31),INDEX(Goalie[],MATCH(Table16[[#This Row],[Player]],Goalie[player],0),20)) = 0, "",_xlfn.IFNA(INDEX(Proj[],MATCH(Table16[[#This Row],[Player]],Proj[Player],0),31),INDEX(Goalie[],MATCH(Table16[[#This Row],[Player]],Goalie[player],0),20)))</f>
        <v/>
      </c>
    </row>
    <row r="629" spans="1:9" x14ac:dyDescent="0.25">
      <c r="A629" t="s">
        <v>678</v>
      </c>
      <c r="B629" s="2" t="s">
        <v>74</v>
      </c>
      <c r="C629" t="str">
        <f t="shared" si="9"/>
        <v>C</v>
      </c>
      <c r="D629" s="10">
        <f>MAX(_xlfn.IFNA(INDEX(Proj[],MATCH(Table16[[#This Row],[Player]],Proj[Player],0),27),-5000), _xlfn.IFNA(INDEX(Goalie[],MATCH(Table16[[#This Row],[Player]],Goalie[player],0),17),-5000))</f>
        <v>-765.99680206042274</v>
      </c>
      <c r="E629">
        <f>_xlfn.RANK.EQ(Table16[[#This Row],[VOR]],Table16[VOR])</f>
        <v>640</v>
      </c>
      <c r="F629" cm="1">
        <f t="array" ref="F629">_xlfn.IFS(C629 = "C",INDEX('C'!$A$2:$L$254,MATCH($A629,'C'!$A$2:$A$254,0),10),C629 = "LW",INDEX(LW!$A$2:$K$180,MATCH($A629,LW!$A$2:$A$180,0),10),C629 = "RW",INDEX('RW'!$A$2:$L$164,MATCH($A629,'RW'!$A$2:$A$164,0),10), C629 = "D",INDEX(D!$A$2:$L$268,MATCH($A629,D!$A$2:$A$268,0),10),C629="G",INDEX(G!$A$2:$Q$78,MATCH($A629,G!$A$2:$A$78,0),16),C629="F",INDEX(F!$A$2:$K$494,MATCH($A629,F!$A$2:$A$494,0),10))</f>
        <v>150</v>
      </c>
      <c r="G629" t="str">
        <f>_xlfn.CONCAT(C629,Table16[[#This Row],[Pos Rank2]])</f>
        <v>C150</v>
      </c>
      <c r="H629" s="10">
        <f>MAX(_xlfn.IFNA(INDEX(Proj[],MATCH(Table16[[#This Row],[Player]],Proj[Player],0),29),-5000), _xlfn.IFNA(INDEX(Goalie[],MATCH(Table16[[#This Row],[Player]],Goalie[player],0),19),-5000))</f>
        <v>-31.36294775012415</v>
      </c>
      <c r="I629" t="str">
        <f>IF(_xlfn.IFNA(INDEX(Proj[],MATCH(Table16[[#This Row],[Player]],Proj[Player],0),31),INDEX(Goalie[],MATCH(Table16[[#This Row],[Player]],Goalie[player],0),20)) = 0, "",_xlfn.IFNA(INDEX(Proj[],MATCH(Table16[[#This Row],[Player]],Proj[Player],0),31),INDEX(Goalie[],MATCH(Table16[[#This Row],[Player]],Goalie[player],0),20)))</f>
        <v/>
      </c>
    </row>
    <row r="630" spans="1:9" x14ac:dyDescent="0.25">
      <c r="A630" t="s">
        <v>738</v>
      </c>
      <c r="B630" s="2" t="s">
        <v>103</v>
      </c>
      <c r="C630" t="str">
        <f t="shared" si="9"/>
        <v>RW</v>
      </c>
      <c r="D630" s="10">
        <f>MAX(_xlfn.IFNA(INDEX(Proj[],MATCH(Table16[[#This Row],[Player]],Proj[Player],0),27),-5000), _xlfn.IFNA(INDEX(Goalie[],MATCH(Table16[[#This Row],[Player]],Goalie[player],0),17),-5000))</f>
        <v>-681.2449569378241</v>
      </c>
      <c r="E630">
        <f>_xlfn.RANK.EQ(Table16[[#This Row],[VOR]],Table16[VOR])</f>
        <v>590</v>
      </c>
      <c r="F630" cm="1">
        <f t="array" ref="F630">_xlfn.IFS(C630 = "C",INDEX('C'!$A$2:$L$254,MATCH($A630,'C'!$A$2:$A$254,0),10),C630 = "LW",INDEX(LW!$A$2:$K$180,MATCH($A630,LW!$A$2:$A$180,0),10),C630 = "RW",INDEX('RW'!$A$2:$L$164,MATCH($A630,'RW'!$A$2:$A$164,0),10), C630 = "D",INDEX(D!$A$2:$L$268,MATCH($A630,D!$A$2:$A$268,0),10),C630="G",INDEX(G!$A$2:$Q$78,MATCH($A630,G!$A$2:$A$78,0),16),C630="F",INDEX(F!$A$2:$K$494,MATCH($A630,F!$A$2:$A$494,0),10))</f>
        <v>119</v>
      </c>
      <c r="G630" t="str">
        <f>_xlfn.CONCAT(C630,Table16[[#This Row],[Pos Rank2]])</f>
        <v>RW119</v>
      </c>
      <c r="H630" s="10">
        <f>MAX(_xlfn.IFNA(INDEX(Proj[],MATCH(Table16[[#This Row],[Player]],Proj[Player],0),29),-5000), _xlfn.IFNA(INDEX(Goalie[],MATCH(Table16[[#This Row],[Player]],Goalie[player],0),19),-5000))</f>
        <v>-234.70023254757524</v>
      </c>
      <c r="I630" t="str">
        <f>IF(_xlfn.IFNA(INDEX(Proj[],MATCH(Table16[[#This Row],[Player]],Proj[Player],0),31),INDEX(Goalie[],MATCH(Table16[[#This Row],[Player]],Goalie[player],0),20)) = 0, "",_xlfn.IFNA(INDEX(Proj[],MATCH(Table16[[#This Row],[Player]],Proj[Player],0),31),INDEX(Goalie[],MATCH(Table16[[#This Row],[Player]],Goalie[player],0),20)))</f>
        <v/>
      </c>
    </row>
    <row r="631" spans="1:9" x14ac:dyDescent="0.25">
      <c r="A631" t="s">
        <v>550</v>
      </c>
      <c r="B631" s="2" t="s">
        <v>74</v>
      </c>
      <c r="C631" t="str">
        <f t="shared" si="9"/>
        <v>C</v>
      </c>
      <c r="D631" s="10">
        <f>MAX(_xlfn.IFNA(INDEX(Proj[],MATCH(Table16[[#This Row],[Player]],Proj[Player],0),27),-5000), _xlfn.IFNA(INDEX(Goalie[],MATCH(Table16[[#This Row],[Player]],Goalie[player],0),17),-5000))</f>
        <v>-730.75146707068075</v>
      </c>
      <c r="E631">
        <f>_xlfn.RANK.EQ(Table16[[#This Row],[VOR]],Table16[VOR])</f>
        <v>618</v>
      </c>
      <c r="F631" cm="1">
        <f t="array" ref="F631">_xlfn.IFS(C631 = "C",INDEX('C'!$A$2:$L$254,MATCH($A631,'C'!$A$2:$A$254,0),10),C631 = "LW",INDEX(LW!$A$2:$K$180,MATCH($A631,LW!$A$2:$A$180,0),10),C631 = "RW",INDEX('RW'!$A$2:$L$164,MATCH($A631,'RW'!$A$2:$A$164,0),10), C631 = "D",INDEX(D!$A$2:$L$268,MATCH($A631,D!$A$2:$A$268,0),10),C631="G",INDEX(G!$A$2:$Q$78,MATCH($A631,G!$A$2:$A$78,0),16),C631="F",INDEX(F!$A$2:$K$494,MATCH($A631,F!$A$2:$A$494,0),10))</f>
        <v>144</v>
      </c>
      <c r="G631" t="str">
        <f>_xlfn.CONCAT(C631,Table16[[#This Row],[Pos Rank2]])</f>
        <v>C144</v>
      </c>
      <c r="H631" s="10">
        <f>MAX(_xlfn.IFNA(INDEX(Proj[],MATCH(Table16[[#This Row],[Player]],Proj[Player],0),29),-5000), _xlfn.IFNA(INDEX(Goalie[],MATCH(Table16[[#This Row],[Player]],Goalie[player],0),19),-5000))</f>
        <v>3.8823872396178905</v>
      </c>
      <c r="I631" t="str">
        <f>IF(_xlfn.IFNA(INDEX(Proj[],MATCH(Table16[[#This Row],[Player]],Proj[Player],0),31),INDEX(Goalie[],MATCH(Table16[[#This Row],[Player]],Goalie[player],0),20)) = 0, "",_xlfn.IFNA(INDEX(Proj[],MATCH(Table16[[#This Row],[Player]],Proj[Player],0),31),INDEX(Goalie[],MATCH(Table16[[#This Row],[Player]],Goalie[player],0),20)))</f>
        <v/>
      </c>
    </row>
    <row r="632" spans="1:9" x14ac:dyDescent="0.25">
      <c r="A632" t="s">
        <v>531</v>
      </c>
      <c r="B632" s="2" t="s">
        <v>3</v>
      </c>
      <c r="C632" t="str">
        <f t="shared" si="9"/>
        <v>D</v>
      </c>
      <c r="D632" s="10">
        <f>MAX(_xlfn.IFNA(INDEX(Proj[],MATCH(Table16[[#This Row],[Player]],Proj[Player],0),27),-5000), _xlfn.IFNA(INDEX(Goalie[],MATCH(Table16[[#This Row],[Player]],Goalie[player],0),17),-5000))</f>
        <v>-5000</v>
      </c>
      <c r="E632">
        <f>_xlfn.RANK.EQ(Table16[[#This Row],[VOR]],Table16[VOR])</f>
        <v>832</v>
      </c>
      <c r="F632" t="e" cm="1">
        <f t="array" ref="F632">_xlfn.IFS(C632 = "C",INDEX('C'!$A$2:$L$254,MATCH($A632,'C'!$A$2:$A$254,0),10),C632 = "LW",INDEX(LW!$A$2:$K$180,MATCH($A632,LW!$A$2:$A$180,0),10),C632 = "RW",INDEX('RW'!$A$2:$L$164,MATCH($A632,'RW'!$A$2:$A$164,0),10), C632 = "D",INDEX(D!$A$2:$L$268,MATCH($A632,D!$A$2:$A$268,0),10),C632="G",INDEX(G!$A$2:$Q$78,MATCH($A632,G!$A$2:$A$78,0),16),C632="F",INDEX(F!$A$2:$K$494,MATCH($A632,F!$A$2:$A$494,0),10))</f>
        <v>#N/A</v>
      </c>
      <c r="G632" t="e">
        <f>_xlfn.CONCAT(C632,Table16[[#This Row],[Pos Rank2]])</f>
        <v>#N/A</v>
      </c>
      <c r="H632" s="10">
        <f>MAX(_xlfn.IFNA(INDEX(Proj[],MATCH(Table16[[#This Row],[Player]],Proj[Player],0),29),-5000), _xlfn.IFNA(INDEX(Goalie[],MATCH(Table16[[#This Row],[Player]],Goalie[player],0),19),-5000))</f>
        <v>-5000</v>
      </c>
      <c r="I632" t="e">
        <f>IF(_xlfn.IFNA(INDEX(Proj[],MATCH(Table16[[#This Row],[Player]],Proj[Player],0),31),INDEX(Goalie[],MATCH(Table16[[#This Row],[Player]],Goalie[player],0),20)) = 0, "",_xlfn.IFNA(INDEX(Proj[],MATCH(Table16[[#This Row],[Player]],Proj[Player],0),31),INDEX(Goalie[],MATCH(Table16[[#This Row],[Player]],Goalie[player],0),20)))</f>
        <v>#N/A</v>
      </c>
    </row>
    <row r="633" spans="1:9" x14ac:dyDescent="0.25">
      <c r="A633" t="s">
        <v>910</v>
      </c>
      <c r="B633" s="2" t="s">
        <v>3</v>
      </c>
      <c r="C633" t="str">
        <f t="shared" si="9"/>
        <v>D</v>
      </c>
      <c r="D633" s="10">
        <f>MAX(_xlfn.IFNA(INDEX(Proj[],MATCH(Table16[[#This Row],[Player]],Proj[Player],0),27),-5000), _xlfn.IFNA(INDEX(Goalie[],MATCH(Table16[[#This Row],[Player]],Goalie[player],0),17),-5000))</f>
        <v>-688.340503906712</v>
      </c>
      <c r="E633">
        <f>_xlfn.RANK.EQ(Table16[[#This Row],[VOR]],Table16[VOR])</f>
        <v>592</v>
      </c>
      <c r="F633" cm="1">
        <f t="array" ref="F633">_xlfn.IFS(C633 = "C",INDEX('C'!$A$2:$L$254,MATCH($A633,'C'!$A$2:$A$254,0),10),C633 = "LW",INDEX(LW!$A$2:$K$180,MATCH($A633,LW!$A$2:$A$180,0),10),C633 = "RW",INDEX('RW'!$A$2:$L$164,MATCH($A633,'RW'!$A$2:$A$164,0),10), C633 = "D",INDEX(D!$A$2:$L$268,MATCH($A633,D!$A$2:$A$268,0),10),C633="G",INDEX(G!$A$2:$Q$78,MATCH($A633,G!$A$2:$A$78,0),16),C633="F",INDEX(F!$A$2:$K$494,MATCH($A633,F!$A$2:$A$494,0),10))</f>
        <v>228</v>
      </c>
      <c r="G633" t="str">
        <f>_xlfn.CONCAT(C633,Table16[[#This Row],[Pos Rank2]])</f>
        <v>D228</v>
      </c>
      <c r="H633" s="10">
        <f>MAX(_xlfn.IFNA(INDEX(Proj[],MATCH(Table16[[#This Row],[Player]],Proj[Player],0),29),-5000), _xlfn.IFNA(INDEX(Goalie[],MATCH(Table16[[#This Row],[Player]],Goalie[player],0),19),-5000))</f>
        <v>-580.97573618724755</v>
      </c>
      <c r="I633" t="str">
        <f>IF(_xlfn.IFNA(INDEX(Proj[],MATCH(Table16[[#This Row],[Player]],Proj[Player],0),31),INDEX(Goalie[],MATCH(Table16[[#This Row],[Player]],Goalie[player],0),20)) = 0, "",_xlfn.IFNA(INDEX(Proj[],MATCH(Table16[[#This Row],[Player]],Proj[Player],0),31),INDEX(Goalie[],MATCH(Table16[[#This Row],[Player]],Goalie[player],0),20)))</f>
        <v/>
      </c>
    </row>
    <row r="634" spans="1:9" x14ac:dyDescent="0.25">
      <c r="A634" t="s">
        <v>490</v>
      </c>
      <c r="B634" s="2" t="s">
        <v>102</v>
      </c>
      <c r="C634" t="str">
        <f t="shared" si="9"/>
        <v>LW</v>
      </c>
      <c r="D634" s="10">
        <f>MAX(_xlfn.IFNA(INDEX(Proj[],MATCH(Table16[[#This Row],[Player]],Proj[Player],0),27),-5000), _xlfn.IFNA(INDEX(Goalie[],MATCH(Table16[[#This Row],[Player]],Goalie[player],0),17),-5000))</f>
        <v>-773.18150890229299</v>
      </c>
      <c r="E634">
        <f>_xlfn.RANK.EQ(Table16[[#This Row],[VOR]],Table16[VOR])</f>
        <v>642</v>
      </c>
      <c r="F634" cm="1">
        <f t="array" ref="F634">_xlfn.IFS(C634 = "C",INDEX('C'!$A$2:$L$254,MATCH($A634,'C'!$A$2:$A$254,0),10),C634 = "LW",INDEX(LW!$A$2:$K$180,MATCH($A634,LW!$A$2:$A$180,0),10),C634 = "RW",INDEX('RW'!$A$2:$L$164,MATCH($A634,'RW'!$A$2:$A$164,0),10), C634 = "D",INDEX(D!$A$2:$L$268,MATCH($A634,D!$A$2:$A$268,0),10),C634="G",INDEX(G!$A$2:$Q$78,MATCH($A634,G!$A$2:$A$78,0),16),C634="F",INDEX(F!$A$2:$K$494,MATCH($A634,F!$A$2:$A$494,0),10))</f>
        <v>142</v>
      </c>
      <c r="G634" t="str">
        <f>_xlfn.CONCAT(C634,Table16[[#This Row],[Pos Rank2]])</f>
        <v>LW142</v>
      </c>
      <c r="H634" s="10">
        <f>MAX(_xlfn.IFNA(INDEX(Proj[],MATCH(Table16[[#This Row],[Player]],Proj[Player],0),29),-5000), _xlfn.IFNA(INDEX(Goalie[],MATCH(Table16[[#This Row],[Player]],Goalie[player],0),19),-5000))</f>
        <v>-301.63678451204413</v>
      </c>
      <c r="I634" t="str">
        <f>IF(_xlfn.IFNA(INDEX(Proj[],MATCH(Table16[[#This Row],[Player]],Proj[Player],0),31),INDEX(Goalie[],MATCH(Table16[[#This Row],[Player]],Goalie[player],0),20)) = 0, "",_xlfn.IFNA(INDEX(Proj[],MATCH(Table16[[#This Row],[Player]],Proj[Player],0),31),INDEX(Goalie[],MATCH(Table16[[#This Row],[Player]],Goalie[player],0),20)))</f>
        <v/>
      </c>
    </row>
    <row r="635" spans="1:9" x14ac:dyDescent="0.25">
      <c r="A635" t="s">
        <v>1129</v>
      </c>
      <c r="B635" s="2" t="s">
        <v>74</v>
      </c>
      <c r="C635" t="str">
        <f t="shared" si="9"/>
        <v>C</v>
      </c>
      <c r="D635" s="10">
        <f>MAX(_xlfn.IFNA(INDEX(Proj[],MATCH(Table16[[#This Row],[Player]],Proj[Player],0),27),-5000), _xlfn.IFNA(INDEX(Goalie[],MATCH(Table16[[#This Row],[Player]],Goalie[player],0),17),-5000))</f>
        <v>-864.73023652046277</v>
      </c>
      <c r="E635">
        <f>_xlfn.RANK.EQ(Table16[[#This Row],[VOR]],Table16[VOR])</f>
        <v>686</v>
      </c>
      <c r="F635" cm="1">
        <f t="array" ref="F635">_xlfn.IFS(C635 = "C",INDEX('C'!$A$2:$L$254,MATCH($A635,'C'!$A$2:$A$254,0),10),C635 = "LW",INDEX(LW!$A$2:$K$180,MATCH($A635,LW!$A$2:$A$180,0),10),C635 = "RW",INDEX('RW'!$A$2:$L$164,MATCH($A635,'RW'!$A$2:$A$164,0),10), C635 = "D",INDEX(D!$A$2:$L$268,MATCH($A635,D!$A$2:$A$268,0),10),C635="G",INDEX(G!$A$2:$Q$78,MATCH($A635,G!$A$2:$A$78,0),16),C635="F",INDEX(F!$A$2:$K$494,MATCH($A635,F!$A$2:$A$494,0),10))</f>
        <v>169</v>
      </c>
      <c r="G635" t="str">
        <f>_xlfn.CONCAT(C635,Table16[[#This Row],[Pos Rank2]])</f>
        <v>C169</v>
      </c>
      <c r="H635" s="10">
        <f>MAX(_xlfn.IFNA(INDEX(Proj[],MATCH(Table16[[#This Row],[Player]],Proj[Player],0),29),-5000), _xlfn.IFNA(INDEX(Goalie[],MATCH(Table16[[#This Row],[Player]],Goalie[player],0),19),-5000))</f>
        <v>-130.09638221016414</v>
      </c>
      <c r="I635" t="str">
        <f>IF(_xlfn.IFNA(INDEX(Proj[],MATCH(Table16[[#This Row],[Player]],Proj[Player],0),31),INDEX(Goalie[],MATCH(Table16[[#This Row],[Player]],Goalie[player],0),20)) = 0, "",_xlfn.IFNA(INDEX(Proj[],MATCH(Table16[[#This Row],[Player]],Proj[Player],0),31),INDEX(Goalie[],MATCH(Table16[[#This Row],[Player]],Goalie[player],0),20)))</f>
        <v/>
      </c>
    </row>
    <row r="636" spans="1:9" x14ac:dyDescent="0.25">
      <c r="A636" t="s">
        <v>793</v>
      </c>
      <c r="B636" s="2" t="s">
        <v>74</v>
      </c>
      <c r="C636" t="str">
        <f t="shared" si="9"/>
        <v>C</v>
      </c>
      <c r="D636" s="10">
        <f>MAX(_xlfn.IFNA(INDEX(Proj[],MATCH(Table16[[#This Row],[Player]],Proj[Player],0),27),-5000), _xlfn.IFNA(INDEX(Goalie[],MATCH(Table16[[#This Row],[Player]],Goalie[player],0),17),-5000))</f>
        <v>-744.15826781284113</v>
      </c>
      <c r="E636">
        <f>_xlfn.RANK.EQ(Table16[[#This Row],[VOR]],Table16[VOR])</f>
        <v>629</v>
      </c>
      <c r="F636" cm="1">
        <f t="array" ref="F636">_xlfn.IFS(C636 = "C",INDEX('C'!$A$2:$L$254,MATCH($A636,'C'!$A$2:$A$254,0),10),C636 = "LW",INDEX(LW!$A$2:$K$180,MATCH($A636,LW!$A$2:$A$180,0),10),C636 = "RW",INDEX('RW'!$A$2:$L$164,MATCH($A636,'RW'!$A$2:$A$164,0),10), C636 = "D",INDEX(D!$A$2:$L$268,MATCH($A636,D!$A$2:$A$268,0),10),C636="G",INDEX(G!$A$2:$Q$78,MATCH($A636,G!$A$2:$A$78,0),16),C636="F",INDEX(F!$A$2:$K$494,MATCH($A636,F!$A$2:$A$494,0),10))</f>
        <v>147</v>
      </c>
      <c r="G636" t="str">
        <f>_xlfn.CONCAT(C636,Table16[[#This Row],[Pos Rank2]])</f>
        <v>C147</v>
      </c>
      <c r="H636" s="10">
        <f>MAX(_xlfn.IFNA(INDEX(Proj[],MATCH(Table16[[#This Row],[Player]],Proj[Player],0),29),-5000), _xlfn.IFNA(INDEX(Goalie[],MATCH(Table16[[#This Row],[Player]],Goalie[player],0),19),-5000))</f>
        <v>-9.5244135025425614</v>
      </c>
      <c r="I636" t="str">
        <f>IF(_xlfn.IFNA(INDEX(Proj[],MATCH(Table16[[#This Row],[Player]],Proj[Player],0),31),INDEX(Goalie[],MATCH(Table16[[#This Row],[Player]],Goalie[player],0),20)) = 0, "",_xlfn.IFNA(INDEX(Proj[],MATCH(Table16[[#This Row],[Player]],Proj[Player],0),31),INDEX(Goalie[],MATCH(Table16[[#This Row],[Player]],Goalie[player],0),20)))</f>
        <v/>
      </c>
    </row>
    <row r="637" spans="1:9" x14ac:dyDescent="0.25">
      <c r="A637" t="s">
        <v>916</v>
      </c>
      <c r="B637" s="2" t="s">
        <v>102</v>
      </c>
      <c r="C637" t="str">
        <f t="shared" si="9"/>
        <v>LW</v>
      </c>
      <c r="D637" s="10">
        <f>MAX(_xlfn.IFNA(INDEX(Proj[],MATCH(Table16[[#This Row],[Player]],Proj[Player],0),27),-5000), _xlfn.IFNA(INDEX(Goalie[],MATCH(Table16[[#This Row],[Player]],Goalie[player],0),17),-5000))</f>
        <v>-671.50702451150266</v>
      </c>
      <c r="E637">
        <f>_xlfn.RANK.EQ(Table16[[#This Row],[VOR]],Table16[VOR])</f>
        <v>585</v>
      </c>
      <c r="F637" cm="1">
        <f t="array" ref="F637">_xlfn.IFS(C637 = "C",INDEX('C'!$A$2:$L$254,MATCH($A637,'C'!$A$2:$A$254,0),10),C637 = "LW",INDEX(LW!$A$2:$K$180,MATCH($A637,LW!$A$2:$A$180,0),10),C637 = "RW",INDEX('RW'!$A$2:$L$164,MATCH($A637,'RW'!$A$2:$A$164,0),10), C637 = "D",INDEX(D!$A$2:$L$268,MATCH($A637,D!$A$2:$A$268,0),10),C637="G",INDEX(G!$A$2:$Q$78,MATCH($A637,G!$A$2:$A$78,0),16),C637="F",INDEX(F!$A$2:$K$494,MATCH($A637,F!$A$2:$A$494,0),10))</f>
        <v>127</v>
      </c>
      <c r="G637" t="str">
        <f>_xlfn.CONCAT(C637,Table16[[#This Row],[Pos Rank2]])</f>
        <v>LW127</v>
      </c>
      <c r="H637" s="10">
        <f>MAX(_xlfn.IFNA(INDEX(Proj[],MATCH(Table16[[#This Row],[Player]],Proj[Player],0),29),-5000), _xlfn.IFNA(INDEX(Goalie[],MATCH(Table16[[#This Row],[Player]],Goalie[player],0),19),-5000))</f>
        <v>-199.96230012125383</v>
      </c>
      <c r="I637" t="str">
        <f>IF(_xlfn.IFNA(INDEX(Proj[],MATCH(Table16[[#This Row],[Player]],Proj[Player],0),31),INDEX(Goalie[],MATCH(Table16[[#This Row],[Player]],Goalie[player],0),20)) = 0, "",_xlfn.IFNA(INDEX(Proj[],MATCH(Table16[[#This Row],[Player]],Proj[Player],0),31),INDEX(Goalie[],MATCH(Table16[[#This Row],[Player]],Goalie[player],0),20)))</f>
        <v/>
      </c>
    </row>
    <row r="638" spans="1:9" x14ac:dyDescent="0.25">
      <c r="A638" t="s">
        <v>1209</v>
      </c>
      <c r="B638" s="2" t="s">
        <v>74</v>
      </c>
      <c r="C638" t="str">
        <f t="shared" si="9"/>
        <v>C</v>
      </c>
      <c r="D638" s="10">
        <f>MAX(_xlfn.IFNA(INDEX(Proj[],MATCH(Table16[[#This Row],[Player]],Proj[Player],0),27),-5000), _xlfn.IFNA(INDEX(Goalie[],MATCH(Table16[[#This Row],[Player]],Goalie[player],0),17),-5000))</f>
        <v>-974.81593068001212</v>
      </c>
      <c r="E638">
        <f>_xlfn.RANK.EQ(Table16[[#This Row],[VOR]],Table16[VOR])</f>
        <v>727</v>
      </c>
      <c r="F638" cm="1">
        <f t="array" ref="F638">_xlfn.IFS(C638 = "C",INDEX('C'!$A$2:$L$254,MATCH($A638,'C'!$A$2:$A$254,0),10),C638 = "LW",INDEX(LW!$A$2:$K$180,MATCH($A638,LW!$A$2:$A$180,0),10),C638 = "RW",INDEX('RW'!$A$2:$L$164,MATCH($A638,'RW'!$A$2:$A$164,0),10), C638 = "D",INDEX(D!$A$2:$L$268,MATCH($A638,D!$A$2:$A$268,0),10),C638="G",INDEX(G!$A$2:$Q$78,MATCH($A638,G!$A$2:$A$78,0),16),C638="F",INDEX(F!$A$2:$K$494,MATCH($A638,F!$A$2:$A$494,0),10))</f>
        <v>186</v>
      </c>
      <c r="G638" t="str">
        <f>_xlfn.CONCAT(C638,Table16[[#This Row],[Pos Rank2]])</f>
        <v>C186</v>
      </c>
      <c r="H638" s="10">
        <f>MAX(_xlfn.IFNA(INDEX(Proj[],MATCH(Table16[[#This Row],[Player]],Proj[Player],0),29),-5000), _xlfn.IFNA(INDEX(Goalie[],MATCH(Table16[[#This Row],[Player]],Goalie[player],0),19),-5000))</f>
        <v>-240.18207636971357</v>
      </c>
      <c r="I638" t="str">
        <f>IF(_xlfn.IFNA(INDEX(Proj[],MATCH(Table16[[#This Row],[Player]],Proj[Player],0),31),INDEX(Goalie[],MATCH(Table16[[#This Row],[Player]],Goalie[player],0),20)) = 0, "",_xlfn.IFNA(INDEX(Proj[],MATCH(Table16[[#This Row],[Player]],Proj[Player],0),31),INDEX(Goalie[],MATCH(Table16[[#This Row],[Player]],Goalie[player],0),20)))</f>
        <v/>
      </c>
    </row>
    <row r="639" spans="1:9" x14ac:dyDescent="0.25">
      <c r="A639" t="s">
        <v>552</v>
      </c>
      <c r="B639" s="2" t="s">
        <v>3</v>
      </c>
      <c r="C639" t="str">
        <f t="shared" si="9"/>
        <v>D</v>
      </c>
      <c r="D639" s="10">
        <f>MAX(_xlfn.IFNA(INDEX(Proj[],MATCH(Table16[[#This Row],[Player]],Proj[Player],0),27),-5000), _xlfn.IFNA(INDEX(Goalie[],MATCH(Table16[[#This Row],[Player]],Goalie[player],0),17),-5000))</f>
        <v>-699.91847194182446</v>
      </c>
      <c r="E639">
        <f>_xlfn.RANK.EQ(Table16[[#This Row],[VOR]],Table16[VOR])</f>
        <v>596</v>
      </c>
      <c r="F639" cm="1">
        <f t="array" ref="F639">_xlfn.IFS(C639 = "C",INDEX('C'!$A$2:$L$254,MATCH($A639,'C'!$A$2:$A$254,0),10),C639 = "LW",INDEX(LW!$A$2:$K$180,MATCH($A639,LW!$A$2:$A$180,0),10),C639 = "RW",INDEX('RW'!$A$2:$L$164,MATCH($A639,'RW'!$A$2:$A$164,0),10), C639 = "D",INDEX(D!$A$2:$L$268,MATCH($A639,D!$A$2:$A$268,0),10),C639="G",INDEX(G!$A$2:$Q$78,MATCH($A639,G!$A$2:$A$78,0),16),C639="F",INDEX(F!$A$2:$K$494,MATCH($A639,F!$A$2:$A$494,0),10))</f>
        <v>229</v>
      </c>
      <c r="G639" t="str">
        <f>_xlfn.CONCAT(C639,Table16[[#This Row],[Pos Rank2]])</f>
        <v>D229</v>
      </c>
      <c r="H639" s="10">
        <f>MAX(_xlfn.IFNA(INDEX(Proj[],MATCH(Table16[[#This Row],[Player]],Proj[Player],0),29),-5000), _xlfn.IFNA(INDEX(Goalie[],MATCH(Table16[[#This Row],[Player]],Goalie[player],0),19),-5000))</f>
        <v>-592.55370422236001</v>
      </c>
      <c r="I639" t="str">
        <f>IF(_xlfn.IFNA(INDEX(Proj[],MATCH(Table16[[#This Row],[Player]],Proj[Player],0),31),INDEX(Goalie[],MATCH(Table16[[#This Row],[Player]],Goalie[player],0),20)) = 0, "",_xlfn.IFNA(INDEX(Proj[],MATCH(Table16[[#This Row],[Player]],Proj[Player],0),31),INDEX(Goalie[],MATCH(Table16[[#This Row],[Player]],Goalie[player],0),20)))</f>
        <v/>
      </c>
    </row>
    <row r="640" spans="1:9" x14ac:dyDescent="0.25">
      <c r="A640" t="s">
        <v>768</v>
      </c>
      <c r="B640" s="2" t="s">
        <v>102</v>
      </c>
      <c r="C640" t="str">
        <f t="shared" si="9"/>
        <v>LW</v>
      </c>
      <c r="D640" s="10">
        <f>MAX(_xlfn.IFNA(INDEX(Proj[],MATCH(Table16[[#This Row],[Player]],Proj[Player],0),27),-5000), _xlfn.IFNA(INDEX(Goalie[],MATCH(Table16[[#This Row],[Player]],Goalie[player],0),17),-5000))</f>
        <v>-776.72252475239975</v>
      </c>
      <c r="E640">
        <f>_xlfn.RANK.EQ(Table16[[#This Row],[VOR]],Table16[VOR])</f>
        <v>645</v>
      </c>
      <c r="F640" cm="1">
        <f t="array" ref="F640">_xlfn.IFS(C640 = "C",INDEX('C'!$A$2:$L$254,MATCH($A640,'C'!$A$2:$A$254,0),10),C640 = "LW",INDEX(LW!$A$2:$K$180,MATCH($A640,LW!$A$2:$A$180,0),10),C640 = "RW",INDEX('RW'!$A$2:$L$164,MATCH($A640,'RW'!$A$2:$A$164,0),10), C640 = "D",INDEX(D!$A$2:$L$268,MATCH($A640,D!$A$2:$A$268,0),10),C640="G",INDEX(G!$A$2:$Q$78,MATCH($A640,G!$A$2:$A$78,0),16),C640="F",INDEX(F!$A$2:$K$494,MATCH($A640,F!$A$2:$A$494,0),10))</f>
        <v>143</v>
      </c>
      <c r="G640" t="str">
        <f>_xlfn.CONCAT(C640,Table16[[#This Row],[Pos Rank2]])</f>
        <v>LW143</v>
      </c>
      <c r="H640" s="10">
        <f>MAX(_xlfn.IFNA(INDEX(Proj[],MATCH(Table16[[#This Row],[Player]],Proj[Player],0),29),-5000), _xlfn.IFNA(INDEX(Goalie[],MATCH(Table16[[#This Row],[Player]],Goalie[player],0),19),-5000))</f>
        <v>-305.17780036215089</v>
      </c>
      <c r="I640" t="str">
        <f>IF(_xlfn.IFNA(INDEX(Proj[],MATCH(Table16[[#This Row],[Player]],Proj[Player],0),31),INDEX(Goalie[],MATCH(Table16[[#This Row],[Player]],Goalie[player],0),20)) = 0, "",_xlfn.IFNA(INDEX(Proj[],MATCH(Table16[[#This Row],[Player]],Proj[Player],0),31),INDEX(Goalie[],MATCH(Table16[[#This Row],[Player]],Goalie[player],0),20)))</f>
        <v/>
      </c>
    </row>
    <row r="641" spans="1:9" x14ac:dyDescent="0.25">
      <c r="A641" t="s">
        <v>660</v>
      </c>
      <c r="B641" s="2" t="s">
        <v>103</v>
      </c>
      <c r="C641" t="str">
        <f t="shared" si="9"/>
        <v>RW</v>
      </c>
      <c r="D641" s="10">
        <f>MAX(_xlfn.IFNA(INDEX(Proj[],MATCH(Table16[[#This Row],[Player]],Proj[Player],0),27),-5000), _xlfn.IFNA(INDEX(Goalie[],MATCH(Table16[[#This Row],[Player]],Goalie[player],0),17),-5000))</f>
        <v>-776.88430288949905</v>
      </c>
      <c r="E641">
        <f>_xlfn.RANK.EQ(Table16[[#This Row],[VOR]],Table16[VOR])</f>
        <v>646</v>
      </c>
      <c r="F641" cm="1">
        <f t="array" ref="F641">_xlfn.IFS(C641 = "C",INDEX('C'!$A$2:$L$254,MATCH($A641,'C'!$A$2:$A$254,0),10),C641 = "LW",INDEX(LW!$A$2:$K$180,MATCH($A641,LW!$A$2:$A$180,0),10),C641 = "RW",INDEX('RW'!$A$2:$L$164,MATCH($A641,'RW'!$A$2:$A$164,0),10), C641 = "D",INDEX(D!$A$2:$L$268,MATCH($A641,D!$A$2:$A$268,0),10),C641="G",INDEX(G!$A$2:$Q$78,MATCH($A641,G!$A$2:$A$78,0),16),C641="F",INDEX(F!$A$2:$K$494,MATCH($A641,F!$A$2:$A$494,0),10))</f>
        <v>130</v>
      </c>
      <c r="G641" t="str">
        <f>_xlfn.CONCAT(C641,Table16[[#This Row],[Pos Rank2]])</f>
        <v>RW130</v>
      </c>
      <c r="H641" s="10">
        <f>MAX(_xlfn.IFNA(INDEX(Proj[],MATCH(Table16[[#This Row],[Player]],Proj[Player],0),29),-5000), _xlfn.IFNA(INDEX(Goalie[],MATCH(Table16[[#This Row],[Player]],Goalie[player],0),19),-5000))</f>
        <v>-330.33957849925019</v>
      </c>
      <c r="I641" t="str">
        <f>IF(_xlfn.IFNA(INDEX(Proj[],MATCH(Table16[[#This Row],[Player]],Proj[Player],0),31),INDEX(Goalie[],MATCH(Table16[[#This Row],[Player]],Goalie[player],0),20)) = 0, "",_xlfn.IFNA(INDEX(Proj[],MATCH(Table16[[#This Row],[Player]],Proj[Player],0),31),INDEX(Goalie[],MATCH(Table16[[#This Row],[Player]],Goalie[player],0),20)))</f>
        <v/>
      </c>
    </row>
    <row r="642" spans="1:9" x14ac:dyDescent="0.25">
      <c r="A642" t="s">
        <v>1058</v>
      </c>
      <c r="B642" s="2" t="s">
        <v>3</v>
      </c>
      <c r="C642" t="str">
        <f t="shared" ref="C642:C705" si="10">SUBSTITUTE(SUBSTITUTE(B642,"C,",""),"LW,","")</f>
        <v>D</v>
      </c>
      <c r="D642" s="10">
        <f>MAX(_xlfn.IFNA(INDEX(Proj[],MATCH(Table16[[#This Row],[Player]],Proj[Player],0),27),-5000), _xlfn.IFNA(INDEX(Goalie[],MATCH(Table16[[#This Row],[Player]],Goalie[player],0),17),-5000))</f>
        <v>-703.08154701194758</v>
      </c>
      <c r="E642">
        <f>_xlfn.RANK.EQ(Table16[[#This Row],[VOR]],Table16[VOR])</f>
        <v>597</v>
      </c>
      <c r="F642" cm="1">
        <f t="array" ref="F642">_xlfn.IFS(C642 = "C",INDEX('C'!$A$2:$L$254,MATCH($A642,'C'!$A$2:$A$254,0),10),C642 = "LW",INDEX(LW!$A$2:$K$180,MATCH($A642,LW!$A$2:$A$180,0),10),C642 = "RW",INDEX('RW'!$A$2:$L$164,MATCH($A642,'RW'!$A$2:$A$164,0),10), C642 = "D",INDEX(D!$A$2:$L$268,MATCH($A642,D!$A$2:$A$268,0),10),C642="G",INDEX(G!$A$2:$Q$78,MATCH($A642,G!$A$2:$A$78,0),16),C642="F",INDEX(F!$A$2:$K$494,MATCH($A642,F!$A$2:$A$494,0),10))</f>
        <v>230</v>
      </c>
      <c r="G642" t="str">
        <f>_xlfn.CONCAT(C642,Table16[[#This Row],[Pos Rank2]])</f>
        <v>D230</v>
      </c>
      <c r="H642" s="10">
        <f>MAX(_xlfn.IFNA(INDEX(Proj[],MATCH(Table16[[#This Row],[Player]],Proj[Player],0),29),-5000), _xlfn.IFNA(INDEX(Goalie[],MATCH(Table16[[#This Row],[Player]],Goalie[player],0),19),-5000))</f>
        <v>-595.71677929248312</v>
      </c>
      <c r="I642" t="str">
        <f>IF(_xlfn.IFNA(INDEX(Proj[],MATCH(Table16[[#This Row],[Player]],Proj[Player],0),31),INDEX(Goalie[],MATCH(Table16[[#This Row],[Player]],Goalie[player],0),20)) = 0, "",_xlfn.IFNA(INDEX(Proj[],MATCH(Table16[[#This Row],[Player]],Proj[Player],0),31),INDEX(Goalie[],MATCH(Table16[[#This Row],[Player]],Goalie[player],0),20)))</f>
        <v/>
      </c>
    </row>
    <row r="643" spans="1:9" x14ac:dyDescent="0.25">
      <c r="A643" t="s">
        <v>611</v>
      </c>
      <c r="B643" s="2" t="s">
        <v>102</v>
      </c>
      <c r="C643" t="str">
        <f t="shared" si="10"/>
        <v>LW</v>
      </c>
      <c r="D643" s="10">
        <f>MAX(_xlfn.IFNA(INDEX(Proj[],MATCH(Table16[[#This Row],[Player]],Proj[Player],0),27),-5000), _xlfn.IFNA(INDEX(Goalie[],MATCH(Table16[[#This Row],[Player]],Goalie[player],0),17),-5000))</f>
        <v>-760.94289189417498</v>
      </c>
      <c r="E643">
        <f>_xlfn.RANK.EQ(Table16[[#This Row],[VOR]],Table16[VOR])</f>
        <v>636</v>
      </c>
      <c r="F643" cm="1">
        <f t="array" ref="F643">_xlfn.IFS(C643 = "C",INDEX('C'!$A$2:$L$254,MATCH($A643,'C'!$A$2:$A$254,0),10),C643 = "LW",INDEX(LW!$A$2:$K$180,MATCH($A643,LW!$A$2:$A$180,0),10),C643 = "RW",INDEX('RW'!$A$2:$L$164,MATCH($A643,'RW'!$A$2:$A$164,0),10), C643 = "D",INDEX(D!$A$2:$L$268,MATCH($A643,D!$A$2:$A$268,0),10),C643="G",INDEX(G!$A$2:$Q$78,MATCH($A643,G!$A$2:$A$78,0),16),C643="F",INDEX(F!$A$2:$K$494,MATCH($A643,F!$A$2:$A$494,0),10))</f>
        <v>141</v>
      </c>
      <c r="G643" t="str">
        <f>_xlfn.CONCAT(C643,Table16[[#This Row],[Pos Rank2]])</f>
        <v>LW141</v>
      </c>
      <c r="H643" s="10">
        <f>MAX(_xlfn.IFNA(INDEX(Proj[],MATCH(Table16[[#This Row],[Player]],Proj[Player],0),29),-5000), _xlfn.IFNA(INDEX(Goalie[],MATCH(Table16[[#This Row],[Player]],Goalie[player],0),19),-5000))</f>
        <v>-289.39816750392612</v>
      </c>
      <c r="I643" t="str">
        <f>IF(_xlfn.IFNA(INDEX(Proj[],MATCH(Table16[[#This Row],[Player]],Proj[Player],0),31),INDEX(Goalie[],MATCH(Table16[[#This Row],[Player]],Goalie[player],0),20)) = 0, "",_xlfn.IFNA(INDEX(Proj[],MATCH(Table16[[#This Row],[Player]],Proj[Player],0),31),INDEX(Goalie[],MATCH(Table16[[#This Row],[Player]],Goalie[player],0),20)))</f>
        <v/>
      </c>
    </row>
    <row r="644" spans="1:9" x14ac:dyDescent="0.25">
      <c r="A644" t="s">
        <v>708</v>
      </c>
      <c r="B644" s="2" t="s">
        <v>74</v>
      </c>
      <c r="C644" t="str">
        <f t="shared" si="10"/>
        <v>C</v>
      </c>
      <c r="D644" s="10">
        <f>MAX(_xlfn.IFNA(INDEX(Proj[],MATCH(Table16[[#This Row],[Player]],Proj[Player],0),27),-5000), _xlfn.IFNA(INDEX(Goalie[],MATCH(Table16[[#This Row],[Player]],Goalie[player],0),17),-5000))</f>
        <v>-781.91549885345148</v>
      </c>
      <c r="E644">
        <f>_xlfn.RANK.EQ(Table16[[#This Row],[VOR]],Table16[VOR])</f>
        <v>648</v>
      </c>
      <c r="F644" cm="1">
        <f t="array" ref="F644">_xlfn.IFS(C644 = "C",INDEX('C'!$A$2:$L$254,MATCH($A644,'C'!$A$2:$A$254,0),10),C644 = "LW",INDEX(LW!$A$2:$K$180,MATCH($A644,LW!$A$2:$A$180,0),10),C644 = "RW",INDEX('RW'!$A$2:$L$164,MATCH($A644,'RW'!$A$2:$A$164,0),10), C644 = "D",INDEX(D!$A$2:$L$268,MATCH($A644,D!$A$2:$A$268,0),10),C644="G",INDEX(G!$A$2:$Q$78,MATCH($A644,G!$A$2:$A$78,0),16),C644="F",INDEX(F!$A$2:$K$494,MATCH($A644,F!$A$2:$A$494,0),10))</f>
        <v>152</v>
      </c>
      <c r="G644" t="str">
        <f>_xlfn.CONCAT(C644,Table16[[#This Row],[Pos Rank2]])</f>
        <v>C152</v>
      </c>
      <c r="H644" s="10">
        <f>MAX(_xlfn.IFNA(INDEX(Proj[],MATCH(Table16[[#This Row],[Player]],Proj[Player],0),29),-5000), _xlfn.IFNA(INDEX(Goalie[],MATCH(Table16[[#This Row],[Player]],Goalie[player],0),19),-5000))</f>
        <v>-47.281644543152844</v>
      </c>
      <c r="I644" t="str">
        <f>IF(_xlfn.IFNA(INDEX(Proj[],MATCH(Table16[[#This Row],[Player]],Proj[Player],0),31),INDEX(Goalie[],MATCH(Table16[[#This Row],[Player]],Goalie[player],0),20)) = 0, "",_xlfn.IFNA(INDEX(Proj[],MATCH(Table16[[#This Row],[Player]],Proj[Player],0),31),INDEX(Goalie[],MATCH(Table16[[#This Row],[Player]],Goalie[player],0),20)))</f>
        <v/>
      </c>
    </row>
    <row r="645" spans="1:9" x14ac:dyDescent="0.25">
      <c r="A645" t="s">
        <v>1065</v>
      </c>
      <c r="B645" s="2" t="s">
        <v>3</v>
      </c>
      <c r="C645" t="str">
        <f t="shared" si="10"/>
        <v>D</v>
      </c>
      <c r="D645" s="10">
        <f>MAX(_xlfn.IFNA(INDEX(Proj[],MATCH(Table16[[#This Row],[Player]],Proj[Player],0),27),-5000), _xlfn.IFNA(INDEX(Goalie[],MATCH(Table16[[#This Row],[Player]],Goalie[player],0),17),-5000))</f>
        <v>-705.80735656810975</v>
      </c>
      <c r="E645">
        <f>_xlfn.RANK.EQ(Table16[[#This Row],[VOR]],Table16[VOR])</f>
        <v>599</v>
      </c>
      <c r="F645" cm="1">
        <f t="array" ref="F645">_xlfn.IFS(C645 = "C",INDEX('C'!$A$2:$L$254,MATCH($A645,'C'!$A$2:$A$254,0),10),C645 = "LW",INDEX(LW!$A$2:$K$180,MATCH($A645,LW!$A$2:$A$180,0),10),C645 = "RW",INDEX('RW'!$A$2:$L$164,MATCH($A645,'RW'!$A$2:$A$164,0),10), C645 = "D",INDEX(D!$A$2:$L$268,MATCH($A645,D!$A$2:$A$268,0),10),C645="G",INDEX(G!$A$2:$Q$78,MATCH($A645,G!$A$2:$A$78,0),16),C645="F",INDEX(F!$A$2:$K$494,MATCH($A645,F!$A$2:$A$494,0),10))</f>
        <v>231</v>
      </c>
      <c r="G645" t="str">
        <f>_xlfn.CONCAT(C645,Table16[[#This Row],[Pos Rank2]])</f>
        <v>D231</v>
      </c>
      <c r="H645" s="10">
        <f>MAX(_xlfn.IFNA(INDEX(Proj[],MATCH(Table16[[#This Row],[Player]],Proj[Player],0),29),-5000), _xlfn.IFNA(INDEX(Goalie[],MATCH(Table16[[#This Row],[Player]],Goalie[player],0),19),-5000))</f>
        <v>-598.4425888486453</v>
      </c>
      <c r="I645" t="str">
        <f>IF(_xlfn.IFNA(INDEX(Proj[],MATCH(Table16[[#This Row],[Player]],Proj[Player],0),31),INDEX(Goalie[],MATCH(Table16[[#This Row],[Player]],Goalie[player],0),20)) = 0, "",_xlfn.IFNA(INDEX(Proj[],MATCH(Table16[[#This Row],[Player]],Proj[Player],0),31),INDEX(Goalie[],MATCH(Table16[[#This Row],[Player]],Goalie[player],0),20)))</f>
        <v/>
      </c>
    </row>
    <row r="646" spans="1:9" x14ac:dyDescent="0.25">
      <c r="A646" t="s">
        <v>648</v>
      </c>
      <c r="B646" s="2" t="s">
        <v>103</v>
      </c>
      <c r="C646" t="str">
        <f t="shared" si="10"/>
        <v>RW</v>
      </c>
      <c r="D646" s="10">
        <f>MAX(_xlfn.IFNA(INDEX(Proj[],MATCH(Table16[[#This Row],[Player]],Proj[Player],0),27),-5000), _xlfn.IFNA(INDEX(Goalie[],MATCH(Table16[[#This Row],[Player]],Goalie[player],0),17),-5000))</f>
        <v>-791.93426245888872</v>
      </c>
      <c r="E646">
        <f>_xlfn.RANK.EQ(Table16[[#This Row],[VOR]],Table16[VOR])</f>
        <v>656</v>
      </c>
      <c r="F646" cm="1">
        <f t="array" ref="F646">_xlfn.IFS(C646 = "C",INDEX('C'!$A$2:$L$254,MATCH($A646,'C'!$A$2:$A$254,0),10),C646 = "LW",INDEX(LW!$A$2:$K$180,MATCH($A646,LW!$A$2:$A$180,0),10),C646 = "RW",INDEX('RW'!$A$2:$L$164,MATCH($A646,'RW'!$A$2:$A$164,0),10), C646 = "D",INDEX(D!$A$2:$L$268,MATCH($A646,D!$A$2:$A$268,0),10),C646="G",INDEX(G!$A$2:$Q$78,MATCH($A646,G!$A$2:$A$78,0),16),C646="F",INDEX(F!$A$2:$K$494,MATCH($A646,F!$A$2:$A$494,0),10))</f>
        <v>131</v>
      </c>
      <c r="G646" t="str">
        <f>_xlfn.CONCAT(C646,Table16[[#This Row],[Pos Rank2]])</f>
        <v>RW131</v>
      </c>
      <c r="H646" s="10">
        <f>MAX(_xlfn.IFNA(INDEX(Proj[],MATCH(Table16[[#This Row],[Player]],Proj[Player],0),29),-5000), _xlfn.IFNA(INDEX(Goalie[],MATCH(Table16[[#This Row],[Player]],Goalie[player],0),19),-5000))</f>
        <v>-345.38953806863981</v>
      </c>
      <c r="I646" t="str">
        <f>IF(_xlfn.IFNA(INDEX(Proj[],MATCH(Table16[[#This Row],[Player]],Proj[Player],0),31),INDEX(Goalie[],MATCH(Table16[[#This Row],[Player]],Goalie[player],0),20)) = 0, "",_xlfn.IFNA(INDEX(Proj[],MATCH(Table16[[#This Row],[Player]],Proj[Player],0),31),INDEX(Goalie[],MATCH(Table16[[#This Row],[Player]],Goalie[player],0),20)))</f>
        <v/>
      </c>
    </row>
    <row r="647" spans="1:9" x14ac:dyDescent="0.25">
      <c r="A647" t="s">
        <v>981</v>
      </c>
      <c r="B647" s="2" t="s">
        <v>3</v>
      </c>
      <c r="C647" t="str">
        <f t="shared" si="10"/>
        <v>D</v>
      </c>
      <c r="D647" s="10">
        <f>MAX(_xlfn.IFNA(INDEX(Proj[],MATCH(Table16[[#This Row],[Player]],Proj[Player],0),27),-5000), _xlfn.IFNA(INDEX(Goalie[],MATCH(Table16[[#This Row],[Player]],Goalie[player],0),17),-5000))</f>
        <v>-712.51616509774362</v>
      </c>
      <c r="E647">
        <f>_xlfn.RANK.EQ(Table16[[#This Row],[VOR]],Table16[VOR])</f>
        <v>606</v>
      </c>
      <c r="F647" cm="1">
        <f t="array" ref="F647">_xlfn.IFS(C647 = "C",INDEX('C'!$A$2:$L$254,MATCH($A647,'C'!$A$2:$A$254,0),10),C647 = "LW",INDEX(LW!$A$2:$K$180,MATCH($A647,LW!$A$2:$A$180,0),10),C647 = "RW",INDEX('RW'!$A$2:$L$164,MATCH($A647,'RW'!$A$2:$A$164,0),10), C647 = "D",INDEX(D!$A$2:$L$268,MATCH($A647,D!$A$2:$A$268,0),10),C647="G",INDEX(G!$A$2:$Q$78,MATCH($A647,G!$A$2:$A$78,0),16),C647="F",INDEX(F!$A$2:$K$494,MATCH($A647,F!$A$2:$A$494,0),10))</f>
        <v>232</v>
      </c>
      <c r="G647" t="str">
        <f>_xlfn.CONCAT(C647,Table16[[#This Row],[Pos Rank2]])</f>
        <v>D232</v>
      </c>
      <c r="H647" s="10">
        <f>MAX(_xlfn.IFNA(INDEX(Proj[],MATCH(Table16[[#This Row],[Player]],Proj[Player],0),29),-5000), _xlfn.IFNA(INDEX(Goalie[],MATCH(Table16[[#This Row],[Player]],Goalie[player],0),19),-5000))</f>
        <v>-605.15139737827917</v>
      </c>
      <c r="I647" t="str">
        <f>IF(_xlfn.IFNA(INDEX(Proj[],MATCH(Table16[[#This Row],[Player]],Proj[Player],0),31),INDEX(Goalie[],MATCH(Table16[[#This Row],[Player]],Goalie[player],0),20)) = 0, "",_xlfn.IFNA(INDEX(Proj[],MATCH(Table16[[#This Row],[Player]],Proj[Player],0),31),INDEX(Goalie[],MATCH(Table16[[#This Row],[Player]],Goalie[player],0),20)))</f>
        <v/>
      </c>
    </row>
    <row r="648" spans="1:9" x14ac:dyDescent="0.25">
      <c r="A648" t="s">
        <v>751</v>
      </c>
      <c r="B648" s="2" t="s">
        <v>74</v>
      </c>
      <c r="C648" t="str">
        <f t="shared" si="10"/>
        <v>C</v>
      </c>
      <c r="D648" s="10">
        <f>MAX(_xlfn.IFNA(INDEX(Proj[],MATCH(Table16[[#This Row],[Player]],Proj[Player],0),27),-5000), _xlfn.IFNA(INDEX(Goalie[],MATCH(Table16[[#This Row],[Player]],Goalie[player],0),17),-5000))</f>
        <v>-837.53594528551298</v>
      </c>
      <c r="E648">
        <f>_xlfn.RANK.EQ(Table16[[#This Row],[VOR]],Table16[VOR])</f>
        <v>682</v>
      </c>
      <c r="F648" cm="1">
        <f t="array" ref="F648">_xlfn.IFS(C648 = "C",INDEX('C'!$A$2:$L$254,MATCH($A648,'C'!$A$2:$A$254,0),10),C648 = "LW",INDEX(LW!$A$2:$K$180,MATCH($A648,LW!$A$2:$A$180,0),10),C648 = "RW",INDEX('RW'!$A$2:$L$164,MATCH($A648,'RW'!$A$2:$A$164,0),10), C648 = "D",INDEX(D!$A$2:$L$268,MATCH($A648,D!$A$2:$A$268,0),10),C648="G",INDEX(G!$A$2:$Q$78,MATCH($A648,G!$A$2:$A$78,0),16),C648="F",INDEX(F!$A$2:$K$494,MATCH($A648,F!$A$2:$A$494,0),10))</f>
        <v>167</v>
      </c>
      <c r="G648" t="str">
        <f>_xlfn.CONCAT(C648,Table16[[#This Row],[Pos Rank2]])</f>
        <v>C167</v>
      </c>
      <c r="H648" s="10">
        <f>MAX(_xlfn.IFNA(INDEX(Proj[],MATCH(Table16[[#This Row],[Player]],Proj[Player],0),29),-5000), _xlfn.IFNA(INDEX(Goalie[],MATCH(Table16[[#This Row],[Player]],Goalie[player],0),19),-5000))</f>
        <v>-102.90209097521436</v>
      </c>
      <c r="I648" t="str">
        <f>IF(_xlfn.IFNA(INDEX(Proj[],MATCH(Table16[[#This Row],[Player]],Proj[Player],0),31),INDEX(Goalie[],MATCH(Table16[[#This Row],[Player]],Goalie[player],0),20)) = 0, "",_xlfn.IFNA(INDEX(Proj[],MATCH(Table16[[#This Row],[Player]],Proj[Player],0),31),INDEX(Goalie[],MATCH(Table16[[#This Row],[Player]],Goalie[player],0),20)))</f>
        <v/>
      </c>
    </row>
    <row r="649" spans="1:9" x14ac:dyDescent="0.25">
      <c r="A649" t="s">
        <v>726</v>
      </c>
      <c r="B649" s="2" t="s">
        <v>74</v>
      </c>
      <c r="C649" t="str">
        <f t="shared" si="10"/>
        <v>C</v>
      </c>
      <c r="D649" s="10">
        <f>MAX(_xlfn.IFNA(INDEX(Proj[],MATCH(Table16[[#This Row],[Player]],Proj[Player],0),27),-5000), _xlfn.IFNA(INDEX(Goalie[],MATCH(Table16[[#This Row],[Player]],Goalie[player],0),17),-5000))</f>
        <v>-907.69042065186602</v>
      </c>
      <c r="E649">
        <f>_xlfn.RANK.EQ(Table16[[#This Row],[VOR]],Table16[VOR])</f>
        <v>704</v>
      </c>
      <c r="F649" cm="1">
        <f t="array" ref="F649">_xlfn.IFS(C649 = "C",INDEX('C'!$A$2:$L$254,MATCH($A649,'C'!$A$2:$A$254,0),10),C649 = "LW",INDEX(LW!$A$2:$K$180,MATCH($A649,LW!$A$2:$A$180,0),10),C649 = "RW",INDEX('RW'!$A$2:$L$164,MATCH($A649,'RW'!$A$2:$A$164,0),10), C649 = "D",INDEX(D!$A$2:$L$268,MATCH($A649,D!$A$2:$A$268,0),10),C649="G",INDEX(G!$A$2:$Q$78,MATCH($A649,G!$A$2:$A$78,0),16),C649="F",INDEX(F!$A$2:$K$494,MATCH($A649,F!$A$2:$A$494,0),10))</f>
        <v>173</v>
      </c>
      <c r="G649" t="str">
        <f>_xlfn.CONCAT(C649,Table16[[#This Row],[Pos Rank2]])</f>
        <v>C173</v>
      </c>
      <c r="H649" s="10">
        <f>MAX(_xlfn.IFNA(INDEX(Proj[],MATCH(Table16[[#This Row],[Player]],Proj[Player],0),29),-5000), _xlfn.IFNA(INDEX(Goalie[],MATCH(Table16[[#This Row],[Player]],Goalie[player],0),19),-5000))</f>
        <v>-173.05656634156742</v>
      </c>
      <c r="I649" t="str">
        <f>IF(_xlfn.IFNA(INDEX(Proj[],MATCH(Table16[[#This Row],[Player]],Proj[Player],0),31),INDEX(Goalie[],MATCH(Table16[[#This Row],[Player]],Goalie[player],0),20)) = 0, "",_xlfn.IFNA(INDEX(Proj[],MATCH(Table16[[#This Row],[Player]],Proj[Player],0),31),INDEX(Goalie[],MATCH(Table16[[#This Row],[Player]],Goalie[player],0),20)))</f>
        <v/>
      </c>
    </row>
    <row r="650" spans="1:9" x14ac:dyDescent="0.25">
      <c r="A650" t="s">
        <v>938</v>
      </c>
      <c r="B650" s="2" t="s">
        <v>103</v>
      </c>
      <c r="C650" t="str">
        <f t="shared" si="10"/>
        <v>RW</v>
      </c>
      <c r="D650" s="10">
        <f>MAX(_xlfn.IFNA(INDEX(Proj[],MATCH(Table16[[#This Row],[Player]],Proj[Player],0),27),-5000), _xlfn.IFNA(INDEX(Goalie[],MATCH(Table16[[#This Row],[Player]],Goalie[player],0),17),-5000))</f>
        <v>-797.13117366213942</v>
      </c>
      <c r="E650">
        <f>_xlfn.RANK.EQ(Table16[[#This Row],[VOR]],Table16[VOR])</f>
        <v>659</v>
      </c>
      <c r="F650" cm="1">
        <f t="array" ref="F650">_xlfn.IFS(C650 = "C",INDEX('C'!$A$2:$L$254,MATCH($A650,'C'!$A$2:$A$254,0),10),C650 = "LW",INDEX(LW!$A$2:$K$180,MATCH($A650,LW!$A$2:$A$180,0),10),C650 = "RW",INDEX('RW'!$A$2:$L$164,MATCH($A650,'RW'!$A$2:$A$164,0),10), C650 = "D",INDEX(D!$A$2:$L$268,MATCH($A650,D!$A$2:$A$268,0),10),C650="G",INDEX(G!$A$2:$Q$78,MATCH($A650,G!$A$2:$A$78,0),16),C650="F",INDEX(F!$A$2:$K$494,MATCH($A650,F!$A$2:$A$494,0),10))</f>
        <v>133</v>
      </c>
      <c r="G650" t="str">
        <f>_xlfn.CONCAT(C650,Table16[[#This Row],[Pos Rank2]])</f>
        <v>RW133</v>
      </c>
      <c r="H650" s="10">
        <f>MAX(_xlfn.IFNA(INDEX(Proj[],MATCH(Table16[[#This Row],[Player]],Proj[Player],0),29),-5000), _xlfn.IFNA(INDEX(Goalie[],MATCH(Table16[[#This Row],[Player]],Goalie[player],0),19),-5000))</f>
        <v>-350.5864492718905</v>
      </c>
      <c r="I650" t="str">
        <f>IF(_xlfn.IFNA(INDEX(Proj[],MATCH(Table16[[#This Row],[Player]],Proj[Player],0),31),INDEX(Goalie[],MATCH(Table16[[#This Row],[Player]],Goalie[player],0),20)) = 0, "",_xlfn.IFNA(INDEX(Proj[],MATCH(Table16[[#This Row],[Player]],Proj[Player],0),31),INDEX(Goalie[],MATCH(Table16[[#This Row],[Player]],Goalie[player],0),20)))</f>
        <v/>
      </c>
    </row>
    <row r="651" spans="1:9" x14ac:dyDescent="0.25">
      <c r="A651" t="s">
        <v>1102</v>
      </c>
      <c r="B651" s="2" t="s">
        <v>157</v>
      </c>
      <c r="C651" t="str">
        <f t="shared" si="10"/>
        <v>G</v>
      </c>
      <c r="D651" s="10">
        <f>MAX(_xlfn.IFNA(INDEX(Proj[],MATCH(Table16[[#This Row],[Player]],Proj[Player],0),27),-5000), _xlfn.IFNA(INDEX(Goalie[],MATCH(Table16[[#This Row],[Player]],Goalie[player],0),17),-5000))</f>
        <v>-752.88256695487007</v>
      </c>
      <c r="E651">
        <f>_xlfn.RANK.EQ(Table16[[#This Row],[VOR]],Table16[VOR])</f>
        <v>632</v>
      </c>
      <c r="F651" cm="1">
        <f t="array" ref="F651">_xlfn.IFS(C651 = "C",INDEX('C'!$A$2:$L$254,MATCH($A651,'C'!$A$2:$A$254,0),10),C651 = "LW",INDEX(LW!$A$2:$K$180,MATCH($A651,LW!$A$2:$A$180,0),10),C651 = "RW",INDEX('RW'!$A$2:$L$164,MATCH($A651,'RW'!$A$2:$A$164,0),10), C651 = "D",INDEX(D!$A$2:$L$268,MATCH($A651,D!$A$2:$A$268,0),10),C651="G",INDEX(G!$A$2:$Q$78,MATCH($A651,G!$A$2:$A$78,0),16),C651="F",INDEX(F!$A$2:$K$494,MATCH($A651,F!$A$2:$A$494,0),10))</f>
        <v>74</v>
      </c>
      <c r="G651" t="str">
        <f>_xlfn.CONCAT(C651,Table16[[#This Row],[Pos Rank2]])</f>
        <v>G74</v>
      </c>
      <c r="H651" s="10">
        <f>MAX(_xlfn.IFNA(INDEX(Proj[],MATCH(Table16[[#This Row],[Player]],Proj[Player],0),29),-5000), _xlfn.IFNA(INDEX(Goalie[],MATCH(Table16[[#This Row],[Player]],Goalie[player],0),19),-5000))</f>
        <v>166.40459999999996</v>
      </c>
      <c r="I651" t="str">
        <f>IF(_xlfn.IFNA(INDEX(Proj[],MATCH(Table16[[#This Row],[Player]],Proj[Player],0),31),INDEX(Goalie[],MATCH(Table16[[#This Row],[Player]],Goalie[player],0),20)) = 0, "",_xlfn.IFNA(INDEX(Proj[],MATCH(Table16[[#This Row],[Player]],Proj[Player],0),31),INDEX(Goalie[],MATCH(Table16[[#This Row],[Player]],Goalie[player],0),20)))</f>
        <v/>
      </c>
    </row>
    <row r="652" spans="1:9" x14ac:dyDescent="0.25">
      <c r="A652" t="s">
        <v>758</v>
      </c>
      <c r="B652" s="2" t="s">
        <v>3</v>
      </c>
      <c r="C652" t="str">
        <f t="shared" si="10"/>
        <v>D</v>
      </c>
      <c r="D652" s="10">
        <f>MAX(_xlfn.IFNA(INDEX(Proj[],MATCH(Table16[[#This Row],[Player]],Proj[Player],0),27),-5000), _xlfn.IFNA(INDEX(Goalie[],MATCH(Table16[[#This Row],[Player]],Goalie[player],0),17),-5000))</f>
        <v>-721.56080891434726</v>
      </c>
      <c r="E652">
        <f>_xlfn.RANK.EQ(Table16[[#This Row],[VOR]],Table16[VOR])</f>
        <v>610</v>
      </c>
      <c r="F652" cm="1">
        <f t="array" ref="F652">_xlfn.IFS(C652 = "C",INDEX('C'!$A$2:$L$254,MATCH($A652,'C'!$A$2:$A$254,0),10),C652 = "LW",INDEX(LW!$A$2:$K$180,MATCH($A652,LW!$A$2:$A$180,0),10),C652 = "RW",INDEX('RW'!$A$2:$L$164,MATCH($A652,'RW'!$A$2:$A$164,0),10), C652 = "D",INDEX(D!$A$2:$L$268,MATCH($A652,D!$A$2:$A$268,0),10),C652="G",INDEX(G!$A$2:$Q$78,MATCH($A652,G!$A$2:$A$78,0),16),C652="F",INDEX(F!$A$2:$K$494,MATCH($A652,F!$A$2:$A$494,0),10))</f>
        <v>233</v>
      </c>
      <c r="G652" t="str">
        <f>_xlfn.CONCAT(C652,Table16[[#This Row],[Pos Rank2]])</f>
        <v>D233</v>
      </c>
      <c r="H652" s="10">
        <f>MAX(_xlfn.IFNA(INDEX(Proj[],MATCH(Table16[[#This Row],[Player]],Proj[Player],0),29),-5000), _xlfn.IFNA(INDEX(Goalie[],MATCH(Table16[[#This Row],[Player]],Goalie[player],0),19),-5000))</f>
        <v>-614.19604119488281</v>
      </c>
      <c r="I652" t="str">
        <f>IF(_xlfn.IFNA(INDEX(Proj[],MATCH(Table16[[#This Row],[Player]],Proj[Player],0),31),INDEX(Goalie[],MATCH(Table16[[#This Row],[Player]],Goalie[player],0),20)) = 0, "",_xlfn.IFNA(INDEX(Proj[],MATCH(Table16[[#This Row],[Player]],Proj[Player],0),31),INDEX(Goalie[],MATCH(Table16[[#This Row],[Player]],Goalie[player],0),20)))</f>
        <v/>
      </c>
    </row>
    <row r="653" spans="1:9" x14ac:dyDescent="0.25">
      <c r="A653" t="s">
        <v>756</v>
      </c>
      <c r="B653" s="2" t="s">
        <v>74</v>
      </c>
      <c r="C653" t="str">
        <f t="shared" si="10"/>
        <v>C</v>
      </c>
      <c r="D653" s="10">
        <f>MAX(_xlfn.IFNA(INDEX(Proj[],MATCH(Table16[[#This Row],[Player]],Proj[Player],0),27),-5000), _xlfn.IFNA(INDEX(Goalie[],MATCH(Table16[[#This Row],[Player]],Goalie[player],0),17),-5000))</f>
        <v>-783.46884421606831</v>
      </c>
      <c r="E653">
        <f>_xlfn.RANK.EQ(Table16[[#This Row],[VOR]],Table16[VOR])</f>
        <v>651</v>
      </c>
      <c r="F653" cm="1">
        <f t="array" ref="F653">_xlfn.IFS(C653 = "C",INDEX('C'!$A$2:$L$254,MATCH($A653,'C'!$A$2:$A$254,0),10),C653 = "LW",INDEX(LW!$A$2:$K$180,MATCH($A653,LW!$A$2:$A$180,0),10),C653 = "RW",INDEX('RW'!$A$2:$L$164,MATCH($A653,'RW'!$A$2:$A$164,0),10), C653 = "D",INDEX(D!$A$2:$L$268,MATCH($A653,D!$A$2:$A$268,0),10),C653="G",INDEX(G!$A$2:$Q$78,MATCH($A653,G!$A$2:$A$78,0),16),C653="F",INDEX(F!$A$2:$K$494,MATCH($A653,F!$A$2:$A$494,0),10))</f>
        <v>153</v>
      </c>
      <c r="G653" t="str">
        <f>_xlfn.CONCAT(C653,Table16[[#This Row],[Pos Rank2]])</f>
        <v>C153</v>
      </c>
      <c r="H653" s="10">
        <f>MAX(_xlfn.IFNA(INDEX(Proj[],MATCH(Table16[[#This Row],[Player]],Proj[Player],0),29),-5000), _xlfn.IFNA(INDEX(Goalie[],MATCH(Table16[[#This Row],[Player]],Goalie[player],0),19),-5000))</f>
        <v>-48.834989905769667</v>
      </c>
      <c r="I653" t="str">
        <f>IF(_xlfn.IFNA(INDEX(Proj[],MATCH(Table16[[#This Row],[Player]],Proj[Player],0),31),INDEX(Goalie[],MATCH(Table16[[#This Row],[Player]],Goalie[player],0),20)) = 0, "",_xlfn.IFNA(INDEX(Proj[],MATCH(Table16[[#This Row],[Player]],Proj[Player],0),31),INDEX(Goalie[],MATCH(Table16[[#This Row],[Player]],Goalie[player],0),20)))</f>
        <v/>
      </c>
    </row>
    <row r="654" spans="1:9" x14ac:dyDescent="0.25">
      <c r="A654" t="s">
        <v>761</v>
      </c>
      <c r="B654" s="2" t="s">
        <v>102</v>
      </c>
      <c r="C654" t="str">
        <f t="shared" si="10"/>
        <v>LW</v>
      </c>
      <c r="D654" s="10">
        <f>MAX(_xlfn.IFNA(INDEX(Proj[],MATCH(Table16[[#This Row],[Player]],Proj[Player],0),27),-5000), _xlfn.IFNA(INDEX(Goalie[],MATCH(Table16[[#This Row],[Player]],Goalie[player],0),17),-5000))</f>
        <v>-800.59230387407899</v>
      </c>
      <c r="E654">
        <f>_xlfn.RANK.EQ(Table16[[#This Row],[VOR]],Table16[VOR])</f>
        <v>661</v>
      </c>
      <c r="F654" cm="1">
        <f t="array" ref="F654">_xlfn.IFS(C654 = "C",INDEX('C'!$A$2:$L$254,MATCH($A654,'C'!$A$2:$A$254,0),10),C654 = "LW",INDEX(LW!$A$2:$K$180,MATCH($A654,LW!$A$2:$A$180,0),10),C654 = "RW",INDEX('RW'!$A$2:$L$164,MATCH($A654,'RW'!$A$2:$A$164,0),10), C654 = "D",INDEX(D!$A$2:$L$268,MATCH($A654,D!$A$2:$A$268,0),10),C654="G",INDEX(G!$A$2:$Q$78,MATCH($A654,G!$A$2:$A$78,0),16),C654="F",INDEX(F!$A$2:$K$494,MATCH($A654,F!$A$2:$A$494,0),10))</f>
        <v>145</v>
      </c>
      <c r="G654" t="str">
        <f>_xlfn.CONCAT(C654,Table16[[#This Row],[Pos Rank2]])</f>
        <v>LW145</v>
      </c>
      <c r="H654" s="10">
        <f>MAX(_xlfn.IFNA(INDEX(Proj[],MATCH(Table16[[#This Row],[Player]],Proj[Player],0),29),-5000), _xlfn.IFNA(INDEX(Goalie[],MATCH(Table16[[#This Row],[Player]],Goalie[player],0),19),-5000))</f>
        <v>-329.04757948383013</v>
      </c>
      <c r="I654" t="str">
        <f>IF(_xlfn.IFNA(INDEX(Proj[],MATCH(Table16[[#This Row],[Player]],Proj[Player],0),31),INDEX(Goalie[],MATCH(Table16[[#This Row],[Player]],Goalie[player],0),20)) = 0, "",_xlfn.IFNA(INDEX(Proj[],MATCH(Table16[[#This Row],[Player]],Proj[Player],0),31),INDEX(Goalie[],MATCH(Table16[[#This Row],[Player]],Goalie[player],0),20)))</f>
        <v/>
      </c>
    </row>
    <row r="655" spans="1:9" x14ac:dyDescent="0.25">
      <c r="A655" t="s">
        <v>898</v>
      </c>
      <c r="B655" s="2" t="s">
        <v>74</v>
      </c>
      <c r="C655" t="str">
        <f t="shared" si="10"/>
        <v>C</v>
      </c>
      <c r="D655" s="10">
        <f>MAX(_xlfn.IFNA(INDEX(Proj[],MATCH(Table16[[#This Row],[Player]],Proj[Player],0),27),-5000), _xlfn.IFNA(INDEX(Goalie[],MATCH(Table16[[#This Row],[Player]],Goalie[player],0),17),-5000))</f>
        <v>-798.93723885891461</v>
      </c>
      <c r="E655">
        <f>_xlfn.RANK.EQ(Table16[[#This Row],[VOR]],Table16[VOR])</f>
        <v>660</v>
      </c>
      <c r="F655" cm="1">
        <f t="array" ref="F655">_xlfn.IFS(C655 = "C",INDEX('C'!$A$2:$L$254,MATCH($A655,'C'!$A$2:$A$254,0),10),C655 = "LW",INDEX(LW!$A$2:$K$180,MATCH($A655,LW!$A$2:$A$180,0),10),C655 = "RW",INDEX('RW'!$A$2:$L$164,MATCH($A655,'RW'!$A$2:$A$164,0),10), C655 = "D",INDEX(D!$A$2:$L$268,MATCH($A655,D!$A$2:$A$268,0),10),C655="G",INDEX(G!$A$2:$Q$78,MATCH($A655,G!$A$2:$A$78,0),16),C655="F",INDEX(F!$A$2:$K$494,MATCH($A655,F!$A$2:$A$494,0),10))</f>
        <v>159</v>
      </c>
      <c r="G655" t="str">
        <f>_xlfn.CONCAT(C655,Table16[[#This Row],[Pos Rank2]])</f>
        <v>C159</v>
      </c>
      <c r="H655" s="10">
        <f>MAX(_xlfn.IFNA(INDEX(Proj[],MATCH(Table16[[#This Row],[Player]],Proj[Player],0),29),-5000), _xlfn.IFNA(INDEX(Goalie[],MATCH(Table16[[#This Row],[Player]],Goalie[player],0),19),-5000))</f>
        <v>-64.303384548616052</v>
      </c>
      <c r="I655" t="str">
        <f>IF(_xlfn.IFNA(INDEX(Proj[],MATCH(Table16[[#This Row],[Player]],Proj[Player],0),31),INDEX(Goalie[],MATCH(Table16[[#This Row],[Player]],Goalie[player],0),20)) = 0, "",_xlfn.IFNA(INDEX(Proj[],MATCH(Table16[[#This Row],[Player]],Proj[Player],0),31),INDEX(Goalie[],MATCH(Table16[[#This Row],[Player]],Goalie[player],0),20)))</f>
        <v/>
      </c>
    </row>
    <row r="656" spans="1:9" x14ac:dyDescent="0.25">
      <c r="A656" t="s">
        <v>511</v>
      </c>
      <c r="B656" s="2" t="s">
        <v>104</v>
      </c>
      <c r="C656" t="str">
        <f t="shared" si="10"/>
        <v>RW</v>
      </c>
      <c r="D656" s="10">
        <f>MAX(_xlfn.IFNA(INDEX(Proj[],MATCH(Table16[[#This Row],[Player]],Proj[Player],0),27),-5000), _xlfn.IFNA(INDEX(Goalie[],MATCH(Table16[[#This Row],[Player]],Goalie[player],0),17),-5000))</f>
        <v>-796.56050817417031</v>
      </c>
      <c r="E656">
        <f>_xlfn.RANK.EQ(Table16[[#This Row],[VOR]],Table16[VOR])</f>
        <v>658</v>
      </c>
      <c r="F656" cm="1">
        <f t="array" ref="F656">_xlfn.IFS(C656 = "C",INDEX('C'!$A$2:$L$254,MATCH($A656,'C'!$A$2:$A$254,0),10),C656 = "LW",INDEX(LW!$A$2:$K$180,MATCH($A656,LW!$A$2:$A$180,0),10),C656 = "RW",INDEX('RW'!$A$2:$L$164,MATCH($A656,'RW'!$A$2:$A$164,0),10), C656 = "D",INDEX(D!$A$2:$L$268,MATCH($A656,D!$A$2:$A$268,0),10),C656="G",INDEX(G!$A$2:$Q$78,MATCH($A656,G!$A$2:$A$78,0),16),C656="F",INDEX(F!$A$2:$K$494,MATCH($A656,F!$A$2:$A$494,0),10))</f>
        <v>132</v>
      </c>
      <c r="G656" t="str">
        <f>_xlfn.CONCAT(C656,Table16[[#This Row],[Pos Rank2]])</f>
        <v>RW132</v>
      </c>
      <c r="H656" s="10">
        <f>MAX(_xlfn.IFNA(INDEX(Proj[],MATCH(Table16[[#This Row],[Player]],Proj[Player],0),29),-5000), _xlfn.IFNA(INDEX(Goalie[],MATCH(Table16[[#This Row],[Player]],Goalie[player],0),19),-5000))</f>
        <v>-350.01578378392139</v>
      </c>
      <c r="I656" t="str">
        <f>IF(_xlfn.IFNA(INDEX(Proj[],MATCH(Table16[[#This Row],[Player]],Proj[Player],0),31),INDEX(Goalie[],MATCH(Table16[[#This Row],[Player]],Goalie[player],0),20)) = 0, "",_xlfn.IFNA(INDEX(Proj[],MATCH(Table16[[#This Row],[Player]],Proj[Player],0),31),INDEX(Goalie[],MATCH(Table16[[#This Row],[Player]],Goalie[player],0),20)))</f>
        <v/>
      </c>
    </row>
    <row r="657" spans="1:9" x14ac:dyDescent="0.25">
      <c r="A657" t="s">
        <v>653</v>
      </c>
      <c r="B657" s="2" t="s">
        <v>103</v>
      </c>
      <c r="C657" t="str">
        <f t="shared" si="10"/>
        <v>RW</v>
      </c>
      <c r="D657" s="10">
        <f>MAX(_xlfn.IFNA(INDEX(Proj[],MATCH(Table16[[#This Row],[Player]],Proj[Player],0),27),-5000), _xlfn.IFNA(INDEX(Goalie[],MATCH(Table16[[#This Row],[Player]],Goalie[player],0),17),-5000))</f>
        <v>-804.67700500668525</v>
      </c>
      <c r="E657">
        <f>_xlfn.RANK.EQ(Table16[[#This Row],[VOR]],Table16[VOR])</f>
        <v>665</v>
      </c>
      <c r="F657" cm="1">
        <f t="array" ref="F657">_xlfn.IFS(C657 = "C",INDEX('C'!$A$2:$L$254,MATCH($A657,'C'!$A$2:$A$254,0),10),C657 = "LW",INDEX(LW!$A$2:$K$180,MATCH($A657,LW!$A$2:$A$180,0),10),C657 = "RW",INDEX('RW'!$A$2:$L$164,MATCH($A657,'RW'!$A$2:$A$164,0),10), C657 = "D",INDEX(D!$A$2:$L$268,MATCH($A657,D!$A$2:$A$268,0),10),C657="G",INDEX(G!$A$2:$Q$78,MATCH($A657,G!$A$2:$A$78,0),16),C657="F",INDEX(F!$A$2:$K$494,MATCH($A657,F!$A$2:$A$494,0),10))</f>
        <v>135</v>
      </c>
      <c r="G657" t="str">
        <f>_xlfn.CONCAT(C657,Table16[[#This Row],[Pos Rank2]])</f>
        <v>RW135</v>
      </c>
      <c r="H657" s="10">
        <f>MAX(_xlfn.IFNA(INDEX(Proj[],MATCH(Table16[[#This Row],[Player]],Proj[Player],0),29),-5000), _xlfn.IFNA(INDEX(Goalie[],MATCH(Table16[[#This Row],[Player]],Goalie[player],0),19),-5000))</f>
        <v>-358.13228061643645</v>
      </c>
      <c r="I657" t="str">
        <f>IF(_xlfn.IFNA(INDEX(Proj[],MATCH(Table16[[#This Row],[Player]],Proj[Player],0),31),INDEX(Goalie[],MATCH(Table16[[#This Row],[Player]],Goalie[player],0),20)) = 0, "",_xlfn.IFNA(INDEX(Proj[],MATCH(Table16[[#This Row],[Player]],Proj[Player],0),31),INDEX(Goalie[],MATCH(Table16[[#This Row],[Player]],Goalie[player],0),20)))</f>
        <v/>
      </c>
    </row>
    <row r="658" spans="1:9" x14ac:dyDescent="0.25">
      <c r="A658" t="s">
        <v>623</v>
      </c>
      <c r="B658" s="2" t="s">
        <v>103</v>
      </c>
      <c r="C658" t="str">
        <f t="shared" si="10"/>
        <v>RW</v>
      </c>
      <c r="D658" s="10">
        <f>MAX(_xlfn.IFNA(INDEX(Proj[],MATCH(Table16[[#This Row],[Player]],Proj[Player],0),27),-5000), _xlfn.IFNA(INDEX(Goalie[],MATCH(Table16[[#This Row],[Player]],Goalie[player],0),17),-5000))</f>
        <v>-801.83474692688787</v>
      </c>
      <c r="E658">
        <f>_xlfn.RANK.EQ(Table16[[#This Row],[VOR]],Table16[VOR])</f>
        <v>662</v>
      </c>
      <c r="F658" cm="1">
        <f t="array" ref="F658">_xlfn.IFS(C658 = "C",INDEX('C'!$A$2:$L$254,MATCH($A658,'C'!$A$2:$A$254,0),10),C658 = "LW",INDEX(LW!$A$2:$K$180,MATCH($A658,LW!$A$2:$A$180,0),10),C658 = "RW",INDEX('RW'!$A$2:$L$164,MATCH($A658,'RW'!$A$2:$A$164,0),10), C658 = "D",INDEX(D!$A$2:$L$268,MATCH($A658,D!$A$2:$A$268,0),10),C658="G",INDEX(G!$A$2:$Q$78,MATCH($A658,G!$A$2:$A$78,0),16),C658="F",INDEX(F!$A$2:$K$494,MATCH($A658,F!$A$2:$A$494,0),10))</f>
        <v>134</v>
      </c>
      <c r="G658" t="str">
        <f>_xlfn.CONCAT(C658,Table16[[#This Row],[Pos Rank2]])</f>
        <v>RW134</v>
      </c>
      <c r="H658" s="10">
        <f>MAX(_xlfn.IFNA(INDEX(Proj[],MATCH(Table16[[#This Row],[Player]],Proj[Player],0),29),-5000), _xlfn.IFNA(INDEX(Goalie[],MATCH(Table16[[#This Row],[Player]],Goalie[player],0),19),-5000))</f>
        <v>-355.29002253663896</v>
      </c>
      <c r="I658" t="str">
        <f>IF(_xlfn.IFNA(INDEX(Proj[],MATCH(Table16[[#This Row],[Player]],Proj[Player],0),31),INDEX(Goalie[],MATCH(Table16[[#This Row],[Player]],Goalie[player],0),20)) = 0, "",_xlfn.IFNA(INDEX(Proj[],MATCH(Table16[[#This Row],[Player]],Proj[Player],0),31),INDEX(Goalie[],MATCH(Table16[[#This Row],[Player]],Goalie[player],0),20)))</f>
        <v/>
      </c>
    </row>
    <row r="659" spans="1:9" x14ac:dyDescent="0.25">
      <c r="A659" t="s">
        <v>473</v>
      </c>
      <c r="B659" s="2" t="s">
        <v>74</v>
      </c>
      <c r="C659" t="str">
        <f t="shared" si="10"/>
        <v>C</v>
      </c>
      <c r="D659" s="10">
        <f>MAX(_xlfn.IFNA(INDEX(Proj[],MATCH(Table16[[#This Row],[Player]],Proj[Player],0),27),-5000), _xlfn.IFNA(INDEX(Goalie[],MATCH(Table16[[#This Row],[Player]],Goalie[player],0),17),-5000))</f>
        <v>-732.10836530839799</v>
      </c>
      <c r="E659">
        <f>_xlfn.RANK.EQ(Table16[[#This Row],[VOR]],Table16[VOR])</f>
        <v>621</v>
      </c>
      <c r="F659" cm="1">
        <f t="array" ref="F659">_xlfn.IFS(C659 = "C",INDEX('C'!$A$2:$L$254,MATCH($A659,'C'!$A$2:$A$254,0),10),C659 = "LW",INDEX(LW!$A$2:$K$180,MATCH($A659,LW!$A$2:$A$180,0),10),C659 = "RW",INDEX('RW'!$A$2:$L$164,MATCH($A659,'RW'!$A$2:$A$164,0),10), C659 = "D",INDEX(D!$A$2:$L$268,MATCH($A659,D!$A$2:$A$268,0),10),C659="G",INDEX(G!$A$2:$Q$78,MATCH($A659,G!$A$2:$A$78,0),16),C659="F",INDEX(F!$A$2:$K$494,MATCH($A659,F!$A$2:$A$494,0),10))</f>
        <v>145</v>
      </c>
      <c r="G659" t="str">
        <f>_xlfn.CONCAT(C659,Table16[[#This Row],[Pos Rank2]])</f>
        <v>C145</v>
      </c>
      <c r="H659" s="10">
        <f>MAX(_xlfn.IFNA(INDEX(Proj[],MATCH(Table16[[#This Row],[Player]],Proj[Player],0),29),-5000), _xlfn.IFNA(INDEX(Goalie[],MATCH(Table16[[#This Row],[Player]],Goalie[player],0),19),-5000))</f>
        <v>2.5254890019006311</v>
      </c>
      <c r="I659" t="str">
        <f>IF(_xlfn.IFNA(INDEX(Proj[],MATCH(Table16[[#This Row],[Player]],Proj[Player],0),31),INDEX(Goalie[],MATCH(Table16[[#This Row],[Player]],Goalie[player],0),20)) = 0, "",_xlfn.IFNA(INDEX(Proj[],MATCH(Table16[[#This Row],[Player]],Proj[Player],0),31),INDEX(Goalie[],MATCH(Table16[[#This Row],[Player]],Goalie[player],0),20)))</f>
        <v/>
      </c>
    </row>
    <row r="660" spans="1:9" x14ac:dyDescent="0.25">
      <c r="A660" t="s">
        <v>965</v>
      </c>
      <c r="B660" s="2" t="s">
        <v>3</v>
      </c>
      <c r="C660" t="str">
        <f t="shared" si="10"/>
        <v>D</v>
      </c>
      <c r="D660" s="10">
        <f>MAX(_xlfn.IFNA(INDEX(Proj[],MATCH(Table16[[#This Row],[Player]],Proj[Player],0),27),-5000), _xlfn.IFNA(INDEX(Goalie[],MATCH(Table16[[#This Row],[Player]],Goalie[player],0),17),-5000))</f>
        <v>-727.84793782031829</v>
      </c>
      <c r="E660">
        <f>_xlfn.RANK.EQ(Table16[[#This Row],[VOR]],Table16[VOR])</f>
        <v>615</v>
      </c>
      <c r="F660" cm="1">
        <f t="array" ref="F660">_xlfn.IFS(C660 = "C",INDEX('C'!$A$2:$L$254,MATCH($A660,'C'!$A$2:$A$254,0),10),C660 = "LW",INDEX(LW!$A$2:$K$180,MATCH($A660,LW!$A$2:$A$180,0),10),C660 = "RW",INDEX('RW'!$A$2:$L$164,MATCH($A660,'RW'!$A$2:$A$164,0),10), C660 = "D",INDEX(D!$A$2:$L$268,MATCH($A660,D!$A$2:$A$268,0),10),C660="G",INDEX(G!$A$2:$Q$78,MATCH($A660,G!$A$2:$A$78,0),16),C660="F",INDEX(F!$A$2:$K$494,MATCH($A660,F!$A$2:$A$494,0),10))</f>
        <v>234</v>
      </c>
      <c r="G660" t="str">
        <f>_xlfn.CONCAT(C660,Table16[[#This Row],[Pos Rank2]])</f>
        <v>D234</v>
      </c>
      <c r="H660" s="10">
        <f>MAX(_xlfn.IFNA(INDEX(Proj[],MATCH(Table16[[#This Row],[Player]],Proj[Player],0),29),-5000), _xlfn.IFNA(INDEX(Goalie[],MATCH(Table16[[#This Row],[Player]],Goalie[player],0),19),-5000))</f>
        <v>-620.48317010085384</v>
      </c>
      <c r="I660" t="str">
        <f>IF(_xlfn.IFNA(INDEX(Proj[],MATCH(Table16[[#This Row],[Player]],Proj[Player],0),31),INDEX(Goalie[],MATCH(Table16[[#This Row],[Player]],Goalie[player],0),20)) = 0, "",_xlfn.IFNA(INDEX(Proj[],MATCH(Table16[[#This Row],[Player]],Proj[Player],0),31),INDEX(Goalie[],MATCH(Table16[[#This Row],[Player]],Goalie[player],0),20)))</f>
        <v/>
      </c>
    </row>
    <row r="661" spans="1:9" x14ac:dyDescent="0.25">
      <c r="A661" t="s">
        <v>804</v>
      </c>
      <c r="B661" s="2" t="s">
        <v>103</v>
      </c>
      <c r="C661" t="str">
        <f t="shared" si="10"/>
        <v>RW</v>
      </c>
      <c r="D661" s="10">
        <f>MAX(_xlfn.IFNA(INDEX(Proj[],MATCH(Table16[[#This Row],[Player]],Proj[Player],0),27),-5000), _xlfn.IFNA(INDEX(Goalie[],MATCH(Table16[[#This Row],[Player]],Goalie[player],0),17),-5000))</f>
        <v>-762.80685625441618</v>
      </c>
      <c r="E661">
        <f>_xlfn.RANK.EQ(Table16[[#This Row],[VOR]],Table16[VOR])</f>
        <v>638</v>
      </c>
      <c r="F661" cm="1">
        <f t="array" ref="F661">_xlfn.IFS(C661 = "C",INDEX('C'!$A$2:$L$254,MATCH($A661,'C'!$A$2:$A$254,0),10),C661 = "LW",INDEX(LW!$A$2:$K$180,MATCH($A661,LW!$A$2:$A$180,0),10),C661 = "RW",INDEX('RW'!$A$2:$L$164,MATCH($A661,'RW'!$A$2:$A$164,0),10), C661 = "D",INDEX(D!$A$2:$L$268,MATCH($A661,D!$A$2:$A$268,0),10),C661="G",INDEX(G!$A$2:$Q$78,MATCH($A661,G!$A$2:$A$78,0),16),C661="F",INDEX(F!$A$2:$K$494,MATCH($A661,F!$A$2:$A$494,0),10))</f>
        <v>129</v>
      </c>
      <c r="G661" t="str">
        <f>_xlfn.CONCAT(C661,Table16[[#This Row],[Pos Rank2]])</f>
        <v>RW129</v>
      </c>
      <c r="H661" s="10">
        <f>MAX(_xlfn.IFNA(INDEX(Proj[],MATCH(Table16[[#This Row],[Player]],Proj[Player],0),29),-5000), _xlfn.IFNA(INDEX(Goalie[],MATCH(Table16[[#This Row],[Player]],Goalie[player],0),19),-5000))</f>
        <v>-316.26213186416732</v>
      </c>
      <c r="I661" t="str">
        <f>IF(_xlfn.IFNA(INDEX(Proj[],MATCH(Table16[[#This Row],[Player]],Proj[Player],0),31),INDEX(Goalie[],MATCH(Table16[[#This Row],[Player]],Goalie[player],0),20)) = 0, "",_xlfn.IFNA(INDEX(Proj[],MATCH(Table16[[#This Row],[Player]],Proj[Player],0),31),INDEX(Goalie[],MATCH(Table16[[#This Row],[Player]],Goalie[player],0),20)))</f>
        <v/>
      </c>
    </row>
    <row r="662" spans="1:9" x14ac:dyDescent="0.25">
      <c r="A662" t="s">
        <v>701</v>
      </c>
      <c r="B662" s="2" t="s">
        <v>74</v>
      </c>
      <c r="C662" t="str">
        <f t="shared" si="10"/>
        <v>C</v>
      </c>
      <c r="D662" s="10">
        <f>MAX(_xlfn.IFNA(INDEX(Proj[],MATCH(Table16[[#This Row],[Player]],Proj[Player],0),27),-5000), _xlfn.IFNA(INDEX(Goalie[],MATCH(Table16[[#This Row],[Player]],Goalie[player],0),17),-5000))</f>
        <v>-884.08212461495646</v>
      </c>
      <c r="E662">
        <f>_xlfn.RANK.EQ(Table16[[#This Row],[VOR]],Table16[VOR])</f>
        <v>692</v>
      </c>
      <c r="F662" cm="1">
        <f t="array" ref="F662">_xlfn.IFS(C662 = "C",INDEX('C'!$A$2:$L$254,MATCH($A662,'C'!$A$2:$A$254,0),10),C662 = "LW",INDEX(LW!$A$2:$K$180,MATCH($A662,LW!$A$2:$A$180,0),10),C662 = "RW",INDEX('RW'!$A$2:$L$164,MATCH($A662,'RW'!$A$2:$A$164,0),10), C662 = "D",INDEX(D!$A$2:$L$268,MATCH($A662,D!$A$2:$A$268,0),10),C662="G",INDEX(G!$A$2:$Q$78,MATCH($A662,G!$A$2:$A$78,0),16),C662="F",INDEX(F!$A$2:$K$494,MATCH($A662,F!$A$2:$A$494,0),10))</f>
        <v>170</v>
      </c>
      <c r="G662" t="str">
        <f>_xlfn.CONCAT(C662,Table16[[#This Row],[Pos Rank2]])</f>
        <v>C170</v>
      </c>
      <c r="H662" s="10">
        <f>MAX(_xlfn.IFNA(INDEX(Proj[],MATCH(Table16[[#This Row],[Player]],Proj[Player],0),29),-5000), _xlfn.IFNA(INDEX(Goalie[],MATCH(Table16[[#This Row],[Player]],Goalie[player],0),19),-5000))</f>
        <v>-149.44827030465788</v>
      </c>
      <c r="I662" t="str">
        <f>IF(_xlfn.IFNA(INDEX(Proj[],MATCH(Table16[[#This Row],[Player]],Proj[Player],0),31),INDEX(Goalie[],MATCH(Table16[[#This Row],[Player]],Goalie[player],0),20)) = 0, "",_xlfn.IFNA(INDEX(Proj[],MATCH(Table16[[#This Row],[Player]],Proj[Player],0),31),INDEX(Goalie[],MATCH(Table16[[#This Row],[Player]],Goalie[player],0),20)))</f>
        <v/>
      </c>
    </row>
    <row r="663" spans="1:9" x14ac:dyDescent="0.25">
      <c r="A663" t="s">
        <v>719</v>
      </c>
      <c r="B663" s="2" t="s">
        <v>3</v>
      </c>
      <c r="C663" t="str">
        <f t="shared" si="10"/>
        <v>D</v>
      </c>
      <c r="D663" s="10">
        <f>MAX(_xlfn.IFNA(INDEX(Proj[],MATCH(Table16[[#This Row],[Player]],Proj[Player],0),27),-5000), _xlfn.IFNA(INDEX(Goalie[],MATCH(Table16[[#This Row],[Player]],Goalie[player],0),17),-5000))</f>
        <v>-732.09293287610967</v>
      </c>
      <c r="E663">
        <f>_xlfn.RANK.EQ(Table16[[#This Row],[VOR]],Table16[VOR])</f>
        <v>620</v>
      </c>
      <c r="F663" cm="1">
        <f t="array" ref="F663">_xlfn.IFS(C663 = "C",INDEX('C'!$A$2:$L$254,MATCH($A663,'C'!$A$2:$A$254,0),10),C663 = "LW",INDEX(LW!$A$2:$K$180,MATCH($A663,LW!$A$2:$A$180,0),10),C663 = "RW",INDEX('RW'!$A$2:$L$164,MATCH($A663,'RW'!$A$2:$A$164,0),10), C663 = "D",INDEX(D!$A$2:$L$268,MATCH($A663,D!$A$2:$A$268,0),10),C663="G",INDEX(G!$A$2:$Q$78,MATCH($A663,G!$A$2:$A$78,0),16),C663="F",INDEX(F!$A$2:$K$494,MATCH($A663,F!$A$2:$A$494,0),10))</f>
        <v>235</v>
      </c>
      <c r="G663" t="str">
        <f>_xlfn.CONCAT(C663,Table16[[#This Row],[Pos Rank2]])</f>
        <v>D235</v>
      </c>
      <c r="H663" s="10">
        <f>MAX(_xlfn.IFNA(INDEX(Proj[],MATCH(Table16[[#This Row],[Player]],Proj[Player],0),29),-5000), _xlfn.IFNA(INDEX(Goalie[],MATCH(Table16[[#This Row],[Player]],Goalie[player],0),19),-5000))</f>
        <v>-624.72816515664522</v>
      </c>
      <c r="I663" t="str">
        <f>IF(_xlfn.IFNA(INDEX(Proj[],MATCH(Table16[[#This Row],[Player]],Proj[Player],0),31),INDEX(Goalie[],MATCH(Table16[[#This Row],[Player]],Goalie[player],0),20)) = 0, "",_xlfn.IFNA(INDEX(Proj[],MATCH(Table16[[#This Row],[Player]],Proj[Player],0),31),INDEX(Goalie[],MATCH(Table16[[#This Row],[Player]],Goalie[player],0),20)))</f>
        <v/>
      </c>
    </row>
    <row r="664" spans="1:9" x14ac:dyDescent="0.25">
      <c r="A664" t="s">
        <v>1191</v>
      </c>
      <c r="B664" s="2" t="s">
        <v>3</v>
      </c>
      <c r="C664" t="str">
        <f t="shared" si="10"/>
        <v>D</v>
      </c>
      <c r="D664" s="10">
        <f>MAX(_xlfn.IFNA(INDEX(Proj[],MATCH(Table16[[#This Row],[Player]],Proj[Player],0),27),-5000), _xlfn.IFNA(INDEX(Goalie[],MATCH(Table16[[#This Row],[Player]],Goalie[player],0),17),-5000))</f>
        <v>-732.39412660370408</v>
      </c>
      <c r="E664">
        <f>_xlfn.RANK.EQ(Table16[[#This Row],[VOR]],Table16[VOR])</f>
        <v>622</v>
      </c>
      <c r="F664" cm="1">
        <f t="array" ref="F664">_xlfn.IFS(C664 = "C",INDEX('C'!$A$2:$L$254,MATCH($A664,'C'!$A$2:$A$254,0),10),C664 = "LW",INDEX(LW!$A$2:$K$180,MATCH($A664,LW!$A$2:$A$180,0),10),C664 = "RW",INDEX('RW'!$A$2:$L$164,MATCH($A664,'RW'!$A$2:$A$164,0),10), C664 = "D",INDEX(D!$A$2:$L$268,MATCH($A664,D!$A$2:$A$268,0),10),C664="G",INDEX(G!$A$2:$Q$78,MATCH($A664,G!$A$2:$A$78,0),16),C664="F",INDEX(F!$A$2:$K$494,MATCH($A664,F!$A$2:$A$494,0),10))</f>
        <v>236</v>
      </c>
      <c r="G664" t="str">
        <f>_xlfn.CONCAT(C664,Table16[[#This Row],[Pos Rank2]])</f>
        <v>D236</v>
      </c>
      <c r="H664" s="10">
        <f>MAX(_xlfn.IFNA(INDEX(Proj[],MATCH(Table16[[#This Row],[Player]],Proj[Player],0),29),-5000), _xlfn.IFNA(INDEX(Goalie[],MATCH(Table16[[#This Row],[Player]],Goalie[player],0),19),-5000))</f>
        <v>-625.02935888423963</v>
      </c>
      <c r="I664" t="str">
        <f>IF(_xlfn.IFNA(INDEX(Proj[],MATCH(Table16[[#This Row],[Player]],Proj[Player],0),31),INDEX(Goalie[],MATCH(Table16[[#This Row],[Player]],Goalie[player],0),20)) = 0, "",_xlfn.IFNA(INDEX(Proj[],MATCH(Table16[[#This Row],[Player]],Proj[Player],0),31),INDEX(Goalie[],MATCH(Table16[[#This Row],[Player]],Goalie[player],0),20)))</f>
        <v/>
      </c>
    </row>
    <row r="665" spans="1:9" x14ac:dyDescent="0.25">
      <c r="A665" t="s">
        <v>659</v>
      </c>
      <c r="B665" s="2" t="s">
        <v>3</v>
      </c>
      <c r="C665" t="str">
        <f t="shared" si="10"/>
        <v>D</v>
      </c>
      <c r="D665" s="10">
        <f>MAX(_xlfn.IFNA(INDEX(Proj[],MATCH(Table16[[#This Row],[Player]],Proj[Player],0),27),-5000), _xlfn.IFNA(INDEX(Goalie[],MATCH(Table16[[#This Row],[Player]],Goalie[player],0),17),-5000))</f>
        <v>-734.00454469064903</v>
      </c>
      <c r="E665">
        <f>_xlfn.RANK.EQ(Table16[[#This Row],[VOR]],Table16[VOR])</f>
        <v>624</v>
      </c>
      <c r="F665" cm="1">
        <f t="array" ref="F665">_xlfn.IFS(C665 = "C",INDEX('C'!$A$2:$L$254,MATCH($A665,'C'!$A$2:$A$254,0),10),C665 = "LW",INDEX(LW!$A$2:$K$180,MATCH($A665,LW!$A$2:$A$180,0),10),C665 = "RW",INDEX('RW'!$A$2:$L$164,MATCH($A665,'RW'!$A$2:$A$164,0),10), C665 = "D",INDEX(D!$A$2:$L$268,MATCH($A665,D!$A$2:$A$268,0),10),C665="G",INDEX(G!$A$2:$Q$78,MATCH($A665,G!$A$2:$A$78,0),16),C665="F",INDEX(F!$A$2:$K$494,MATCH($A665,F!$A$2:$A$494,0),10))</f>
        <v>237</v>
      </c>
      <c r="G665" t="str">
        <f>_xlfn.CONCAT(C665,Table16[[#This Row],[Pos Rank2]])</f>
        <v>D237</v>
      </c>
      <c r="H665" s="10">
        <f>MAX(_xlfn.IFNA(INDEX(Proj[],MATCH(Table16[[#This Row],[Player]],Proj[Player],0),29),-5000), _xlfn.IFNA(INDEX(Goalie[],MATCH(Table16[[#This Row],[Player]],Goalie[player],0),19),-5000))</f>
        <v>-626.63977697118457</v>
      </c>
      <c r="I665" t="str">
        <f>IF(_xlfn.IFNA(INDEX(Proj[],MATCH(Table16[[#This Row],[Player]],Proj[Player],0),31),INDEX(Goalie[],MATCH(Table16[[#This Row],[Player]],Goalie[player],0),20)) = 0, "",_xlfn.IFNA(INDEX(Proj[],MATCH(Table16[[#This Row],[Player]],Proj[Player],0),31),INDEX(Goalie[],MATCH(Table16[[#This Row],[Player]],Goalie[player],0),20)))</f>
        <v/>
      </c>
    </row>
    <row r="666" spans="1:9" x14ac:dyDescent="0.25">
      <c r="A666" t="s">
        <v>790</v>
      </c>
      <c r="B666" s="2" t="s">
        <v>74</v>
      </c>
      <c r="C666" t="str">
        <f t="shared" si="10"/>
        <v>C</v>
      </c>
      <c r="D666" s="10">
        <f>MAX(_xlfn.IFNA(INDEX(Proj[],MATCH(Table16[[#This Row],[Player]],Proj[Player],0),27),-5000), _xlfn.IFNA(INDEX(Goalie[],MATCH(Table16[[#This Row],[Player]],Goalie[player],0),17),-5000))</f>
        <v>-1016.5300927127394</v>
      </c>
      <c r="E666">
        <f>_xlfn.RANK.EQ(Table16[[#This Row],[VOR]],Table16[VOR])</f>
        <v>737</v>
      </c>
      <c r="F666" cm="1">
        <f t="array" ref="F666">_xlfn.IFS(C666 = "C",INDEX('C'!$A$2:$L$254,MATCH($A666,'C'!$A$2:$A$254,0),10),C666 = "LW",INDEX(LW!$A$2:$K$180,MATCH($A666,LW!$A$2:$A$180,0),10),C666 = "RW",INDEX('RW'!$A$2:$L$164,MATCH($A666,'RW'!$A$2:$A$164,0),10), C666 = "D",INDEX(D!$A$2:$L$268,MATCH($A666,D!$A$2:$A$268,0),10),C666="G",INDEX(G!$A$2:$Q$78,MATCH($A666,G!$A$2:$A$78,0),16),C666="F",INDEX(F!$A$2:$K$494,MATCH($A666,F!$A$2:$A$494,0),10))</f>
        <v>190</v>
      </c>
      <c r="G666" t="str">
        <f>_xlfn.CONCAT(C666,Table16[[#This Row],[Pos Rank2]])</f>
        <v>C190</v>
      </c>
      <c r="H666" s="10">
        <f>MAX(_xlfn.IFNA(INDEX(Proj[],MATCH(Table16[[#This Row],[Player]],Proj[Player],0),29),-5000), _xlfn.IFNA(INDEX(Goalie[],MATCH(Table16[[#This Row],[Player]],Goalie[player],0),19),-5000))</f>
        <v>-281.8962384024407</v>
      </c>
      <c r="I666" t="str">
        <f>IF(_xlfn.IFNA(INDEX(Proj[],MATCH(Table16[[#This Row],[Player]],Proj[Player],0),31),INDEX(Goalie[],MATCH(Table16[[#This Row],[Player]],Goalie[player],0),20)) = 0, "",_xlfn.IFNA(INDEX(Proj[],MATCH(Table16[[#This Row],[Player]],Proj[Player],0),31),INDEX(Goalie[],MATCH(Table16[[#This Row],[Player]],Goalie[player],0),20)))</f>
        <v/>
      </c>
    </row>
    <row r="667" spans="1:9" x14ac:dyDescent="0.25">
      <c r="A667" t="s">
        <v>697</v>
      </c>
      <c r="B667" s="2" t="s">
        <v>74</v>
      </c>
      <c r="C667" t="str">
        <f t="shared" si="10"/>
        <v>C</v>
      </c>
      <c r="D667" s="10">
        <f>MAX(_xlfn.IFNA(INDEX(Proj[],MATCH(Table16[[#This Row],[Player]],Proj[Player],0),27),-5000), _xlfn.IFNA(INDEX(Goalie[],MATCH(Table16[[#This Row],[Player]],Goalie[player],0),17),-5000))</f>
        <v>-810.04317349399321</v>
      </c>
      <c r="E667">
        <f>_xlfn.RANK.EQ(Table16[[#This Row],[VOR]],Table16[VOR])</f>
        <v>671</v>
      </c>
      <c r="F667" cm="1">
        <f t="array" ref="F667">_xlfn.IFS(C667 = "C",INDEX('C'!$A$2:$L$254,MATCH($A667,'C'!$A$2:$A$254,0),10),C667 = "LW",INDEX(LW!$A$2:$K$180,MATCH($A667,LW!$A$2:$A$180,0),10),C667 = "RW",INDEX('RW'!$A$2:$L$164,MATCH($A667,'RW'!$A$2:$A$164,0),10), C667 = "D",INDEX(D!$A$2:$L$268,MATCH($A667,D!$A$2:$A$268,0),10),C667="G",INDEX(G!$A$2:$Q$78,MATCH($A667,G!$A$2:$A$78,0),16),C667="F",INDEX(F!$A$2:$K$494,MATCH($A667,F!$A$2:$A$494,0),10))</f>
        <v>163</v>
      </c>
      <c r="G667" t="str">
        <f>_xlfn.CONCAT(C667,Table16[[#This Row],[Pos Rank2]])</f>
        <v>C163</v>
      </c>
      <c r="H667" s="10">
        <f>MAX(_xlfn.IFNA(INDEX(Proj[],MATCH(Table16[[#This Row],[Player]],Proj[Player],0),29),-5000), _xlfn.IFNA(INDEX(Goalie[],MATCH(Table16[[#This Row],[Player]],Goalie[player],0),19),-5000))</f>
        <v>-75.409319183694606</v>
      </c>
      <c r="I667" t="str">
        <f>IF(_xlfn.IFNA(INDEX(Proj[],MATCH(Table16[[#This Row],[Player]],Proj[Player],0),31),INDEX(Goalie[],MATCH(Table16[[#This Row],[Player]],Goalie[player],0),20)) = 0, "",_xlfn.IFNA(INDEX(Proj[],MATCH(Table16[[#This Row],[Player]],Proj[Player],0),31),INDEX(Goalie[],MATCH(Table16[[#This Row],[Player]],Goalie[player],0),20)))</f>
        <v/>
      </c>
    </row>
    <row r="668" spans="1:9" x14ac:dyDescent="0.25">
      <c r="A668" t="s">
        <v>983</v>
      </c>
      <c r="B668" s="2" t="s">
        <v>3</v>
      </c>
      <c r="C668" t="str">
        <f t="shared" si="10"/>
        <v>D</v>
      </c>
      <c r="D668" s="10">
        <f>MAX(_xlfn.IFNA(INDEX(Proj[],MATCH(Table16[[#This Row],[Player]],Proj[Player],0),27),-5000), _xlfn.IFNA(INDEX(Goalie[],MATCH(Table16[[#This Row],[Player]],Goalie[player],0),17),-5000))</f>
        <v>-742.41373167927509</v>
      </c>
      <c r="E668">
        <f>_xlfn.RANK.EQ(Table16[[#This Row],[VOR]],Table16[VOR])</f>
        <v>627</v>
      </c>
      <c r="F668" cm="1">
        <f t="array" ref="F668">_xlfn.IFS(C668 = "C",INDEX('C'!$A$2:$L$254,MATCH($A668,'C'!$A$2:$A$254,0),10),C668 = "LW",INDEX(LW!$A$2:$K$180,MATCH($A668,LW!$A$2:$A$180,0),10),C668 = "RW",INDEX('RW'!$A$2:$L$164,MATCH($A668,'RW'!$A$2:$A$164,0),10), C668 = "D",INDEX(D!$A$2:$L$268,MATCH($A668,D!$A$2:$A$268,0),10),C668="G",INDEX(G!$A$2:$Q$78,MATCH($A668,G!$A$2:$A$78,0),16),C668="F",INDEX(F!$A$2:$K$494,MATCH($A668,F!$A$2:$A$494,0),10))</f>
        <v>238</v>
      </c>
      <c r="G668" t="str">
        <f>_xlfn.CONCAT(C668,Table16[[#This Row],[Pos Rank2]])</f>
        <v>D238</v>
      </c>
      <c r="H668" s="10">
        <f>MAX(_xlfn.IFNA(INDEX(Proj[],MATCH(Table16[[#This Row],[Player]],Proj[Player],0),29),-5000), _xlfn.IFNA(INDEX(Goalie[],MATCH(Table16[[#This Row],[Player]],Goalie[player],0),19),-5000))</f>
        <v>-635.04896395981064</v>
      </c>
      <c r="I668" t="str">
        <f>IF(_xlfn.IFNA(INDEX(Proj[],MATCH(Table16[[#This Row],[Player]],Proj[Player],0),31),INDEX(Goalie[],MATCH(Table16[[#This Row],[Player]],Goalie[player],0),20)) = 0, "",_xlfn.IFNA(INDEX(Proj[],MATCH(Table16[[#This Row],[Player]],Proj[Player],0),31),INDEX(Goalie[],MATCH(Table16[[#This Row],[Player]],Goalie[player],0),20)))</f>
        <v/>
      </c>
    </row>
    <row r="669" spans="1:9" x14ac:dyDescent="0.25">
      <c r="A669" t="s">
        <v>1019</v>
      </c>
      <c r="B669" s="2" t="s">
        <v>103</v>
      </c>
      <c r="C669" t="str">
        <f t="shared" si="10"/>
        <v>RW</v>
      </c>
      <c r="D669" s="10">
        <f>MAX(_xlfn.IFNA(INDEX(Proj[],MATCH(Table16[[#This Row],[Player]],Proj[Player],0),27),-5000), _xlfn.IFNA(INDEX(Goalie[],MATCH(Table16[[#This Row],[Player]],Goalie[player],0),17),-5000))</f>
        <v>-809.65920155867502</v>
      </c>
      <c r="E669">
        <f>_xlfn.RANK.EQ(Table16[[#This Row],[VOR]],Table16[VOR])</f>
        <v>670</v>
      </c>
      <c r="F669" cm="1">
        <f t="array" ref="F669">_xlfn.IFS(C669 = "C",INDEX('C'!$A$2:$L$254,MATCH($A669,'C'!$A$2:$A$254,0),10),C669 = "LW",INDEX(LW!$A$2:$K$180,MATCH($A669,LW!$A$2:$A$180,0),10),C669 = "RW",INDEX('RW'!$A$2:$L$164,MATCH($A669,'RW'!$A$2:$A$164,0),10), C669 = "D",INDEX(D!$A$2:$L$268,MATCH($A669,D!$A$2:$A$268,0),10),C669="G",INDEX(G!$A$2:$Q$78,MATCH($A669,G!$A$2:$A$78,0),16),C669="F",INDEX(F!$A$2:$K$494,MATCH($A669,F!$A$2:$A$494,0),10))</f>
        <v>136</v>
      </c>
      <c r="G669" t="str">
        <f>_xlfn.CONCAT(C669,Table16[[#This Row],[Pos Rank2]])</f>
        <v>RW136</v>
      </c>
      <c r="H669" s="10">
        <f>MAX(_xlfn.IFNA(INDEX(Proj[],MATCH(Table16[[#This Row],[Player]],Proj[Player],0),29),-5000), _xlfn.IFNA(INDEX(Goalie[],MATCH(Table16[[#This Row],[Player]],Goalie[player],0),19),-5000))</f>
        <v>-363.11447716842616</v>
      </c>
      <c r="I669" t="str">
        <f>IF(_xlfn.IFNA(INDEX(Proj[],MATCH(Table16[[#This Row],[Player]],Proj[Player],0),31),INDEX(Goalie[],MATCH(Table16[[#This Row],[Player]],Goalie[player],0),20)) = 0, "",_xlfn.IFNA(INDEX(Proj[],MATCH(Table16[[#This Row],[Player]],Proj[Player],0),31),INDEX(Goalie[],MATCH(Table16[[#This Row],[Player]],Goalie[player],0),20)))</f>
        <v/>
      </c>
    </row>
    <row r="670" spans="1:9" x14ac:dyDescent="0.25">
      <c r="A670" t="s">
        <v>604</v>
      </c>
      <c r="B670" s="2" t="s">
        <v>103</v>
      </c>
      <c r="C670" t="str">
        <f t="shared" si="10"/>
        <v>RW</v>
      </c>
      <c r="D670" s="10">
        <f>MAX(_xlfn.IFNA(INDEX(Proj[],MATCH(Table16[[#This Row],[Player]],Proj[Player],0),27),-5000), _xlfn.IFNA(INDEX(Goalie[],MATCH(Table16[[#This Row],[Player]],Goalie[player],0),17),-5000))</f>
        <v>-821.63835941547677</v>
      </c>
      <c r="E670">
        <f>_xlfn.RANK.EQ(Table16[[#This Row],[VOR]],Table16[VOR])</f>
        <v>675</v>
      </c>
      <c r="F670" cm="1">
        <f t="array" ref="F670">_xlfn.IFS(C670 = "C",INDEX('C'!$A$2:$L$254,MATCH($A670,'C'!$A$2:$A$254,0),10),C670 = "LW",INDEX(LW!$A$2:$K$180,MATCH($A670,LW!$A$2:$A$180,0),10),C670 = "RW",INDEX('RW'!$A$2:$L$164,MATCH($A670,'RW'!$A$2:$A$164,0),10), C670 = "D",INDEX(D!$A$2:$L$268,MATCH($A670,D!$A$2:$A$268,0),10),C670="G",INDEX(G!$A$2:$Q$78,MATCH($A670,G!$A$2:$A$78,0),16),C670="F",INDEX(F!$A$2:$K$494,MATCH($A670,F!$A$2:$A$494,0),10))</f>
        <v>137</v>
      </c>
      <c r="G670" t="str">
        <f>_xlfn.CONCAT(C670,Table16[[#This Row],[Pos Rank2]])</f>
        <v>RW137</v>
      </c>
      <c r="H670" s="10">
        <f>MAX(_xlfn.IFNA(INDEX(Proj[],MATCH(Table16[[#This Row],[Player]],Proj[Player],0),29),-5000), _xlfn.IFNA(INDEX(Goalie[],MATCH(Table16[[#This Row],[Player]],Goalie[player],0),19),-5000))</f>
        <v>-375.09363502522791</v>
      </c>
      <c r="I670" t="str">
        <f>IF(_xlfn.IFNA(INDEX(Proj[],MATCH(Table16[[#This Row],[Player]],Proj[Player],0),31),INDEX(Goalie[],MATCH(Table16[[#This Row],[Player]],Goalie[player],0),20)) = 0, "",_xlfn.IFNA(INDEX(Proj[],MATCH(Table16[[#This Row],[Player]],Proj[Player],0),31),INDEX(Goalie[],MATCH(Table16[[#This Row],[Player]],Goalie[player],0),20)))</f>
        <v/>
      </c>
    </row>
    <row r="671" spans="1:9" x14ac:dyDescent="0.25">
      <c r="A671" t="s">
        <v>806</v>
      </c>
      <c r="B671" s="2" t="s">
        <v>74</v>
      </c>
      <c r="C671" t="str">
        <f t="shared" si="10"/>
        <v>C</v>
      </c>
      <c r="D671" s="10">
        <f>MAX(_xlfn.IFNA(INDEX(Proj[],MATCH(Table16[[#This Row],[Player]],Proj[Player],0),27),-5000), _xlfn.IFNA(INDEX(Goalie[],MATCH(Table16[[#This Row],[Player]],Goalie[player],0),17),-5000))</f>
        <v>-938.6039306059547</v>
      </c>
      <c r="E671">
        <f>_xlfn.RANK.EQ(Table16[[#This Row],[VOR]],Table16[VOR])</f>
        <v>716</v>
      </c>
      <c r="F671" cm="1">
        <f t="array" ref="F671">_xlfn.IFS(C671 = "C",INDEX('C'!$A$2:$L$254,MATCH($A671,'C'!$A$2:$A$254,0),10),C671 = "LW",INDEX(LW!$A$2:$K$180,MATCH($A671,LW!$A$2:$A$180,0),10),C671 = "RW",INDEX('RW'!$A$2:$L$164,MATCH($A671,'RW'!$A$2:$A$164,0),10), C671 = "D",INDEX(D!$A$2:$L$268,MATCH($A671,D!$A$2:$A$268,0),10),C671="G",INDEX(G!$A$2:$Q$78,MATCH($A671,G!$A$2:$A$78,0),16),C671="F",INDEX(F!$A$2:$K$494,MATCH($A671,F!$A$2:$A$494,0),10))</f>
        <v>178</v>
      </c>
      <c r="G671" t="str">
        <f>_xlfn.CONCAT(C671,Table16[[#This Row],[Pos Rank2]])</f>
        <v>C178</v>
      </c>
      <c r="H671" s="10">
        <f>MAX(_xlfn.IFNA(INDEX(Proj[],MATCH(Table16[[#This Row],[Player]],Proj[Player],0),29),-5000), _xlfn.IFNA(INDEX(Goalie[],MATCH(Table16[[#This Row],[Player]],Goalie[player],0),19),-5000))</f>
        <v>-203.9700762956561</v>
      </c>
      <c r="I671" t="str">
        <f>IF(_xlfn.IFNA(INDEX(Proj[],MATCH(Table16[[#This Row],[Player]],Proj[Player],0),31),INDEX(Goalie[],MATCH(Table16[[#This Row],[Player]],Goalie[player],0),20)) = 0, "",_xlfn.IFNA(INDEX(Proj[],MATCH(Table16[[#This Row],[Player]],Proj[Player],0),31),INDEX(Goalie[],MATCH(Table16[[#This Row],[Player]],Goalie[player],0),20)))</f>
        <v/>
      </c>
    </row>
    <row r="672" spans="1:9" x14ac:dyDescent="0.25">
      <c r="A672" t="s">
        <v>1059</v>
      </c>
      <c r="B672" s="2" t="s">
        <v>3</v>
      </c>
      <c r="C672" t="str">
        <f t="shared" si="10"/>
        <v>D</v>
      </c>
      <c r="D672" s="10">
        <f>MAX(_xlfn.IFNA(INDEX(Proj[],MATCH(Table16[[#This Row],[Player]],Proj[Player],0),27),-5000), _xlfn.IFNA(INDEX(Goalie[],MATCH(Table16[[#This Row],[Player]],Goalie[player],0),17),-5000))</f>
        <v>-756.70262081841452</v>
      </c>
      <c r="E672">
        <f>_xlfn.RANK.EQ(Table16[[#This Row],[VOR]],Table16[VOR])</f>
        <v>633</v>
      </c>
      <c r="F672" cm="1">
        <f t="array" ref="F672">_xlfn.IFS(C672 = "C",INDEX('C'!$A$2:$L$254,MATCH($A672,'C'!$A$2:$A$254,0),10),C672 = "LW",INDEX(LW!$A$2:$K$180,MATCH($A672,LW!$A$2:$A$180,0),10),C672 = "RW",INDEX('RW'!$A$2:$L$164,MATCH($A672,'RW'!$A$2:$A$164,0),10), C672 = "D",INDEX(D!$A$2:$L$268,MATCH($A672,D!$A$2:$A$268,0),10),C672="G",INDEX(G!$A$2:$Q$78,MATCH($A672,G!$A$2:$A$78,0),16),C672="F",INDEX(F!$A$2:$K$494,MATCH($A672,F!$A$2:$A$494,0),10))</f>
        <v>239</v>
      </c>
      <c r="G672" t="str">
        <f>_xlfn.CONCAT(C672,Table16[[#This Row],[Pos Rank2]])</f>
        <v>D239</v>
      </c>
      <c r="H672" s="10">
        <f>MAX(_xlfn.IFNA(INDEX(Proj[],MATCH(Table16[[#This Row],[Player]],Proj[Player],0),29),-5000), _xlfn.IFNA(INDEX(Goalie[],MATCH(Table16[[#This Row],[Player]],Goalie[player],0),19),-5000))</f>
        <v>-649.33785309895006</v>
      </c>
      <c r="I672" t="str">
        <f>IF(_xlfn.IFNA(INDEX(Proj[],MATCH(Table16[[#This Row],[Player]],Proj[Player],0),31),INDEX(Goalie[],MATCH(Table16[[#This Row],[Player]],Goalie[player],0),20)) = 0, "",_xlfn.IFNA(INDEX(Proj[],MATCH(Table16[[#This Row],[Player]],Proj[Player],0),31),INDEX(Goalie[],MATCH(Table16[[#This Row],[Player]],Goalie[player],0),20)))</f>
        <v/>
      </c>
    </row>
    <row r="673" spans="1:9" x14ac:dyDescent="0.25">
      <c r="A673" t="s">
        <v>487</v>
      </c>
      <c r="B673" s="2" t="s">
        <v>102</v>
      </c>
      <c r="C673" t="str">
        <f t="shared" si="10"/>
        <v>LW</v>
      </c>
      <c r="D673" s="10">
        <f>MAX(_xlfn.IFNA(INDEX(Proj[],MATCH(Table16[[#This Row],[Player]],Proj[Player],0),27),-5000), _xlfn.IFNA(INDEX(Goalie[],MATCH(Table16[[#This Row],[Player]],Goalie[player],0),17),-5000))</f>
        <v>-828.13182647805593</v>
      </c>
      <c r="E673">
        <f>_xlfn.RANK.EQ(Table16[[#This Row],[VOR]],Table16[VOR])</f>
        <v>678</v>
      </c>
      <c r="F673" cm="1">
        <f t="array" ref="F673">_xlfn.IFS(C673 = "C",INDEX('C'!$A$2:$L$254,MATCH($A673,'C'!$A$2:$A$254,0),10),C673 = "LW",INDEX(LW!$A$2:$K$180,MATCH($A673,LW!$A$2:$A$180,0),10),C673 = "RW",INDEX('RW'!$A$2:$L$164,MATCH($A673,'RW'!$A$2:$A$164,0),10), C673 = "D",INDEX(D!$A$2:$L$268,MATCH($A673,D!$A$2:$A$268,0),10),C673="G",INDEX(G!$A$2:$Q$78,MATCH($A673,G!$A$2:$A$78,0),16),C673="F",INDEX(F!$A$2:$K$494,MATCH($A673,F!$A$2:$A$494,0),10))</f>
        <v>150</v>
      </c>
      <c r="G673" t="str">
        <f>_xlfn.CONCAT(C673,Table16[[#This Row],[Pos Rank2]])</f>
        <v>LW150</v>
      </c>
      <c r="H673" s="10">
        <f>MAX(_xlfn.IFNA(INDEX(Proj[],MATCH(Table16[[#This Row],[Player]],Proj[Player],0),29),-5000), _xlfn.IFNA(INDEX(Goalie[],MATCH(Table16[[#This Row],[Player]],Goalie[player],0),19),-5000))</f>
        <v>-356.58710208780701</v>
      </c>
      <c r="I673" t="str">
        <f>IF(_xlfn.IFNA(INDEX(Proj[],MATCH(Table16[[#This Row],[Player]],Proj[Player],0),31),INDEX(Goalie[],MATCH(Table16[[#This Row],[Player]],Goalie[player],0),20)) = 0, "",_xlfn.IFNA(INDEX(Proj[],MATCH(Table16[[#This Row],[Player]],Proj[Player],0),31),INDEX(Goalie[],MATCH(Table16[[#This Row],[Player]],Goalie[player],0),20)))</f>
        <v/>
      </c>
    </row>
    <row r="674" spans="1:9" x14ac:dyDescent="0.25">
      <c r="A674" t="s">
        <v>829</v>
      </c>
      <c r="B674" s="2" t="s">
        <v>102</v>
      </c>
      <c r="C674" t="str">
        <f t="shared" si="10"/>
        <v>LW</v>
      </c>
      <c r="D674" s="10">
        <f>MAX(_xlfn.IFNA(INDEX(Proj[],MATCH(Table16[[#This Row],[Player]],Proj[Player],0),27),-5000), _xlfn.IFNA(INDEX(Goalie[],MATCH(Table16[[#This Row],[Player]],Goalie[player],0),17),-5000))</f>
        <v>-813.05094045031933</v>
      </c>
      <c r="E674">
        <f>_xlfn.RANK.EQ(Table16[[#This Row],[VOR]],Table16[VOR])</f>
        <v>672</v>
      </c>
      <c r="F674" cm="1">
        <f t="array" ref="F674">_xlfn.IFS(C674 = "C",INDEX('C'!$A$2:$L$254,MATCH($A674,'C'!$A$2:$A$254,0),10),C674 = "LW",INDEX(LW!$A$2:$K$180,MATCH($A674,LW!$A$2:$A$180,0),10),C674 = "RW",INDEX('RW'!$A$2:$L$164,MATCH($A674,'RW'!$A$2:$A$164,0),10), C674 = "D",INDEX(D!$A$2:$L$268,MATCH($A674,D!$A$2:$A$268,0),10),C674="G",INDEX(G!$A$2:$Q$78,MATCH($A674,G!$A$2:$A$78,0),16),C674="F",INDEX(F!$A$2:$K$494,MATCH($A674,F!$A$2:$A$494,0),10))</f>
        <v>147</v>
      </c>
      <c r="G674" t="str">
        <f>_xlfn.CONCAT(C674,Table16[[#This Row],[Pos Rank2]])</f>
        <v>LW147</v>
      </c>
      <c r="H674" s="10">
        <f>MAX(_xlfn.IFNA(INDEX(Proj[],MATCH(Table16[[#This Row],[Player]],Proj[Player],0),29),-5000), _xlfn.IFNA(INDEX(Goalie[],MATCH(Table16[[#This Row],[Player]],Goalie[player],0),19),-5000))</f>
        <v>-341.50621606007053</v>
      </c>
      <c r="I674" t="str">
        <f>IF(_xlfn.IFNA(INDEX(Proj[],MATCH(Table16[[#This Row],[Player]],Proj[Player],0),31),INDEX(Goalie[],MATCH(Table16[[#This Row],[Player]],Goalie[player],0),20)) = 0, "",_xlfn.IFNA(INDEX(Proj[],MATCH(Table16[[#This Row],[Player]],Proj[Player],0),31),INDEX(Goalie[],MATCH(Table16[[#This Row],[Player]],Goalie[player],0),20)))</f>
        <v/>
      </c>
    </row>
    <row r="675" spans="1:9" x14ac:dyDescent="0.25">
      <c r="A675" t="s">
        <v>1005</v>
      </c>
      <c r="B675" s="2" t="s">
        <v>101</v>
      </c>
      <c r="C675" t="str">
        <f t="shared" si="10"/>
        <v>LW</v>
      </c>
      <c r="D675" s="10">
        <f>MAX(_xlfn.IFNA(INDEX(Proj[],MATCH(Table16[[#This Row],[Player]],Proj[Player],0),27),-5000), _xlfn.IFNA(INDEX(Goalie[],MATCH(Table16[[#This Row],[Player]],Goalie[player],0),17),-5000))</f>
        <v>-803.56377394264837</v>
      </c>
      <c r="E675">
        <f>_xlfn.RANK.EQ(Table16[[#This Row],[VOR]],Table16[VOR])</f>
        <v>664</v>
      </c>
      <c r="F675" cm="1">
        <f t="array" ref="F675">_xlfn.IFS(C675 = "C",INDEX('C'!$A$2:$L$254,MATCH($A675,'C'!$A$2:$A$254,0),10),C675 = "LW",INDEX(LW!$A$2:$K$180,MATCH($A675,LW!$A$2:$A$180,0),10),C675 = "RW",INDEX('RW'!$A$2:$L$164,MATCH($A675,'RW'!$A$2:$A$164,0),10), C675 = "D",INDEX(D!$A$2:$L$268,MATCH($A675,D!$A$2:$A$268,0),10),C675="G",INDEX(G!$A$2:$Q$78,MATCH($A675,G!$A$2:$A$78,0),16),C675="F",INDEX(F!$A$2:$K$494,MATCH($A675,F!$A$2:$A$494,0),10))</f>
        <v>146</v>
      </c>
      <c r="G675" t="str">
        <f>_xlfn.CONCAT(C675,Table16[[#This Row],[Pos Rank2]])</f>
        <v>LW146</v>
      </c>
      <c r="H675" s="10">
        <f>MAX(_xlfn.IFNA(INDEX(Proj[],MATCH(Table16[[#This Row],[Player]],Proj[Player],0),29),-5000), _xlfn.IFNA(INDEX(Goalie[],MATCH(Table16[[#This Row],[Player]],Goalie[player],0),19),-5000))</f>
        <v>-332.01904955239945</v>
      </c>
      <c r="I675" t="str">
        <f>IF(_xlfn.IFNA(INDEX(Proj[],MATCH(Table16[[#This Row],[Player]],Proj[Player],0),31),INDEX(Goalie[],MATCH(Table16[[#This Row],[Player]],Goalie[player],0),20)) = 0, "",_xlfn.IFNA(INDEX(Proj[],MATCH(Table16[[#This Row],[Player]],Proj[Player],0),31),INDEX(Goalie[],MATCH(Table16[[#This Row],[Player]],Goalie[player],0),20)))</f>
        <v/>
      </c>
    </row>
    <row r="676" spans="1:9" x14ac:dyDescent="0.25">
      <c r="A676" t="s">
        <v>477</v>
      </c>
      <c r="B676" s="2" t="s">
        <v>3</v>
      </c>
      <c r="C676" t="str">
        <f t="shared" si="10"/>
        <v>D</v>
      </c>
      <c r="D676" s="10">
        <f>MAX(_xlfn.IFNA(INDEX(Proj[],MATCH(Table16[[#This Row],[Player]],Proj[Player],0),27),-5000), _xlfn.IFNA(INDEX(Goalie[],MATCH(Table16[[#This Row],[Player]],Goalie[player],0),17),-5000))</f>
        <v>-758.33332480075126</v>
      </c>
      <c r="E676">
        <f>_xlfn.RANK.EQ(Table16[[#This Row],[VOR]],Table16[VOR])</f>
        <v>635</v>
      </c>
      <c r="F676" cm="1">
        <f t="array" ref="F676">_xlfn.IFS(C676 = "C",INDEX('C'!$A$2:$L$254,MATCH($A676,'C'!$A$2:$A$254,0),10),C676 = "LW",INDEX(LW!$A$2:$K$180,MATCH($A676,LW!$A$2:$A$180,0),10),C676 = "RW",INDEX('RW'!$A$2:$L$164,MATCH($A676,'RW'!$A$2:$A$164,0),10), C676 = "D",INDEX(D!$A$2:$L$268,MATCH($A676,D!$A$2:$A$268,0),10),C676="G",INDEX(G!$A$2:$Q$78,MATCH($A676,G!$A$2:$A$78,0),16),C676="F",INDEX(F!$A$2:$K$494,MATCH($A676,F!$A$2:$A$494,0),10))</f>
        <v>240</v>
      </c>
      <c r="G676" t="str">
        <f>_xlfn.CONCAT(C676,Table16[[#This Row],[Pos Rank2]])</f>
        <v>D240</v>
      </c>
      <c r="H676" s="10">
        <f>MAX(_xlfn.IFNA(INDEX(Proj[],MATCH(Table16[[#This Row],[Player]],Proj[Player],0),29),-5000), _xlfn.IFNA(INDEX(Goalie[],MATCH(Table16[[#This Row],[Player]],Goalie[player],0),19),-5000))</f>
        <v>-650.9685570812868</v>
      </c>
      <c r="I676" t="str">
        <f>IF(_xlfn.IFNA(INDEX(Proj[],MATCH(Table16[[#This Row],[Player]],Proj[Player],0),31),INDEX(Goalie[],MATCH(Table16[[#This Row],[Player]],Goalie[player],0),20)) = 0, "",_xlfn.IFNA(INDEX(Proj[],MATCH(Table16[[#This Row],[Player]],Proj[Player],0),31),INDEX(Goalie[],MATCH(Table16[[#This Row],[Player]],Goalie[player],0),20)))</f>
        <v/>
      </c>
    </row>
    <row r="677" spans="1:9" x14ac:dyDescent="0.25">
      <c r="A677" t="s">
        <v>655</v>
      </c>
      <c r="B677" s="2" t="s">
        <v>102</v>
      </c>
      <c r="C677" t="str">
        <f t="shared" si="10"/>
        <v>LW</v>
      </c>
      <c r="D677" s="10">
        <f>MAX(_xlfn.IFNA(INDEX(Proj[],MATCH(Table16[[#This Row],[Player]],Proj[Player],0),27),-5000), _xlfn.IFNA(INDEX(Goalie[],MATCH(Table16[[#This Row],[Player]],Goalie[player],0),17),-5000))</f>
        <v>-779.8493193240713</v>
      </c>
      <c r="E677">
        <f>_xlfn.RANK.EQ(Table16[[#This Row],[VOR]],Table16[VOR])</f>
        <v>647</v>
      </c>
      <c r="F677" cm="1">
        <f t="array" ref="F677">_xlfn.IFS(C677 = "C",INDEX('C'!$A$2:$L$254,MATCH($A677,'C'!$A$2:$A$254,0),10),C677 = "LW",INDEX(LW!$A$2:$K$180,MATCH($A677,LW!$A$2:$A$180,0),10),C677 = "RW",INDEX('RW'!$A$2:$L$164,MATCH($A677,'RW'!$A$2:$A$164,0),10), C677 = "D",INDEX(D!$A$2:$L$268,MATCH($A677,D!$A$2:$A$268,0),10),C677="G",INDEX(G!$A$2:$Q$78,MATCH($A677,G!$A$2:$A$78,0),16),C677="F",INDEX(F!$A$2:$K$494,MATCH($A677,F!$A$2:$A$494,0),10))</f>
        <v>144</v>
      </c>
      <c r="G677" t="str">
        <f>_xlfn.CONCAT(C677,Table16[[#This Row],[Pos Rank2]])</f>
        <v>LW144</v>
      </c>
      <c r="H677" s="10">
        <f>MAX(_xlfn.IFNA(INDEX(Proj[],MATCH(Table16[[#This Row],[Player]],Proj[Player],0),29),-5000), _xlfn.IFNA(INDEX(Goalie[],MATCH(Table16[[#This Row],[Player]],Goalie[player],0),19),-5000))</f>
        <v>-308.30459493382244</v>
      </c>
      <c r="I677" t="str">
        <f>IF(_xlfn.IFNA(INDEX(Proj[],MATCH(Table16[[#This Row],[Player]],Proj[Player],0),31),INDEX(Goalie[],MATCH(Table16[[#This Row],[Player]],Goalie[player],0),20)) = 0, "",_xlfn.IFNA(INDEX(Proj[],MATCH(Table16[[#This Row],[Player]],Proj[Player],0),31),INDEX(Goalie[],MATCH(Table16[[#This Row],[Player]],Goalie[player],0),20)))</f>
        <v/>
      </c>
    </row>
    <row r="678" spans="1:9" x14ac:dyDescent="0.25">
      <c r="A678" t="s">
        <v>1069</v>
      </c>
      <c r="B678" s="2" t="s">
        <v>102</v>
      </c>
      <c r="C678" t="str">
        <f t="shared" si="10"/>
        <v>LW</v>
      </c>
      <c r="D678" s="10">
        <f>MAX(_xlfn.IFNA(INDEX(Proj[],MATCH(Table16[[#This Row],[Player]],Proj[Player],0),27),-5000), _xlfn.IFNA(INDEX(Goalie[],MATCH(Table16[[#This Row],[Player]],Goalie[player],0),17),-5000))</f>
        <v>-824.84760504535302</v>
      </c>
      <c r="E678">
        <f>_xlfn.RANK.EQ(Table16[[#This Row],[VOR]],Table16[VOR])</f>
        <v>676</v>
      </c>
      <c r="F678" cm="1">
        <f t="array" ref="F678">_xlfn.IFS(C678 = "C",INDEX('C'!$A$2:$L$254,MATCH($A678,'C'!$A$2:$A$254,0),10),C678 = "LW",INDEX(LW!$A$2:$K$180,MATCH($A678,LW!$A$2:$A$180,0),10),C678 = "RW",INDEX('RW'!$A$2:$L$164,MATCH($A678,'RW'!$A$2:$A$164,0),10), C678 = "D",INDEX(D!$A$2:$L$268,MATCH($A678,D!$A$2:$A$268,0),10),C678="G",INDEX(G!$A$2:$Q$78,MATCH($A678,G!$A$2:$A$78,0),16),C678="F",INDEX(F!$A$2:$K$494,MATCH($A678,F!$A$2:$A$494,0),10))</f>
        <v>149</v>
      </c>
      <c r="G678" t="str">
        <f>_xlfn.CONCAT(C678,Table16[[#This Row],[Pos Rank2]])</f>
        <v>LW149</v>
      </c>
      <c r="H678" s="10">
        <f>MAX(_xlfn.IFNA(INDEX(Proj[],MATCH(Table16[[#This Row],[Player]],Proj[Player],0),29),-5000), _xlfn.IFNA(INDEX(Goalie[],MATCH(Table16[[#This Row],[Player]],Goalie[player],0),19),-5000))</f>
        <v>-353.3028806551041</v>
      </c>
      <c r="I678" t="str">
        <f>IF(_xlfn.IFNA(INDEX(Proj[],MATCH(Table16[[#This Row],[Player]],Proj[Player],0),31),INDEX(Goalie[],MATCH(Table16[[#This Row],[Player]],Goalie[player],0),20)) = 0, "",_xlfn.IFNA(INDEX(Proj[],MATCH(Table16[[#This Row],[Player]],Proj[Player],0),31),INDEX(Goalie[],MATCH(Table16[[#This Row],[Player]],Goalie[player],0),20)))</f>
        <v/>
      </c>
    </row>
    <row r="679" spans="1:9" x14ac:dyDescent="0.25">
      <c r="A679" t="s">
        <v>638</v>
      </c>
      <c r="B679" s="2" t="s">
        <v>74</v>
      </c>
      <c r="C679" t="str">
        <f t="shared" si="10"/>
        <v>C</v>
      </c>
      <c r="D679" s="10">
        <f>MAX(_xlfn.IFNA(INDEX(Proj[],MATCH(Table16[[#This Row],[Player]],Proj[Player],0),27),-5000), _xlfn.IFNA(INDEX(Goalie[],MATCH(Table16[[#This Row],[Player]],Goalie[player],0),17),-5000))</f>
        <v>-933.49693503536469</v>
      </c>
      <c r="E679">
        <f>_xlfn.RANK.EQ(Table16[[#This Row],[VOR]],Table16[VOR])</f>
        <v>715</v>
      </c>
      <c r="F679" cm="1">
        <f t="array" ref="F679">_xlfn.IFS(C679 = "C",INDEX('C'!$A$2:$L$254,MATCH($A679,'C'!$A$2:$A$254,0),10),C679 = "LW",INDEX(LW!$A$2:$K$180,MATCH($A679,LW!$A$2:$A$180,0),10),C679 = "RW",INDEX('RW'!$A$2:$L$164,MATCH($A679,'RW'!$A$2:$A$164,0),10), C679 = "D",INDEX(D!$A$2:$L$268,MATCH($A679,D!$A$2:$A$268,0),10),C679="G",INDEX(G!$A$2:$Q$78,MATCH($A679,G!$A$2:$A$78,0),16),C679="F",INDEX(F!$A$2:$K$494,MATCH($A679,F!$A$2:$A$494,0),10))</f>
        <v>177</v>
      </c>
      <c r="G679" t="str">
        <f>_xlfn.CONCAT(C679,Table16[[#This Row],[Pos Rank2]])</f>
        <v>C177</v>
      </c>
      <c r="H679" s="10">
        <f>MAX(_xlfn.IFNA(INDEX(Proj[],MATCH(Table16[[#This Row],[Player]],Proj[Player],0),29),-5000), _xlfn.IFNA(INDEX(Goalie[],MATCH(Table16[[#This Row],[Player]],Goalie[player],0),19),-5000))</f>
        <v>-198.86308072506614</v>
      </c>
      <c r="I679" t="str">
        <f>IF(_xlfn.IFNA(INDEX(Proj[],MATCH(Table16[[#This Row],[Player]],Proj[Player],0),31),INDEX(Goalie[],MATCH(Table16[[#This Row],[Player]],Goalie[player],0),20)) = 0, "",_xlfn.IFNA(INDEX(Proj[],MATCH(Table16[[#This Row],[Player]],Proj[Player],0),31),INDEX(Goalie[],MATCH(Table16[[#This Row],[Player]],Goalie[player],0),20)))</f>
        <v/>
      </c>
    </row>
    <row r="680" spans="1:9" x14ac:dyDescent="0.25">
      <c r="A680" t="s">
        <v>754</v>
      </c>
      <c r="B680" s="2" t="s">
        <v>3</v>
      </c>
      <c r="C680" t="str">
        <f t="shared" si="10"/>
        <v>D</v>
      </c>
      <c r="D680" s="10">
        <f>MAX(_xlfn.IFNA(INDEX(Proj[],MATCH(Table16[[#This Row],[Player]],Proj[Player],0),27),-5000), _xlfn.IFNA(INDEX(Goalie[],MATCH(Table16[[#This Row],[Player]],Goalie[player],0),17),-5000))</f>
        <v>-762.76958587139723</v>
      </c>
      <c r="E680">
        <f>_xlfn.RANK.EQ(Table16[[#This Row],[VOR]],Table16[VOR])</f>
        <v>637</v>
      </c>
      <c r="F680" cm="1">
        <f t="array" ref="F680">_xlfn.IFS(C680 = "C",INDEX('C'!$A$2:$L$254,MATCH($A680,'C'!$A$2:$A$254,0),10),C680 = "LW",INDEX(LW!$A$2:$K$180,MATCH($A680,LW!$A$2:$A$180,0),10),C680 = "RW",INDEX('RW'!$A$2:$L$164,MATCH($A680,'RW'!$A$2:$A$164,0),10), C680 = "D",INDEX(D!$A$2:$L$268,MATCH($A680,D!$A$2:$A$268,0),10),C680="G",INDEX(G!$A$2:$Q$78,MATCH($A680,G!$A$2:$A$78,0),16),C680="F",INDEX(F!$A$2:$K$494,MATCH($A680,F!$A$2:$A$494,0),10))</f>
        <v>241</v>
      </c>
      <c r="G680" t="str">
        <f>_xlfn.CONCAT(C680,Table16[[#This Row],[Pos Rank2]])</f>
        <v>D241</v>
      </c>
      <c r="H680" s="10">
        <f>MAX(_xlfn.IFNA(INDEX(Proj[],MATCH(Table16[[#This Row],[Player]],Proj[Player],0),29),-5000), _xlfn.IFNA(INDEX(Goalie[],MATCH(Table16[[#This Row],[Player]],Goalie[player],0),19),-5000))</f>
        <v>-655.40481815193277</v>
      </c>
      <c r="I680" t="str">
        <f>IF(_xlfn.IFNA(INDEX(Proj[],MATCH(Table16[[#This Row],[Player]],Proj[Player],0),31),INDEX(Goalie[],MATCH(Table16[[#This Row],[Player]],Goalie[player],0),20)) = 0, "",_xlfn.IFNA(INDEX(Proj[],MATCH(Table16[[#This Row],[Player]],Proj[Player],0),31),INDEX(Goalie[],MATCH(Table16[[#This Row],[Player]],Goalie[player],0),20)))</f>
        <v/>
      </c>
    </row>
    <row r="681" spans="1:9" x14ac:dyDescent="0.25">
      <c r="A681" t="s">
        <v>905</v>
      </c>
      <c r="B681" s="2" t="s">
        <v>74</v>
      </c>
      <c r="C681" t="str">
        <f t="shared" si="10"/>
        <v>C</v>
      </c>
      <c r="D681" s="10">
        <f>MAX(_xlfn.IFNA(INDEX(Proj[],MATCH(Table16[[#This Row],[Player]],Proj[Player],0),27),-5000), _xlfn.IFNA(INDEX(Goalie[],MATCH(Table16[[#This Row],[Player]],Goalie[player],0),17),-5000))</f>
        <v>-946.10616811517843</v>
      </c>
      <c r="E681">
        <f>_xlfn.RANK.EQ(Table16[[#This Row],[VOR]],Table16[VOR])</f>
        <v>717</v>
      </c>
      <c r="F681" cm="1">
        <f t="array" ref="F681">_xlfn.IFS(C681 = "C",INDEX('C'!$A$2:$L$254,MATCH($A681,'C'!$A$2:$A$254,0),10),C681 = "LW",INDEX(LW!$A$2:$K$180,MATCH($A681,LW!$A$2:$A$180,0),10),C681 = "RW",INDEX('RW'!$A$2:$L$164,MATCH($A681,'RW'!$A$2:$A$164,0),10), C681 = "D",INDEX(D!$A$2:$L$268,MATCH($A681,D!$A$2:$A$268,0),10),C681="G",INDEX(G!$A$2:$Q$78,MATCH($A681,G!$A$2:$A$78,0),16),C681="F",INDEX(F!$A$2:$K$494,MATCH($A681,F!$A$2:$A$494,0),10))</f>
        <v>180</v>
      </c>
      <c r="G681" t="str">
        <f>_xlfn.CONCAT(C681,Table16[[#This Row],[Pos Rank2]])</f>
        <v>C180</v>
      </c>
      <c r="H681" s="10">
        <f>MAX(_xlfn.IFNA(INDEX(Proj[],MATCH(Table16[[#This Row],[Player]],Proj[Player],0),29),-5000), _xlfn.IFNA(INDEX(Goalie[],MATCH(Table16[[#This Row],[Player]],Goalie[player],0),19),-5000))</f>
        <v>-211.47231380487989</v>
      </c>
      <c r="I681" t="str">
        <f>IF(_xlfn.IFNA(INDEX(Proj[],MATCH(Table16[[#This Row],[Player]],Proj[Player],0),31),INDEX(Goalie[],MATCH(Table16[[#This Row],[Player]],Goalie[player],0),20)) = 0, "",_xlfn.IFNA(INDEX(Proj[],MATCH(Table16[[#This Row],[Player]],Proj[Player],0),31),INDEX(Goalie[],MATCH(Table16[[#This Row],[Player]],Goalie[player],0),20)))</f>
        <v/>
      </c>
    </row>
    <row r="682" spans="1:9" x14ac:dyDescent="0.25">
      <c r="A682" t="s">
        <v>645</v>
      </c>
      <c r="B682" s="2" t="s">
        <v>3</v>
      </c>
      <c r="C682" t="str">
        <f t="shared" si="10"/>
        <v>D</v>
      </c>
      <c r="D682" s="10">
        <f>MAX(_xlfn.IFNA(INDEX(Proj[],MATCH(Table16[[#This Row],[Player]],Proj[Player],0),27),-5000), _xlfn.IFNA(INDEX(Goalie[],MATCH(Table16[[#This Row],[Player]],Goalie[player],0),17),-5000))</f>
        <v>-766.85218149228706</v>
      </c>
      <c r="E682">
        <f>_xlfn.RANK.EQ(Table16[[#This Row],[VOR]],Table16[VOR])</f>
        <v>641</v>
      </c>
      <c r="F682" cm="1">
        <f t="array" ref="F682">_xlfn.IFS(C682 = "C",INDEX('C'!$A$2:$L$254,MATCH($A682,'C'!$A$2:$A$254,0),10),C682 = "LW",INDEX(LW!$A$2:$K$180,MATCH($A682,LW!$A$2:$A$180,0),10),C682 = "RW",INDEX('RW'!$A$2:$L$164,MATCH($A682,'RW'!$A$2:$A$164,0),10), C682 = "D",INDEX(D!$A$2:$L$268,MATCH($A682,D!$A$2:$A$268,0),10),C682="G",INDEX(G!$A$2:$Q$78,MATCH($A682,G!$A$2:$A$78,0),16),C682="F",INDEX(F!$A$2:$K$494,MATCH($A682,F!$A$2:$A$494,0),10))</f>
        <v>242</v>
      </c>
      <c r="G682" t="str">
        <f>_xlfn.CONCAT(C682,Table16[[#This Row],[Pos Rank2]])</f>
        <v>D242</v>
      </c>
      <c r="H682" s="10">
        <f>MAX(_xlfn.IFNA(INDEX(Proj[],MATCH(Table16[[#This Row],[Player]],Proj[Player],0),29),-5000), _xlfn.IFNA(INDEX(Goalie[],MATCH(Table16[[#This Row],[Player]],Goalie[player],0),19),-5000))</f>
        <v>-659.48741377282261</v>
      </c>
      <c r="I682" t="str">
        <f>IF(_xlfn.IFNA(INDEX(Proj[],MATCH(Table16[[#This Row],[Player]],Proj[Player],0),31),INDEX(Goalie[],MATCH(Table16[[#This Row],[Player]],Goalie[player],0),20)) = 0, "",_xlfn.IFNA(INDEX(Proj[],MATCH(Table16[[#This Row],[Player]],Proj[Player],0),31),INDEX(Goalie[],MATCH(Table16[[#This Row],[Player]],Goalie[player],0),20)))</f>
        <v/>
      </c>
    </row>
    <row r="683" spans="1:9" x14ac:dyDescent="0.25">
      <c r="A683" t="s">
        <v>1003</v>
      </c>
      <c r="B683" s="2" t="s">
        <v>74</v>
      </c>
      <c r="C683" t="str">
        <f t="shared" si="10"/>
        <v>C</v>
      </c>
      <c r="D683" s="10">
        <f>MAX(_xlfn.IFNA(INDEX(Proj[],MATCH(Table16[[#This Row],[Player]],Proj[Player],0),27),-5000), _xlfn.IFNA(INDEX(Goalie[],MATCH(Table16[[#This Row],[Player]],Goalie[player],0),17),-5000))</f>
        <v>-884.67565428239698</v>
      </c>
      <c r="E683">
        <f>_xlfn.RANK.EQ(Table16[[#This Row],[VOR]],Table16[VOR])</f>
        <v>693</v>
      </c>
      <c r="F683" cm="1">
        <f t="array" ref="F683">_xlfn.IFS(C683 = "C",INDEX('C'!$A$2:$L$254,MATCH($A683,'C'!$A$2:$A$254,0),10),C683 = "LW",INDEX(LW!$A$2:$K$180,MATCH($A683,LW!$A$2:$A$180,0),10),C683 = "RW",INDEX('RW'!$A$2:$L$164,MATCH($A683,'RW'!$A$2:$A$164,0),10), C683 = "D",INDEX(D!$A$2:$L$268,MATCH($A683,D!$A$2:$A$268,0),10),C683="G",INDEX(G!$A$2:$Q$78,MATCH($A683,G!$A$2:$A$78,0),16),C683="F",INDEX(F!$A$2:$K$494,MATCH($A683,F!$A$2:$A$494,0),10))</f>
        <v>171</v>
      </c>
      <c r="G683" t="str">
        <f>_xlfn.CONCAT(C683,Table16[[#This Row],[Pos Rank2]])</f>
        <v>C171</v>
      </c>
      <c r="H683" s="10">
        <f>MAX(_xlfn.IFNA(INDEX(Proj[],MATCH(Table16[[#This Row],[Player]],Proj[Player],0),29),-5000), _xlfn.IFNA(INDEX(Goalie[],MATCH(Table16[[#This Row],[Player]],Goalie[player],0),19),-5000))</f>
        <v>-150.04179997209835</v>
      </c>
      <c r="I683" t="str">
        <f>IF(_xlfn.IFNA(INDEX(Proj[],MATCH(Table16[[#This Row],[Player]],Proj[Player],0),31),INDEX(Goalie[],MATCH(Table16[[#This Row],[Player]],Goalie[player],0),20)) = 0, "",_xlfn.IFNA(INDEX(Proj[],MATCH(Table16[[#This Row],[Player]],Proj[Player],0),31),INDEX(Goalie[],MATCH(Table16[[#This Row],[Player]],Goalie[player],0),20)))</f>
        <v/>
      </c>
    </row>
    <row r="684" spans="1:9" x14ac:dyDescent="0.25">
      <c r="A684" t="s">
        <v>725</v>
      </c>
      <c r="B684" s="2" t="s">
        <v>103</v>
      </c>
      <c r="C684" t="str">
        <f t="shared" si="10"/>
        <v>RW</v>
      </c>
      <c r="D684" s="10">
        <f>MAX(_xlfn.IFNA(INDEX(Proj[],MATCH(Table16[[#This Row],[Player]],Proj[Player],0),27),-5000), _xlfn.IFNA(INDEX(Goalie[],MATCH(Table16[[#This Row],[Player]],Goalie[player],0),17),-5000))</f>
        <v>-843.38793567443327</v>
      </c>
      <c r="E684">
        <f>_xlfn.RANK.EQ(Table16[[#This Row],[VOR]],Table16[VOR])</f>
        <v>685</v>
      </c>
      <c r="F684" cm="1">
        <f t="array" ref="F684">_xlfn.IFS(C684 = "C",INDEX('C'!$A$2:$L$254,MATCH($A684,'C'!$A$2:$A$254,0),10),C684 = "LW",INDEX(LW!$A$2:$K$180,MATCH($A684,LW!$A$2:$A$180,0),10),C684 = "RW",INDEX('RW'!$A$2:$L$164,MATCH($A684,'RW'!$A$2:$A$164,0),10), C684 = "D",INDEX(D!$A$2:$L$268,MATCH($A684,D!$A$2:$A$268,0),10),C684="G",INDEX(G!$A$2:$Q$78,MATCH($A684,G!$A$2:$A$78,0),16),C684="F",INDEX(F!$A$2:$K$494,MATCH($A684,F!$A$2:$A$494,0),10))</f>
        <v>139</v>
      </c>
      <c r="G684" t="str">
        <f>_xlfn.CONCAT(C684,Table16[[#This Row],[Pos Rank2]])</f>
        <v>RW139</v>
      </c>
      <c r="H684" s="10">
        <f>MAX(_xlfn.IFNA(INDEX(Proj[],MATCH(Table16[[#This Row],[Player]],Proj[Player],0),29),-5000), _xlfn.IFNA(INDEX(Goalie[],MATCH(Table16[[#This Row],[Player]],Goalie[player],0),19),-5000))</f>
        <v>-396.84321128418446</v>
      </c>
      <c r="I684" t="str">
        <f>IF(_xlfn.IFNA(INDEX(Proj[],MATCH(Table16[[#This Row],[Player]],Proj[Player],0),31),INDEX(Goalie[],MATCH(Table16[[#This Row],[Player]],Goalie[player],0),20)) = 0, "",_xlfn.IFNA(INDEX(Proj[],MATCH(Table16[[#This Row],[Player]],Proj[Player],0),31),INDEX(Goalie[],MATCH(Table16[[#This Row],[Player]],Goalie[player],0),20)))</f>
        <v/>
      </c>
    </row>
    <row r="685" spans="1:9" x14ac:dyDescent="0.25">
      <c r="A685" t="s">
        <v>706</v>
      </c>
      <c r="B685" s="2" t="s">
        <v>3</v>
      </c>
      <c r="C685" t="str">
        <f t="shared" si="10"/>
        <v>D</v>
      </c>
      <c r="D685" s="10">
        <f>MAX(_xlfn.IFNA(INDEX(Proj[],MATCH(Table16[[#This Row],[Player]],Proj[Player],0),27),-5000), _xlfn.IFNA(INDEX(Goalie[],MATCH(Table16[[#This Row],[Player]],Goalie[player],0),17),-5000))</f>
        <v>-773.79448907812662</v>
      </c>
      <c r="E685">
        <f>_xlfn.RANK.EQ(Table16[[#This Row],[VOR]],Table16[VOR])</f>
        <v>643</v>
      </c>
      <c r="F685" cm="1">
        <f t="array" ref="F685">_xlfn.IFS(C685 = "C",INDEX('C'!$A$2:$L$254,MATCH($A685,'C'!$A$2:$A$254,0),10),C685 = "LW",INDEX(LW!$A$2:$K$180,MATCH($A685,LW!$A$2:$A$180,0),10),C685 = "RW",INDEX('RW'!$A$2:$L$164,MATCH($A685,'RW'!$A$2:$A$164,0),10), C685 = "D",INDEX(D!$A$2:$L$268,MATCH($A685,D!$A$2:$A$268,0),10),C685="G",INDEX(G!$A$2:$Q$78,MATCH($A685,G!$A$2:$A$78,0),16),C685="F",INDEX(F!$A$2:$K$494,MATCH($A685,F!$A$2:$A$494,0),10))</f>
        <v>243</v>
      </c>
      <c r="G685" t="str">
        <f>_xlfn.CONCAT(C685,Table16[[#This Row],[Pos Rank2]])</f>
        <v>D243</v>
      </c>
      <c r="H685" s="10">
        <f>MAX(_xlfn.IFNA(INDEX(Proj[],MATCH(Table16[[#This Row],[Player]],Proj[Player],0),29),-5000), _xlfn.IFNA(INDEX(Goalie[],MATCH(Table16[[#This Row],[Player]],Goalie[player],0),19),-5000))</f>
        <v>-666.42972135866216</v>
      </c>
      <c r="I685" t="str">
        <f>IF(_xlfn.IFNA(INDEX(Proj[],MATCH(Table16[[#This Row],[Player]],Proj[Player],0),31),INDEX(Goalie[],MATCH(Table16[[#This Row],[Player]],Goalie[player],0),20)) = 0, "",_xlfn.IFNA(INDEX(Proj[],MATCH(Table16[[#This Row],[Player]],Proj[Player],0),31),INDEX(Goalie[],MATCH(Table16[[#This Row],[Player]],Goalie[player],0),20)))</f>
        <v/>
      </c>
    </row>
    <row r="686" spans="1:9" x14ac:dyDescent="0.25">
      <c r="A686" t="s">
        <v>1014</v>
      </c>
      <c r="B686" s="2" t="s">
        <v>102</v>
      </c>
      <c r="C686" t="str">
        <f t="shared" si="10"/>
        <v>LW</v>
      </c>
      <c r="D686" s="10">
        <f>MAX(_xlfn.IFNA(INDEX(Proj[],MATCH(Table16[[#This Row],[Player]],Proj[Player],0),27),-5000), _xlfn.IFNA(INDEX(Goalie[],MATCH(Table16[[#This Row],[Player]],Goalie[player],0),17),-5000))</f>
        <v>-835.019590879661</v>
      </c>
      <c r="E686">
        <f>_xlfn.RANK.EQ(Table16[[#This Row],[VOR]],Table16[VOR])</f>
        <v>679</v>
      </c>
      <c r="F686" cm="1">
        <f t="array" ref="F686">_xlfn.IFS(C686 = "C",INDEX('C'!$A$2:$L$254,MATCH($A686,'C'!$A$2:$A$254,0),10),C686 = "LW",INDEX(LW!$A$2:$K$180,MATCH($A686,LW!$A$2:$A$180,0),10),C686 = "RW",INDEX('RW'!$A$2:$L$164,MATCH($A686,'RW'!$A$2:$A$164,0),10), C686 = "D",INDEX(D!$A$2:$L$268,MATCH($A686,D!$A$2:$A$268,0),10),C686="G",INDEX(G!$A$2:$Q$78,MATCH($A686,G!$A$2:$A$78,0),16),C686="F",INDEX(F!$A$2:$K$494,MATCH($A686,F!$A$2:$A$494,0),10))</f>
        <v>151</v>
      </c>
      <c r="G686" t="str">
        <f>_xlfn.CONCAT(C686,Table16[[#This Row],[Pos Rank2]])</f>
        <v>LW151</v>
      </c>
      <c r="H686" s="10">
        <f>MAX(_xlfn.IFNA(INDEX(Proj[],MATCH(Table16[[#This Row],[Player]],Proj[Player],0),29),-5000), _xlfn.IFNA(INDEX(Goalie[],MATCH(Table16[[#This Row],[Player]],Goalie[player],0),19),-5000))</f>
        <v>-363.47486648941214</v>
      </c>
      <c r="I686" t="str">
        <f>IF(_xlfn.IFNA(INDEX(Proj[],MATCH(Table16[[#This Row],[Player]],Proj[Player],0),31),INDEX(Goalie[],MATCH(Table16[[#This Row],[Player]],Goalie[player],0),20)) = 0, "",_xlfn.IFNA(INDEX(Proj[],MATCH(Table16[[#This Row],[Player]],Proj[Player],0),31),INDEX(Goalie[],MATCH(Table16[[#This Row],[Player]],Goalie[player],0),20)))</f>
        <v/>
      </c>
    </row>
    <row r="687" spans="1:9" x14ac:dyDescent="0.25">
      <c r="A687" t="s">
        <v>591</v>
      </c>
      <c r="B687" s="2" t="s">
        <v>74</v>
      </c>
      <c r="C687" t="str">
        <f t="shared" si="10"/>
        <v>C</v>
      </c>
      <c r="D687" s="10">
        <f>MAX(_xlfn.IFNA(INDEX(Proj[],MATCH(Table16[[#This Row],[Player]],Proj[Player],0),27),-5000), _xlfn.IFNA(INDEX(Goalie[],MATCH(Table16[[#This Row],[Player]],Goalie[player],0),17),-5000))</f>
        <v>-967.08824637138946</v>
      </c>
      <c r="E687">
        <f>_xlfn.RANK.EQ(Table16[[#This Row],[VOR]],Table16[VOR])</f>
        <v>725</v>
      </c>
      <c r="F687" cm="1">
        <f t="array" ref="F687">_xlfn.IFS(C687 = "C",INDEX('C'!$A$2:$L$254,MATCH($A687,'C'!$A$2:$A$254,0),10),C687 = "LW",INDEX(LW!$A$2:$K$180,MATCH($A687,LW!$A$2:$A$180,0),10),C687 = "RW",INDEX('RW'!$A$2:$L$164,MATCH($A687,'RW'!$A$2:$A$164,0),10), C687 = "D",INDEX(D!$A$2:$L$268,MATCH($A687,D!$A$2:$A$268,0),10),C687="G",INDEX(G!$A$2:$Q$78,MATCH($A687,G!$A$2:$A$78,0),16),C687="F",INDEX(F!$A$2:$K$494,MATCH($A687,F!$A$2:$A$494,0),10))</f>
        <v>185</v>
      </c>
      <c r="G687" t="str">
        <f>_xlfn.CONCAT(C687,Table16[[#This Row],[Pos Rank2]])</f>
        <v>C185</v>
      </c>
      <c r="H687" s="10">
        <f>MAX(_xlfn.IFNA(INDEX(Proj[],MATCH(Table16[[#This Row],[Player]],Proj[Player],0),29),-5000), _xlfn.IFNA(INDEX(Goalie[],MATCH(Table16[[#This Row],[Player]],Goalie[player],0),19),-5000))</f>
        <v>-232.45439206109086</v>
      </c>
      <c r="I687" t="str">
        <f>IF(_xlfn.IFNA(INDEX(Proj[],MATCH(Table16[[#This Row],[Player]],Proj[Player],0),31),INDEX(Goalie[],MATCH(Table16[[#This Row],[Player]],Goalie[player],0),20)) = 0, "",_xlfn.IFNA(INDEX(Proj[],MATCH(Table16[[#This Row],[Player]],Proj[Player],0),31),INDEX(Goalie[],MATCH(Table16[[#This Row],[Player]],Goalie[player],0),20)))</f>
        <v/>
      </c>
    </row>
    <row r="688" spans="1:9" x14ac:dyDescent="0.25">
      <c r="A688" t="s">
        <v>690</v>
      </c>
      <c r="B688" s="2" t="s">
        <v>3</v>
      </c>
      <c r="C688" t="str">
        <f t="shared" si="10"/>
        <v>D</v>
      </c>
      <c r="D688" s="10">
        <f>MAX(_xlfn.IFNA(INDEX(Proj[],MATCH(Table16[[#This Row],[Player]],Proj[Player],0),27),-5000), _xlfn.IFNA(INDEX(Goalie[],MATCH(Table16[[#This Row],[Player]],Goalie[player],0),17),-5000))</f>
        <v>-782.04017189392289</v>
      </c>
      <c r="E688">
        <f>_xlfn.RANK.EQ(Table16[[#This Row],[VOR]],Table16[VOR])</f>
        <v>649</v>
      </c>
      <c r="F688" cm="1">
        <f t="array" ref="F688">_xlfn.IFS(C688 = "C",INDEX('C'!$A$2:$L$254,MATCH($A688,'C'!$A$2:$A$254,0),10),C688 = "LW",INDEX(LW!$A$2:$K$180,MATCH($A688,LW!$A$2:$A$180,0),10),C688 = "RW",INDEX('RW'!$A$2:$L$164,MATCH($A688,'RW'!$A$2:$A$164,0),10), C688 = "D",INDEX(D!$A$2:$L$268,MATCH($A688,D!$A$2:$A$268,0),10),C688="G",INDEX(G!$A$2:$Q$78,MATCH($A688,G!$A$2:$A$78,0),16),C688="F",INDEX(F!$A$2:$K$494,MATCH($A688,F!$A$2:$A$494,0),10))</f>
        <v>244</v>
      </c>
      <c r="G688" t="str">
        <f>_xlfn.CONCAT(C688,Table16[[#This Row],[Pos Rank2]])</f>
        <v>D244</v>
      </c>
      <c r="H688" s="10">
        <f>MAX(_xlfn.IFNA(INDEX(Proj[],MATCH(Table16[[#This Row],[Player]],Proj[Player],0),29),-5000), _xlfn.IFNA(INDEX(Goalie[],MATCH(Table16[[#This Row],[Player]],Goalie[player],0),19),-5000))</f>
        <v>-674.67540417445844</v>
      </c>
      <c r="I688" t="str">
        <f>IF(_xlfn.IFNA(INDEX(Proj[],MATCH(Table16[[#This Row],[Player]],Proj[Player],0),31),INDEX(Goalie[],MATCH(Table16[[#This Row],[Player]],Goalie[player],0),20)) = 0, "",_xlfn.IFNA(INDEX(Proj[],MATCH(Table16[[#This Row],[Player]],Proj[Player],0),31),INDEX(Goalie[],MATCH(Table16[[#This Row],[Player]],Goalie[player],0),20)))</f>
        <v/>
      </c>
    </row>
    <row r="689" spans="1:9" x14ac:dyDescent="0.25">
      <c r="A689" t="s">
        <v>158</v>
      </c>
      <c r="B689" s="2" t="s">
        <v>157</v>
      </c>
      <c r="C689" t="str">
        <f t="shared" si="10"/>
        <v>G</v>
      </c>
      <c r="D689" s="10">
        <f>MAX(_xlfn.IFNA(INDEX(Proj[],MATCH(Table16[[#This Row],[Player]],Proj[Player],0),27),-5000), _xlfn.IFNA(INDEX(Goalie[],MATCH(Table16[[#This Row],[Player]],Goalie[player],0),17),-5000))</f>
        <v>-815.88545257639191</v>
      </c>
      <c r="E689">
        <f>_xlfn.RANK.EQ(Table16[[#This Row],[VOR]],Table16[VOR])</f>
        <v>673</v>
      </c>
      <c r="F689" cm="1">
        <f t="array" ref="F689">_xlfn.IFS(C689 = "C",INDEX('C'!$A$2:$L$254,MATCH($A689,'C'!$A$2:$A$254,0),10),C689 = "LW",INDEX(LW!$A$2:$K$180,MATCH($A689,LW!$A$2:$A$180,0),10),C689 = "RW",INDEX('RW'!$A$2:$L$164,MATCH($A689,'RW'!$A$2:$A$164,0),10), C689 = "D",INDEX(D!$A$2:$L$268,MATCH($A689,D!$A$2:$A$268,0),10),C689="G",INDEX(G!$A$2:$Q$78,MATCH($A689,G!$A$2:$A$78,0),16),C689="F",INDEX(F!$A$2:$K$494,MATCH($A689,F!$A$2:$A$494,0),10))</f>
        <v>75</v>
      </c>
      <c r="G689" t="str">
        <f>_xlfn.CONCAT(C689,Table16[[#This Row],[Pos Rank2]])</f>
        <v>G75</v>
      </c>
      <c r="H689" s="10">
        <f>MAX(_xlfn.IFNA(INDEX(Proj[],MATCH(Table16[[#This Row],[Player]],Proj[Player],0),29),-5000), _xlfn.IFNA(INDEX(Goalie[],MATCH(Table16[[#This Row],[Player]],Goalie[player],0),19),-5000))</f>
        <v>95.207999999999984</v>
      </c>
      <c r="I689" t="str">
        <f>IF(_xlfn.IFNA(INDEX(Proj[],MATCH(Table16[[#This Row],[Player]],Proj[Player],0),31),INDEX(Goalie[],MATCH(Table16[[#This Row],[Player]],Goalie[player],0),20)) = 0, "",_xlfn.IFNA(INDEX(Proj[],MATCH(Table16[[#This Row],[Player]],Proj[Player],0),31),INDEX(Goalie[],MATCH(Table16[[#This Row],[Player]],Goalie[player],0),20)))</f>
        <v/>
      </c>
    </row>
    <row r="690" spans="1:9" x14ac:dyDescent="0.25">
      <c r="A690" t="s">
        <v>651</v>
      </c>
      <c r="B690" s="2" t="s">
        <v>3</v>
      </c>
      <c r="C690" t="str">
        <f t="shared" si="10"/>
        <v>D</v>
      </c>
      <c r="D690" s="10">
        <f>MAX(_xlfn.IFNA(INDEX(Proj[],MATCH(Table16[[#This Row],[Player]],Proj[Player],0),27),-5000), _xlfn.IFNA(INDEX(Goalie[],MATCH(Table16[[#This Row],[Player]],Goalie[player],0),17),-5000))</f>
        <v>-783.35304542869335</v>
      </c>
      <c r="E690">
        <f>_xlfn.RANK.EQ(Table16[[#This Row],[VOR]],Table16[VOR])</f>
        <v>650</v>
      </c>
      <c r="F690" cm="1">
        <f t="array" ref="F690">_xlfn.IFS(C690 = "C",INDEX('C'!$A$2:$L$254,MATCH($A690,'C'!$A$2:$A$254,0),10),C690 = "LW",INDEX(LW!$A$2:$K$180,MATCH($A690,LW!$A$2:$A$180,0),10),C690 = "RW",INDEX('RW'!$A$2:$L$164,MATCH($A690,'RW'!$A$2:$A$164,0),10), C690 = "D",INDEX(D!$A$2:$L$268,MATCH($A690,D!$A$2:$A$268,0),10),C690="G",INDEX(G!$A$2:$Q$78,MATCH($A690,G!$A$2:$A$78,0),16),C690="F",INDEX(F!$A$2:$K$494,MATCH($A690,F!$A$2:$A$494,0),10))</f>
        <v>245</v>
      </c>
      <c r="G690" t="str">
        <f>_xlfn.CONCAT(C690,Table16[[#This Row],[Pos Rank2]])</f>
        <v>D245</v>
      </c>
      <c r="H690" s="10">
        <f>MAX(_xlfn.IFNA(INDEX(Proj[],MATCH(Table16[[#This Row],[Player]],Proj[Player],0),29),-5000), _xlfn.IFNA(INDEX(Goalie[],MATCH(Table16[[#This Row],[Player]],Goalie[player],0),19),-5000))</f>
        <v>-675.9882777092289</v>
      </c>
      <c r="I690" t="str">
        <f>IF(_xlfn.IFNA(INDEX(Proj[],MATCH(Table16[[#This Row],[Player]],Proj[Player],0),31),INDEX(Goalie[],MATCH(Table16[[#This Row],[Player]],Goalie[player],0),20)) = 0, "",_xlfn.IFNA(INDEX(Proj[],MATCH(Table16[[#This Row],[Player]],Proj[Player],0),31),INDEX(Goalie[],MATCH(Table16[[#This Row],[Player]],Goalie[player],0),20)))</f>
        <v/>
      </c>
    </row>
    <row r="691" spans="1:9" x14ac:dyDescent="0.25">
      <c r="A691" t="s">
        <v>770</v>
      </c>
      <c r="B691" s="2" t="s">
        <v>74</v>
      </c>
      <c r="C691" t="str">
        <f t="shared" si="10"/>
        <v>C</v>
      </c>
      <c r="D691" s="10">
        <f>MAX(_xlfn.IFNA(INDEX(Proj[],MATCH(Table16[[#This Row],[Player]],Proj[Player],0),27),-5000), _xlfn.IFNA(INDEX(Goalie[],MATCH(Table16[[#This Row],[Player]],Goalie[player],0),17),-5000))</f>
        <v>-775.5611832089005</v>
      </c>
      <c r="E691">
        <f>_xlfn.RANK.EQ(Table16[[#This Row],[VOR]],Table16[VOR])</f>
        <v>644</v>
      </c>
      <c r="F691" cm="1">
        <f t="array" ref="F691">_xlfn.IFS(C691 = "C",INDEX('C'!$A$2:$L$254,MATCH($A691,'C'!$A$2:$A$254,0),10),C691 = "LW",INDEX(LW!$A$2:$K$180,MATCH($A691,LW!$A$2:$A$180,0),10),C691 = "RW",INDEX('RW'!$A$2:$L$164,MATCH($A691,'RW'!$A$2:$A$164,0),10), C691 = "D",INDEX(D!$A$2:$L$268,MATCH($A691,D!$A$2:$A$268,0),10),C691="G",INDEX(G!$A$2:$Q$78,MATCH($A691,G!$A$2:$A$78,0),16),C691="F",INDEX(F!$A$2:$K$494,MATCH($A691,F!$A$2:$A$494,0),10))</f>
        <v>151</v>
      </c>
      <c r="G691" t="str">
        <f>_xlfn.CONCAT(C691,Table16[[#This Row],[Pos Rank2]])</f>
        <v>C151</v>
      </c>
      <c r="H691" s="10">
        <f>MAX(_xlfn.IFNA(INDEX(Proj[],MATCH(Table16[[#This Row],[Player]],Proj[Player],0),29),-5000), _xlfn.IFNA(INDEX(Goalie[],MATCH(Table16[[#This Row],[Player]],Goalie[player],0),19),-5000))</f>
        <v>-40.927328898601864</v>
      </c>
      <c r="I691" t="str">
        <f>IF(_xlfn.IFNA(INDEX(Proj[],MATCH(Table16[[#This Row],[Player]],Proj[Player],0),31),INDEX(Goalie[],MATCH(Table16[[#This Row],[Player]],Goalie[player],0),20)) = 0, "",_xlfn.IFNA(INDEX(Proj[],MATCH(Table16[[#This Row],[Player]],Proj[Player],0),31),INDEX(Goalie[],MATCH(Table16[[#This Row],[Player]],Goalie[player],0),20)))</f>
        <v/>
      </c>
    </row>
    <row r="692" spans="1:9" x14ac:dyDescent="0.25">
      <c r="A692" t="s">
        <v>676</v>
      </c>
      <c r="B692" s="2" t="s">
        <v>74</v>
      </c>
      <c r="C692" t="str">
        <f t="shared" si="10"/>
        <v>C</v>
      </c>
      <c r="D692" s="10">
        <f>MAX(_xlfn.IFNA(INDEX(Proj[],MATCH(Table16[[#This Row],[Player]],Proj[Player],0),27),-5000), _xlfn.IFNA(INDEX(Goalie[],MATCH(Table16[[#This Row],[Player]],Goalie[player],0),17),-5000))</f>
        <v>-955.49656704046561</v>
      </c>
      <c r="E692">
        <f>_xlfn.RANK.EQ(Table16[[#This Row],[VOR]],Table16[VOR])</f>
        <v>722</v>
      </c>
      <c r="F692" cm="1">
        <f t="array" ref="F692">_xlfn.IFS(C692 = "C",INDEX('C'!$A$2:$L$254,MATCH($A692,'C'!$A$2:$A$254,0),10),C692 = "LW",INDEX(LW!$A$2:$K$180,MATCH($A692,LW!$A$2:$A$180,0),10),C692 = "RW",INDEX('RW'!$A$2:$L$164,MATCH($A692,'RW'!$A$2:$A$164,0),10), C692 = "D",INDEX(D!$A$2:$L$268,MATCH($A692,D!$A$2:$A$268,0),10),C692="G",INDEX(G!$A$2:$Q$78,MATCH($A692,G!$A$2:$A$78,0),16),C692="F",INDEX(F!$A$2:$K$494,MATCH($A692,F!$A$2:$A$494,0),10))</f>
        <v>184</v>
      </c>
      <c r="G692" t="str">
        <f>_xlfn.CONCAT(C692,Table16[[#This Row],[Pos Rank2]])</f>
        <v>C184</v>
      </c>
      <c r="H692" s="10">
        <f>MAX(_xlfn.IFNA(INDEX(Proj[],MATCH(Table16[[#This Row],[Player]],Proj[Player],0),29),-5000), _xlfn.IFNA(INDEX(Goalie[],MATCH(Table16[[#This Row],[Player]],Goalie[player],0),19),-5000))</f>
        <v>-220.86271273016703</v>
      </c>
      <c r="I692" t="str">
        <f>IF(_xlfn.IFNA(INDEX(Proj[],MATCH(Table16[[#This Row],[Player]],Proj[Player],0),31),INDEX(Goalie[],MATCH(Table16[[#This Row],[Player]],Goalie[player],0),20)) = 0, "",_xlfn.IFNA(INDEX(Proj[],MATCH(Table16[[#This Row],[Player]],Proj[Player],0),31),INDEX(Goalie[],MATCH(Table16[[#This Row],[Player]],Goalie[player],0),20)))</f>
        <v/>
      </c>
    </row>
    <row r="693" spans="1:9" x14ac:dyDescent="0.25">
      <c r="A693" t="s">
        <v>1062</v>
      </c>
      <c r="B693" s="2" t="s">
        <v>3</v>
      </c>
      <c r="C693" t="str">
        <f t="shared" si="10"/>
        <v>D</v>
      </c>
      <c r="D693" s="10">
        <f>MAX(_xlfn.IFNA(INDEX(Proj[],MATCH(Table16[[#This Row],[Player]],Proj[Player],0),27),-5000), _xlfn.IFNA(INDEX(Goalie[],MATCH(Table16[[#This Row],[Player]],Goalie[player],0),17),-5000))</f>
        <v>-788.45717650087806</v>
      </c>
      <c r="E693">
        <f>_xlfn.RANK.EQ(Table16[[#This Row],[VOR]],Table16[VOR])</f>
        <v>653</v>
      </c>
      <c r="F693" cm="1">
        <f t="array" ref="F693">_xlfn.IFS(C693 = "C",INDEX('C'!$A$2:$L$254,MATCH($A693,'C'!$A$2:$A$254,0),10),C693 = "LW",INDEX(LW!$A$2:$K$180,MATCH($A693,LW!$A$2:$A$180,0),10),C693 = "RW",INDEX('RW'!$A$2:$L$164,MATCH($A693,'RW'!$A$2:$A$164,0),10), C693 = "D",INDEX(D!$A$2:$L$268,MATCH($A693,D!$A$2:$A$268,0),10),C693="G",INDEX(G!$A$2:$Q$78,MATCH($A693,G!$A$2:$A$78,0),16),C693="F",INDEX(F!$A$2:$K$494,MATCH($A693,F!$A$2:$A$494,0),10))</f>
        <v>246</v>
      </c>
      <c r="G693" t="str">
        <f>_xlfn.CONCAT(C693,Table16[[#This Row],[Pos Rank2]])</f>
        <v>D246</v>
      </c>
      <c r="H693" s="10">
        <f>MAX(_xlfn.IFNA(INDEX(Proj[],MATCH(Table16[[#This Row],[Player]],Proj[Player],0),29),-5000), _xlfn.IFNA(INDEX(Goalie[],MATCH(Table16[[#This Row],[Player]],Goalie[player],0),19),-5000))</f>
        <v>-681.09240878141361</v>
      </c>
      <c r="I693" t="str">
        <f>IF(_xlfn.IFNA(INDEX(Proj[],MATCH(Table16[[#This Row],[Player]],Proj[Player],0),31),INDEX(Goalie[],MATCH(Table16[[#This Row],[Player]],Goalie[player],0),20)) = 0, "",_xlfn.IFNA(INDEX(Proj[],MATCH(Table16[[#This Row],[Player]],Proj[Player],0),31),INDEX(Goalie[],MATCH(Table16[[#This Row],[Player]],Goalie[player],0),20)))</f>
        <v/>
      </c>
    </row>
    <row r="694" spans="1:9" x14ac:dyDescent="0.25">
      <c r="A694" t="s">
        <v>941</v>
      </c>
      <c r="B694" s="2" t="s">
        <v>3</v>
      </c>
      <c r="C694" t="str">
        <f t="shared" si="10"/>
        <v>D</v>
      </c>
      <c r="D694" s="10">
        <f>MAX(_xlfn.IFNA(INDEX(Proj[],MATCH(Table16[[#This Row],[Player]],Proj[Player],0),27),-5000), _xlfn.IFNA(INDEX(Goalie[],MATCH(Table16[[#This Row],[Player]],Goalie[player],0),17),-5000))</f>
        <v>-789.67488900043782</v>
      </c>
      <c r="E694">
        <f>_xlfn.RANK.EQ(Table16[[#This Row],[VOR]],Table16[VOR])</f>
        <v>655</v>
      </c>
      <c r="F694" cm="1">
        <f t="array" ref="F694">_xlfn.IFS(C694 = "C",INDEX('C'!$A$2:$L$254,MATCH($A694,'C'!$A$2:$A$254,0),10),C694 = "LW",INDEX(LW!$A$2:$K$180,MATCH($A694,LW!$A$2:$A$180,0),10),C694 = "RW",INDEX('RW'!$A$2:$L$164,MATCH($A694,'RW'!$A$2:$A$164,0),10), C694 = "D",INDEX(D!$A$2:$L$268,MATCH($A694,D!$A$2:$A$268,0),10),C694="G",INDEX(G!$A$2:$Q$78,MATCH($A694,G!$A$2:$A$78,0),16),C694="F",INDEX(F!$A$2:$K$494,MATCH($A694,F!$A$2:$A$494,0),10))</f>
        <v>247</v>
      </c>
      <c r="G694" t="str">
        <f>_xlfn.CONCAT(C694,Table16[[#This Row],[Pos Rank2]])</f>
        <v>D247</v>
      </c>
      <c r="H694" s="10">
        <f>MAX(_xlfn.IFNA(INDEX(Proj[],MATCH(Table16[[#This Row],[Player]],Proj[Player],0),29),-5000), _xlfn.IFNA(INDEX(Goalie[],MATCH(Table16[[#This Row],[Player]],Goalie[player],0),19),-5000))</f>
        <v>-682.31012128097336</v>
      </c>
      <c r="I694" t="str">
        <f>IF(_xlfn.IFNA(INDEX(Proj[],MATCH(Table16[[#This Row],[Player]],Proj[Player],0),31),INDEX(Goalie[],MATCH(Table16[[#This Row],[Player]],Goalie[player],0),20)) = 0, "",_xlfn.IFNA(INDEX(Proj[],MATCH(Table16[[#This Row],[Player]],Proj[Player],0),31),INDEX(Goalie[],MATCH(Table16[[#This Row],[Player]],Goalie[player],0),20)))</f>
        <v/>
      </c>
    </row>
    <row r="695" spans="1:9" x14ac:dyDescent="0.25">
      <c r="A695" t="s">
        <v>711</v>
      </c>
      <c r="B695" s="2" t="s">
        <v>103</v>
      </c>
      <c r="C695" t="str">
        <f t="shared" si="10"/>
        <v>RW</v>
      </c>
      <c r="D695" s="10">
        <f>MAX(_xlfn.IFNA(INDEX(Proj[],MATCH(Table16[[#This Row],[Player]],Proj[Player],0),27),-5000), _xlfn.IFNA(INDEX(Goalie[],MATCH(Table16[[#This Row],[Player]],Goalie[player],0),17),-5000))</f>
        <v>-837.47618059940601</v>
      </c>
      <c r="E695">
        <f>_xlfn.RANK.EQ(Table16[[#This Row],[VOR]],Table16[VOR])</f>
        <v>681</v>
      </c>
      <c r="F695" cm="1">
        <f t="array" ref="F695">_xlfn.IFS(C695 = "C",INDEX('C'!$A$2:$L$254,MATCH($A695,'C'!$A$2:$A$254,0),10),C695 = "LW",INDEX(LW!$A$2:$K$180,MATCH($A695,LW!$A$2:$A$180,0),10),C695 = "RW",INDEX('RW'!$A$2:$L$164,MATCH($A695,'RW'!$A$2:$A$164,0),10), C695 = "D",INDEX(D!$A$2:$L$268,MATCH($A695,D!$A$2:$A$268,0),10),C695="G",INDEX(G!$A$2:$Q$78,MATCH($A695,G!$A$2:$A$78,0),16),C695="F",INDEX(F!$A$2:$K$494,MATCH($A695,F!$A$2:$A$494,0),10))</f>
        <v>138</v>
      </c>
      <c r="G695" t="str">
        <f>_xlfn.CONCAT(C695,Table16[[#This Row],[Pos Rank2]])</f>
        <v>RW138</v>
      </c>
      <c r="H695" s="10">
        <f>MAX(_xlfn.IFNA(INDEX(Proj[],MATCH(Table16[[#This Row],[Player]],Proj[Player],0),29),-5000), _xlfn.IFNA(INDEX(Goalie[],MATCH(Table16[[#This Row],[Player]],Goalie[player],0),19),-5000))</f>
        <v>-390.93145620915709</v>
      </c>
      <c r="I695" t="str">
        <f>IF(_xlfn.IFNA(INDEX(Proj[],MATCH(Table16[[#This Row],[Player]],Proj[Player],0),31),INDEX(Goalie[],MATCH(Table16[[#This Row],[Player]],Goalie[player],0),20)) = 0, "",_xlfn.IFNA(INDEX(Proj[],MATCH(Table16[[#This Row],[Player]],Proj[Player],0),31),INDEX(Goalie[],MATCH(Table16[[#This Row],[Player]],Goalie[player],0),20)))</f>
        <v/>
      </c>
    </row>
    <row r="696" spans="1:9" x14ac:dyDescent="0.25">
      <c r="A696" t="s">
        <v>694</v>
      </c>
      <c r="B696" s="2" t="s">
        <v>74</v>
      </c>
      <c r="C696" t="str">
        <f t="shared" si="10"/>
        <v>C</v>
      </c>
      <c r="D696" s="10">
        <f>MAX(_xlfn.IFNA(INDEX(Proj[],MATCH(Table16[[#This Row],[Player]],Proj[Player],0),27),-5000), _xlfn.IFNA(INDEX(Goalie[],MATCH(Table16[[#This Row],[Player]],Goalie[player],0),17),-5000))</f>
        <v>-947.05090347339797</v>
      </c>
      <c r="E696">
        <f>_xlfn.RANK.EQ(Table16[[#This Row],[VOR]],Table16[VOR])</f>
        <v>718</v>
      </c>
      <c r="F696" cm="1">
        <f t="array" ref="F696">_xlfn.IFS(C696 = "C",INDEX('C'!$A$2:$L$254,MATCH($A696,'C'!$A$2:$A$254,0),10),C696 = "LW",INDEX(LW!$A$2:$K$180,MATCH($A696,LW!$A$2:$A$180,0),10),C696 = "RW",INDEX('RW'!$A$2:$L$164,MATCH($A696,'RW'!$A$2:$A$164,0),10), C696 = "D",INDEX(D!$A$2:$L$268,MATCH($A696,D!$A$2:$A$268,0),10),C696="G",INDEX(G!$A$2:$Q$78,MATCH($A696,G!$A$2:$A$78,0),16),C696="F",INDEX(F!$A$2:$K$494,MATCH($A696,F!$A$2:$A$494,0),10))</f>
        <v>181</v>
      </c>
      <c r="G696" t="str">
        <f>_xlfn.CONCAT(C696,Table16[[#This Row],[Pos Rank2]])</f>
        <v>C181</v>
      </c>
      <c r="H696" s="10">
        <f>MAX(_xlfn.IFNA(INDEX(Proj[],MATCH(Table16[[#This Row],[Player]],Proj[Player],0),29),-5000), _xlfn.IFNA(INDEX(Goalie[],MATCH(Table16[[#This Row],[Player]],Goalie[player],0),19),-5000))</f>
        <v>-212.41704916309939</v>
      </c>
      <c r="I696" t="str">
        <f>IF(_xlfn.IFNA(INDEX(Proj[],MATCH(Table16[[#This Row],[Player]],Proj[Player],0),31),INDEX(Goalie[],MATCH(Table16[[#This Row],[Player]],Goalie[player],0),20)) = 0, "",_xlfn.IFNA(INDEX(Proj[],MATCH(Table16[[#This Row],[Player]],Proj[Player],0),31),INDEX(Goalie[],MATCH(Table16[[#This Row],[Player]],Goalie[player],0),20)))</f>
        <v/>
      </c>
    </row>
    <row r="697" spans="1:9" x14ac:dyDescent="0.25">
      <c r="A697" t="s">
        <v>968</v>
      </c>
      <c r="B697" s="2" t="s">
        <v>3</v>
      </c>
      <c r="C697" t="str">
        <f t="shared" si="10"/>
        <v>D</v>
      </c>
      <c r="D697" s="10">
        <f>MAX(_xlfn.IFNA(INDEX(Proj[],MATCH(Table16[[#This Row],[Player]],Proj[Player],0),27),-5000), _xlfn.IFNA(INDEX(Goalie[],MATCH(Table16[[#This Row],[Player]],Goalie[player],0),17),-5000))</f>
        <v>-805.67507927531619</v>
      </c>
      <c r="E697">
        <f>_xlfn.RANK.EQ(Table16[[#This Row],[VOR]],Table16[VOR])</f>
        <v>666</v>
      </c>
      <c r="F697" cm="1">
        <f t="array" ref="F697">_xlfn.IFS(C697 = "C",INDEX('C'!$A$2:$L$254,MATCH($A697,'C'!$A$2:$A$254,0),10),C697 = "LW",INDEX(LW!$A$2:$K$180,MATCH($A697,LW!$A$2:$A$180,0),10),C697 = "RW",INDEX('RW'!$A$2:$L$164,MATCH($A697,'RW'!$A$2:$A$164,0),10), C697 = "D",INDEX(D!$A$2:$L$268,MATCH($A697,D!$A$2:$A$268,0),10),C697="G",INDEX(G!$A$2:$Q$78,MATCH($A697,G!$A$2:$A$78,0),16),C697="F",INDEX(F!$A$2:$K$494,MATCH($A697,F!$A$2:$A$494,0),10))</f>
        <v>248</v>
      </c>
      <c r="G697" t="str">
        <f>_xlfn.CONCAT(C697,Table16[[#This Row],[Pos Rank2]])</f>
        <v>D248</v>
      </c>
      <c r="H697" s="10">
        <f>MAX(_xlfn.IFNA(INDEX(Proj[],MATCH(Table16[[#This Row],[Player]],Proj[Player],0),29),-5000), _xlfn.IFNA(INDEX(Goalie[],MATCH(Table16[[#This Row],[Player]],Goalie[player],0),19),-5000))</f>
        <v>-698.31031155585174</v>
      </c>
      <c r="I697" t="str">
        <f>IF(_xlfn.IFNA(INDEX(Proj[],MATCH(Table16[[#This Row],[Player]],Proj[Player],0),31),INDEX(Goalie[],MATCH(Table16[[#This Row],[Player]],Goalie[player],0),20)) = 0, "",_xlfn.IFNA(INDEX(Proj[],MATCH(Table16[[#This Row],[Player]],Proj[Player],0),31),INDEX(Goalie[],MATCH(Table16[[#This Row],[Player]],Goalie[player],0),20)))</f>
        <v/>
      </c>
    </row>
    <row r="698" spans="1:9" x14ac:dyDescent="0.25">
      <c r="A698" t="s">
        <v>776</v>
      </c>
      <c r="B698" s="2" t="s">
        <v>3</v>
      </c>
      <c r="C698" t="str">
        <f t="shared" si="10"/>
        <v>D</v>
      </c>
      <c r="D698" s="10">
        <f>MAX(_xlfn.IFNA(INDEX(Proj[],MATCH(Table16[[#This Row],[Player]],Proj[Player],0),27),-5000), _xlfn.IFNA(INDEX(Goalie[],MATCH(Table16[[#This Row],[Player]],Goalie[player],0),17),-5000))</f>
        <v>-806.5539720317754</v>
      </c>
      <c r="E698">
        <f>_xlfn.RANK.EQ(Table16[[#This Row],[VOR]],Table16[VOR])</f>
        <v>667</v>
      </c>
      <c r="F698" cm="1">
        <f t="array" ref="F698">_xlfn.IFS(C698 = "C",INDEX('C'!$A$2:$L$254,MATCH($A698,'C'!$A$2:$A$254,0),10),C698 = "LW",INDEX(LW!$A$2:$K$180,MATCH($A698,LW!$A$2:$A$180,0),10),C698 = "RW",INDEX('RW'!$A$2:$L$164,MATCH($A698,'RW'!$A$2:$A$164,0),10), C698 = "D",INDEX(D!$A$2:$L$268,MATCH($A698,D!$A$2:$A$268,0),10),C698="G",INDEX(G!$A$2:$Q$78,MATCH($A698,G!$A$2:$A$78,0),16),C698="F",INDEX(F!$A$2:$K$494,MATCH($A698,F!$A$2:$A$494,0),10))</f>
        <v>249</v>
      </c>
      <c r="G698" t="str">
        <f>_xlfn.CONCAT(C698,Table16[[#This Row],[Pos Rank2]])</f>
        <v>D249</v>
      </c>
      <c r="H698" s="10">
        <f>MAX(_xlfn.IFNA(INDEX(Proj[],MATCH(Table16[[#This Row],[Player]],Proj[Player],0),29),-5000), _xlfn.IFNA(INDEX(Goalie[],MATCH(Table16[[#This Row],[Player]],Goalie[player],0),19),-5000))</f>
        <v>-699.18920431231095</v>
      </c>
      <c r="I698" t="str">
        <f>IF(_xlfn.IFNA(INDEX(Proj[],MATCH(Table16[[#This Row],[Player]],Proj[Player],0),31),INDEX(Goalie[],MATCH(Table16[[#This Row],[Player]],Goalie[player],0),20)) = 0, "",_xlfn.IFNA(INDEX(Proj[],MATCH(Table16[[#This Row],[Player]],Proj[Player],0),31),INDEX(Goalie[],MATCH(Table16[[#This Row],[Player]],Goalie[player],0),20)))</f>
        <v/>
      </c>
    </row>
    <row r="699" spans="1:9" x14ac:dyDescent="0.25">
      <c r="A699" t="s">
        <v>491</v>
      </c>
      <c r="B699" s="2" t="s">
        <v>74</v>
      </c>
      <c r="C699" t="str">
        <f t="shared" si="10"/>
        <v>C</v>
      </c>
      <c r="D699" s="10">
        <f>MAX(_xlfn.IFNA(INDEX(Proj[],MATCH(Table16[[#This Row],[Player]],Proj[Player],0),27),-5000), _xlfn.IFNA(INDEX(Goalie[],MATCH(Table16[[#This Row],[Player]],Goalie[player],0),17),-5000))</f>
        <v>-5000</v>
      </c>
      <c r="E699">
        <f>_xlfn.RANK.EQ(Table16[[#This Row],[VOR]],Table16[VOR])</f>
        <v>832</v>
      </c>
      <c r="F699" t="e" cm="1">
        <f t="array" ref="F699">_xlfn.IFS(C699 = "C",INDEX('C'!$A$2:$L$254,MATCH($A699,'C'!$A$2:$A$254,0),10),C699 = "LW",INDEX(LW!$A$2:$K$180,MATCH($A699,LW!$A$2:$A$180,0),10),C699 = "RW",INDEX('RW'!$A$2:$L$164,MATCH($A699,'RW'!$A$2:$A$164,0),10), C699 = "D",INDEX(D!$A$2:$L$268,MATCH($A699,D!$A$2:$A$268,0),10),C699="G",INDEX(G!$A$2:$Q$78,MATCH($A699,G!$A$2:$A$78,0),16),C699="F",INDEX(F!$A$2:$K$494,MATCH($A699,F!$A$2:$A$494,0),10))</f>
        <v>#N/A</v>
      </c>
      <c r="G699" t="e">
        <f>_xlfn.CONCAT(C699,Table16[[#This Row],[Pos Rank2]])</f>
        <v>#N/A</v>
      </c>
      <c r="H699" s="10">
        <f>MAX(_xlfn.IFNA(INDEX(Proj[],MATCH(Table16[[#This Row],[Player]],Proj[Player],0),29),-5000), _xlfn.IFNA(INDEX(Goalie[],MATCH(Table16[[#This Row],[Player]],Goalie[player],0),19),-5000))</f>
        <v>-5000</v>
      </c>
      <c r="I699" t="e">
        <f>IF(_xlfn.IFNA(INDEX(Proj[],MATCH(Table16[[#This Row],[Player]],Proj[Player],0),31),INDEX(Goalie[],MATCH(Table16[[#This Row],[Player]],Goalie[player],0),20)) = 0, "",_xlfn.IFNA(INDEX(Proj[],MATCH(Table16[[#This Row],[Player]],Proj[Player],0),31),INDEX(Goalie[],MATCH(Table16[[#This Row],[Player]],Goalie[player],0),20)))</f>
        <v>#N/A</v>
      </c>
    </row>
    <row r="700" spans="1:9" x14ac:dyDescent="0.25">
      <c r="A700" t="s">
        <v>1252</v>
      </c>
      <c r="B700" s="2" t="s">
        <v>157</v>
      </c>
      <c r="C700" t="str">
        <f t="shared" si="10"/>
        <v>G</v>
      </c>
      <c r="D700" s="10">
        <f>MAX(_xlfn.IFNA(INDEX(Proj[],MATCH(Table16[[#This Row],[Player]],Proj[Player],0),27),-5000), _xlfn.IFNA(INDEX(Goalie[],MATCH(Table16[[#This Row],[Player]],Goalie[player],0),17),-5000))</f>
        <v>-841.74348545080613</v>
      </c>
      <c r="E700">
        <f>_xlfn.RANK.EQ(Table16[[#This Row],[VOR]],Table16[VOR])</f>
        <v>684</v>
      </c>
      <c r="F700" cm="1">
        <f t="array" ref="F700">_xlfn.IFS(C700 = "C",INDEX('C'!$A$2:$L$254,MATCH($A700,'C'!$A$2:$A$254,0),10),C700 = "LW",INDEX(LW!$A$2:$K$180,MATCH($A700,LW!$A$2:$A$180,0),10),C700 = "RW",INDEX('RW'!$A$2:$L$164,MATCH($A700,'RW'!$A$2:$A$164,0),10), C700 = "D",INDEX(D!$A$2:$L$268,MATCH($A700,D!$A$2:$A$268,0),10),C700="G",INDEX(G!$A$2:$Q$78,MATCH($A700,G!$A$2:$A$78,0),16),C700="F",INDEX(F!$A$2:$K$494,MATCH($A700,F!$A$2:$A$494,0),10))</f>
        <v>76</v>
      </c>
      <c r="G700" t="str">
        <f>_xlfn.CONCAT(C700,Table16[[#This Row],[Pos Rank2]])</f>
        <v>G76</v>
      </c>
      <c r="H700" s="10">
        <f>MAX(_xlfn.IFNA(INDEX(Proj[],MATCH(Table16[[#This Row],[Player]],Proj[Player],0),29),-5000), _xlfn.IFNA(INDEX(Goalie[],MATCH(Table16[[#This Row],[Player]],Goalie[player],0),19),-5000))</f>
        <v>51.918999999999997</v>
      </c>
      <c r="I700" t="str">
        <f>IF(_xlfn.IFNA(INDEX(Proj[],MATCH(Table16[[#This Row],[Player]],Proj[Player],0),31),INDEX(Goalie[],MATCH(Table16[[#This Row],[Player]],Goalie[player],0),20)) = 0, "",_xlfn.IFNA(INDEX(Proj[],MATCH(Table16[[#This Row],[Player]],Proj[Player],0),31),INDEX(Goalie[],MATCH(Table16[[#This Row],[Player]],Goalie[player],0),20)))</f>
        <v/>
      </c>
    </row>
    <row r="701" spans="1:9" x14ac:dyDescent="0.25">
      <c r="A701" t="s">
        <v>1140</v>
      </c>
      <c r="B701" s="2" t="s">
        <v>103</v>
      </c>
      <c r="C701" t="str">
        <f t="shared" si="10"/>
        <v>RW</v>
      </c>
      <c r="D701" s="10">
        <f>MAX(_xlfn.IFNA(INDEX(Proj[],MATCH(Table16[[#This Row],[Player]],Proj[Player],0),27),-5000), _xlfn.IFNA(INDEX(Goalie[],MATCH(Table16[[#This Row],[Player]],Goalie[player],0),17),-5000))</f>
        <v>-865.67018914320352</v>
      </c>
      <c r="E701">
        <f>_xlfn.RANK.EQ(Table16[[#This Row],[VOR]],Table16[VOR])</f>
        <v>687</v>
      </c>
      <c r="F701" cm="1">
        <f t="array" ref="F701">_xlfn.IFS(C701 = "C",INDEX('C'!$A$2:$L$254,MATCH($A701,'C'!$A$2:$A$254,0),10),C701 = "LW",INDEX(LW!$A$2:$K$180,MATCH($A701,LW!$A$2:$A$180,0),10),C701 = "RW",INDEX('RW'!$A$2:$L$164,MATCH($A701,'RW'!$A$2:$A$164,0),10), C701 = "D",INDEX(D!$A$2:$L$268,MATCH($A701,D!$A$2:$A$268,0),10),C701="G",INDEX(G!$A$2:$Q$78,MATCH($A701,G!$A$2:$A$78,0),16),C701="F",INDEX(F!$A$2:$K$494,MATCH($A701,F!$A$2:$A$494,0),10))</f>
        <v>140</v>
      </c>
      <c r="G701" t="str">
        <f>_xlfn.CONCAT(C701,Table16[[#This Row],[Pos Rank2]])</f>
        <v>RW140</v>
      </c>
      <c r="H701" s="10">
        <f>MAX(_xlfn.IFNA(INDEX(Proj[],MATCH(Table16[[#This Row],[Player]],Proj[Player],0),29),-5000), _xlfn.IFNA(INDEX(Goalie[],MATCH(Table16[[#This Row],[Player]],Goalie[player],0),19),-5000))</f>
        <v>-419.12546475295471</v>
      </c>
      <c r="I701" t="str">
        <f>IF(_xlfn.IFNA(INDEX(Proj[],MATCH(Table16[[#This Row],[Player]],Proj[Player],0),31),INDEX(Goalie[],MATCH(Table16[[#This Row],[Player]],Goalie[player],0),20)) = 0, "",_xlfn.IFNA(INDEX(Proj[],MATCH(Table16[[#This Row],[Player]],Proj[Player],0),31),INDEX(Goalie[],MATCH(Table16[[#This Row],[Player]],Goalie[player],0),20)))</f>
        <v/>
      </c>
    </row>
    <row r="702" spans="1:9" x14ac:dyDescent="0.25">
      <c r="A702" t="s">
        <v>808</v>
      </c>
      <c r="B702" s="2" t="s">
        <v>74</v>
      </c>
      <c r="C702" t="str">
        <f t="shared" si="10"/>
        <v>C</v>
      </c>
      <c r="D702" s="10">
        <f>MAX(_xlfn.IFNA(INDEX(Proj[],MATCH(Table16[[#This Row],[Player]],Proj[Player],0),27),-5000), _xlfn.IFNA(INDEX(Goalie[],MATCH(Table16[[#This Row],[Player]],Goalie[player],0),17),-5000))</f>
        <v>-1023.020667216864</v>
      </c>
      <c r="E702">
        <f>_xlfn.RANK.EQ(Table16[[#This Row],[VOR]],Table16[VOR])</f>
        <v>739</v>
      </c>
      <c r="F702" cm="1">
        <f t="array" ref="F702">_xlfn.IFS(C702 = "C",INDEX('C'!$A$2:$L$254,MATCH($A702,'C'!$A$2:$A$254,0),10),C702 = "LW",INDEX(LW!$A$2:$K$180,MATCH($A702,LW!$A$2:$A$180,0),10),C702 = "RW",INDEX('RW'!$A$2:$L$164,MATCH($A702,'RW'!$A$2:$A$164,0),10), C702 = "D",INDEX(D!$A$2:$L$268,MATCH($A702,D!$A$2:$A$268,0),10),C702="G",INDEX(G!$A$2:$Q$78,MATCH($A702,G!$A$2:$A$78,0),16),C702="F",INDEX(F!$A$2:$K$494,MATCH($A702,F!$A$2:$A$494,0),10))</f>
        <v>191</v>
      </c>
      <c r="G702" t="str">
        <f>_xlfn.CONCAT(C702,Table16[[#This Row],[Pos Rank2]])</f>
        <v>C191</v>
      </c>
      <c r="H702" s="10">
        <f>MAX(_xlfn.IFNA(INDEX(Proj[],MATCH(Table16[[#This Row],[Player]],Proj[Player],0),29),-5000), _xlfn.IFNA(INDEX(Goalie[],MATCH(Table16[[#This Row],[Player]],Goalie[player],0),19),-5000))</f>
        <v>-288.38681290656541</v>
      </c>
      <c r="I702" t="str">
        <f>IF(_xlfn.IFNA(INDEX(Proj[],MATCH(Table16[[#This Row],[Player]],Proj[Player],0),31),INDEX(Goalie[],MATCH(Table16[[#This Row],[Player]],Goalie[player],0),20)) = 0, "",_xlfn.IFNA(INDEX(Proj[],MATCH(Table16[[#This Row],[Player]],Proj[Player],0),31),INDEX(Goalie[],MATCH(Table16[[#This Row],[Player]],Goalie[player],0),20)))</f>
        <v/>
      </c>
    </row>
    <row r="703" spans="1:9" x14ac:dyDescent="0.25">
      <c r="A703" t="s">
        <v>590</v>
      </c>
      <c r="B703" s="2" t="s">
        <v>74</v>
      </c>
      <c r="C703" t="str">
        <f t="shared" si="10"/>
        <v>C</v>
      </c>
      <c r="D703" s="10">
        <f>MAX(_xlfn.IFNA(INDEX(Proj[],MATCH(Table16[[#This Row],[Player]],Proj[Player],0),27),-5000), _xlfn.IFNA(INDEX(Goalie[],MATCH(Table16[[#This Row],[Player]],Goalie[player],0),17),-5000))</f>
        <v>-826.39508124668259</v>
      </c>
      <c r="E703">
        <f>_xlfn.RANK.EQ(Table16[[#This Row],[VOR]],Table16[VOR])</f>
        <v>677</v>
      </c>
      <c r="F703" cm="1">
        <f t="array" ref="F703">_xlfn.IFS(C703 = "C",INDEX('C'!$A$2:$L$254,MATCH($A703,'C'!$A$2:$A$254,0),10),C703 = "LW",INDEX(LW!$A$2:$K$180,MATCH($A703,LW!$A$2:$A$180,0),10),C703 = "RW",INDEX('RW'!$A$2:$L$164,MATCH($A703,'RW'!$A$2:$A$164,0),10), C703 = "D",INDEX(D!$A$2:$L$268,MATCH($A703,D!$A$2:$A$268,0),10),C703="G",INDEX(G!$A$2:$Q$78,MATCH($A703,G!$A$2:$A$78,0),16),C703="F",INDEX(F!$A$2:$K$494,MATCH($A703,F!$A$2:$A$494,0),10))</f>
        <v>166</v>
      </c>
      <c r="G703" t="str">
        <f>_xlfn.CONCAT(C703,Table16[[#This Row],[Pos Rank2]])</f>
        <v>C166</v>
      </c>
      <c r="H703" s="10">
        <f>MAX(_xlfn.IFNA(INDEX(Proj[],MATCH(Table16[[#This Row],[Player]],Proj[Player],0),29),-5000), _xlfn.IFNA(INDEX(Goalie[],MATCH(Table16[[#This Row],[Player]],Goalie[player],0),19),-5000))</f>
        <v>-91.761226936383977</v>
      </c>
      <c r="I703" t="str">
        <f>IF(_xlfn.IFNA(INDEX(Proj[],MATCH(Table16[[#This Row],[Player]],Proj[Player],0),31),INDEX(Goalie[],MATCH(Table16[[#This Row],[Player]],Goalie[player],0),20)) = 0, "",_xlfn.IFNA(INDEX(Proj[],MATCH(Table16[[#This Row],[Player]],Proj[Player],0),31),INDEX(Goalie[],MATCH(Table16[[#This Row],[Player]],Goalie[player],0),20)))</f>
        <v/>
      </c>
    </row>
    <row r="704" spans="1:9" x14ac:dyDescent="0.25">
      <c r="A704" t="s">
        <v>734</v>
      </c>
      <c r="B704" s="2" t="s">
        <v>74</v>
      </c>
      <c r="C704" t="str">
        <f t="shared" si="10"/>
        <v>C</v>
      </c>
      <c r="D704" s="10">
        <f>MAX(_xlfn.IFNA(INDEX(Proj[],MATCH(Table16[[#This Row],[Player]],Proj[Player],0),27),-5000), _xlfn.IFNA(INDEX(Goalie[],MATCH(Table16[[#This Row],[Player]],Goalie[player],0),17),-5000))</f>
        <v>-1003.2905189020348</v>
      </c>
      <c r="E704">
        <f>_xlfn.RANK.EQ(Table16[[#This Row],[VOR]],Table16[VOR])</f>
        <v>734</v>
      </c>
      <c r="F704" cm="1">
        <f t="array" ref="F704">_xlfn.IFS(C704 = "C",INDEX('C'!$A$2:$L$254,MATCH($A704,'C'!$A$2:$A$254,0),10),C704 = "LW",INDEX(LW!$A$2:$K$180,MATCH($A704,LW!$A$2:$A$180,0),10),C704 = "RW",INDEX('RW'!$A$2:$L$164,MATCH($A704,'RW'!$A$2:$A$164,0),10), C704 = "D",INDEX(D!$A$2:$L$268,MATCH($A704,D!$A$2:$A$268,0),10),C704="G",INDEX(G!$A$2:$Q$78,MATCH($A704,G!$A$2:$A$78,0),16),C704="F",INDEX(F!$A$2:$K$494,MATCH($A704,F!$A$2:$A$494,0),10))</f>
        <v>189</v>
      </c>
      <c r="G704" t="str">
        <f>_xlfn.CONCAT(C704,Table16[[#This Row],[Pos Rank2]])</f>
        <v>C189</v>
      </c>
      <c r="H704" s="10">
        <f>MAX(_xlfn.IFNA(INDEX(Proj[],MATCH(Table16[[#This Row],[Player]],Proj[Player],0),29),-5000), _xlfn.IFNA(INDEX(Goalie[],MATCH(Table16[[#This Row],[Player]],Goalie[player],0),19),-5000))</f>
        <v>-268.65666459173622</v>
      </c>
      <c r="I704" t="str">
        <f>IF(_xlfn.IFNA(INDEX(Proj[],MATCH(Table16[[#This Row],[Player]],Proj[Player],0),31),INDEX(Goalie[],MATCH(Table16[[#This Row],[Player]],Goalie[player],0),20)) = 0, "",_xlfn.IFNA(INDEX(Proj[],MATCH(Table16[[#This Row],[Player]],Proj[Player],0),31),INDEX(Goalie[],MATCH(Table16[[#This Row],[Player]],Goalie[player],0),20)))</f>
        <v/>
      </c>
    </row>
    <row r="705" spans="1:9" x14ac:dyDescent="0.25">
      <c r="A705" t="s">
        <v>455</v>
      </c>
      <c r="B705" s="2" t="s">
        <v>103</v>
      </c>
      <c r="C705" t="str">
        <f t="shared" si="10"/>
        <v>RW</v>
      </c>
      <c r="D705" s="10">
        <f>MAX(_xlfn.IFNA(INDEX(Proj[],MATCH(Table16[[#This Row],[Player]],Proj[Player],0),27),-5000), _xlfn.IFNA(INDEX(Goalie[],MATCH(Table16[[#This Row],[Player]],Goalie[player],0),17),-5000))</f>
        <v>-881.24629411522017</v>
      </c>
      <c r="E705">
        <f>_xlfn.RANK.EQ(Table16[[#This Row],[VOR]],Table16[VOR])</f>
        <v>691</v>
      </c>
      <c r="F705" cm="1">
        <f t="array" ref="F705">_xlfn.IFS(C705 = "C",INDEX('C'!$A$2:$L$254,MATCH($A705,'C'!$A$2:$A$254,0),10),C705 = "LW",INDEX(LW!$A$2:$K$180,MATCH($A705,LW!$A$2:$A$180,0),10),C705 = "RW",INDEX('RW'!$A$2:$L$164,MATCH($A705,'RW'!$A$2:$A$164,0),10), C705 = "D",INDEX(D!$A$2:$L$268,MATCH($A705,D!$A$2:$A$268,0),10),C705="G",INDEX(G!$A$2:$Q$78,MATCH($A705,G!$A$2:$A$78,0),16),C705="F",INDEX(F!$A$2:$K$494,MATCH($A705,F!$A$2:$A$494,0),10))</f>
        <v>141</v>
      </c>
      <c r="G705" t="str">
        <f>_xlfn.CONCAT(C705,Table16[[#This Row],[Pos Rank2]])</f>
        <v>RW141</v>
      </c>
      <c r="H705" s="10">
        <f>MAX(_xlfn.IFNA(INDEX(Proj[],MATCH(Table16[[#This Row],[Player]],Proj[Player],0),29),-5000), _xlfn.IFNA(INDEX(Goalie[],MATCH(Table16[[#This Row],[Player]],Goalie[player],0),19),-5000))</f>
        <v>-434.70156972497131</v>
      </c>
      <c r="I705" t="str">
        <f>IF(_xlfn.IFNA(INDEX(Proj[],MATCH(Table16[[#This Row],[Player]],Proj[Player],0),31),INDEX(Goalie[],MATCH(Table16[[#This Row],[Player]],Goalie[player],0),20)) = 0, "",_xlfn.IFNA(INDEX(Proj[],MATCH(Table16[[#This Row],[Player]],Proj[Player],0),31),INDEX(Goalie[],MATCH(Table16[[#This Row],[Player]],Goalie[player],0),20)))</f>
        <v/>
      </c>
    </row>
    <row r="706" spans="1:9" x14ac:dyDescent="0.25">
      <c r="A706" t="s">
        <v>589</v>
      </c>
      <c r="B706" s="2" t="s">
        <v>102</v>
      </c>
      <c r="C706" t="str">
        <f t="shared" ref="C706:C769" si="11">SUBSTITUTE(SUBSTITUTE(B706,"C,",""),"LW,","")</f>
        <v>LW</v>
      </c>
      <c r="D706" s="10">
        <f>MAX(_xlfn.IFNA(INDEX(Proj[],MATCH(Table16[[#This Row],[Player]],Proj[Player],0),27),-5000), _xlfn.IFNA(INDEX(Goalie[],MATCH(Table16[[#This Row],[Player]],Goalie[player],0),17),-5000))</f>
        <v>-886.49953082780451</v>
      </c>
      <c r="E706">
        <f>_xlfn.RANK.EQ(Table16[[#This Row],[VOR]],Table16[VOR])</f>
        <v>694</v>
      </c>
      <c r="F706" cm="1">
        <f t="array" ref="F706">_xlfn.IFS(C706 = "C",INDEX('C'!$A$2:$L$254,MATCH($A706,'C'!$A$2:$A$254,0),10),C706 = "LW",INDEX(LW!$A$2:$K$180,MATCH($A706,LW!$A$2:$A$180,0),10),C706 = "RW",INDEX('RW'!$A$2:$L$164,MATCH($A706,'RW'!$A$2:$A$164,0),10), C706 = "D",INDEX(D!$A$2:$L$268,MATCH($A706,D!$A$2:$A$268,0),10),C706="G",INDEX(G!$A$2:$Q$78,MATCH($A706,G!$A$2:$A$78,0),16),C706="F",INDEX(F!$A$2:$K$494,MATCH($A706,F!$A$2:$A$494,0),10))</f>
        <v>153</v>
      </c>
      <c r="G706" t="str">
        <f>_xlfn.CONCAT(C706,Table16[[#This Row],[Pos Rank2]])</f>
        <v>LW153</v>
      </c>
      <c r="H706" s="10">
        <f>MAX(_xlfn.IFNA(INDEX(Proj[],MATCH(Table16[[#This Row],[Player]],Proj[Player],0),29),-5000), _xlfn.IFNA(INDEX(Goalie[],MATCH(Table16[[#This Row],[Player]],Goalie[player],0),19),-5000))</f>
        <v>-414.95480643755565</v>
      </c>
      <c r="I706" t="str">
        <f>IF(_xlfn.IFNA(INDEX(Proj[],MATCH(Table16[[#This Row],[Player]],Proj[Player],0),31),INDEX(Goalie[],MATCH(Table16[[#This Row],[Player]],Goalie[player],0),20)) = 0, "",_xlfn.IFNA(INDEX(Proj[],MATCH(Table16[[#This Row],[Player]],Proj[Player],0),31),INDEX(Goalie[],MATCH(Table16[[#This Row],[Player]],Goalie[player],0),20)))</f>
        <v/>
      </c>
    </row>
    <row r="707" spans="1:9" x14ac:dyDescent="0.25">
      <c r="A707" t="s">
        <v>749</v>
      </c>
      <c r="B707" s="2" t="s">
        <v>102</v>
      </c>
      <c r="C707" t="str">
        <f t="shared" si="11"/>
        <v>LW</v>
      </c>
      <c r="D707" s="10">
        <f>MAX(_xlfn.IFNA(INDEX(Proj[],MATCH(Table16[[#This Row],[Player]],Proj[Player],0),27),-5000), _xlfn.IFNA(INDEX(Goalie[],MATCH(Table16[[#This Row],[Player]],Goalie[player],0),17),-5000))</f>
        <v>-899.81469215175412</v>
      </c>
      <c r="E707">
        <f>_xlfn.RANK.EQ(Table16[[#This Row],[VOR]],Table16[VOR])</f>
        <v>699</v>
      </c>
      <c r="F707" cm="1">
        <f t="array" ref="F707">_xlfn.IFS(C707 = "C",INDEX('C'!$A$2:$L$254,MATCH($A707,'C'!$A$2:$A$254,0),10),C707 = "LW",INDEX(LW!$A$2:$K$180,MATCH($A707,LW!$A$2:$A$180,0),10),C707 = "RW",INDEX('RW'!$A$2:$L$164,MATCH($A707,'RW'!$A$2:$A$164,0),10), C707 = "D",INDEX(D!$A$2:$L$268,MATCH($A707,D!$A$2:$A$268,0),10),C707="G",INDEX(G!$A$2:$Q$78,MATCH($A707,G!$A$2:$A$78,0),16),C707="F",INDEX(F!$A$2:$K$494,MATCH($A707,F!$A$2:$A$494,0),10))</f>
        <v>155</v>
      </c>
      <c r="G707" t="str">
        <f>_xlfn.CONCAT(C707,Table16[[#This Row],[Pos Rank2]])</f>
        <v>LW155</v>
      </c>
      <c r="H707" s="10">
        <f>MAX(_xlfn.IFNA(INDEX(Proj[],MATCH(Table16[[#This Row],[Player]],Proj[Player],0),29),-5000), _xlfn.IFNA(INDEX(Goalie[],MATCH(Table16[[#This Row],[Player]],Goalie[player],0),19),-5000))</f>
        <v>-428.2699677615052</v>
      </c>
      <c r="I707" t="str">
        <f>IF(_xlfn.IFNA(INDEX(Proj[],MATCH(Table16[[#This Row],[Player]],Proj[Player],0),31),INDEX(Goalie[],MATCH(Table16[[#This Row],[Player]],Goalie[player],0),20)) = 0, "",_xlfn.IFNA(INDEX(Proj[],MATCH(Table16[[#This Row],[Player]],Proj[Player],0),31),INDEX(Goalie[],MATCH(Table16[[#This Row],[Player]],Goalie[player],0),20)))</f>
        <v/>
      </c>
    </row>
    <row r="708" spans="1:9" x14ac:dyDescent="0.25">
      <c r="A708" t="s">
        <v>556</v>
      </c>
      <c r="B708" s="2" t="s">
        <v>102</v>
      </c>
      <c r="C708" t="str">
        <f t="shared" si="11"/>
        <v>LW</v>
      </c>
      <c r="D708" s="10">
        <f>MAX(_xlfn.IFNA(INDEX(Proj[],MATCH(Table16[[#This Row],[Player]],Proj[Player],0),27),-5000), _xlfn.IFNA(INDEX(Goalie[],MATCH(Table16[[#This Row],[Player]],Goalie[player],0),17),-5000))</f>
        <v>-870.94523843774141</v>
      </c>
      <c r="E708">
        <f>_xlfn.RANK.EQ(Table16[[#This Row],[VOR]],Table16[VOR])</f>
        <v>689</v>
      </c>
      <c r="F708" cm="1">
        <f t="array" ref="F708">_xlfn.IFS(C708 = "C",INDEX('C'!$A$2:$L$254,MATCH($A708,'C'!$A$2:$A$254,0),10),C708 = "LW",INDEX(LW!$A$2:$K$180,MATCH($A708,LW!$A$2:$A$180,0),10),C708 = "RW",INDEX('RW'!$A$2:$L$164,MATCH($A708,'RW'!$A$2:$A$164,0),10), C708 = "D",INDEX(D!$A$2:$L$268,MATCH($A708,D!$A$2:$A$268,0),10),C708="G",INDEX(G!$A$2:$Q$78,MATCH($A708,G!$A$2:$A$78,0),16),C708="F",INDEX(F!$A$2:$K$494,MATCH($A708,F!$A$2:$A$494,0),10))</f>
        <v>152</v>
      </c>
      <c r="G708" t="str">
        <f>_xlfn.CONCAT(C708,Table16[[#This Row],[Pos Rank2]])</f>
        <v>LW152</v>
      </c>
      <c r="H708" s="10">
        <f>MAX(_xlfn.IFNA(INDEX(Proj[],MATCH(Table16[[#This Row],[Player]],Proj[Player],0),29),-5000), _xlfn.IFNA(INDEX(Goalie[],MATCH(Table16[[#This Row],[Player]],Goalie[player],0),19),-5000))</f>
        <v>-399.40051404749255</v>
      </c>
      <c r="I708" t="str">
        <f>IF(_xlfn.IFNA(INDEX(Proj[],MATCH(Table16[[#This Row],[Player]],Proj[Player],0),31),INDEX(Goalie[],MATCH(Table16[[#This Row],[Player]],Goalie[player],0),20)) = 0, "",_xlfn.IFNA(INDEX(Proj[],MATCH(Table16[[#This Row],[Player]],Proj[Player],0),31),INDEX(Goalie[],MATCH(Table16[[#This Row],[Player]],Goalie[player],0),20)))</f>
        <v/>
      </c>
    </row>
    <row r="709" spans="1:9" x14ac:dyDescent="0.25">
      <c r="A709" t="s">
        <v>736</v>
      </c>
      <c r="B709" s="2" t="s">
        <v>102</v>
      </c>
      <c r="C709" t="str">
        <f t="shared" si="11"/>
        <v>LW</v>
      </c>
      <c r="D709" s="10">
        <f>MAX(_xlfn.IFNA(INDEX(Proj[],MATCH(Table16[[#This Row],[Player]],Proj[Player],0),27),-5000), _xlfn.IFNA(INDEX(Goalie[],MATCH(Table16[[#This Row],[Player]],Goalie[player],0),17),-5000))</f>
        <v>-900.69595517534697</v>
      </c>
      <c r="E709">
        <f>_xlfn.RANK.EQ(Table16[[#This Row],[VOR]],Table16[VOR])</f>
        <v>700</v>
      </c>
      <c r="F709" cm="1">
        <f t="array" ref="F709">_xlfn.IFS(C709 = "C",INDEX('C'!$A$2:$L$254,MATCH($A709,'C'!$A$2:$A$254,0),10),C709 = "LW",INDEX(LW!$A$2:$K$180,MATCH($A709,LW!$A$2:$A$180,0),10),C709 = "RW",INDEX('RW'!$A$2:$L$164,MATCH($A709,'RW'!$A$2:$A$164,0),10), C709 = "D",INDEX(D!$A$2:$L$268,MATCH($A709,D!$A$2:$A$268,0),10),C709="G",INDEX(G!$A$2:$Q$78,MATCH($A709,G!$A$2:$A$78,0),16),C709="F",INDEX(F!$A$2:$K$494,MATCH($A709,F!$A$2:$A$494,0),10))</f>
        <v>156</v>
      </c>
      <c r="G709" t="str">
        <f>_xlfn.CONCAT(C709,Table16[[#This Row],[Pos Rank2]])</f>
        <v>LW156</v>
      </c>
      <c r="H709" s="10">
        <f>MAX(_xlfn.IFNA(INDEX(Proj[],MATCH(Table16[[#This Row],[Player]],Proj[Player],0),29),-5000), _xlfn.IFNA(INDEX(Goalie[],MATCH(Table16[[#This Row],[Player]],Goalie[player],0),19),-5000))</f>
        <v>-429.15123078509811</v>
      </c>
      <c r="I709" t="str">
        <f>IF(_xlfn.IFNA(INDEX(Proj[],MATCH(Table16[[#This Row],[Player]],Proj[Player],0),31),INDEX(Goalie[],MATCH(Table16[[#This Row],[Player]],Goalie[player],0),20)) = 0, "",_xlfn.IFNA(INDEX(Proj[],MATCH(Table16[[#This Row],[Player]],Proj[Player],0),31),INDEX(Goalie[],MATCH(Table16[[#This Row],[Player]],Goalie[player],0),20)))</f>
        <v/>
      </c>
    </row>
    <row r="710" spans="1:9" x14ac:dyDescent="0.25">
      <c r="A710" t="s">
        <v>637</v>
      </c>
      <c r="B710" s="2" t="s">
        <v>74</v>
      </c>
      <c r="C710" t="str">
        <f t="shared" si="11"/>
        <v>C</v>
      </c>
      <c r="D710" s="10">
        <f>MAX(_xlfn.IFNA(INDEX(Proj[],MATCH(Table16[[#This Row],[Player]],Proj[Player],0),27),-5000), _xlfn.IFNA(INDEX(Goalie[],MATCH(Table16[[#This Row],[Player]],Goalie[player],0),17),-5000))</f>
        <v>-1103.1145661170769</v>
      </c>
      <c r="E710">
        <f>_xlfn.RANK.EQ(Table16[[#This Row],[VOR]],Table16[VOR])</f>
        <v>756</v>
      </c>
      <c r="F710" cm="1">
        <f t="array" ref="F710">_xlfn.IFS(C710 = "C",INDEX('C'!$A$2:$L$254,MATCH($A710,'C'!$A$2:$A$254,0),10),C710 = "LW",INDEX(LW!$A$2:$K$180,MATCH($A710,LW!$A$2:$A$180,0),10),C710 = "RW",INDEX('RW'!$A$2:$L$164,MATCH($A710,'RW'!$A$2:$A$164,0),10), C710 = "D",INDEX(D!$A$2:$L$268,MATCH($A710,D!$A$2:$A$268,0),10),C710="G",INDEX(G!$A$2:$Q$78,MATCH($A710,G!$A$2:$A$78,0),16),C710="F",INDEX(F!$A$2:$K$494,MATCH($A710,F!$A$2:$A$494,0),10))</f>
        <v>199</v>
      </c>
      <c r="G710" t="str">
        <f>_xlfn.CONCAT(C710,Table16[[#This Row],[Pos Rank2]])</f>
        <v>C199</v>
      </c>
      <c r="H710" s="10">
        <f>MAX(_xlfn.IFNA(INDEX(Proj[],MATCH(Table16[[#This Row],[Player]],Proj[Player],0),29),-5000), _xlfn.IFNA(INDEX(Goalie[],MATCH(Table16[[#This Row],[Player]],Goalie[player],0),19),-5000))</f>
        <v>-368.48071180677829</v>
      </c>
      <c r="I710" t="str">
        <f>IF(_xlfn.IFNA(INDEX(Proj[],MATCH(Table16[[#This Row],[Player]],Proj[Player],0),31),INDEX(Goalie[],MATCH(Table16[[#This Row],[Player]],Goalie[player],0),20)) = 0, "",_xlfn.IFNA(INDEX(Proj[],MATCH(Table16[[#This Row],[Player]],Proj[Player],0),31),INDEX(Goalie[],MATCH(Table16[[#This Row],[Player]],Goalie[player],0),20)))</f>
        <v/>
      </c>
    </row>
    <row r="711" spans="1:9" x14ac:dyDescent="0.25">
      <c r="A711" t="s">
        <v>657</v>
      </c>
      <c r="B711" s="2" t="s">
        <v>102</v>
      </c>
      <c r="C711" t="str">
        <f t="shared" si="11"/>
        <v>LW</v>
      </c>
      <c r="D711" s="10">
        <f>MAX(_xlfn.IFNA(INDEX(Proj[],MATCH(Table16[[#This Row],[Player]],Proj[Player],0),27),-5000), _xlfn.IFNA(INDEX(Goalie[],MATCH(Table16[[#This Row],[Player]],Goalie[player],0),17),-5000))</f>
        <v>-903.05491752519015</v>
      </c>
      <c r="E711">
        <f>_xlfn.RANK.EQ(Table16[[#This Row],[VOR]],Table16[VOR])</f>
        <v>701</v>
      </c>
      <c r="F711" cm="1">
        <f t="array" ref="F711">_xlfn.IFS(C711 = "C",INDEX('C'!$A$2:$L$254,MATCH($A711,'C'!$A$2:$A$254,0),10),C711 = "LW",INDEX(LW!$A$2:$K$180,MATCH($A711,LW!$A$2:$A$180,0),10),C711 = "RW",INDEX('RW'!$A$2:$L$164,MATCH($A711,'RW'!$A$2:$A$164,0),10), C711 = "D",INDEX(D!$A$2:$L$268,MATCH($A711,D!$A$2:$A$268,0),10),C711="G",INDEX(G!$A$2:$Q$78,MATCH($A711,G!$A$2:$A$78,0),16),C711="F",INDEX(F!$A$2:$K$494,MATCH($A711,F!$A$2:$A$494,0),10))</f>
        <v>157</v>
      </c>
      <c r="G711" t="str">
        <f>_xlfn.CONCAT(C711,Table16[[#This Row],[Pos Rank2]])</f>
        <v>LW157</v>
      </c>
      <c r="H711" s="10">
        <f>MAX(_xlfn.IFNA(INDEX(Proj[],MATCH(Table16[[#This Row],[Player]],Proj[Player],0),29),-5000), _xlfn.IFNA(INDEX(Goalie[],MATCH(Table16[[#This Row],[Player]],Goalie[player],0),19),-5000))</f>
        <v>-431.51019313494129</v>
      </c>
      <c r="I711" t="str">
        <f>IF(_xlfn.IFNA(INDEX(Proj[],MATCH(Table16[[#This Row],[Player]],Proj[Player],0),31),INDEX(Goalie[],MATCH(Table16[[#This Row],[Player]],Goalie[player],0),20)) = 0, "",_xlfn.IFNA(INDEX(Proj[],MATCH(Table16[[#This Row],[Player]],Proj[Player],0),31),INDEX(Goalie[],MATCH(Table16[[#This Row],[Player]],Goalie[player],0),20)))</f>
        <v/>
      </c>
    </row>
    <row r="712" spans="1:9" x14ac:dyDescent="0.25">
      <c r="A712" t="s">
        <v>782</v>
      </c>
      <c r="B712" s="2" t="s">
        <v>3</v>
      </c>
      <c r="C712" t="str">
        <f t="shared" si="11"/>
        <v>D</v>
      </c>
      <c r="D712" s="10">
        <f>MAX(_xlfn.IFNA(INDEX(Proj[],MATCH(Table16[[#This Row],[Player]],Proj[Player],0),27),-5000), _xlfn.IFNA(INDEX(Goalie[],MATCH(Table16[[#This Row],[Player]],Goalie[player],0),17),-5000))</f>
        <v>-836.71331933584429</v>
      </c>
      <c r="E712">
        <f>_xlfn.RANK.EQ(Table16[[#This Row],[VOR]],Table16[VOR])</f>
        <v>680</v>
      </c>
      <c r="F712" cm="1">
        <f t="array" ref="F712">_xlfn.IFS(C712 = "C",INDEX('C'!$A$2:$L$254,MATCH($A712,'C'!$A$2:$A$254,0),10),C712 = "LW",INDEX(LW!$A$2:$K$180,MATCH($A712,LW!$A$2:$A$180,0),10),C712 = "RW",INDEX('RW'!$A$2:$L$164,MATCH($A712,'RW'!$A$2:$A$164,0),10), C712 = "D",INDEX(D!$A$2:$L$268,MATCH($A712,D!$A$2:$A$268,0),10),C712="G",INDEX(G!$A$2:$Q$78,MATCH($A712,G!$A$2:$A$78,0),16),C712="F",INDEX(F!$A$2:$K$494,MATCH($A712,F!$A$2:$A$494,0),10))</f>
        <v>250</v>
      </c>
      <c r="G712" t="str">
        <f>_xlfn.CONCAT(C712,Table16[[#This Row],[Pos Rank2]])</f>
        <v>D250</v>
      </c>
      <c r="H712" s="10">
        <f>MAX(_xlfn.IFNA(INDEX(Proj[],MATCH(Table16[[#This Row],[Player]],Proj[Player],0),29),-5000), _xlfn.IFNA(INDEX(Goalie[],MATCH(Table16[[#This Row],[Player]],Goalie[player],0),19),-5000))</f>
        <v>-729.34855161637984</v>
      </c>
      <c r="I712" t="str">
        <f>IF(_xlfn.IFNA(INDEX(Proj[],MATCH(Table16[[#This Row],[Player]],Proj[Player],0),31),INDEX(Goalie[],MATCH(Table16[[#This Row],[Player]],Goalie[player],0),20)) = 0, "",_xlfn.IFNA(INDEX(Proj[],MATCH(Table16[[#This Row],[Player]],Proj[Player],0),31),INDEX(Goalie[],MATCH(Table16[[#This Row],[Player]],Goalie[player],0),20)))</f>
        <v/>
      </c>
    </row>
    <row r="713" spans="1:9" x14ac:dyDescent="0.25">
      <c r="A713" t="s">
        <v>551</v>
      </c>
      <c r="B713" s="2" t="s">
        <v>103</v>
      </c>
      <c r="C713" t="str">
        <f t="shared" si="11"/>
        <v>RW</v>
      </c>
      <c r="D713" s="10">
        <f>MAX(_xlfn.IFNA(INDEX(Proj[],MATCH(Table16[[#This Row],[Player]],Proj[Player],0),27),-5000), _xlfn.IFNA(INDEX(Goalie[],MATCH(Table16[[#This Row],[Player]],Goalie[player],0),17),-5000))</f>
        <v>-927.76032223152879</v>
      </c>
      <c r="E713">
        <f>_xlfn.RANK.EQ(Table16[[#This Row],[VOR]],Table16[VOR])</f>
        <v>714</v>
      </c>
      <c r="F713" cm="1">
        <f t="array" ref="F713">_xlfn.IFS(C713 = "C",INDEX('C'!$A$2:$L$254,MATCH($A713,'C'!$A$2:$A$254,0),10),C713 = "LW",INDEX(LW!$A$2:$K$180,MATCH($A713,LW!$A$2:$A$180,0),10),C713 = "RW",INDEX('RW'!$A$2:$L$164,MATCH($A713,'RW'!$A$2:$A$164,0),10), C713 = "D",INDEX(D!$A$2:$L$268,MATCH($A713,D!$A$2:$A$268,0),10),C713="G",INDEX(G!$A$2:$Q$78,MATCH($A713,G!$A$2:$A$78,0),16),C713="F",INDEX(F!$A$2:$K$494,MATCH($A713,F!$A$2:$A$494,0),10))</f>
        <v>143</v>
      </c>
      <c r="G713" t="str">
        <f>_xlfn.CONCAT(C713,Table16[[#This Row],[Pos Rank2]])</f>
        <v>RW143</v>
      </c>
      <c r="H713" s="10">
        <f>MAX(_xlfn.IFNA(INDEX(Proj[],MATCH(Table16[[#This Row],[Player]],Proj[Player],0),29),-5000), _xlfn.IFNA(INDEX(Goalie[],MATCH(Table16[[#This Row],[Player]],Goalie[player],0),19),-5000))</f>
        <v>-481.21559784127987</v>
      </c>
      <c r="I713" t="str">
        <f>IF(_xlfn.IFNA(INDEX(Proj[],MATCH(Table16[[#This Row],[Player]],Proj[Player],0),31),INDEX(Goalie[],MATCH(Table16[[#This Row],[Player]],Goalie[player],0),20)) = 0, "",_xlfn.IFNA(INDEX(Proj[],MATCH(Table16[[#This Row],[Player]],Proj[Player],0),31),INDEX(Goalie[],MATCH(Table16[[#This Row],[Player]],Goalie[player],0),20)))</f>
        <v/>
      </c>
    </row>
    <row r="714" spans="1:9" x14ac:dyDescent="0.25">
      <c r="A714" t="s">
        <v>675</v>
      </c>
      <c r="B714" s="2" t="s">
        <v>3</v>
      </c>
      <c r="C714" t="str">
        <f t="shared" si="11"/>
        <v>D</v>
      </c>
      <c r="D714" s="10">
        <f>MAX(_xlfn.IFNA(INDEX(Proj[],MATCH(Table16[[#This Row],[Player]],Proj[Player],0),27),-5000), _xlfn.IFNA(INDEX(Goalie[],MATCH(Table16[[#This Row],[Player]],Goalie[player],0),17),-5000))</f>
        <v>-840.21799191284174</v>
      </c>
      <c r="E714">
        <f>_xlfn.RANK.EQ(Table16[[#This Row],[VOR]],Table16[VOR])</f>
        <v>683</v>
      </c>
      <c r="F714" cm="1">
        <f t="array" ref="F714">_xlfn.IFS(C714 = "C",INDEX('C'!$A$2:$L$254,MATCH($A714,'C'!$A$2:$A$254,0),10),C714 = "LW",INDEX(LW!$A$2:$K$180,MATCH($A714,LW!$A$2:$A$180,0),10),C714 = "RW",INDEX('RW'!$A$2:$L$164,MATCH($A714,'RW'!$A$2:$A$164,0),10), C714 = "D",INDEX(D!$A$2:$L$268,MATCH($A714,D!$A$2:$A$268,0),10),C714="G",INDEX(G!$A$2:$Q$78,MATCH($A714,G!$A$2:$A$78,0),16),C714="F",INDEX(F!$A$2:$K$494,MATCH($A714,F!$A$2:$A$494,0),10))</f>
        <v>251</v>
      </c>
      <c r="G714" t="str">
        <f>_xlfn.CONCAT(C714,Table16[[#This Row],[Pos Rank2]])</f>
        <v>D251</v>
      </c>
      <c r="H714" s="10">
        <f>MAX(_xlfn.IFNA(INDEX(Proj[],MATCH(Table16[[#This Row],[Player]],Proj[Player],0),29),-5000), _xlfn.IFNA(INDEX(Goalie[],MATCH(Table16[[#This Row],[Player]],Goalie[player],0),19),-5000))</f>
        <v>-732.85322419337729</v>
      </c>
      <c r="I714" t="str">
        <f>IF(_xlfn.IFNA(INDEX(Proj[],MATCH(Table16[[#This Row],[Player]],Proj[Player],0),31),INDEX(Goalie[],MATCH(Table16[[#This Row],[Player]],Goalie[player],0),20)) = 0, "",_xlfn.IFNA(INDEX(Proj[],MATCH(Table16[[#This Row],[Player]],Proj[Player],0),31),INDEX(Goalie[],MATCH(Table16[[#This Row],[Player]],Goalie[player],0),20)))</f>
        <v/>
      </c>
    </row>
    <row r="715" spans="1:9" x14ac:dyDescent="0.25">
      <c r="A715" t="s">
        <v>561</v>
      </c>
      <c r="B715" s="2" t="s">
        <v>102</v>
      </c>
      <c r="C715" t="str">
        <f t="shared" si="11"/>
        <v>LW</v>
      </c>
      <c r="D715" s="10">
        <f>MAX(_xlfn.IFNA(INDEX(Proj[],MATCH(Table16[[#This Row],[Player]],Proj[Player],0),27),-5000), _xlfn.IFNA(INDEX(Goalie[],MATCH(Table16[[#This Row],[Player]],Goalie[player],0),17),-5000))</f>
        <v>-918.47086408610164</v>
      </c>
      <c r="E715">
        <f>_xlfn.RANK.EQ(Table16[[#This Row],[VOR]],Table16[VOR])</f>
        <v>711</v>
      </c>
      <c r="F715" cm="1">
        <f t="array" ref="F715">_xlfn.IFS(C715 = "C",INDEX('C'!$A$2:$L$254,MATCH($A715,'C'!$A$2:$A$254,0),10),C715 = "LW",INDEX(LW!$A$2:$K$180,MATCH($A715,LW!$A$2:$A$180,0),10),C715 = "RW",INDEX('RW'!$A$2:$L$164,MATCH($A715,'RW'!$A$2:$A$164,0),10), C715 = "D",INDEX(D!$A$2:$L$268,MATCH($A715,D!$A$2:$A$268,0),10),C715="G",INDEX(G!$A$2:$Q$78,MATCH($A715,G!$A$2:$A$78,0),16),C715="F",INDEX(F!$A$2:$K$494,MATCH($A715,F!$A$2:$A$494,0),10))</f>
        <v>159</v>
      </c>
      <c r="G715" t="str">
        <f>_xlfn.CONCAT(C715,Table16[[#This Row],[Pos Rank2]])</f>
        <v>LW159</v>
      </c>
      <c r="H715" s="10">
        <f>MAX(_xlfn.IFNA(INDEX(Proj[],MATCH(Table16[[#This Row],[Player]],Proj[Player],0),29),-5000), _xlfn.IFNA(INDEX(Goalie[],MATCH(Table16[[#This Row],[Player]],Goalie[player],0),19),-5000))</f>
        <v>-446.92613969585278</v>
      </c>
      <c r="I715" t="str">
        <f>IF(_xlfn.IFNA(INDEX(Proj[],MATCH(Table16[[#This Row],[Player]],Proj[Player],0),31),INDEX(Goalie[],MATCH(Table16[[#This Row],[Player]],Goalie[player],0),20)) = 0, "",_xlfn.IFNA(INDEX(Proj[],MATCH(Table16[[#This Row],[Player]],Proj[Player],0),31),INDEX(Goalie[],MATCH(Table16[[#This Row],[Player]],Goalie[player],0),20)))</f>
        <v/>
      </c>
    </row>
    <row r="716" spans="1:9" x14ac:dyDescent="0.25">
      <c r="A716" t="s">
        <v>662</v>
      </c>
      <c r="B716" s="2" t="s">
        <v>102</v>
      </c>
      <c r="C716" t="str">
        <f t="shared" si="11"/>
        <v>LW</v>
      </c>
      <c r="D716" s="10">
        <f>MAX(_xlfn.IFNA(INDEX(Proj[],MATCH(Table16[[#This Row],[Player]],Proj[Player],0),27),-5000), _xlfn.IFNA(INDEX(Goalie[],MATCH(Table16[[#This Row],[Player]],Goalie[player],0),17),-5000))</f>
        <v>-924.65235905476925</v>
      </c>
      <c r="E716">
        <f>_xlfn.RANK.EQ(Table16[[#This Row],[VOR]],Table16[VOR])</f>
        <v>713</v>
      </c>
      <c r="F716" cm="1">
        <f t="array" ref="F716">_xlfn.IFS(C716 = "C",INDEX('C'!$A$2:$L$254,MATCH($A716,'C'!$A$2:$A$254,0),10),C716 = "LW",INDEX(LW!$A$2:$K$180,MATCH($A716,LW!$A$2:$A$180,0),10),C716 = "RW",INDEX('RW'!$A$2:$L$164,MATCH($A716,'RW'!$A$2:$A$164,0),10), C716 = "D",INDEX(D!$A$2:$L$268,MATCH($A716,D!$A$2:$A$268,0),10),C716="G",INDEX(G!$A$2:$Q$78,MATCH($A716,G!$A$2:$A$78,0),16),C716="F",INDEX(F!$A$2:$K$494,MATCH($A716,F!$A$2:$A$494,0),10))</f>
        <v>161</v>
      </c>
      <c r="G716" t="str">
        <f>_xlfn.CONCAT(C716,Table16[[#This Row],[Pos Rank2]])</f>
        <v>LW161</v>
      </c>
      <c r="H716" s="10">
        <f>MAX(_xlfn.IFNA(INDEX(Proj[],MATCH(Table16[[#This Row],[Player]],Proj[Player],0),29),-5000), _xlfn.IFNA(INDEX(Goalie[],MATCH(Table16[[#This Row],[Player]],Goalie[player],0),19),-5000))</f>
        <v>-453.10763466452045</v>
      </c>
      <c r="I716" t="str">
        <f>IF(_xlfn.IFNA(INDEX(Proj[],MATCH(Table16[[#This Row],[Player]],Proj[Player],0),31),INDEX(Goalie[],MATCH(Table16[[#This Row],[Player]],Goalie[player],0),20)) = 0, "",_xlfn.IFNA(INDEX(Proj[],MATCH(Table16[[#This Row],[Player]],Proj[Player],0),31),INDEX(Goalie[],MATCH(Table16[[#This Row],[Player]],Goalie[player],0),20)))</f>
        <v/>
      </c>
    </row>
    <row r="717" spans="1:9" x14ac:dyDescent="0.25">
      <c r="A717" t="s">
        <v>773</v>
      </c>
      <c r="B717" s="2" t="s">
        <v>74</v>
      </c>
      <c r="C717" t="str">
        <f t="shared" si="11"/>
        <v>C</v>
      </c>
      <c r="D717" s="10">
        <f>MAX(_xlfn.IFNA(INDEX(Proj[],MATCH(Table16[[#This Row],[Player]],Proj[Player],0),27),-5000), _xlfn.IFNA(INDEX(Goalie[],MATCH(Table16[[#This Row],[Player]],Goalie[player],0),17),-5000))</f>
        <v>-997.13473934814442</v>
      </c>
      <c r="E717">
        <f>_xlfn.RANK.EQ(Table16[[#This Row],[VOR]],Table16[VOR])</f>
        <v>733</v>
      </c>
      <c r="F717" cm="1">
        <f t="array" ref="F717">_xlfn.IFS(C717 = "C",INDEX('C'!$A$2:$L$254,MATCH($A717,'C'!$A$2:$A$254,0),10),C717 = "LW",INDEX(LW!$A$2:$K$180,MATCH($A717,LW!$A$2:$A$180,0),10),C717 = "RW",INDEX('RW'!$A$2:$L$164,MATCH($A717,'RW'!$A$2:$A$164,0),10), C717 = "D",INDEX(D!$A$2:$L$268,MATCH($A717,D!$A$2:$A$268,0),10),C717="G",INDEX(G!$A$2:$Q$78,MATCH($A717,G!$A$2:$A$78,0),16),C717="F",INDEX(F!$A$2:$K$494,MATCH($A717,F!$A$2:$A$494,0),10))</f>
        <v>188</v>
      </c>
      <c r="G717" t="str">
        <f>_xlfn.CONCAT(C717,Table16[[#This Row],[Pos Rank2]])</f>
        <v>C188</v>
      </c>
      <c r="H717" s="10">
        <f>MAX(_xlfn.IFNA(INDEX(Proj[],MATCH(Table16[[#This Row],[Player]],Proj[Player],0),29),-5000), _xlfn.IFNA(INDEX(Goalie[],MATCH(Table16[[#This Row],[Player]],Goalie[player],0),19),-5000))</f>
        <v>-262.50088503784588</v>
      </c>
      <c r="I717" t="str">
        <f>IF(_xlfn.IFNA(INDEX(Proj[],MATCH(Table16[[#This Row],[Player]],Proj[Player],0),31),INDEX(Goalie[],MATCH(Table16[[#This Row],[Player]],Goalie[player],0),20)) = 0, "",_xlfn.IFNA(INDEX(Proj[],MATCH(Table16[[#This Row],[Player]],Proj[Player],0),31),INDEX(Goalie[],MATCH(Table16[[#This Row],[Player]],Goalie[player],0),20)))</f>
        <v/>
      </c>
    </row>
    <row r="718" spans="1:9" x14ac:dyDescent="0.25">
      <c r="A718" t="s">
        <v>1006</v>
      </c>
      <c r="B718" s="2" t="s">
        <v>103</v>
      </c>
      <c r="C718" t="str">
        <f t="shared" si="11"/>
        <v>RW</v>
      </c>
      <c r="D718" s="10">
        <f>MAX(_xlfn.IFNA(INDEX(Proj[],MATCH(Table16[[#This Row],[Player]],Proj[Player],0),27),-5000), _xlfn.IFNA(INDEX(Goalie[],MATCH(Table16[[#This Row],[Player]],Goalie[player],0),17),-5000))</f>
        <v>-911.13619286189828</v>
      </c>
      <c r="E718">
        <f>_xlfn.RANK.EQ(Table16[[#This Row],[VOR]],Table16[VOR])</f>
        <v>706</v>
      </c>
      <c r="F718" cm="1">
        <f t="array" ref="F718">_xlfn.IFS(C718 = "C",INDEX('C'!$A$2:$L$254,MATCH($A718,'C'!$A$2:$A$254,0),10),C718 = "LW",INDEX(LW!$A$2:$K$180,MATCH($A718,LW!$A$2:$A$180,0),10),C718 = "RW",INDEX('RW'!$A$2:$L$164,MATCH($A718,'RW'!$A$2:$A$164,0),10), C718 = "D",INDEX(D!$A$2:$L$268,MATCH($A718,D!$A$2:$A$268,0),10),C718="G",INDEX(G!$A$2:$Q$78,MATCH($A718,G!$A$2:$A$78,0),16),C718="F",INDEX(F!$A$2:$K$494,MATCH($A718,F!$A$2:$A$494,0),10))</f>
        <v>142</v>
      </c>
      <c r="G718" t="str">
        <f>_xlfn.CONCAT(C718,Table16[[#This Row],[Pos Rank2]])</f>
        <v>RW142</v>
      </c>
      <c r="H718" s="10">
        <f>MAX(_xlfn.IFNA(INDEX(Proj[],MATCH(Table16[[#This Row],[Player]],Proj[Player],0),29),-5000), _xlfn.IFNA(INDEX(Goalie[],MATCH(Table16[[#This Row],[Player]],Goalie[player],0),19),-5000))</f>
        <v>-464.59146847164948</v>
      </c>
      <c r="I718" t="str">
        <f>IF(_xlfn.IFNA(INDEX(Proj[],MATCH(Table16[[#This Row],[Player]],Proj[Player],0),31),INDEX(Goalie[],MATCH(Table16[[#This Row],[Player]],Goalie[player],0),20)) = 0, "",_xlfn.IFNA(INDEX(Proj[],MATCH(Table16[[#This Row],[Player]],Proj[Player],0),31),INDEX(Goalie[],MATCH(Table16[[#This Row],[Player]],Goalie[player],0),20)))</f>
        <v/>
      </c>
    </row>
    <row r="719" spans="1:9" x14ac:dyDescent="0.25">
      <c r="A719" t="s">
        <v>656</v>
      </c>
      <c r="B719" s="2" t="s">
        <v>74</v>
      </c>
      <c r="C719" t="str">
        <f t="shared" si="11"/>
        <v>C</v>
      </c>
      <c r="D719" s="10">
        <f>MAX(_xlfn.IFNA(INDEX(Proj[],MATCH(Table16[[#This Row],[Player]],Proj[Player],0),27),-5000), _xlfn.IFNA(INDEX(Goalie[],MATCH(Table16[[#This Row],[Player]],Goalie[player],0),17),-5000))</f>
        <v>-951.33321828858323</v>
      </c>
      <c r="E719">
        <f>_xlfn.RANK.EQ(Table16[[#This Row],[VOR]],Table16[VOR])</f>
        <v>720</v>
      </c>
      <c r="F719" cm="1">
        <f t="array" ref="F719">_xlfn.IFS(C719 = "C",INDEX('C'!$A$2:$L$254,MATCH($A719,'C'!$A$2:$A$254,0),10),C719 = "LW",INDEX(LW!$A$2:$K$180,MATCH($A719,LW!$A$2:$A$180,0),10),C719 = "RW",INDEX('RW'!$A$2:$L$164,MATCH($A719,'RW'!$A$2:$A$164,0),10), C719 = "D",INDEX(D!$A$2:$L$268,MATCH($A719,D!$A$2:$A$268,0),10),C719="G",INDEX(G!$A$2:$Q$78,MATCH($A719,G!$A$2:$A$78,0),16),C719="F",INDEX(F!$A$2:$K$494,MATCH($A719,F!$A$2:$A$494,0),10))</f>
        <v>182</v>
      </c>
      <c r="G719" t="str">
        <f>_xlfn.CONCAT(C719,Table16[[#This Row],[Pos Rank2]])</f>
        <v>C182</v>
      </c>
      <c r="H719" s="10">
        <f>MAX(_xlfn.IFNA(INDEX(Proj[],MATCH(Table16[[#This Row],[Player]],Proj[Player],0),29),-5000), _xlfn.IFNA(INDEX(Goalie[],MATCH(Table16[[#This Row],[Player]],Goalie[player],0),19),-5000))</f>
        <v>-216.69936397828465</v>
      </c>
      <c r="I719" t="str">
        <f>IF(_xlfn.IFNA(INDEX(Proj[],MATCH(Table16[[#This Row],[Player]],Proj[Player],0),31),INDEX(Goalie[],MATCH(Table16[[#This Row],[Player]],Goalie[player],0),20)) = 0, "",_xlfn.IFNA(INDEX(Proj[],MATCH(Table16[[#This Row],[Player]],Proj[Player],0),31),INDEX(Goalie[],MATCH(Table16[[#This Row],[Player]],Goalie[player],0),20)))</f>
        <v/>
      </c>
    </row>
    <row r="720" spans="1:9" x14ac:dyDescent="0.25">
      <c r="A720" t="s">
        <v>600</v>
      </c>
      <c r="B720" s="2" t="s">
        <v>102</v>
      </c>
      <c r="C720" t="str">
        <f t="shared" si="11"/>
        <v>LW</v>
      </c>
      <c r="D720" s="10">
        <f>MAX(_xlfn.IFNA(INDEX(Proj[],MATCH(Table16[[#This Row],[Player]],Proj[Player],0),27),-5000), _xlfn.IFNA(INDEX(Goalie[],MATCH(Table16[[#This Row],[Player]],Goalie[player],0),17),-5000))</f>
        <v>-922.414010098272</v>
      </c>
      <c r="E720">
        <f>_xlfn.RANK.EQ(Table16[[#This Row],[VOR]],Table16[VOR])</f>
        <v>712</v>
      </c>
      <c r="F720" cm="1">
        <f t="array" ref="F720">_xlfn.IFS(C720 = "C",INDEX('C'!$A$2:$L$254,MATCH($A720,'C'!$A$2:$A$254,0),10),C720 = "LW",INDEX(LW!$A$2:$K$180,MATCH($A720,LW!$A$2:$A$180,0),10),C720 = "RW",INDEX('RW'!$A$2:$L$164,MATCH($A720,'RW'!$A$2:$A$164,0),10), C720 = "D",INDEX(D!$A$2:$L$268,MATCH($A720,D!$A$2:$A$268,0),10),C720="G",INDEX(G!$A$2:$Q$78,MATCH($A720,G!$A$2:$A$78,0),16),C720="F",INDEX(F!$A$2:$K$494,MATCH($A720,F!$A$2:$A$494,0),10))</f>
        <v>160</v>
      </c>
      <c r="G720" t="str">
        <f>_xlfn.CONCAT(C720,Table16[[#This Row],[Pos Rank2]])</f>
        <v>LW160</v>
      </c>
      <c r="H720" s="10">
        <f>MAX(_xlfn.IFNA(INDEX(Proj[],MATCH(Table16[[#This Row],[Player]],Proj[Player],0),29),-5000), _xlfn.IFNA(INDEX(Goalie[],MATCH(Table16[[#This Row],[Player]],Goalie[player],0),19),-5000))</f>
        <v>-450.86928570802314</v>
      </c>
      <c r="I720" t="str">
        <f>IF(_xlfn.IFNA(INDEX(Proj[],MATCH(Table16[[#This Row],[Player]],Proj[Player],0),31),INDEX(Goalie[],MATCH(Table16[[#This Row],[Player]],Goalie[player],0),20)) = 0, "",_xlfn.IFNA(INDEX(Proj[],MATCH(Table16[[#This Row],[Player]],Proj[Player],0),31),INDEX(Goalie[],MATCH(Table16[[#This Row],[Player]],Goalie[player],0),20)))</f>
        <v/>
      </c>
    </row>
    <row r="721" spans="1:9" x14ac:dyDescent="0.25">
      <c r="A721" t="s">
        <v>742</v>
      </c>
      <c r="B721" s="2" t="s">
        <v>74</v>
      </c>
      <c r="C721" t="str">
        <f t="shared" si="11"/>
        <v>C</v>
      </c>
      <c r="D721" s="10">
        <f>MAX(_xlfn.IFNA(INDEX(Proj[],MATCH(Table16[[#This Row],[Player]],Proj[Player],0),27),-5000), _xlfn.IFNA(INDEX(Goalie[],MATCH(Table16[[#This Row],[Player]],Goalie[player],0),17),-5000))</f>
        <v>-1091.8301923768502</v>
      </c>
      <c r="E721">
        <f>_xlfn.RANK.EQ(Table16[[#This Row],[VOR]],Table16[VOR])</f>
        <v>754</v>
      </c>
      <c r="F721" cm="1">
        <f t="array" ref="F721">_xlfn.IFS(C721 = "C",INDEX('C'!$A$2:$L$254,MATCH($A721,'C'!$A$2:$A$254,0),10),C721 = "LW",INDEX(LW!$A$2:$K$180,MATCH($A721,LW!$A$2:$A$180,0),10),C721 = "RW",INDEX('RW'!$A$2:$L$164,MATCH($A721,'RW'!$A$2:$A$164,0),10), C721 = "D",INDEX(D!$A$2:$L$268,MATCH($A721,D!$A$2:$A$268,0),10),C721="G",INDEX(G!$A$2:$Q$78,MATCH($A721,G!$A$2:$A$78,0),16),C721="F",INDEX(F!$A$2:$K$494,MATCH($A721,F!$A$2:$A$494,0),10))</f>
        <v>198</v>
      </c>
      <c r="G721" t="str">
        <f>_xlfn.CONCAT(C721,Table16[[#This Row],[Pos Rank2]])</f>
        <v>C198</v>
      </c>
      <c r="H721" s="10">
        <f>MAX(_xlfn.IFNA(INDEX(Proj[],MATCH(Table16[[#This Row],[Player]],Proj[Player],0),29),-5000), _xlfn.IFNA(INDEX(Goalie[],MATCH(Table16[[#This Row],[Player]],Goalie[player],0),19),-5000))</f>
        <v>-357.19633806655156</v>
      </c>
      <c r="I721" t="str">
        <f>IF(_xlfn.IFNA(INDEX(Proj[],MATCH(Table16[[#This Row],[Player]],Proj[Player],0),31),INDEX(Goalie[],MATCH(Table16[[#This Row],[Player]],Goalie[player],0),20)) = 0, "",_xlfn.IFNA(INDEX(Proj[],MATCH(Table16[[#This Row],[Player]],Proj[Player],0),31),INDEX(Goalie[],MATCH(Table16[[#This Row],[Player]],Goalie[player],0),20)))</f>
        <v/>
      </c>
    </row>
    <row r="722" spans="1:9" x14ac:dyDescent="0.25">
      <c r="A722" t="s">
        <v>859</v>
      </c>
      <c r="B722" s="2" t="s">
        <v>74</v>
      </c>
      <c r="C722" t="str">
        <f t="shared" si="11"/>
        <v>C</v>
      </c>
      <c r="D722" s="10">
        <f>MAX(_xlfn.IFNA(INDEX(Proj[],MATCH(Table16[[#This Row],[Player]],Proj[Player],0),27),-5000), _xlfn.IFNA(INDEX(Goalie[],MATCH(Table16[[#This Row],[Player]],Goalie[player],0),17),-5000))</f>
        <v>-1137.317285566513</v>
      </c>
      <c r="E722">
        <f>_xlfn.RANK.EQ(Table16[[#This Row],[VOR]],Table16[VOR])</f>
        <v>763</v>
      </c>
      <c r="F722" cm="1">
        <f t="array" ref="F722">_xlfn.IFS(C722 = "C",INDEX('C'!$A$2:$L$254,MATCH($A722,'C'!$A$2:$A$254,0),10),C722 = "LW",INDEX(LW!$A$2:$K$180,MATCH($A722,LW!$A$2:$A$180,0),10),C722 = "RW",INDEX('RW'!$A$2:$L$164,MATCH($A722,'RW'!$A$2:$A$164,0),10), C722 = "D",INDEX(D!$A$2:$L$268,MATCH($A722,D!$A$2:$A$268,0),10),C722="G",INDEX(G!$A$2:$Q$78,MATCH($A722,G!$A$2:$A$78,0),16),C722="F",INDEX(F!$A$2:$K$494,MATCH($A722,F!$A$2:$A$494,0),10))</f>
        <v>205</v>
      </c>
      <c r="G722" t="str">
        <f>_xlfn.CONCAT(C722,Table16[[#This Row],[Pos Rank2]])</f>
        <v>C205</v>
      </c>
      <c r="H722" s="10">
        <f>MAX(_xlfn.IFNA(INDEX(Proj[],MATCH(Table16[[#This Row],[Player]],Proj[Player],0),29),-5000), _xlfn.IFNA(INDEX(Goalie[],MATCH(Table16[[#This Row],[Player]],Goalie[player],0),19),-5000))</f>
        <v>-402.68343125621442</v>
      </c>
      <c r="I722" t="str">
        <f>IF(_xlfn.IFNA(INDEX(Proj[],MATCH(Table16[[#This Row],[Player]],Proj[Player],0),31),INDEX(Goalie[],MATCH(Table16[[#This Row],[Player]],Goalie[player],0),20)) = 0, "",_xlfn.IFNA(INDEX(Proj[],MATCH(Table16[[#This Row],[Player]],Proj[Player],0),31),INDEX(Goalie[],MATCH(Table16[[#This Row],[Player]],Goalie[player],0),20)))</f>
        <v/>
      </c>
    </row>
    <row r="723" spans="1:9" x14ac:dyDescent="0.25">
      <c r="A723" t="s">
        <v>805</v>
      </c>
      <c r="B723" s="2" t="s">
        <v>74</v>
      </c>
      <c r="C723" t="str">
        <f t="shared" si="11"/>
        <v>C</v>
      </c>
      <c r="D723" s="10">
        <f>MAX(_xlfn.IFNA(INDEX(Proj[],MATCH(Table16[[#This Row],[Player]],Proj[Player],0),27),-5000), _xlfn.IFNA(INDEX(Goalie[],MATCH(Table16[[#This Row],[Player]],Goalie[player],0),17),-5000))</f>
        <v>-1111.9123710781948</v>
      </c>
      <c r="E723">
        <f>_xlfn.RANK.EQ(Table16[[#This Row],[VOR]],Table16[VOR])</f>
        <v>759</v>
      </c>
      <c r="F723" cm="1">
        <f t="array" ref="F723">_xlfn.IFS(C723 = "C",INDEX('C'!$A$2:$L$254,MATCH($A723,'C'!$A$2:$A$254,0),10),C723 = "LW",INDEX(LW!$A$2:$K$180,MATCH($A723,LW!$A$2:$A$180,0),10),C723 = "RW",INDEX('RW'!$A$2:$L$164,MATCH($A723,'RW'!$A$2:$A$164,0),10), C723 = "D",INDEX(D!$A$2:$L$268,MATCH($A723,D!$A$2:$A$268,0),10),C723="G",INDEX(G!$A$2:$Q$78,MATCH($A723,G!$A$2:$A$78,0),16),C723="F",INDEX(F!$A$2:$K$494,MATCH($A723,F!$A$2:$A$494,0),10))</f>
        <v>202</v>
      </c>
      <c r="G723" t="str">
        <f>_xlfn.CONCAT(C723,Table16[[#This Row],[Pos Rank2]])</f>
        <v>C202</v>
      </c>
      <c r="H723" s="10">
        <f>MAX(_xlfn.IFNA(INDEX(Proj[],MATCH(Table16[[#This Row],[Player]],Proj[Player],0),29),-5000), _xlfn.IFNA(INDEX(Goalie[],MATCH(Table16[[#This Row],[Player]],Goalie[player],0),19),-5000))</f>
        <v>-377.27851676789618</v>
      </c>
      <c r="I723" t="str">
        <f>IF(_xlfn.IFNA(INDEX(Proj[],MATCH(Table16[[#This Row],[Player]],Proj[Player],0),31),INDEX(Goalie[],MATCH(Table16[[#This Row],[Player]],Goalie[player],0),20)) = 0, "",_xlfn.IFNA(INDEX(Proj[],MATCH(Table16[[#This Row],[Player]],Proj[Player],0),31),INDEX(Goalie[],MATCH(Table16[[#This Row],[Player]],Goalie[player],0),20)))</f>
        <v/>
      </c>
    </row>
    <row r="724" spans="1:9" x14ac:dyDescent="0.25">
      <c r="A724" t="s">
        <v>1139</v>
      </c>
      <c r="B724" s="2" t="s">
        <v>74</v>
      </c>
      <c r="C724" t="str">
        <f t="shared" si="11"/>
        <v>C</v>
      </c>
      <c r="D724" s="10">
        <f>MAX(_xlfn.IFNA(INDEX(Proj[],MATCH(Table16[[#This Row],[Player]],Proj[Player],0),27),-5000), _xlfn.IFNA(INDEX(Goalie[],MATCH(Table16[[#This Row],[Player]],Goalie[player],0),17),-5000))</f>
        <v>-951.52640811386027</v>
      </c>
      <c r="E724">
        <f>_xlfn.RANK.EQ(Table16[[#This Row],[VOR]],Table16[VOR])</f>
        <v>721</v>
      </c>
      <c r="F724" cm="1">
        <f t="array" ref="F724">_xlfn.IFS(C724 = "C",INDEX('C'!$A$2:$L$254,MATCH($A724,'C'!$A$2:$A$254,0),10),C724 = "LW",INDEX(LW!$A$2:$K$180,MATCH($A724,LW!$A$2:$A$180,0),10),C724 = "RW",INDEX('RW'!$A$2:$L$164,MATCH($A724,'RW'!$A$2:$A$164,0),10), C724 = "D",INDEX(D!$A$2:$L$268,MATCH($A724,D!$A$2:$A$268,0),10),C724="G",INDEX(G!$A$2:$Q$78,MATCH($A724,G!$A$2:$A$78,0),16),C724="F",INDEX(F!$A$2:$K$494,MATCH($A724,F!$A$2:$A$494,0),10))</f>
        <v>183</v>
      </c>
      <c r="G724" t="str">
        <f>_xlfn.CONCAT(C724,Table16[[#This Row],[Pos Rank2]])</f>
        <v>C183</v>
      </c>
      <c r="H724" s="10">
        <f>MAX(_xlfn.IFNA(INDEX(Proj[],MATCH(Table16[[#This Row],[Player]],Proj[Player],0),29),-5000), _xlfn.IFNA(INDEX(Goalie[],MATCH(Table16[[#This Row],[Player]],Goalie[player],0),19),-5000))</f>
        <v>-216.89255380356173</v>
      </c>
      <c r="I724" t="str">
        <f>IF(_xlfn.IFNA(INDEX(Proj[],MATCH(Table16[[#This Row],[Player]],Proj[Player],0),31),INDEX(Goalie[],MATCH(Table16[[#This Row],[Player]],Goalie[player],0),20)) = 0, "",_xlfn.IFNA(INDEX(Proj[],MATCH(Table16[[#This Row],[Player]],Proj[Player],0),31),INDEX(Goalie[],MATCH(Table16[[#This Row],[Player]],Goalie[player],0),20)))</f>
        <v/>
      </c>
    </row>
    <row r="725" spans="1:9" x14ac:dyDescent="0.25">
      <c r="A725" t="s">
        <v>1219</v>
      </c>
      <c r="B725" s="2" t="s">
        <v>74</v>
      </c>
      <c r="C725" t="str">
        <f t="shared" si="11"/>
        <v>C</v>
      </c>
      <c r="D725" s="10">
        <f>MAX(_xlfn.IFNA(INDEX(Proj[],MATCH(Table16[[#This Row],[Player]],Proj[Player],0),27),-5000), _xlfn.IFNA(INDEX(Goalie[],MATCH(Table16[[#This Row],[Player]],Goalie[player],0),17),-5000))</f>
        <v>-1035.7924837960511</v>
      </c>
      <c r="E725">
        <f>_xlfn.RANK.EQ(Table16[[#This Row],[VOR]],Table16[VOR])</f>
        <v>743</v>
      </c>
      <c r="F725" cm="1">
        <f t="array" ref="F725">_xlfn.IFS(C725 = "C",INDEX('C'!$A$2:$L$254,MATCH($A725,'C'!$A$2:$A$254,0),10),C725 = "LW",INDEX(LW!$A$2:$K$180,MATCH($A725,LW!$A$2:$A$180,0),10),C725 = "RW",INDEX('RW'!$A$2:$L$164,MATCH($A725,'RW'!$A$2:$A$164,0),10), C725 = "D",INDEX(D!$A$2:$L$268,MATCH($A725,D!$A$2:$A$268,0),10),C725="G",INDEX(G!$A$2:$Q$78,MATCH($A725,G!$A$2:$A$78,0),16),C725="F",INDEX(F!$A$2:$K$494,MATCH($A725,F!$A$2:$A$494,0),10))</f>
        <v>194</v>
      </c>
      <c r="G725" t="str">
        <f>_xlfn.CONCAT(C725,Table16[[#This Row],[Pos Rank2]])</f>
        <v>C194</v>
      </c>
      <c r="H725" s="10">
        <f>MAX(_xlfn.IFNA(INDEX(Proj[],MATCH(Table16[[#This Row],[Player]],Proj[Player],0),29),-5000), _xlfn.IFNA(INDEX(Goalie[],MATCH(Table16[[#This Row],[Player]],Goalie[player],0),19),-5000))</f>
        <v>-301.1586294857525</v>
      </c>
      <c r="I725" t="str">
        <f>IF(_xlfn.IFNA(INDEX(Proj[],MATCH(Table16[[#This Row],[Player]],Proj[Player],0),31),INDEX(Goalie[],MATCH(Table16[[#This Row],[Player]],Goalie[player],0),20)) = 0, "",_xlfn.IFNA(INDEX(Proj[],MATCH(Table16[[#This Row],[Player]],Proj[Player],0),31),INDEX(Goalie[],MATCH(Table16[[#This Row],[Player]],Goalie[player],0),20)))</f>
        <v/>
      </c>
    </row>
    <row r="726" spans="1:9" x14ac:dyDescent="0.25">
      <c r="A726" t="s">
        <v>671</v>
      </c>
      <c r="B726" s="2" t="s">
        <v>3</v>
      </c>
      <c r="C726" t="str">
        <f t="shared" si="11"/>
        <v>D</v>
      </c>
      <c r="D726" s="10">
        <f>MAX(_xlfn.IFNA(INDEX(Proj[],MATCH(Table16[[#This Row],[Player]],Proj[Player],0),27),-5000), _xlfn.IFNA(INDEX(Goalie[],MATCH(Table16[[#This Row],[Player]],Goalie[player],0),17),-5000))</f>
        <v>-870.92386665048161</v>
      </c>
      <c r="E726">
        <f>_xlfn.RANK.EQ(Table16[[#This Row],[VOR]],Table16[VOR])</f>
        <v>688</v>
      </c>
      <c r="F726" cm="1">
        <f t="array" ref="F726">_xlfn.IFS(C726 = "C",INDEX('C'!$A$2:$L$254,MATCH($A726,'C'!$A$2:$A$254,0),10),C726 = "LW",INDEX(LW!$A$2:$K$180,MATCH($A726,LW!$A$2:$A$180,0),10),C726 = "RW",INDEX('RW'!$A$2:$L$164,MATCH($A726,'RW'!$A$2:$A$164,0),10), C726 = "D",INDEX(D!$A$2:$L$268,MATCH($A726,D!$A$2:$A$268,0),10),C726="G",INDEX(G!$A$2:$Q$78,MATCH($A726,G!$A$2:$A$78,0),16),C726="F",INDEX(F!$A$2:$K$494,MATCH($A726,F!$A$2:$A$494,0),10))</f>
        <v>252</v>
      </c>
      <c r="G726" t="str">
        <f>_xlfn.CONCAT(C726,Table16[[#This Row],[Pos Rank2]])</f>
        <v>D252</v>
      </c>
      <c r="H726" s="10">
        <f>MAX(_xlfn.IFNA(INDEX(Proj[],MATCH(Table16[[#This Row],[Player]],Proj[Player],0),29),-5000), _xlfn.IFNA(INDEX(Goalie[],MATCH(Table16[[#This Row],[Player]],Goalie[player],0),19),-5000))</f>
        <v>-763.55909893101716</v>
      </c>
      <c r="I726" t="str">
        <f>IF(_xlfn.IFNA(INDEX(Proj[],MATCH(Table16[[#This Row],[Player]],Proj[Player],0),31),INDEX(Goalie[],MATCH(Table16[[#This Row],[Player]],Goalie[player],0),20)) = 0, "",_xlfn.IFNA(INDEX(Proj[],MATCH(Table16[[#This Row],[Player]],Proj[Player],0),31),INDEX(Goalie[],MATCH(Table16[[#This Row],[Player]],Goalie[player],0),20)))</f>
        <v/>
      </c>
    </row>
    <row r="727" spans="1:9" x14ac:dyDescent="0.25">
      <c r="A727" t="s">
        <v>923</v>
      </c>
      <c r="B727" s="2" t="s">
        <v>3</v>
      </c>
      <c r="C727" t="str">
        <f t="shared" si="11"/>
        <v>D</v>
      </c>
      <c r="D727" s="10">
        <f>MAX(_xlfn.IFNA(INDEX(Proj[],MATCH(Table16[[#This Row],[Player]],Proj[Player],0),27),-5000), _xlfn.IFNA(INDEX(Goalie[],MATCH(Table16[[#This Row],[Player]],Goalie[player],0),17),-5000))</f>
        <v>-872.27158503491853</v>
      </c>
      <c r="E727">
        <f>_xlfn.RANK.EQ(Table16[[#This Row],[VOR]],Table16[VOR])</f>
        <v>690</v>
      </c>
      <c r="F727" cm="1">
        <f t="array" ref="F727">_xlfn.IFS(C727 = "C",INDEX('C'!$A$2:$L$254,MATCH($A727,'C'!$A$2:$A$254,0),10),C727 = "LW",INDEX(LW!$A$2:$K$180,MATCH($A727,LW!$A$2:$A$180,0),10),C727 = "RW",INDEX('RW'!$A$2:$L$164,MATCH($A727,'RW'!$A$2:$A$164,0),10), C727 = "D",INDEX(D!$A$2:$L$268,MATCH($A727,D!$A$2:$A$268,0),10),C727="G",INDEX(G!$A$2:$Q$78,MATCH($A727,G!$A$2:$A$78,0),16),C727="F",INDEX(F!$A$2:$K$494,MATCH($A727,F!$A$2:$A$494,0),10))</f>
        <v>253</v>
      </c>
      <c r="G727" t="str">
        <f>_xlfn.CONCAT(C727,Table16[[#This Row],[Pos Rank2]])</f>
        <v>D253</v>
      </c>
      <c r="H727" s="10">
        <f>MAX(_xlfn.IFNA(INDEX(Proj[],MATCH(Table16[[#This Row],[Player]],Proj[Player],0),29),-5000), _xlfn.IFNA(INDEX(Goalie[],MATCH(Table16[[#This Row],[Player]],Goalie[player],0),19),-5000))</f>
        <v>-764.90681731545408</v>
      </c>
      <c r="I727" t="str">
        <f>IF(_xlfn.IFNA(INDEX(Proj[],MATCH(Table16[[#This Row],[Player]],Proj[Player],0),31),INDEX(Goalie[],MATCH(Table16[[#This Row],[Player]],Goalie[player],0),20)) = 0, "",_xlfn.IFNA(INDEX(Proj[],MATCH(Table16[[#This Row],[Player]],Proj[Player],0),31),INDEX(Goalie[],MATCH(Table16[[#This Row],[Player]],Goalie[player],0),20)))</f>
        <v/>
      </c>
    </row>
    <row r="728" spans="1:9" x14ac:dyDescent="0.25">
      <c r="A728" t="s">
        <v>1009</v>
      </c>
      <c r="B728" s="2" t="s">
        <v>74</v>
      </c>
      <c r="C728" t="str">
        <f t="shared" si="11"/>
        <v>C</v>
      </c>
      <c r="D728" s="10">
        <f>MAX(_xlfn.IFNA(INDEX(Proj[],MATCH(Table16[[#This Row],[Player]],Proj[Player],0),27),-5000), _xlfn.IFNA(INDEX(Goalie[],MATCH(Table16[[#This Row],[Player]],Goalie[player],0),17),-5000))</f>
        <v>-1104.8296018086105</v>
      </c>
      <c r="E728">
        <f>_xlfn.RANK.EQ(Table16[[#This Row],[VOR]],Table16[VOR])</f>
        <v>757</v>
      </c>
      <c r="F728" cm="1">
        <f t="array" ref="F728">_xlfn.IFS(C728 = "C",INDEX('C'!$A$2:$L$254,MATCH($A728,'C'!$A$2:$A$254,0),10),C728 = "LW",INDEX(LW!$A$2:$K$180,MATCH($A728,LW!$A$2:$A$180,0),10),C728 = "RW",INDEX('RW'!$A$2:$L$164,MATCH($A728,'RW'!$A$2:$A$164,0),10), C728 = "D",INDEX(D!$A$2:$L$268,MATCH($A728,D!$A$2:$A$268,0),10),C728="G",INDEX(G!$A$2:$Q$78,MATCH($A728,G!$A$2:$A$78,0),16),C728="F",INDEX(F!$A$2:$K$494,MATCH($A728,F!$A$2:$A$494,0),10))</f>
        <v>200</v>
      </c>
      <c r="G728" t="str">
        <f>_xlfn.CONCAT(C728,Table16[[#This Row],[Pos Rank2]])</f>
        <v>C200</v>
      </c>
      <c r="H728" s="10">
        <f>MAX(_xlfn.IFNA(INDEX(Proj[],MATCH(Table16[[#This Row],[Player]],Proj[Player],0),29),-5000), _xlfn.IFNA(INDEX(Goalie[],MATCH(Table16[[#This Row],[Player]],Goalie[player],0),19),-5000))</f>
        <v>-370.1957474983119</v>
      </c>
      <c r="I728" t="str">
        <f>IF(_xlfn.IFNA(INDEX(Proj[],MATCH(Table16[[#This Row],[Player]],Proj[Player],0),31),INDEX(Goalie[],MATCH(Table16[[#This Row],[Player]],Goalie[player],0),20)) = 0, "",_xlfn.IFNA(INDEX(Proj[],MATCH(Table16[[#This Row],[Player]],Proj[Player],0),31),INDEX(Goalie[],MATCH(Table16[[#This Row],[Player]],Goalie[player],0),20)))</f>
        <v/>
      </c>
    </row>
    <row r="729" spans="1:9" x14ac:dyDescent="0.25">
      <c r="A729" t="s">
        <v>707</v>
      </c>
      <c r="B729" s="2" t="s">
        <v>74</v>
      </c>
      <c r="C729" t="str">
        <f t="shared" si="11"/>
        <v>C</v>
      </c>
      <c r="D729" s="10">
        <f>MAX(_xlfn.IFNA(INDEX(Proj[],MATCH(Table16[[#This Row],[Player]],Proj[Player],0),27),-5000), _xlfn.IFNA(INDEX(Goalie[],MATCH(Table16[[#This Row],[Player]],Goalie[player],0),17),-5000))</f>
        <v>-1118.0281390556818</v>
      </c>
      <c r="E729">
        <f>_xlfn.RANK.EQ(Table16[[#This Row],[VOR]],Table16[VOR])</f>
        <v>761</v>
      </c>
      <c r="F729" cm="1">
        <f t="array" ref="F729">_xlfn.IFS(C729 = "C",INDEX('C'!$A$2:$L$254,MATCH($A729,'C'!$A$2:$A$254,0),10),C729 = "LW",INDEX(LW!$A$2:$K$180,MATCH($A729,LW!$A$2:$A$180,0),10),C729 = "RW",INDEX('RW'!$A$2:$L$164,MATCH($A729,'RW'!$A$2:$A$164,0),10), C729 = "D",INDEX(D!$A$2:$L$268,MATCH($A729,D!$A$2:$A$268,0),10),C729="G",INDEX(G!$A$2:$Q$78,MATCH($A729,G!$A$2:$A$78,0),16),C729="F",INDEX(F!$A$2:$K$494,MATCH($A729,F!$A$2:$A$494,0),10))</f>
        <v>203</v>
      </c>
      <c r="G729" t="str">
        <f>_xlfn.CONCAT(C729,Table16[[#This Row],[Pos Rank2]])</f>
        <v>C203</v>
      </c>
      <c r="H729" s="10">
        <f>MAX(_xlfn.IFNA(INDEX(Proj[],MATCH(Table16[[#This Row],[Player]],Proj[Player],0),29),-5000), _xlfn.IFNA(INDEX(Goalie[],MATCH(Table16[[#This Row],[Player]],Goalie[player],0),19),-5000))</f>
        <v>-383.39428474538317</v>
      </c>
      <c r="I729" t="str">
        <f>IF(_xlfn.IFNA(INDEX(Proj[],MATCH(Table16[[#This Row],[Player]],Proj[Player],0),31),INDEX(Goalie[],MATCH(Table16[[#This Row],[Player]],Goalie[player],0),20)) = 0, "",_xlfn.IFNA(INDEX(Proj[],MATCH(Table16[[#This Row],[Player]],Proj[Player],0),31),INDEX(Goalie[],MATCH(Table16[[#This Row],[Player]],Goalie[player],0),20)))</f>
        <v/>
      </c>
    </row>
    <row r="730" spans="1:9" x14ac:dyDescent="0.25">
      <c r="A730" t="s">
        <v>857</v>
      </c>
      <c r="B730" s="2" t="s">
        <v>102</v>
      </c>
      <c r="C730" t="str">
        <f t="shared" si="11"/>
        <v>LW</v>
      </c>
      <c r="D730" s="10">
        <f>MAX(_xlfn.IFNA(INDEX(Proj[],MATCH(Table16[[#This Row],[Player]],Proj[Player],0),27),-5000), _xlfn.IFNA(INDEX(Goalie[],MATCH(Table16[[#This Row],[Player]],Goalie[player],0),17),-5000))</f>
        <v>-914.11828462210519</v>
      </c>
      <c r="E730">
        <f>_xlfn.RANK.EQ(Table16[[#This Row],[VOR]],Table16[VOR])</f>
        <v>709</v>
      </c>
      <c r="F730" cm="1">
        <f t="array" ref="F730">_xlfn.IFS(C730 = "C",INDEX('C'!$A$2:$L$254,MATCH($A730,'C'!$A$2:$A$254,0),10),C730 = "LW",INDEX(LW!$A$2:$K$180,MATCH($A730,LW!$A$2:$A$180,0),10),C730 = "RW",INDEX('RW'!$A$2:$L$164,MATCH($A730,'RW'!$A$2:$A$164,0),10), C730 = "D",INDEX(D!$A$2:$L$268,MATCH($A730,D!$A$2:$A$268,0),10),C730="G",INDEX(G!$A$2:$Q$78,MATCH($A730,G!$A$2:$A$78,0),16),C730="F",INDEX(F!$A$2:$K$494,MATCH($A730,F!$A$2:$A$494,0),10))</f>
        <v>158</v>
      </c>
      <c r="G730" t="str">
        <f>_xlfn.CONCAT(C730,Table16[[#This Row],[Pos Rank2]])</f>
        <v>LW158</v>
      </c>
      <c r="H730" s="10">
        <f>MAX(_xlfn.IFNA(INDEX(Proj[],MATCH(Table16[[#This Row],[Player]],Proj[Player],0),29),-5000), _xlfn.IFNA(INDEX(Goalie[],MATCH(Table16[[#This Row],[Player]],Goalie[player],0),19),-5000))</f>
        <v>-442.57356023185628</v>
      </c>
      <c r="I730" t="str">
        <f>IF(_xlfn.IFNA(INDEX(Proj[],MATCH(Table16[[#This Row],[Player]],Proj[Player],0),31),INDEX(Goalie[],MATCH(Table16[[#This Row],[Player]],Goalie[player],0),20)) = 0, "",_xlfn.IFNA(INDEX(Proj[],MATCH(Table16[[#This Row],[Player]],Proj[Player],0),31),INDEX(Goalie[],MATCH(Table16[[#This Row],[Player]],Goalie[player],0),20)))</f>
        <v/>
      </c>
    </row>
    <row r="731" spans="1:9" x14ac:dyDescent="0.25">
      <c r="A731" t="s">
        <v>631</v>
      </c>
      <c r="B731" s="2" t="s">
        <v>105</v>
      </c>
      <c r="C731" t="str">
        <f t="shared" si="11"/>
        <v>RW</v>
      </c>
      <c r="D731" s="10">
        <f>MAX(_xlfn.IFNA(INDEX(Proj[],MATCH(Table16[[#This Row],[Player]],Proj[Player],0),27),-5000), _xlfn.IFNA(INDEX(Goalie[],MATCH(Table16[[#This Row],[Player]],Goalie[player],0),17),-5000))</f>
        <v>-962.43499156179951</v>
      </c>
      <c r="E731">
        <f>_xlfn.RANK.EQ(Table16[[#This Row],[VOR]],Table16[VOR])</f>
        <v>724</v>
      </c>
      <c r="F731" cm="1">
        <f t="array" ref="F731">_xlfn.IFS(C731 = "C",INDEX('C'!$A$2:$L$254,MATCH($A731,'C'!$A$2:$A$254,0),10),C731 = "LW",INDEX(LW!$A$2:$K$180,MATCH($A731,LW!$A$2:$A$180,0),10),C731 = "RW",INDEX('RW'!$A$2:$L$164,MATCH($A731,'RW'!$A$2:$A$164,0),10), C731 = "D",INDEX(D!$A$2:$L$268,MATCH($A731,D!$A$2:$A$268,0),10),C731="G",INDEX(G!$A$2:$Q$78,MATCH($A731,G!$A$2:$A$78,0),16),C731="F",INDEX(F!$A$2:$K$494,MATCH($A731,F!$A$2:$A$494,0),10))</f>
        <v>144</v>
      </c>
      <c r="G731" t="str">
        <f>_xlfn.CONCAT(C731,Table16[[#This Row],[Pos Rank2]])</f>
        <v>RW144</v>
      </c>
      <c r="H731" s="10">
        <f>MAX(_xlfn.IFNA(INDEX(Proj[],MATCH(Table16[[#This Row],[Player]],Proj[Player],0),29),-5000), _xlfn.IFNA(INDEX(Goalie[],MATCH(Table16[[#This Row],[Player]],Goalie[player],0),19),-5000))</f>
        <v>-515.8902671715507</v>
      </c>
      <c r="I731" t="str">
        <f>IF(_xlfn.IFNA(INDEX(Proj[],MATCH(Table16[[#This Row],[Player]],Proj[Player],0),31),INDEX(Goalie[],MATCH(Table16[[#This Row],[Player]],Goalie[player],0),20)) = 0, "",_xlfn.IFNA(INDEX(Proj[],MATCH(Table16[[#This Row],[Player]],Proj[Player],0),31),INDEX(Goalie[],MATCH(Table16[[#This Row],[Player]],Goalie[player],0),20)))</f>
        <v/>
      </c>
    </row>
    <row r="732" spans="1:9" x14ac:dyDescent="0.25">
      <c r="A732" t="s">
        <v>1118</v>
      </c>
      <c r="B732" s="2" t="s">
        <v>74</v>
      </c>
      <c r="C732" t="str">
        <f t="shared" si="11"/>
        <v>C</v>
      </c>
      <c r="D732" s="10">
        <f>MAX(_xlfn.IFNA(INDEX(Proj[],MATCH(Table16[[#This Row],[Player]],Proj[Player],0),27),-5000), _xlfn.IFNA(INDEX(Goalie[],MATCH(Table16[[#This Row],[Player]],Goalie[player],0),17),-5000))</f>
        <v>-1134.7271555745028</v>
      </c>
      <c r="E732">
        <f>_xlfn.RANK.EQ(Table16[[#This Row],[VOR]],Table16[VOR])</f>
        <v>762</v>
      </c>
      <c r="F732" cm="1">
        <f t="array" ref="F732">_xlfn.IFS(C732 = "C",INDEX('C'!$A$2:$L$254,MATCH($A732,'C'!$A$2:$A$254,0),10),C732 = "LW",INDEX(LW!$A$2:$K$180,MATCH($A732,LW!$A$2:$A$180,0),10),C732 = "RW",INDEX('RW'!$A$2:$L$164,MATCH($A732,'RW'!$A$2:$A$164,0),10), C732 = "D",INDEX(D!$A$2:$L$268,MATCH($A732,D!$A$2:$A$268,0),10),C732="G",INDEX(G!$A$2:$Q$78,MATCH($A732,G!$A$2:$A$78,0),16),C732="F",INDEX(F!$A$2:$K$494,MATCH($A732,F!$A$2:$A$494,0),10))</f>
        <v>204</v>
      </c>
      <c r="G732" t="str">
        <f>_xlfn.CONCAT(C732,Table16[[#This Row],[Pos Rank2]])</f>
        <v>C204</v>
      </c>
      <c r="H732" s="10">
        <f>MAX(_xlfn.IFNA(INDEX(Proj[],MATCH(Table16[[#This Row],[Player]],Proj[Player],0),29),-5000), _xlfn.IFNA(INDEX(Goalie[],MATCH(Table16[[#This Row],[Player]],Goalie[player],0),19),-5000))</f>
        <v>-400.09330126420429</v>
      </c>
      <c r="I732" t="str">
        <f>IF(_xlfn.IFNA(INDEX(Proj[],MATCH(Table16[[#This Row],[Player]],Proj[Player],0),31),INDEX(Goalie[],MATCH(Table16[[#This Row],[Player]],Goalie[player],0),20)) = 0, "",_xlfn.IFNA(INDEX(Proj[],MATCH(Table16[[#This Row],[Player]],Proj[Player],0),31),INDEX(Goalie[],MATCH(Table16[[#This Row],[Player]],Goalie[player],0),20)))</f>
        <v/>
      </c>
    </row>
    <row r="733" spans="1:9" x14ac:dyDescent="0.25">
      <c r="A733" t="s">
        <v>1203</v>
      </c>
      <c r="B733" s="2" t="s">
        <v>3</v>
      </c>
      <c r="C733" t="str">
        <f t="shared" si="11"/>
        <v>D</v>
      </c>
      <c r="D733" s="10">
        <f>MAX(_xlfn.IFNA(INDEX(Proj[],MATCH(Table16[[#This Row],[Player]],Proj[Player],0),27),-5000), _xlfn.IFNA(INDEX(Goalie[],MATCH(Table16[[#This Row],[Player]],Goalie[player],0),17),-5000))</f>
        <v>-888.30156116775538</v>
      </c>
      <c r="E733">
        <f>_xlfn.RANK.EQ(Table16[[#This Row],[VOR]],Table16[VOR])</f>
        <v>695</v>
      </c>
      <c r="F733" cm="1">
        <f t="array" ref="F733">_xlfn.IFS(C733 = "C",INDEX('C'!$A$2:$L$254,MATCH($A733,'C'!$A$2:$A$254,0),10),C733 = "LW",INDEX(LW!$A$2:$K$180,MATCH($A733,LW!$A$2:$A$180,0),10),C733 = "RW",INDEX('RW'!$A$2:$L$164,MATCH($A733,'RW'!$A$2:$A$164,0),10), C733 = "D",INDEX(D!$A$2:$L$268,MATCH($A733,D!$A$2:$A$268,0),10),C733="G",INDEX(G!$A$2:$Q$78,MATCH($A733,G!$A$2:$A$78,0),16),C733="F",INDEX(F!$A$2:$K$494,MATCH($A733,F!$A$2:$A$494,0),10))</f>
        <v>254</v>
      </c>
      <c r="G733" t="str">
        <f>_xlfn.CONCAT(C733,Table16[[#This Row],[Pos Rank2]])</f>
        <v>D254</v>
      </c>
      <c r="H733" s="10">
        <f>MAX(_xlfn.IFNA(INDEX(Proj[],MATCH(Table16[[#This Row],[Player]],Proj[Player],0),29),-5000), _xlfn.IFNA(INDEX(Goalie[],MATCH(Table16[[#This Row],[Player]],Goalie[player],0),19),-5000))</f>
        <v>-780.93679344829093</v>
      </c>
      <c r="I733" t="str">
        <f>IF(_xlfn.IFNA(INDEX(Proj[],MATCH(Table16[[#This Row],[Player]],Proj[Player],0),31),INDEX(Goalie[],MATCH(Table16[[#This Row],[Player]],Goalie[player],0),20)) = 0, "",_xlfn.IFNA(INDEX(Proj[],MATCH(Table16[[#This Row],[Player]],Proj[Player],0),31),INDEX(Goalie[],MATCH(Table16[[#This Row],[Player]],Goalie[player],0),20)))</f>
        <v/>
      </c>
    </row>
    <row r="734" spans="1:9" x14ac:dyDescent="0.25">
      <c r="A734" t="s">
        <v>667</v>
      </c>
      <c r="B734" s="2" t="s">
        <v>74</v>
      </c>
      <c r="C734" t="str">
        <f t="shared" si="11"/>
        <v>C</v>
      </c>
      <c r="D734" s="10">
        <f>MAX(_xlfn.IFNA(INDEX(Proj[],MATCH(Table16[[#This Row],[Player]],Proj[Player],0),27),-5000), _xlfn.IFNA(INDEX(Goalie[],MATCH(Table16[[#This Row],[Player]],Goalie[player],0),17),-5000))</f>
        <v>-913.74419896072754</v>
      </c>
      <c r="E734">
        <f>_xlfn.RANK.EQ(Table16[[#This Row],[VOR]],Table16[VOR])</f>
        <v>708</v>
      </c>
      <c r="F734" cm="1">
        <f t="array" ref="F734">_xlfn.IFS(C734 = "C",INDEX('C'!$A$2:$L$254,MATCH($A734,'C'!$A$2:$A$254,0),10),C734 = "LW",INDEX(LW!$A$2:$K$180,MATCH($A734,LW!$A$2:$A$180,0),10),C734 = "RW",INDEX('RW'!$A$2:$L$164,MATCH($A734,'RW'!$A$2:$A$164,0),10), C734 = "D",INDEX(D!$A$2:$L$268,MATCH($A734,D!$A$2:$A$268,0),10),C734="G",INDEX(G!$A$2:$Q$78,MATCH($A734,G!$A$2:$A$78,0),16),C734="F",INDEX(F!$A$2:$K$494,MATCH($A734,F!$A$2:$A$494,0),10))</f>
        <v>174</v>
      </c>
      <c r="G734" t="str">
        <f>_xlfn.CONCAT(C734,Table16[[#This Row],[Pos Rank2]])</f>
        <v>C174</v>
      </c>
      <c r="H734" s="10">
        <f>MAX(_xlfn.IFNA(INDEX(Proj[],MATCH(Table16[[#This Row],[Player]],Proj[Player],0),29),-5000), _xlfn.IFNA(INDEX(Goalie[],MATCH(Table16[[#This Row],[Player]],Goalie[player],0),19),-5000))</f>
        <v>-179.110344650429</v>
      </c>
      <c r="I734" t="str">
        <f>IF(_xlfn.IFNA(INDEX(Proj[],MATCH(Table16[[#This Row],[Player]],Proj[Player],0),31),INDEX(Goalie[],MATCH(Table16[[#This Row],[Player]],Goalie[player],0),20)) = 0, "",_xlfn.IFNA(INDEX(Proj[],MATCH(Table16[[#This Row],[Player]],Proj[Player],0),31),INDEX(Goalie[],MATCH(Table16[[#This Row],[Player]],Goalie[player],0),20)))</f>
        <v/>
      </c>
    </row>
    <row r="735" spans="1:9" x14ac:dyDescent="0.25">
      <c r="A735" t="s">
        <v>732</v>
      </c>
      <c r="B735" s="2" t="s">
        <v>74</v>
      </c>
      <c r="C735" t="str">
        <f t="shared" si="11"/>
        <v>C</v>
      </c>
      <c r="D735" s="10">
        <f>MAX(_xlfn.IFNA(INDEX(Proj[],MATCH(Table16[[#This Row],[Player]],Proj[Player],0),27),-5000), _xlfn.IFNA(INDEX(Goalie[],MATCH(Table16[[#This Row],[Player]],Goalie[player],0),17),-5000))</f>
        <v>-1110.0071573659802</v>
      </c>
      <c r="E735">
        <f>_xlfn.RANK.EQ(Table16[[#This Row],[VOR]],Table16[VOR])</f>
        <v>758</v>
      </c>
      <c r="F735" cm="1">
        <f t="array" ref="F735">_xlfn.IFS(C735 = "C",INDEX('C'!$A$2:$L$254,MATCH($A735,'C'!$A$2:$A$254,0),10),C735 = "LW",INDEX(LW!$A$2:$K$180,MATCH($A735,LW!$A$2:$A$180,0),10),C735 = "RW",INDEX('RW'!$A$2:$L$164,MATCH($A735,'RW'!$A$2:$A$164,0),10), C735 = "D",INDEX(D!$A$2:$L$268,MATCH($A735,D!$A$2:$A$268,0),10),C735="G",INDEX(G!$A$2:$Q$78,MATCH($A735,G!$A$2:$A$78,0),16),C735="F",INDEX(F!$A$2:$K$494,MATCH($A735,F!$A$2:$A$494,0),10))</f>
        <v>201</v>
      </c>
      <c r="G735" t="str">
        <f>_xlfn.CONCAT(C735,Table16[[#This Row],[Pos Rank2]])</f>
        <v>C201</v>
      </c>
      <c r="H735" s="10">
        <f>MAX(_xlfn.IFNA(INDEX(Proj[],MATCH(Table16[[#This Row],[Player]],Proj[Player],0),29),-5000), _xlfn.IFNA(INDEX(Goalie[],MATCH(Table16[[#This Row],[Player]],Goalie[player],0),19),-5000))</f>
        <v>-375.37330305568162</v>
      </c>
      <c r="I735" t="str">
        <f>IF(_xlfn.IFNA(INDEX(Proj[],MATCH(Table16[[#This Row],[Player]],Proj[Player],0),31),INDEX(Goalie[],MATCH(Table16[[#This Row],[Player]],Goalie[player],0),20)) = 0, "",_xlfn.IFNA(INDEX(Proj[],MATCH(Table16[[#This Row],[Player]],Proj[Player],0),31),INDEX(Goalie[],MATCH(Table16[[#This Row],[Player]],Goalie[player],0),20)))</f>
        <v/>
      </c>
    </row>
    <row r="736" spans="1:9" x14ac:dyDescent="0.25">
      <c r="A736" t="s">
        <v>1222</v>
      </c>
      <c r="B736" s="2" t="s">
        <v>74</v>
      </c>
      <c r="C736" t="str">
        <f t="shared" si="11"/>
        <v>C</v>
      </c>
      <c r="D736" s="10">
        <f>MAX(_xlfn.IFNA(INDEX(Proj[],MATCH(Table16[[#This Row],[Player]],Proj[Player],0),27),-5000), _xlfn.IFNA(INDEX(Goalie[],MATCH(Table16[[#This Row],[Player]],Goalie[player],0),17),-5000))</f>
        <v>-1042.9818180097784</v>
      </c>
      <c r="E736">
        <f>_xlfn.RANK.EQ(Table16[[#This Row],[VOR]],Table16[VOR])</f>
        <v>745</v>
      </c>
      <c r="F736" cm="1">
        <f t="array" ref="F736">_xlfn.IFS(C736 = "C",INDEX('C'!$A$2:$L$254,MATCH($A736,'C'!$A$2:$A$254,0),10),C736 = "LW",INDEX(LW!$A$2:$K$180,MATCH($A736,LW!$A$2:$A$180,0),10),C736 = "RW",INDEX('RW'!$A$2:$L$164,MATCH($A736,'RW'!$A$2:$A$164,0),10), C736 = "D",INDEX(D!$A$2:$L$268,MATCH($A736,D!$A$2:$A$268,0),10),C736="G",INDEX(G!$A$2:$Q$78,MATCH($A736,G!$A$2:$A$78,0),16),C736="F",INDEX(F!$A$2:$K$494,MATCH($A736,F!$A$2:$A$494,0),10))</f>
        <v>195</v>
      </c>
      <c r="G736" t="str">
        <f>_xlfn.CONCAT(C736,Table16[[#This Row],[Pos Rank2]])</f>
        <v>C195</v>
      </c>
      <c r="H736" s="10">
        <f>MAX(_xlfn.IFNA(INDEX(Proj[],MATCH(Table16[[#This Row],[Player]],Proj[Player],0),29),-5000), _xlfn.IFNA(INDEX(Goalie[],MATCH(Table16[[#This Row],[Player]],Goalie[player],0),19),-5000))</f>
        <v>-308.34796369947981</v>
      </c>
      <c r="I736" t="str">
        <f>IF(_xlfn.IFNA(INDEX(Proj[],MATCH(Table16[[#This Row],[Player]],Proj[Player],0),31),INDEX(Goalie[],MATCH(Table16[[#This Row],[Player]],Goalie[player],0),20)) = 0, "",_xlfn.IFNA(INDEX(Proj[],MATCH(Table16[[#This Row],[Player]],Proj[Player],0),31),INDEX(Goalie[],MATCH(Table16[[#This Row],[Player]],Goalie[player],0),20)))</f>
        <v/>
      </c>
    </row>
    <row r="737" spans="1:9" x14ac:dyDescent="0.25">
      <c r="A737" t="s">
        <v>1201</v>
      </c>
      <c r="B737" s="2" t="s">
        <v>3</v>
      </c>
      <c r="C737" t="str">
        <f t="shared" si="11"/>
        <v>D</v>
      </c>
      <c r="D737" s="10">
        <f>MAX(_xlfn.IFNA(INDEX(Proj[],MATCH(Table16[[#This Row],[Player]],Proj[Player],0),27),-5000), _xlfn.IFNA(INDEX(Goalie[],MATCH(Table16[[#This Row],[Player]],Goalie[player],0),17),-5000))</f>
        <v>-892.31548167974915</v>
      </c>
      <c r="E737">
        <f>_xlfn.RANK.EQ(Table16[[#This Row],[VOR]],Table16[VOR])</f>
        <v>697</v>
      </c>
      <c r="F737" cm="1">
        <f t="array" ref="F737">_xlfn.IFS(C737 = "C",INDEX('C'!$A$2:$L$254,MATCH($A737,'C'!$A$2:$A$254,0),10),C737 = "LW",INDEX(LW!$A$2:$K$180,MATCH($A737,LW!$A$2:$A$180,0),10),C737 = "RW",INDEX('RW'!$A$2:$L$164,MATCH($A737,'RW'!$A$2:$A$164,0),10), C737 = "D",INDEX(D!$A$2:$L$268,MATCH($A737,D!$A$2:$A$268,0),10),C737="G",INDEX(G!$A$2:$Q$78,MATCH($A737,G!$A$2:$A$78,0),16),C737="F",INDEX(F!$A$2:$K$494,MATCH($A737,F!$A$2:$A$494,0),10))</f>
        <v>255</v>
      </c>
      <c r="G737" t="str">
        <f>_xlfn.CONCAT(C737,Table16[[#This Row],[Pos Rank2]])</f>
        <v>D255</v>
      </c>
      <c r="H737" s="10">
        <f>MAX(_xlfn.IFNA(INDEX(Proj[],MATCH(Table16[[#This Row],[Player]],Proj[Player],0),29),-5000), _xlfn.IFNA(INDEX(Goalie[],MATCH(Table16[[#This Row],[Player]],Goalie[player],0),19),-5000))</f>
        <v>-784.9507139602847</v>
      </c>
      <c r="I737" t="str">
        <f>IF(_xlfn.IFNA(INDEX(Proj[],MATCH(Table16[[#This Row],[Player]],Proj[Player],0),31),INDEX(Goalie[],MATCH(Table16[[#This Row],[Player]],Goalie[player],0),20)) = 0, "",_xlfn.IFNA(INDEX(Proj[],MATCH(Table16[[#This Row],[Player]],Proj[Player],0),31),INDEX(Goalie[],MATCH(Table16[[#This Row],[Player]],Goalie[player],0),20)))</f>
        <v/>
      </c>
    </row>
    <row r="738" spans="1:9" x14ac:dyDescent="0.25">
      <c r="A738" t="s">
        <v>652</v>
      </c>
      <c r="B738" s="2" t="s">
        <v>74</v>
      </c>
      <c r="C738" t="str">
        <f t="shared" si="11"/>
        <v>C</v>
      </c>
      <c r="D738" s="10">
        <f>MAX(_xlfn.IFNA(INDEX(Proj[],MATCH(Table16[[#This Row],[Player]],Proj[Player],0),27),-5000), _xlfn.IFNA(INDEX(Goalie[],MATCH(Table16[[#This Row],[Player]],Goalie[player],0),17),-5000))</f>
        <v>-1024.3941575259266</v>
      </c>
      <c r="E738">
        <f>_xlfn.RANK.EQ(Table16[[#This Row],[VOR]],Table16[VOR])</f>
        <v>740</v>
      </c>
      <c r="F738" cm="1">
        <f t="array" ref="F738">_xlfn.IFS(C738 = "C",INDEX('C'!$A$2:$L$254,MATCH($A738,'C'!$A$2:$A$254,0),10),C738 = "LW",INDEX(LW!$A$2:$K$180,MATCH($A738,LW!$A$2:$A$180,0),10),C738 = "RW",INDEX('RW'!$A$2:$L$164,MATCH($A738,'RW'!$A$2:$A$164,0),10), C738 = "D",INDEX(D!$A$2:$L$268,MATCH($A738,D!$A$2:$A$268,0),10),C738="G",INDEX(G!$A$2:$Q$78,MATCH($A738,G!$A$2:$A$78,0),16),C738="F",INDEX(F!$A$2:$K$494,MATCH($A738,F!$A$2:$A$494,0),10))</f>
        <v>192</v>
      </c>
      <c r="G738" t="str">
        <f>_xlfn.CONCAT(C738,Table16[[#This Row],[Pos Rank2]])</f>
        <v>C192</v>
      </c>
      <c r="H738" s="10">
        <f>MAX(_xlfn.IFNA(INDEX(Proj[],MATCH(Table16[[#This Row],[Player]],Proj[Player],0),29),-5000), _xlfn.IFNA(INDEX(Goalie[],MATCH(Table16[[#This Row],[Player]],Goalie[player],0),19),-5000))</f>
        <v>-289.76030321562808</v>
      </c>
      <c r="I738" t="str">
        <f>IF(_xlfn.IFNA(INDEX(Proj[],MATCH(Table16[[#This Row],[Player]],Proj[Player],0),31),INDEX(Goalie[],MATCH(Table16[[#This Row],[Player]],Goalie[player],0),20)) = 0, "",_xlfn.IFNA(INDEX(Proj[],MATCH(Table16[[#This Row],[Player]],Proj[Player],0),31),INDEX(Goalie[],MATCH(Table16[[#This Row],[Player]],Goalie[player],0),20)))</f>
        <v/>
      </c>
    </row>
    <row r="739" spans="1:9" x14ac:dyDescent="0.25">
      <c r="A739" t="s">
        <v>962</v>
      </c>
      <c r="B739" s="2" t="s">
        <v>3</v>
      </c>
      <c r="C739" t="str">
        <f t="shared" si="11"/>
        <v>D</v>
      </c>
      <c r="D739" s="10">
        <f>MAX(_xlfn.IFNA(INDEX(Proj[],MATCH(Table16[[#This Row],[Player]],Proj[Player],0),27),-5000), _xlfn.IFNA(INDEX(Goalie[],MATCH(Table16[[#This Row],[Player]],Goalie[player],0),17),-5000))</f>
        <v>-895.0248952964115</v>
      </c>
      <c r="E739">
        <f>_xlfn.RANK.EQ(Table16[[#This Row],[VOR]],Table16[VOR])</f>
        <v>698</v>
      </c>
      <c r="F739" cm="1">
        <f t="array" ref="F739">_xlfn.IFS(C739 = "C",INDEX('C'!$A$2:$L$254,MATCH($A739,'C'!$A$2:$A$254,0),10),C739 = "LW",INDEX(LW!$A$2:$K$180,MATCH($A739,LW!$A$2:$A$180,0),10),C739 = "RW",INDEX('RW'!$A$2:$L$164,MATCH($A739,'RW'!$A$2:$A$164,0),10), C739 = "D",INDEX(D!$A$2:$L$268,MATCH($A739,D!$A$2:$A$268,0),10),C739="G",INDEX(G!$A$2:$Q$78,MATCH($A739,G!$A$2:$A$78,0),16),C739="F",INDEX(F!$A$2:$K$494,MATCH($A739,F!$A$2:$A$494,0),10))</f>
        <v>256</v>
      </c>
      <c r="G739" t="str">
        <f>_xlfn.CONCAT(C739,Table16[[#This Row],[Pos Rank2]])</f>
        <v>D256</v>
      </c>
      <c r="H739" s="10">
        <f>MAX(_xlfn.IFNA(INDEX(Proj[],MATCH(Table16[[#This Row],[Player]],Proj[Player],0),29),-5000), _xlfn.IFNA(INDEX(Goalie[],MATCH(Table16[[#This Row],[Player]],Goalie[player],0),19),-5000))</f>
        <v>-787.66012757694705</v>
      </c>
      <c r="I739" t="str">
        <f>IF(_xlfn.IFNA(INDEX(Proj[],MATCH(Table16[[#This Row],[Player]],Proj[Player],0),31),INDEX(Goalie[],MATCH(Table16[[#This Row],[Player]],Goalie[player],0),20)) = 0, "",_xlfn.IFNA(INDEX(Proj[],MATCH(Table16[[#This Row],[Player]],Proj[Player],0),31),INDEX(Goalie[],MATCH(Table16[[#This Row],[Player]],Goalie[player],0),20)))</f>
        <v/>
      </c>
    </row>
    <row r="740" spans="1:9" x14ac:dyDescent="0.25">
      <c r="A740" t="s">
        <v>821</v>
      </c>
      <c r="B740" s="2" t="s">
        <v>103</v>
      </c>
      <c r="C740" t="str">
        <f t="shared" si="11"/>
        <v>RW</v>
      </c>
      <c r="D740" s="10">
        <f>MAX(_xlfn.IFNA(INDEX(Proj[],MATCH(Table16[[#This Row],[Player]],Proj[Player],0),27),-5000), _xlfn.IFNA(INDEX(Goalie[],MATCH(Table16[[#This Row],[Player]],Goalie[player],0),17),-5000))</f>
        <v>-970.63284281525034</v>
      </c>
      <c r="E740">
        <f>_xlfn.RANK.EQ(Table16[[#This Row],[VOR]],Table16[VOR])</f>
        <v>726</v>
      </c>
      <c r="F740" cm="1">
        <f t="array" ref="F740">_xlfn.IFS(C740 = "C",INDEX('C'!$A$2:$L$254,MATCH($A740,'C'!$A$2:$A$254,0),10),C740 = "LW",INDEX(LW!$A$2:$K$180,MATCH($A740,LW!$A$2:$A$180,0),10),C740 = "RW",INDEX('RW'!$A$2:$L$164,MATCH($A740,'RW'!$A$2:$A$164,0),10), C740 = "D",INDEX(D!$A$2:$L$268,MATCH($A740,D!$A$2:$A$268,0),10),C740="G",INDEX(G!$A$2:$Q$78,MATCH($A740,G!$A$2:$A$78,0),16),C740="F",INDEX(F!$A$2:$K$494,MATCH($A740,F!$A$2:$A$494,0),10))</f>
        <v>145</v>
      </c>
      <c r="G740" t="str">
        <f>_xlfn.CONCAT(C740,Table16[[#This Row],[Pos Rank2]])</f>
        <v>RW145</v>
      </c>
      <c r="H740" s="10">
        <f>MAX(_xlfn.IFNA(INDEX(Proj[],MATCH(Table16[[#This Row],[Player]],Proj[Player],0),29),-5000), _xlfn.IFNA(INDEX(Goalie[],MATCH(Table16[[#This Row],[Player]],Goalie[player],0),19),-5000))</f>
        <v>-524.08811842500154</v>
      </c>
      <c r="I740" t="str">
        <f>IF(_xlfn.IFNA(INDEX(Proj[],MATCH(Table16[[#This Row],[Player]],Proj[Player],0),31),INDEX(Goalie[],MATCH(Table16[[#This Row],[Player]],Goalie[player],0),20)) = 0, "",_xlfn.IFNA(INDEX(Proj[],MATCH(Table16[[#This Row],[Player]],Proj[Player],0),31),INDEX(Goalie[],MATCH(Table16[[#This Row],[Player]],Goalie[player],0),20)))</f>
        <v/>
      </c>
    </row>
    <row r="741" spans="1:9" x14ac:dyDescent="0.25">
      <c r="A741" t="s">
        <v>483</v>
      </c>
      <c r="B741" s="2" t="s">
        <v>103</v>
      </c>
      <c r="C741" t="str">
        <f t="shared" si="11"/>
        <v>RW</v>
      </c>
      <c r="D741" s="10">
        <f>MAX(_xlfn.IFNA(INDEX(Proj[],MATCH(Table16[[#This Row],[Player]],Proj[Player],0),27),-5000), _xlfn.IFNA(INDEX(Goalie[],MATCH(Table16[[#This Row],[Player]],Goalie[player],0),17),-5000))</f>
        <v>-979.14562515194098</v>
      </c>
      <c r="E741">
        <f>_xlfn.RANK.EQ(Table16[[#This Row],[VOR]],Table16[VOR])</f>
        <v>730</v>
      </c>
      <c r="F741" cm="1">
        <f t="array" ref="F741">_xlfn.IFS(C741 = "C",INDEX('C'!$A$2:$L$254,MATCH($A741,'C'!$A$2:$A$254,0),10),C741 = "LW",INDEX(LW!$A$2:$K$180,MATCH($A741,LW!$A$2:$A$180,0),10),C741 = "RW",INDEX('RW'!$A$2:$L$164,MATCH($A741,'RW'!$A$2:$A$164,0),10), C741 = "D",INDEX(D!$A$2:$L$268,MATCH($A741,D!$A$2:$A$268,0),10),C741="G",INDEX(G!$A$2:$Q$78,MATCH($A741,G!$A$2:$A$78,0),16),C741="F",INDEX(F!$A$2:$K$494,MATCH($A741,F!$A$2:$A$494,0),10))</f>
        <v>147</v>
      </c>
      <c r="G741" t="str">
        <f>_xlfn.CONCAT(C741,Table16[[#This Row],[Pos Rank2]])</f>
        <v>RW147</v>
      </c>
      <c r="H741" s="10">
        <f>MAX(_xlfn.IFNA(INDEX(Proj[],MATCH(Table16[[#This Row],[Player]],Proj[Player],0),29),-5000), _xlfn.IFNA(INDEX(Goalie[],MATCH(Table16[[#This Row],[Player]],Goalie[player],0),19),-5000))</f>
        <v>-532.60090076169206</v>
      </c>
      <c r="I741" t="str">
        <f>IF(_xlfn.IFNA(INDEX(Proj[],MATCH(Table16[[#This Row],[Player]],Proj[Player],0),31),INDEX(Goalie[],MATCH(Table16[[#This Row],[Player]],Goalie[player],0),20)) = 0, "",_xlfn.IFNA(INDEX(Proj[],MATCH(Table16[[#This Row],[Player]],Proj[Player],0),31),INDEX(Goalie[],MATCH(Table16[[#This Row],[Player]],Goalie[player],0),20)))</f>
        <v/>
      </c>
    </row>
    <row r="742" spans="1:9" x14ac:dyDescent="0.25">
      <c r="A742" t="s">
        <v>1207</v>
      </c>
      <c r="B742" s="2" t="s">
        <v>3</v>
      </c>
      <c r="C742" t="str">
        <f t="shared" si="11"/>
        <v>D</v>
      </c>
      <c r="D742" s="10">
        <f>MAX(_xlfn.IFNA(INDEX(Proj[],MATCH(Table16[[#This Row],[Player]],Proj[Player],0),27),-5000), _xlfn.IFNA(INDEX(Goalie[],MATCH(Table16[[#This Row],[Player]],Goalie[player],0),17),-5000))</f>
        <v>-904.77520838443252</v>
      </c>
      <c r="E742">
        <f>_xlfn.RANK.EQ(Table16[[#This Row],[VOR]],Table16[VOR])</f>
        <v>702</v>
      </c>
      <c r="F742" cm="1">
        <f t="array" ref="F742">_xlfn.IFS(C742 = "C",INDEX('C'!$A$2:$L$254,MATCH($A742,'C'!$A$2:$A$254,0),10),C742 = "LW",INDEX(LW!$A$2:$K$180,MATCH($A742,LW!$A$2:$A$180,0),10),C742 = "RW",INDEX('RW'!$A$2:$L$164,MATCH($A742,'RW'!$A$2:$A$164,0),10), C742 = "D",INDEX(D!$A$2:$L$268,MATCH($A742,D!$A$2:$A$268,0),10),C742="G",INDEX(G!$A$2:$Q$78,MATCH($A742,G!$A$2:$A$78,0),16),C742="F",INDEX(F!$A$2:$K$494,MATCH($A742,F!$A$2:$A$494,0),10))</f>
        <v>257</v>
      </c>
      <c r="G742" t="str">
        <f>_xlfn.CONCAT(C742,Table16[[#This Row],[Pos Rank2]])</f>
        <v>D257</v>
      </c>
      <c r="H742" s="10">
        <f>MAX(_xlfn.IFNA(INDEX(Proj[],MATCH(Table16[[#This Row],[Player]],Proj[Player],0),29),-5000), _xlfn.IFNA(INDEX(Goalie[],MATCH(Table16[[#This Row],[Player]],Goalie[player],0),19),-5000))</f>
        <v>-797.41044066496806</v>
      </c>
      <c r="I742" t="str">
        <f>IF(_xlfn.IFNA(INDEX(Proj[],MATCH(Table16[[#This Row],[Player]],Proj[Player],0),31),INDEX(Goalie[],MATCH(Table16[[#This Row],[Player]],Goalie[player],0),20)) = 0, "",_xlfn.IFNA(INDEX(Proj[],MATCH(Table16[[#This Row],[Player]],Proj[Player],0),31),INDEX(Goalie[],MATCH(Table16[[#This Row],[Player]],Goalie[player],0),20)))</f>
        <v/>
      </c>
    </row>
    <row r="743" spans="1:9" x14ac:dyDescent="0.25">
      <c r="A743" t="s">
        <v>699</v>
      </c>
      <c r="B743" s="2" t="s">
        <v>3</v>
      </c>
      <c r="C743" t="str">
        <f t="shared" si="11"/>
        <v>D</v>
      </c>
      <c r="D743" s="10">
        <f>MAX(_xlfn.IFNA(INDEX(Proj[],MATCH(Table16[[#This Row],[Player]],Proj[Player],0),27),-5000), _xlfn.IFNA(INDEX(Goalie[],MATCH(Table16[[#This Row],[Player]],Goalie[player],0),17),-5000))</f>
        <v>-906.86279694840323</v>
      </c>
      <c r="E743">
        <f>_xlfn.RANK.EQ(Table16[[#This Row],[VOR]],Table16[VOR])</f>
        <v>703</v>
      </c>
      <c r="F743" cm="1">
        <f t="array" ref="F743">_xlfn.IFS(C743 = "C",INDEX('C'!$A$2:$L$254,MATCH($A743,'C'!$A$2:$A$254,0),10),C743 = "LW",INDEX(LW!$A$2:$K$180,MATCH($A743,LW!$A$2:$A$180,0),10),C743 = "RW",INDEX('RW'!$A$2:$L$164,MATCH($A743,'RW'!$A$2:$A$164,0),10), C743 = "D",INDEX(D!$A$2:$L$268,MATCH($A743,D!$A$2:$A$268,0),10),C743="G",INDEX(G!$A$2:$Q$78,MATCH($A743,G!$A$2:$A$78,0),16),C743="F",INDEX(F!$A$2:$K$494,MATCH($A743,F!$A$2:$A$494,0),10))</f>
        <v>258</v>
      </c>
      <c r="G743" t="str">
        <f>_xlfn.CONCAT(C743,Table16[[#This Row],[Pos Rank2]])</f>
        <v>D258</v>
      </c>
      <c r="H743" s="10">
        <f>MAX(_xlfn.IFNA(INDEX(Proj[],MATCH(Table16[[#This Row],[Player]],Proj[Player],0),29),-5000), _xlfn.IFNA(INDEX(Goalie[],MATCH(Table16[[#This Row],[Player]],Goalie[player],0),19),-5000))</f>
        <v>-799.49802922893878</v>
      </c>
      <c r="I743" t="str">
        <f>IF(_xlfn.IFNA(INDEX(Proj[],MATCH(Table16[[#This Row],[Player]],Proj[Player],0),31),INDEX(Goalie[],MATCH(Table16[[#This Row],[Player]],Goalie[player],0),20)) = 0, "",_xlfn.IFNA(INDEX(Proj[],MATCH(Table16[[#This Row],[Player]],Proj[Player],0),31),INDEX(Goalie[],MATCH(Table16[[#This Row],[Player]],Goalie[player],0),20)))</f>
        <v/>
      </c>
    </row>
    <row r="744" spans="1:9" x14ac:dyDescent="0.25">
      <c r="A744" t="s">
        <v>1066</v>
      </c>
      <c r="B744" s="2" t="s">
        <v>3</v>
      </c>
      <c r="C744" t="str">
        <f t="shared" si="11"/>
        <v>D</v>
      </c>
      <c r="D744" s="10">
        <f>MAX(_xlfn.IFNA(INDEX(Proj[],MATCH(Table16[[#This Row],[Player]],Proj[Player],0),27),-5000), _xlfn.IFNA(INDEX(Goalie[],MATCH(Table16[[#This Row],[Player]],Goalie[player],0),17),-5000))</f>
        <v>-910.26110038442789</v>
      </c>
      <c r="E744">
        <f>_xlfn.RANK.EQ(Table16[[#This Row],[VOR]],Table16[VOR])</f>
        <v>705</v>
      </c>
      <c r="F744" cm="1">
        <f t="array" ref="F744">_xlfn.IFS(C744 = "C",INDEX('C'!$A$2:$L$254,MATCH($A744,'C'!$A$2:$A$254,0),10),C744 = "LW",INDEX(LW!$A$2:$K$180,MATCH($A744,LW!$A$2:$A$180,0),10),C744 = "RW",INDEX('RW'!$A$2:$L$164,MATCH($A744,'RW'!$A$2:$A$164,0),10), C744 = "D",INDEX(D!$A$2:$L$268,MATCH($A744,D!$A$2:$A$268,0),10),C744="G",INDEX(G!$A$2:$Q$78,MATCH($A744,G!$A$2:$A$78,0),16),C744="F",INDEX(F!$A$2:$K$494,MATCH($A744,F!$A$2:$A$494,0),10))</f>
        <v>259</v>
      </c>
      <c r="G744" t="str">
        <f>_xlfn.CONCAT(C744,Table16[[#This Row],[Pos Rank2]])</f>
        <v>D259</v>
      </c>
      <c r="H744" s="10">
        <f>MAX(_xlfn.IFNA(INDEX(Proj[],MATCH(Table16[[#This Row],[Player]],Proj[Player],0),29),-5000), _xlfn.IFNA(INDEX(Goalie[],MATCH(Table16[[#This Row],[Player]],Goalie[player],0),19),-5000))</f>
        <v>-802.89633266496344</v>
      </c>
      <c r="I744" t="str">
        <f>IF(_xlfn.IFNA(INDEX(Proj[],MATCH(Table16[[#This Row],[Player]],Proj[Player],0),31),INDEX(Goalie[],MATCH(Table16[[#This Row],[Player]],Goalie[player],0),20)) = 0, "",_xlfn.IFNA(INDEX(Proj[],MATCH(Table16[[#This Row],[Player]],Proj[Player],0),31),INDEX(Goalie[],MATCH(Table16[[#This Row],[Player]],Goalie[player],0),20)))</f>
        <v/>
      </c>
    </row>
    <row r="745" spans="1:9" x14ac:dyDescent="0.25">
      <c r="A745" t="s">
        <v>1204</v>
      </c>
      <c r="B745" s="2" t="s">
        <v>3</v>
      </c>
      <c r="C745" t="str">
        <f t="shared" si="11"/>
        <v>D</v>
      </c>
      <c r="D745" s="10">
        <f>MAX(_xlfn.IFNA(INDEX(Proj[],MATCH(Table16[[#This Row],[Player]],Proj[Player],0),27),-5000), _xlfn.IFNA(INDEX(Goalie[],MATCH(Table16[[#This Row],[Player]],Goalie[player],0),17),-5000))</f>
        <v>-912.74039332616985</v>
      </c>
      <c r="E745">
        <f>_xlfn.RANK.EQ(Table16[[#This Row],[VOR]],Table16[VOR])</f>
        <v>707</v>
      </c>
      <c r="F745" cm="1">
        <f t="array" ref="F745">_xlfn.IFS(C745 = "C",INDEX('C'!$A$2:$L$254,MATCH($A745,'C'!$A$2:$A$254,0),10),C745 = "LW",INDEX(LW!$A$2:$K$180,MATCH($A745,LW!$A$2:$A$180,0),10),C745 = "RW",INDEX('RW'!$A$2:$L$164,MATCH($A745,'RW'!$A$2:$A$164,0),10), C745 = "D",INDEX(D!$A$2:$L$268,MATCH($A745,D!$A$2:$A$268,0),10),C745="G",INDEX(G!$A$2:$Q$78,MATCH($A745,G!$A$2:$A$78,0),16),C745="F",INDEX(F!$A$2:$K$494,MATCH($A745,F!$A$2:$A$494,0),10))</f>
        <v>260</v>
      </c>
      <c r="G745" t="str">
        <f>_xlfn.CONCAT(C745,Table16[[#This Row],[Pos Rank2]])</f>
        <v>D260</v>
      </c>
      <c r="H745" s="10">
        <f>MAX(_xlfn.IFNA(INDEX(Proj[],MATCH(Table16[[#This Row],[Player]],Proj[Player],0),29),-5000), _xlfn.IFNA(INDEX(Goalie[],MATCH(Table16[[#This Row],[Player]],Goalie[player],0),19),-5000))</f>
        <v>-805.3756256067054</v>
      </c>
      <c r="I745" t="str">
        <f>IF(_xlfn.IFNA(INDEX(Proj[],MATCH(Table16[[#This Row],[Player]],Proj[Player],0),31),INDEX(Goalie[],MATCH(Table16[[#This Row],[Player]],Goalie[player],0),20)) = 0, "",_xlfn.IFNA(INDEX(Proj[],MATCH(Table16[[#This Row],[Player]],Proj[Player],0),31),INDEX(Goalie[],MATCH(Table16[[#This Row],[Player]],Goalie[player],0),20)))</f>
        <v/>
      </c>
    </row>
    <row r="746" spans="1:9" x14ac:dyDescent="0.25">
      <c r="A746" t="s">
        <v>664</v>
      </c>
      <c r="B746" s="2" t="s">
        <v>74</v>
      </c>
      <c r="C746" t="str">
        <f t="shared" si="11"/>
        <v>C</v>
      </c>
      <c r="D746" s="10">
        <f>MAX(_xlfn.IFNA(INDEX(Proj[],MATCH(Table16[[#This Row],[Player]],Proj[Player],0),27),-5000), _xlfn.IFNA(INDEX(Goalie[],MATCH(Table16[[#This Row],[Player]],Goalie[player],0),17),-5000))</f>
        <v>-1165.8639893620998</v>
      </c>
      <c r="E746">
        <f>_xlfn.RANK.EQ(Table16[[#This Row],[VOR]],Table16[VOR])</f>
        <v>768</v>
      </c>
      <c r="F746" cm="1">
        <f t="array" ref="F746">_xlfn.IFS(C746 = "C",INDEX('C'!$A$2:$L$254,MATCH($A746,'C'!$A$2:$A$254,0),10),C746 = "LW",INDEX(LW!$A$2:$K$180,MATCH($A746,LW!$A$2:$A$180,0),10),C746 = "RW",INDEX('RW'!$A$2:$L$164,MATCH($A746,'RW'!$A$2:$A$164,0),10), C746 = "D",INDEX(D!$A$2:$L$268,MATCH($A746,D!$A$2:$A$268,0),10),C746="G",INDEX(G!$A$2:$Q$78,MATCH($A746,G!$A$2:$A$78,0),16),C746="F",INDEX(F!$A$2:$K$494,MATCH($A746,F!$A$2:$A$494,0),10))</f>
        <v>206</v>
      </c>
      <c r="G746" t="str">
        <f>_xlfn.CONCAT(C746,Table16[[#This Row],[Pos Rank2]])</f>
        <v>C206</v>
      </c>
      <c r="H746" s="10">
        <f>MAX(_xlfn.IFNA(INDEX(Proj[],MATCH(Table16[[#This Row],[Player]],Proj[Player],0),29),-5000), _xlfn.IFNA(INDEX(Goalie[],MATCH(Table16[[#This Row],[Player]],Goalie[player],0),19),-5000))</f>
        <v>-431.23013505180126</v>
      </c>
      <c r="I746" t="str">
        <f>IF(_xlfn.IFNA(INDEX(Proj[],MATCH(Table16[[#This Row],[Player]],Proj[Player],0),31),INDEX(Goalie[],MATCH(Table16[[#This Row],[Player]],Goalie[player],0),20)) = 0, "",_xlfn.IFNA(INDEX(Proj[],MATCH(Table16[[#This Row],[Player]],Proj[Player],0),31),INDEX(Goalie[],MATCH(Table16[[#This Row],[Player]],Goalie[player],0),20)))</f>
        <v/>
      </c>
    </row>
    <row r="747" spans="1:9" x14ac:dyDescent="0.25">
      <c r="A747" t="s">
        <v>1035</v>
      </c>
      <c r="B747" s="2" t="s">
        <v>104</v>
      </c>
      <c r="C747" t="str">
        <f t="shared" si="11"/>
        <v>RW</v>
      </c>
      <c r="D747" s="10">
        <f>MAX(_xlfn.IFNA(INDEX(Proj[],MATCH(Table16[[#This Row],[Player]],Proj[Player],0),27),-5000), _xlfn.IFNA(INDEX(Goalie[],MATCH(Table16[[#This Row],[Player]],Goalie[player],0),17),-5000))</f>
        <v>-978.78152640580129</v>
      </c>
      <c r="E747">
        <f>_xlfn.RANK.EQ(Table16[[#This Row],[VOR]],Table16[VOR])</f>
        <v>729</v>
      </c>
      <c r="F747" cm="1">
        <f t="array" ref="F747">_xlfn.IFS(C747 = "C",INDEX('C'!$A$2:$L$254,MATCH($A747,'C'!$A$2:$A$254,0),10),C747 = "LW",INDEX(LW!$A$2:$K$180,MATCH($A747,LW!$A$2:$A$180,0),10),C747 = "RW",INDEX('RW'!$A$2:$L$164,MATCH($A747,'RW'!$A$2:$A$164,0),10), C747 = "D",INDEX(D!$A$2:$L$268,MATCH($A747,D!$A$2:$A$268,0),10),C747="G",INDEX(G!$A$2:$Q$78,MATCH($A747,G!$A$2:$A$78,0),16),C747="F",INDEX(F!$A$2:$K$494,MATCH($A747,F!$A$2:$A$494,0),10))</f>
        <v>146</v>
      </c>
      <c r="G747" t="str">
        <f>_xlfn.CONCAT(C747,Table16[[#This Row],[Pos Rank2]])</f>
        <v>RW146</v>
      </c>
      <c r="H747" s="10">
        <f>MAX(_xlfn.IFNA(INDEX(Proj[],MATCH(Table16[[#This Row],[Player]],Proj[Player],0),29),-5000), _xlfn.IFNA(INDEX(Goalie[],MATCH(Table16[[#This Row],[Player]],Goalie[player],0),19),-5000))</f>
        <v>-532.23680201555237</v>
      </c>
      <c r="I747" t="str">
        <f>IF(_xlfn.IFNA(INDEX(Proj[],MATCH(Table16[[#This Row],[Player]],Proj[Player],0),31),INDEX(Goalie[],MATCH(Table16[[#This Row],[Player]],Goalie[player],0),20)) = 0, "",_xlfn.IFNA(INDEX(Proj[],MATCH(Table16[[#This Row],[Player]],Proj[Player],0),31),INDEX(Goalie[],MATCH(Table16[[#This Row],[Player]],Goalie[player],0),20)))</f>
        <v/>
      </c>
    </row>
    <row r="748" spans="1:9" x14ac:dyDescent="0.25">
      <c r="A748" t="s">
        <v>765</v>
      </c>
      <c r="B748" s="2" t="s">
        <v>103</v>
      </c>
      <c r="C748" t="str">
        <f t="shared" si="11"/>
        <v>RW</v>
      </c>
      <c r="D748" s="10">
        <f>MAX(_xlfn.IFNA(INDEX(Proj[],MATCH(Table16[[#This Row],[Player]],Proj[Player],0),27),-5000), _xlfn.IFNA(INDEX(Goalie[],MATCH(Table16[[#This Row],[Player]],Goalie[player],0),17),-5000))</f>
        <v>-1021.647200425974</v>
      </c>
      <c r="E748">
        <f>_xlfn.RANK.EQ(Table16[[#This Row],[VOR]],Table16[VOR])</f>
        <v>738</v>
      </c>
      <c r="F748" cm="1">
        <f t="array" ref="F748">_xlfn.IFS(C748 = "C",INDEX('C'!$A$2:$L$254,MATCH($A748,'C'!$A$2:$A$254,0),10),C748 = "LW",INDEX(LW!$A$2:$K$180,MATCH($A748,LW!$A$2:$A$180,0),10),C748 = "RW",INDEX('RW'!$A$2:$L$164,MATCH($A748,'RW'!$A$2:$A$164,0),10), C748 = "D",INDEX(D!$A$2:$L$268,MATCH($A748,D!$A$2:$A$268,0),10),C748="G",INDEX(G!$A$2:$Q$78,MATCH($A748,G!$A$2:$A$78,0),16),C748="F",INDEX(F!$A$2:$K$494,MATCH($A748,F!$A$2:$A$494,0),10))</f>
        <v>150</v>
      </c>
      <c r="G748" t="str">
        <f>_xlfn.CONCAT(C748,Table16[[#This Row],[Pos Rank2]])</f>
        <v>RW150</v>
      </c>
      <c r="H748" s="10">
        <f>MAX(_xlfn.IFNA(INDEX(Proj[],MATCH(Table16[[#This Row],[Player]],Proj[Player],0),29),-5000), _xlfn.IFNA(INDEX(Goalie[],MATCH(Table16[[#This Row],[Player]],Goalie[player],0),19),-5000))</f>
        <v>-575.1024760357252</v>
      </c>
      <c r="I748" t="str">
        <f>IF(_xlfn.IFNA(INDEX(Proj[],MATCH(Table16[[#This Row],[Player]],Proj[Player],0),31),INDEX(Goalie[],MATCH(Table16[[#This Row],[Player]],Goalie[player],0),20)) = 0, "",_xlfn.IFNA(INDEX(Proj[],MATCH(Table16[[#This Row],[Player]],Proj[Player],0),31),INDEX(Goalie[],MATCH(Table16[[#This Row],[Player]],Goalie[player],0),20)))</f>
        <v/>
      </c>
    </row>
    <row r="749" spans="1:9" x14ac:dyDescent="0.25">
      <c r="A749" t="s">
        <v>1017</v>
      </c>
      <c r="B749" s="2" t="s">
        <v>74</v>
      </c>
      <c r="C749" t="str">
        <f t="shared" si="11"/>
        <v>C</v>
      </c>
      <c r="D749" s="10">
        <f>MAX(_xlfn.IFNA(INDEX(Proj[],MATCH(Table16[[#This Row],[Player]],Proj[Player],0),27),-5000), _xlfn.IFNA(INDEX(Goalie[],MATCH(Table16[[#This Row],[Player]],Goalie[player],0),17),-5000))</f>
        <v>-1211.746939799955</v>
      </c>
      <c r="E749">
        <f>_xlfn.RANK.EQ(Table16[[#This Row],[VOR]],Table16[VOR])</f>
        <v>775</v>
      </c>
      <c r="F749" cm="1">
        <f t="array" ref="F749">_xlfn.IFS(C749 = "C",INDEX('C'!$A$2:$L$254,MATCH($A749,'C'!$A$2:$A$254,0),10),C749 = "LW",INDEX(LW!$A$2:$K$180,MATCH($A749,LW!$A$2:$A$180,0),10),C749 = "RW",INDEX('RW'!$A$2:$L$164,MATCH($A749,'RW'!$A$2:$A$164,0),10), C749 = "D",INDEX(D!$A$2:$L$268,MATCH($A749,D!$A$2:$A$268,0),10),C749="G",INDEX(G!$A$2:$Q$78,MATCH($A749,G!$A$2:$A$78,0),16),C749="F",INDEX(F!$A$2:$K$494,MATCH($A749,F!$A$2:$A$494,0),10))</f>
        <v>208</v>
      </c>
      <c r="G749" t="str">
        <f>_xlfn.CONCAT(C749,Table16[[#This Row],[Pos Rank2]])</f>
        <v>C208</v>
      </c>
      <c r="H749" s="10">
        <f>MAX(_xlfn.IFNA(INDEX(Proj[],MATCH(Table16[[#This Row],[Player]],Proj[Player],0),29),-5000), _xlfn.IFNA(INDEX(Goalie[],MATCH(Table16[[#This Row],[Player]],Goalie[player],0),19),-5000))</f>
        <v>-477.11308548965638</v>
      </c>
      <c r="I749" t="str">
        <f>IF(_xlfn.IFNA(INDEX(Proj[],MATCH(Table16[[#This Row],[Player]],Proj[Player],0),31),INDEX(Goalie[],MATCH(Table16[[#This Row],[Player]],Goalie[player],0),20)) = 0, "",_xlfn.IFNA(INDEX(Proj[],MATCH(Table16[[#This Row],[Player]],Proj[Player],0),31),INDEX(Goalie[],MATCH(Table16[[#This Row],[Player]],Goalie[player],0),20)))</f>
        <v/>
      </c>
    </row>
    <row r="750" spans="1:9" x14ac:dyDescent="0.25">
      <c r="A750" t="s">
        <v>986</v>
      </c>
      <c r="B750" s="2" t="s">
        <v>103</v>
      </c>
      <c r="C750" t="str">
        <f t="shared" si="11"/>
        <v>RW</v>
      </c>
      <c r="D750" s="10">
        <f>MAX(_xlfn.IFNA(INDEX(Proj[],MATCH(Table16[[#This Row],[Player]],Proj[Player],0),27),-5000), _xlfn.IFNA(INDEX(Goalie[],MATCH(Table16[[#This Row],[Player]],Goalie[player],0),17),-5000))</f>
        <v>-1011.0412808310448</v>
      </c>
      <c r="E750">
        <f>_xlfn.RANK.EQ(Table16[[#This Row],[VOR]],Table16[VOR])</f>
        <v>736</v>
      </c>
      <c r="F750" cm="1">
        <f t="array" ref="F750">_xlfn.IFS(C750 = "C",INDEX('C'!$A$2:$L$254,MATCH($A750,'C'!$A$2:$A$254,0),10),C750 = "LW",INDEX(LW!$A$2:$K$180,MATCH($A750,LW!$A$2:$A$180,0),10),C750 = "RW",INDEX('RW'!$A$2:$L$164,MATCH($A750,'RW'!$A$2:$A$164,0),10), C750 = "D",INDEX(D!$A$2:$L$268,MATCH($A750,D!$A$2:$A$268,0),10),C750="G",INDEX(G!$A$2:$Q$78,MATCH($A750,G!$A$2:$A$78,0),16),C750="F",INDEX(F!$A$2:$K$494,MATCH($A750,F!$A$2:$A$494,0),10))</f>
        <v>149</v>
      </c>
      <c r="G750" t="str">
        <f>_xlfn.CONCAT(C750,Table16[[#This Row],[Pos Rank2]])</f>
        <v>RW149</v>
      </c>
      <c r="H750" s="10">
        <f>MAX(_xlfn.IFNA(INDEX(Proj[],MATCH(Table16[[#This Row],[Player]],Proj[Player],0),29),-5000), _xlfn.IFNA(INDEX(Goalie[],MATCH(Table16[[#This Row],[Player]],Goalie[player],0),19),-5000))</f>
        <v>-564.49655644079598</v>
      </c>
      <c r="I750" t="str">
        <f>IF(_xlfn.IFNA(INDEX(Proj[],MATCH(Table16[[#This Row],[Player]],Proj[Player],0),31),INDEX(Goalie[],MATCH(Table16[[#This Row],[Player]],Goalie[player],0),20)) = 0, "",_xlfn.IFNA(INDEX(Proj[],MATCH(Table16[[#This Row],[Player]],Proj[Player],0),31),INDEX(Goalie[],MATCH(Table16[[#This Row],[Player]],Goalie[player],0),20)))</f>
        <v/>
      </c>
    </row>
    <row r="751" spans="1:9" x14ac:dyDescent="0.25">
      <c r="A751" t="s">
        <v>825</v>
      </c>
      <c r="B751" s="2" t="s">
        <v>102</v>
      </c>
      <c r="C751" t="str">
        <f t="shared" si="11"/>
        <v>LW</v>
      </c>
      <c r="D751" s="10">
        <f>MAX(_xlfn.IFNA(INDEX(Proj[],MATCH(Table16[[#This Row],[Player]],Proj[Player],0),27),-5000), _xlfn.IFNA(INDEX(Goalie[],MATCH(Table16[[#This Row],[Player]],Goalie[player],0),17),-5000))</f>
        <v>-1005.3967382502055</v>
      </c>
      <c r="E751">
        <f>_xlfn.RANK.EQ(Table16[[#This Row],[VOR]],Table16[VOR])</f>
        <v>735</v>
      </c>
      <c r="F751" cm="1">
        <f t="array" ref="F751">_xlfn.IFS(C751 = "C",INDEX('C'!$A$2:$L$254,MATCH($A751,'C'!$A$2:$A$254,0),10),C751 = "LW",INDEX(LW!$A$2:$K$180,MATCH($A751,LW!$A$2:$A$180,0),10),C751 = "RW",INDEX('RW'!$A$2:$L$164,MATCH($A751,'RW'!$A$2:$A$164,0),10), C751 = "D",INDEX(D!$A$2:$L$268,MATCH($A751,D!$A$2:$A$268,0),10),C751="G",INDEX(G!$A$2:$Q$78,MATCH($A751,G!$A$2:$A$78,0),16),C751="F",INDEX(F!$A$2:$K$494,MATCH($A751,F!$A$2:$A$494,0),10))</f>
        <v>163</v>
      </c>
      <c r="G751" t="str">
        <f>_xlfn.CONCAT(C751,Table16[[#This Row],[Pos Rank2]])</f>
        <v>LW163</v>
      </c>
      <c r="H751" s="10">
        <f>MAX(_xlfn.IFNA(INDEX(Proj[],MATCH(Table16[[#This Row],[Player]],Proj[Player],0),29),-5000), _xlfn.IFNA(INDEX(Goalie[],MATCH(Table16[[#This Row],[Player]],Goalie[player],0),19),-5000))</f>
        <v>-533.85201385995663</v>
      </c>
      <c r="I751" t="str">
        <f>IF(_xlfn.IFNA(INDEX(Proj[],MATCH(Table16[[#This Row],[Player]],Proj[Player],0),31),INDEX(Goalie[],MATCH(Table16[[#This Row],[Player]],Goalie[player],0),20)) = 0, "",_xlfn.IFNA(INDEX(Proj[],MATCH(Table16[[#This Row],[Player]],Proj[Player],0),31),INDEX(Goalie[],MATCH(Table16[[#This Row],[Player]],Goalie[player],0),20)))</f>
        <v/>
      </c>
    </row>
    <row r="752" spans="1:9" x14ac:dyDescent="0.25">
      <c r="A752" t="s">
        <v>635</v>
      </c>
      <c r="B752" s="2" t="s">
        <v>3</v>
      </c>
      <c r="C752" t="str">
        <f t="shared" si="11"/>
        <v>D</v>
      </c>
      <c r="D752" s="10">
        <f>MAX(_xlfn.IFNA(INDEX(Proj[],MATCH(Table16[[#This Row],[Player]],Proj[Player],0),27),-5000), _xlfn.IFNA(INDEX(Goalie[],MATCH(Table16[[#This Row],[Player]],Goalie[player],0),17),-5000))</f>
        <v>-5000</v>
      </c>
      <c r="E752">
        <f>_xlfn.RANK.EQ(Table16[[#This Row],[VOR]],Table16[VOR])</f>
        <v>832</v>
      </c>
      <c r="F752" t="e" cm="1">
        <f t="array" ref="F752">_xlfn.IFS(C752 = "C",INDEX('C'!$A$2:$L$254,MATCH($A752,'C'!$A$2:$A$254,0),10),C752 = "LW",INDEX(LW!$A$2:$K$180,MATCH($A752,LW!$A$2:$A$180,0),10),C752 = "RW",INDEX('RW'!$A$2:$L$164,MATCH($A752,'RW'!$A$2:$A$164,0),10), C752 = "D",INDEX(D!$A$2:$L$268,MATCH($A752,D!$A$2:$A$268,0),10),C752="G",INDEX(G!$A$2:$Q$78,MATCH($A752,G!$A$2:$A$78,0),16),C752="F",INDEX(F!$A$2:$K$494,MATCH($A752,F!$A$2:$A$494,0),10))</f>
        <v>#N/A</v>
      </c>
      <c r="G752" t="e">
        <f>_xlfn.CONCAT(C752,Table16[[#This Row],[Pos Rank2]])</f>
        <v>#N/A</v>
      </c>
      <c r="H752" s="10">
        <f>MAX(_xlfn.IFNA(INDEX(Proj[],MATCH(Table16[[#This Row],[Player]],Proj[Player],0),29),-5000), _xlfn.IFNA(INDEX(Goalie[],MATCH(Table16[[#This Row],[Player]],Goalie[player],0),19),-5000))</f>
        <v>-5000</v>
      </c>
      <c r="I752" t="e">
        <f>IF(_xlfn.IFNA(INDEX(Proj[],MATCH(Table16[[#This Row],[Player]],Proj[Player],0),31),INDEX(Goalie[],MATCH(Table16[[#This Row],[Player]],Goalie[player],0),20)) = 0, "",_xlfn.IFNA(INDEX(Proj[],MATCH(Table16[[#This Row],[Player]],Proj[Player],0),31),INDEX(Goalie[],MATCH(Table16[[#This Row],[Player]],Goalie[player],0),20)))</f>
        <v>#N/A</v>
      </c>
    </row>
    <row r="753" spans="1:9" x14ac:dyDescent="0.25">
      <c r="A753" t="s">
        <v>1202</v>
      </c>
      <c r="B753" s="2" t="s">
        <v>3</v>
      </c>
      <c r="C753" t="str">
        <f t="shared" si="11"/>
        <v>D</v>
      </c>
      <c r="D753" s="10">
        <f>MAX(_xlfn.IFNA(INDEX(Proj[],MATCH(Table16[[#This Row],[Player]],Proj[Player],0),27),-5000), _xlfn.IFNA(INDEX(Goalie[],MATCH(Table16[[#This Row],[Player]],Goalie[player],0),17),-5000))</f>
        <v>-949.75087098355471</v>
      </c>
      <c r="E753">
        <f>_xlfn.RANK.EQ(Table16[[#This Row],[VOR]],Table16[VOR])</f>
        <v>719</v>
      </c>
      <c r="F753" cm="1">
        <f t="array" ref="F753">_xlfn.IFS(C753 = "C",INDEX('C'!$A$2:$L$254,MATCH($A753,'C'!$A$2:$A$254,0),10),C753 = "LW",INDEX(LW!$A$2:$K$180,MATCH($A753,LW!$A$2:$A$180,0),10),C753 = "RW",INDEX('RW'!$A$2:$L$164,MATCH($A753,'RW'!$A$2:$A$164,0),10), C753 = "D",INDEX(D!$A$2:$L$268,MATCH($A753,D!$A$2:$A$268,0),10),C753="G",INDEX(G!$A$2:$Q$78,MATCH($A753,G!$A$2:$A$78,0),16),C753="F",INDEX(F!$A$2:$K$494,MATCH($A753,F!$A$2:$A$494,0),10))</f>
        <v>261</v>
      </c>
      <c r="G753" t="str">
        <f>_xlfn.CONCAT(C753,Table16[[#This Row],[Pos Rank2]])</f>
        <v>D261</v>
      </c>
      <c r="H753" s="10">
        <f>MAX(_xlfn.IFNA(INDEX(Proj[],MATCH(Table16[[#This Row],[Player]],Proj[Player],0),29),-5000), _xlfn.IFNA(INDEX(Goalie[],MATCH(Table16[[#This Row],[Player]],Goalie[player],0),19),-5000))</f>
        <v>-842.38610326409025</v>
      </c>
      <c r="I753" t="str">
        <f>IF(_xlfn.IFNA(INDEX(Proj[],MATCH(Table16[[#This Row],[Player]],Proj[Player],0),31),INDEX(Goalie[],MATCH(Table16[[#This Row],[Player]],Goalie[player],0),20)) = 0, "",_xlfn.IFNA(INDEX(Proj[],MATCH(Table16[[#This Row],[Player]],Proj[Player],0),31),INDEX(Goalie[],MATCH(Table16[[#This Row],[Player]],Goalie[player],0),20)))</f>
        <v/>
      </c>
    </row>
    <row r="754" spans="1:9" x14ac:dyDescent="0.25">
      <c r="A754" t="s">
        <v>1039</v>
      </c>
      <c r="B754" s="2" t="s">
        <v>74</v>
      </c>
      <c r="C754" t="str">
        <f t="shared" si="11"/>
        <v>C</v>
      </c>
      <c r="D754" s="10">
        <f>MAX(_xlfn.IFNA(INDEX(Proj[],MATCH(Table16[[#This Row],[Player]],Proj[Player],0),27),-5000), _xlfn.IFNA(INDEX(Goalie[],MATCH(Table16[[#This Row],[Player]],Goalie[player],0),17),-5000))</f>
        <v>-1226.0543596417881</v>
      </c>
      <c r="E754">
        <f>_xlfn.RANK.EQ(Table16[[#This Row],[VOR]],Table16[VOR])</f>
        <v>776</v>
      </c>
      <c r="F754" cm="1">
        <f t="array" ref="F754">_xlfn.IFS(C754 = "C",INDEX('C'!$A$2:$L$254,MATCH($A754,'C'!$A$2:$A$254,0),10),C754 = "LW",INDEX(LW!$A$2:$K$180,MATCH($A754,LW!$A$2:$A$180,0),10),C754 = "RW",INDEX('RW'!$A$2:$L$164,MATCH($A754,'RW'!$A$2:$A$164,0),10), C754 = "D",INDEX(D!$A$2:$L$268,MATCH($A754,D!$A$2:$A$268,0),10),C754="G",INDEX(G!$A$2:$Q$78,MATCH($A754,G!$A$2:$A$78,0),16),C754="F",INDEX(F!$A$2:$K$494,MATCH($A754,F!$A$2:$A$494,0),10))</f>
        <v>209</v>
      </c>
      <c r="G754" t="str">
        <f>_xlfn.CONCAT(C754,Table16[[#This Row],[Pos Rank2]])</f>
        <v>C209</v>
      </c>
      <c r="H754" s="10">
        <f>MAX(_xlfn.IFNA(INDEX(Proj[],MATCH(Table16[[#This Row],[Player]],Proj[Player],0),29),-5000), _xlfn.IFNA(INDEX(Goalie[],MATCH(Table16[[#This Row],[Player]],Goalie[player],0),19),-5000))</f>
        <v>-491.42050533148955</v>
      </c>
      <c r="I754" t="str">
        <f>IF(_xlfn.IFNA(INDEX(Proj[],MATCH(Table16[[#This Row],[Player]],Proj[Player],0),31),INDEX(Goalie[],MATCH(Table16[[#This Row],[Player]],Goalie[player],0),20)) = 0, "",_xlfn.IFNA(INDEX(Proj[],MATCH(Table16[[#This Row],[Player]],Proj[Player],0),31),INDEX(Goalie[],MATCH(Table16[[#This Row],[Player]],Goalie[player],0),20)))</f>
        <v/>
      </c>
    </row>
    <row r="755" spans="1:9" x14ac:dyDescent="0.25">
      <c r="A755" t="s">
        <v>766</v>
      </c>
      <c r="B755" s="2" t="s">
        <v>102</v>
      </c>
      <c r="C755" t="str">
        <f t="shared" si="11"/>
        <v>LW</v>
      </c>
      <c r="D755" s="10">
        <f>MAX(_xlfn.IFNA(INDEX(Proj[],MATCH(Table16[[#This Row],[Player]],Proj[Player],0),27),-5000), _xlfn.IFNA(INDEX(Goalie[],MATCH(Table16[[#This Row],[Player]],Goalie[player],0),17),-5000))</f>
        <v>-889.95912945801638</v>
      </c>
      <c r="E755">
        <f>_xlfn.RANK.EQ(Table16[[#This Row],[VOR]],Table16[VOR])</f>
        <v>696</v>
      </c>
      <c r="F755" cm="1">
        <f t="array" ref="F755">_xlfn.IFS(C755 = "C",INDEX('C'!$A$2:$L$254,MATCH($A755,'C'!$A$2:$A$254,0),10),C755 = "LW",INDEX(LW!$A$2:$K$180,MATCH($A755,LW!$A$2:$A$180,0),10),C755 = "RW",INDEX('RW'!$A$2:$L$164,MATCH($A755,'RW'!$A$2:$A$164,0),10), C755 = "D",INDEX(D!$A$2:$L$268,MATCH($A755,D!$A$2:$A$268,0),10),C755="G",INDEX(G!$A$2:$Q$78,MATCH($A755,G!$A$2:$A$78,0),16),C755="F",INDEX(F!$A$2:$K$494,MATCH($A755,F!$A$2:$A$494,0),10))</f>
        <v>154</v>
      </c>
      <c r="G755" t="str">
        <f>_xlfn.CONCAT(C755,Table16[[#This Row],[Pos Rank2]])</f>
        <v>LW154</v>
      </c>
      <c r="H755" s="10">
        <f>MAX(_xlfn.IFNA(INDEX(Proj[],MATCH(Table16[[#This Row],[Player]],Proj[Player],0),29),-5000), _xlfn.IFNA(INDEX(Goalie[],MATCH(Table16[[#This Row],[Player]],Goalie[player],0),19),-5000))</f>
        <v>-418.41440506776746</v>
      </c>
      <c r="I755" t="str">
        <f>IF(_xlfn.IFNA(INDEX(Proj[],MATCH(Table16[[#This Row],[Player]],Proj[Player],0),31),INDEX(Goalie[],MATCH(Table16[[#This Row],[Player]],Goalie[player],0),20)) = 0, "",_xlfn.IFNA(INDEX(Proj[],MATCH(Table16[[#This Row],[Player]],Proj[Player],0),31),INDEX(Goalie[],MATCH(Table16[[#This Row],[Player]],Goalie[player],0),20)))</f>
        <v/>
      </c>
    </row>
    <row r="756" spans="1:9" x14ac:dyDescent="0.25">
      <c r="A756" t="s">
        <v>574</v>
      </c>
      <c r="B756" s="2" t="s">
        <v>74</v>
      </c>
      <c r="C756" t="str">
        <f t="shared" si="11"/>
        <v>C</v>
      </c>
      <c r="D756" s="10">
        <f>MAX(_xlfn.IFNA(INDEX(Proj[],MATCH(Table16[[#This Row],[Player]],Proj[Player],0),27),-5000), _xlfn.IFNA(INDEX(Goalie[],MATCH(Table16[[#This Row],[Player]],Goalie[player],0),17),-5000))</f>
        <v>-1235.2233860480542</v>
      </c>
      <c r="E756">
        <f>_xlfn.RANK.EQ(Table16[[#This Row],[VOR]],Table16[VOR])</f>
        <v>777</v>
      </c>
      <c r="F756" cm="1">
        <f t="array" ref="F756">_xlfn.IFS(C756 = "C",INDEX('C'!$A$2:$L$254,MATCH($A756,'C'!$A$2:$A$254,0),10),C756 = "LW",INDEX(LW!$A$2:$K$180,MATCH($A756,LW!$A$2:$A$180,0),10),C756 = "RW",INDEX('RW'!$A$2:$L$164,MATCH($A756,'RW'!$A$2:$A$164,0),10), C756 = "D",INDEX(D!$A$2:$L$268,MATCH($A756,D!$A$2:$A$268,0),10),C756="G",INDEX(G!$A$2:$Q$78,MATCH($A756,G!$A$2:$A$78,0),16),C756="F",INDEX(F!$A$2:$K$494,MATCH($A756,F!$A$2:$A$494,0),10))</f>
        <v>210</v>
      </c>
      <c r="G756" t="str">
        <f>_xlfn.CONCAT(C756,Table16[[#This Row],[Pos Rank2]])</f>
        <v>C210</v>
      </c>
      <c r="H756" s="10">
        <f>MAX(_xlfn.IFNA(INDEX(Proj[],MATCH(Table16[[#This Row],[Player]],Proj[Player],0),29),-5000), _xlfn.IFNA(INDEX(Goalie[],MATCH(Table16[[#This Row],[Player]],Goalie[player],0),19),-5000))</f>
        <v>-500.58953173775569</v>
      </c>
      <c r="I756" t="str">
        <f>IF(_xlfn.IFNA(INDEX(Proj[],MATCH(Table16[[#This Row],[Player]],Proj[Player],0),31),INDEX(Goalie[],MATCH(Table16[[#This Row],[Player]],Goalie[player],0),20)) = 0, "",_xlfn.IFNA(INDEX(Proj[],MATCH(Table16[[#This Row],[Player]],Proj[Player],0),31),INDEX(Goalie[],MATCH(Table16[[#This Row],[Player]],Goalie[player],0),20)))</f>
        <v/>
      </c>
    </row>
    <row r="757" spans="1:9" x14ac:dyDescent="0.25">
      <c r="A757" t="s">
        <v>668</v>
      </c>
      <c r="B757" s="2" t="s">
        <v>3</v>
      </c>
      <c r="C757" t="str">
        <f t="shared" si="11"/>
        <v>D</v>
      </c>
      <c r="D757" s="10">
        <f>MAX(_xlfn.IFNA(INDEX(Proj[],MATCH(Table16[[#This Row],[Player]],Proj[Player],0),27),-5000), _xlfn.IFNA(INDEX(Goalie[],MATCH(Table16[[#This Row],[Player]],Goalie[player],0),17),-5000))</f>
        <v>-956.22945282875958</v>
      </c>
      <c r="E757">
        <f>_xlfn.RANK.EQ(Table16[[#This Row],[VOR]],Table16[VOR])</f>
        <v>723</v>
      </c>
      <c r="F757" cm="1">
        <f t="array" ref="F757">_xlfn.IFS(C757 = "C",INDEX('C'!$A$2:$L$254,MATCH($A757,'C'!$A$2:$A$254,0),10),C757 = "LW",INDEX(LW!$A$2:$K$180,MATCH($A757,LW!$A$2:$A$180,0),10),C757 = "RW",INDEX('RW'!$A$2:$L$164,MATCH($A757,'RW'!$A$2:$A$164,0),10), C757 = "D",INDEX(D!$A$2:$L$268,MATCH($A757,D!$A$2:$A$268,0),10),C757="G",INDEX(G!$A$2:$Q$78,MATCH($A757,G!$A$2:$A$78,0),16),C757="F",INDEX(F!$A$2:$K$494,MATCH($A757,F!$A$2:$A$494,0),10))</f>
        <v>262</v>
      </c>
      <c r="G757" t="str">
        <f>_xlfn.CONCAT(C757,Table16[[#This Row],[Pos Rank2]])</f>
        <v>D262</v>
      </c>
      <c r="H757" s="10">
        <f>MAX(_xlfn.IFNA(INDEX(Proj[],MATCH(Table16[[#This Row],[Player]],Proj[Player],0),29),-5000), _xlfn.IFNA(INDEX(Goalie[],MATCH(Table16[[#This Row],[Player]],Goalie[player],0),19),-5000))</f>
        <v>-848.86468510929512</v>
      </c>
      <c r="I757" t="str">
        <f>IF(_xlfn.IFNA(INDEX(Proj[],MATCH(Table16[[#This Row],[Player]],Proj[Player],0),31),INDEX(Goalie[],MATCH(Table16[[#This Row],[Player]],Goalie[player],0),20)) = 0, "",_xlfn.IFNA(INDEX(Proj[],MATCH(Table16[[#This Row],[Player]],Proj[Player],0),31),INDEX(Goalie[],MATCH(Table16[[#This Row],[Player]],Goalie[player],0),20)))</f>
        <v/>
      </c>
    </row>
    <row r="758" spans="1:9" x14ac:dyDescent="0.25">
      <c r="A758" t="s">
        <v>1042</v>
      </c>
      <c r="B758" s="2" t="s">
        <v>103</v>
      </c>
      <c r="C758" t="str">
        <f t="shared" si="11"/>
        <v>RW</v>
      </c>
      <c r="D758" s="10">
        <f>MAX(_xlfn.IFNA(INDEX(Proj[],MATCH(Table16[[#This Row],[Player]],Proj[Player],0),27),-5000), _xlfn.IFNA(INDEX(Goalie[],MATCH(Table16[[#This Row],[Player]],Goalie[player],0),17),-5000))</f>
        <v>-988.33430982331583</v>
      </c>
      <c r="E758">
        <f>_xlfn.RANK.EQ(Table16[[#This Row],[VOR]],Table16[VOR])</f>
        <v>732</v>
      </c>
      <c r="F758" cm="1">
        <f t="array" ref="F758">_xlfn.IFS(C758 = "C",INDEX('C'!$A$2:$L$254,MATCH($A758,'C'!$A$2:$A$254,0),10),C758 = "LW",INDEX(LW!$A$2:$K$180,MATCH($A758,LW!$A$2:$A$180,0),10),C758 = "RW",INDEX('RW'!$A$2:$L$164,MATCH($A758,'RW'!$A$2:$A$164,0),10), C758 = "D",INDEX(D!$A$2:$L$268,MATCH($A758,D!$A$2:$A$268,0),10),C758="G",INDEX(G!$A$2:$Q$78,MATCH($A758,G!$A$2:$A$78,0),16),C758="F",INDEX(F!$A$2:$K$494,MATCH($A758,F!$A$2:$A$494,0),10))</f>
        <v>148</v>
      </c>
      <c r="G758" t="str">
        <f>_xlfn.CONCAT(C758,Table16[[#This Row],[Pos Rank2]])</f>
        <v>RW148</v>
      </c>
      <c r="H758" s="10">
        <f>MAX(_xlfn.IFNA(INDEX(Proj[],MATCH(Table16[[#This Row],[Player]],Proj[Player],0),29),-5000), _xlfn.IFNA(INDEX(Goalie[],MATCH(Table16[[#This Row],[Player]],Goalie[player],0),19),-5000))</f>
        <v>-541.78958543306703</v>
      </c>
      <c r="I758" t="str">
        <f>IF(_xlfn.IFNA(INDEX(Proj[],MATCH(Table16[[#This Row],[Player]],Proj[Player],0),31),INDEX(Goalie[],MATCH(Table16[[#This Row],[Player]],Goalie[player],0),20)) = 0, "",_xlfn.IFNA(INDEX(Proj[],MATCH(Table16[[#This Row],[Player]],Proj[Player],0),31),INDEX(Goalie[],MATCH(Table16[[#This Row],[Player]],Goalie[player],0),20)))</f>
        <v/>
      </c>
    </row>
    <row r="759" spans="1:9" x14ac:dyDescent="0.25">
      <c r="A759" t="s">
        <v>881</v>
      </c>
      <c r="B759" s="2" t="s">
        <v>3</v>
      </c>
      <c r="C759" t="str">
        <f t="shared" si="11"/>
        <v>D</v>
      </c>
      <c r="D759" s="10">
        <f>MAX(_xlfn.IFNA(INDEX(Proj[],MATCH(Table16[[#This Row],[Player]],Proj[Player],0),27),-5000), _xlfn.IFNA(INDEX(Goalie[],MATCH(Table16[[#This Row],[Player]],Goalie[player],0),17),-5000))</f>
        <v>-977.65149197507435</v>
      </c>
      <c r="E759">
        <f>_xlfn.RANK.EQ(Table16[[#This Row],[VOR]],Table16[VOR])</f>
        <v>728</v>
      </c>
      <c r="F759" cm="1">
        <f t="array" ref="F759">_xlfn.IFS(C759 = "C",INDEX('C'!$A$2:$L$254,MATCH($A759,'C'!$A$2:$A$254,0),10),C759 = "LW",INDEX(LW!$A$2:$K$180,MATCH($A759,LW!$A$2:$A$180,0),10),C759 = "RW",INDEX('RW'!$A$2:$L$164,MATCH($A759,'RW'!$A$2:$A$164,0),10), C759 = "D",INDEX(D!$A$2:$L$268,MATCH($A759,D!$A$2:$A$268,0),10),C759="G",INDEX(G!$A$2:$Q$78,MATCH($A759,G!$A$2:$A$78,0),16),C759="F",INDEX(F!$A$2:$K$494,MATCH($A759,F!$A$2:$A$494,0),10))</f>
        <v>263</v>
      </c>
      <c r="G759" t="str">
        <f>_xlfn.CONCAT(C759,Table16[[#This Row],[Pos Rank2]])</f>
        <v>D263</v>
      </c>
      <c r="H759" s="10">
        <f>MAX(_xlfn.IFNA(INDEX(Proj[],MATCH(Table16[[#This Row],[Player]],Proj[Player],0),29),-5000), _xlfn.IFNA(INDEX(Goalie[],MATCH(Table16[[#This Row],[Player]],Goalie[player],0),19),-5000))</f>
        <v>-870.2867242556099</v>
      </c>
      <c r="I759" t="str">
        <f>IF(_xlfn.IFNA(INDEX(Proj[],MATCH(Table16[[#This Row],[Player]],Proj[Player],0),31),INDEX(Goalie[],MATCH(Table16[[#This Row],[Player]],Goalie[player],0),20)) = 0, "",_xlfn.IFNA(INDEX(Proj[],MATCH(Table16[[#This Row],[Player]],Proj[Player],0),31),INDEX(Goalie[],MATCH(Table16[[#This Row],[Player]],Goalie[player],0),20)))</f>
        <v/>
      </c>
    </row>
    <row r="760" spans="1:9" x14ac:dyDescent="0.25">
      <c r="A760" t="s">
        <v>543</v>
      </c>
      <c r="B760" s="2" t="s">
        <v>103</v>
      </c>
      <c r="C760" t="str">
        <f t="shared" si="11"/>
        <v>RW</v>
      </c>
      <c r="D760" s="10">
        <f>MAX(_xlfn.IFNA(INDEX(Proj[],MATCH(Table16[[#This Row],[Player]],Proj[Player],0),27),-5000), _xlfn.IFNA(INDEX(Goalie[],MATCH(Table16[[#This Row],[Player]],Goalie[player],0),17),-5000))</f>
        <v>-1046.2990134188467</v>
      </c>
      <c r="E760">
        <f>_xlfn.RANK.EQ(Table16[[#This Row],[VOR]],Table16[VOR])</f>
        <v>747</v>
      </c>
      <c r="F760" cm="1">
        <f t="array" ref="F760">_xlfn.IFS(C760 = "C",INDEX('C'!$A$2:$L$254,MATCH($A760,'C'!$A$2:$A$254,0),10),C760 = "LW",INDEX(LW!$A$2:$K$180,MATCH($A760,LW!$A$2:$A$180,0),10),C760 = "RW",INDEX('RW'!$A$2:$L$164,MATCH($A760,'RW'!$A$2:$A$164,0),10), C760 = "D",INDEX(D!$A$2:$L$268,MATCH($A760,D!$A$2:$A$268,0),10),C760="G",INDEX(G!$A$2:$Q$78,MATCH($A760,G!$A$2:$A$78,0),16),C760="F",INDEX(F!$A$2:$K$494,MATCH($A760,F!$A$2:$A$494,0),10))</f>
        <v>151</v>
      </c>
      <c r="G760" t="str">
        <f>_xlfn.CONCAT(C760,Table16[[#This Row],[Pos Rank2]])</f>
        <v>RW151</v>
      </c>
      <c r="H760" s="10">
        <f>MAX(_xlfn.IFNA(INDEX(Proj[],MATCH(Table16[[#This Row],[Player]],Proj[Player],0),29),-5000), _xlfn.IFNA(INDEX(Goalie[],MATCH(Table16[[#This Row],[Player]],Goalie[player],0),19),-5000))</f>
        <v>-599.7542890285979</v>
      </c>
      <c r="I760" t="str">
        <f>IF(_xlfn.IFNA(INDEX(Proj[],MATCH(Table16[[#This Row],[Player]],Proj[Player],0),31),INDEX(Goalie[],MATCH(Table16[[#This Row],[Player]],Goalie[player],0),20)) = 0, "",_xlfn.IFNA(INDEX(Proj[],MATCH(Table16[[#This Row],[Player]],Proj[Player],0),31),INDEX(Goalie[],MATCH(Table16[[#This Row],[Player]],Goalie[player],0),20)))</f>
        <v/>
      </c>
    </row>
    <row r="761" spans="1:9" x14ac:dyDescent="0.25">
      <c r="A761" t="s">
        <v>683</v>
      </c>
      <c r="B761" s="2" t="s">
        <v>3</v>
      </c>
      <c r="C761" t="str">
        <f t="shared" si="11"/>
        <v>D</v>
      </c>
      <c r="D761" s="10">
        <f>MAX(_xlfn.IFNA(INDEX(Proj[],MATCH(Table16[[#This Row],[Player]],Proj[Player],0),27),-5000), _xlfn.IFNA(INDEX(Goalie[],MATCH(Table16[[#This Row],[Player]],Goalie[player],0),17),-5000))</f>
        <v>-980.65556064337056</v>
      </c>
      <c r="E761">
        <f>_xlfn.RANK.EQ(Table16[[#This Row],[VOR]],Table16[VOR])</f>
        <v>731</v>
      </c>
      <c r="F761" cm="1">
        <f t="array" ref="F761">_xlfn.IFS(C761 = "C",INDEX('C'!$A$2:$L$254,MATCH($A761,'C'!$A$2:$A$254,0),10),C761 = "LW",INDEX(LW!$A$2:$K$180,MATCH($A761,LW!$A$2:$A$180,0),10),C761 = "RW",INDEX('RW'!$A$2:$L$164,MATCH($A761,'RW'!$A$2:$A$164,0),10), C761 = "D",INDEX(D!$A$2:$L$268,MATCH($A761,D!$A$2:$A$268,0),10),C761="G",INDEX(G!$A$2:$Q$78,MATCH($A761,G!$A$2:$A$78,0),16),C761="F",INDEX(F!$A$2:$K$494,MATCH($A761,F!$A$2:$A$494,0),10))</f>
        <v>264</v>
      </c>
      <c r="G761" t="str">
        <f>_xlfn.CONCAT(C761,Table16[[#This Row],[Pos Rank2]])</f>
        <v>D264</v>
      </c>
      <c r="H761" s="10">
        <f>MAX(_xlfn.IFNA(INDEX(Proj[],MATCH(Table16[[#This Row],[Player]],Proj[Player],0),29),-5000), _xlfn.IFNA(INDEX(Goalie[],MATCH(Table16[[#This Row],[Player]],Goalie[player],0),19),-5000))</f>
        <v>-873.29079292390611</v>
      </c>
      <c r="I761" t="str">
        <f>IF(_xlfn.IFNA(INDEX(Proj[],MATCH(Table16[[#This Row],[Player]],Proj[Player],0),31),INDEX(Goalie[],MATCH(Table16[[#This Row],[Player]],Goalie[player],0),20)) = 0, "",_xlfn.IFNA(INDEX(Proj[],MATCH(Table16[[#This Row],[Player]],Proj[Player],0),31),INDEX(Goalie[],MATCH(Table16[[#This Row],[Player]],Goalie[player],0),20)))</f>
        <v/>
      </c>
    </row>
    <row r="762" spans="1:9" x14ac:dyDescent="0.25">
      <c r="A762" t="s">
        <v>809</v>
      </c>
      <c r="B762" s="2" t="s">
        <v>102</v>
      </c>
      <c r="C762" t="str">
        <f t="shared" si="11"/>
        <v>LW</v>
      </c>
      <c r="D762" s="10">
        <f>MAX(_xlfn.IFNA(INDEX(Proj[],MATCH(Table16[[#This Row],[Player]],Proj[Player],0),27),-5000), _xlfn.IFNA(INDEX(Goalie[],MATCH(Table16[[#This Row],[Player]],Goalie[player],0),17),-5000))</f>
        <v>-1065.2291295247974</v>
      </c>
      <c r="E762">
        <f>_xlfn.RANK.EQ(Table16[[#This Row],[VOR]],Table16[VOR])</f>
        <v>751</v>
      </c>
      <c r="F762" cm="1">
        <f t="array" ref="F762">_xlfn.IFS(C762 = "C",INDEX('C'!$A$2:$L$254,MATCH($A762,'C'!$A$2:$A$254,0),10),C762 = "LW",INDEX(LW!$A$2:$K$180,MATCH($A762,LW!$A$2:$A$180,0),10),C762 = "RW",INDEX('RW'!$A$2:$L$164,MATCH($A762,'RW'!$A$2:$A$164,0),10), C762 = "D",INDEX(D!$A$2:$L$268,MATCH($A762,D!$A$2:$A$268,0),10),C762="G",INDEX(G!$A$2:$Q$78,MATCH($A762,G!$A$2:$A$78,0),16),C762="F",INDEX(F!$A$2:$K$494,MATCH($A762,F!$A$2:$A$494,0),10))</f>
        <v>166</v>
      </c>
      <c r="G762" t="str">
        <f>_xlfn.CONCAT(C762,Table16[[#This Row],[Pos Rank2]])</f>
        <v>LW166</v>
      </c>
      <c r="H762" s="10">
        <f>MAX(_xlfn.IFNA(INDEX(Proj[],MATCH(Table16[[#This Row],[Player]],Proj[Player],0),29),-5000), _xlfn.IFNA(INDEX(Goalie[],MATCH(Table16[[#This Row],[Player]],Goalie[player],0),19),-5000))</f>
        <v>-593.68440513454857</v>
      </c>
      <c r="I762" t="str">
        <f>IF(_xlfn.IFNA(INDEX(Proj[],MATCH(Table16[[#This Row],[Player]],Proj[Player],0),31),INDEX(Goalie[],MATCH(Table16[[#This Row],[Player]],Goalie[player],0),20)) = 0, "",_xlfn.IFNA(INDEX(Proj[],MATCH(Table16[[#This Row],[Player]],Proj[Player],0),31),INDEX(Goalie[],MATCH(Table16[[#This Row],[Player]],Goalie[player],0),20)))</f>
        <v/>
      </c>
    </row>
    <row r="763" spans="1:9" x14ac:dyDescent="0.25">
      <c r="A763" t="s">
        <v>872</v>
      </c>
      <c r="B763" s="2" t="s">
        <v>102</v>
      </c>
      <c r="C763" t="str">
        <f t="shared" si="11"/>
        <v>LW</v>
      </c>
      <c r="D763" s="10">
        <f>MAX(_xlfn.IFNA(INDEX(Proj[],MATCH(Table16[[#This Row],[Player]],Proj[Player],0),27),-5000), _xlfn.IFNA(INDEX(Goalie[],MATCH(Table16[[#This Row],[Player]],Goalie[player],0),17),-5000))</f>
        <v>-1064.0252482513699</v>
      </c>
      <c r="E763">
        <f>_xlfn.RANK.EQ(Table16[[#This Row],[VOR]],Table16[VOR])</f>
        <v>750</v>
      </c>
      <c r="F763" cm="1">
        <f t="array" ref="F763">_xlfn.IFS(C763 = "C",INDEX('C'!$A$2:$L$254,MATCH($A763,'C'!$A$2:$A$254,0),10),C763 = "LW",INDEX(LW!$A$2:$K$180,MATCH($A763,LW!$A$2:$A$180,0),10),C763 = "RW",INDEX('RW'!$A$2:$L$164,MATCH($A763,'RW'!$A$2:$A$164,0),10), C763 = "D",INDEX(D!$A$2:$L$268,MATCH($A763,D!$A$2:$A$268,0),10),C763="G",INDEX(G!$A$2:$Q$78,MATCH($A763,G!$A$2:$A$78,0),16),C763="F",INDEX(F!$A$2:$K$494,MATCH($A763,F!$A$2:$A$494,0),10))</f>
        <v>165</v>
      </c>
      <c r="G763" t="str">
        <f>_xlfn.CONCAT(C763,Table16[[#This Row],[Pos Rank2]])</f>
        <v>LW165</v>
      </c>
      <c r="H763" s="10">
        <f>MAX(_xlfn.IFNA(INDEX(Proj[],MATCH(Table16[[#This Row],[Player]],Proj[Player],0),29),-5000), _xlfn.IFNA(INDEX(Goalie[],MATCH(Table16[[#This Row],[Player]],Goalie[player],0),19),-5000))</f>
        <v>-592.48052386112101</v>
      </c>
      <c r="I763" t="str">
        <f>IF(_xlfn.IFNA(INDEX(Proj[],MATCH(Table16[[#This Row],[Player]],Proj[Player],0),31),INDEX(Goalie[],MATCH(Table16[[#This Row],[Player]],Goalie[player],0),20)) = 0, "",_xlfn.IFNA(INDEX(Proj[],MATCH(Table16[[#This Row],[Player]],Proj[Player],0),31),INDEX(Goalie[],MATCH(Table16[[#This Row],[Player]],Goalie[player],0),20)))</f>
        <v/>
      </c>
    </row>
    <row r="764" spans="1:9" x14ac:dyDescent="0.25">
      <c r="A764" t="s">
        <v>1248</v>
      </c>
      <c r="B764" s="2" t="s">
        <v>157</v>
      </c>
      <c r="C764" t="str">
        <f t="shared" si="11"/>
        <v>G</v>
      </c>
      <c r="D764" s="10">
        <f>MAX(_xlfn.IFNA(INDEX(Proj[],MATCH(Table16[[#This Row],[Player]],Proj[Player],0),27),-5000), _xlfn.IFNA(INDEX(Goalie[],MATCH(Table16[[#This Row],[Player]],Goalie[player],0),17),-5000))</f>
        <v>-1032.9183507081964</v>
      </c>
      <c r="E764">
        <f>_xlfn.RANK.EQ(Table16[[#This Row],[VOR]],Table16[VOR])</f>
        <v>741</v>
      </c>
      <c r="F764" cm="1">
        <f t="array" ref="F764">_xlfn.IFS(C764 = "C",INDEX('C'!$A$2:$L$254,MATCH($A764,'C'!$A$2:$A$254,0),10),C764 = "LW",INDEX(LW!$A$2:$K$180,MATCH($A764,LW!$A$2:$A$180,0),10),C764 = "RW",INDEX('RW'!$A$2:$L$164,MATCH($A764,'RW'!$A$2:$A$164,0),10), C764 = "D",INDEX(D!$A$2:$L$268,MATCH($A764,D!$A$2:$A$268,0),10),C764="G",INDEX(G!$A$2:$Q$78,MATCH($A764,G!$A$2:$A$78,0),16),C764="F",INDEX(F!$A$2:$K$494,MATCH($A764,F!$A$2:$A$494,0),10))</f>
        <v>77</v>
      </c>
      <c r="G764" t="str">
        <f>_xlfn.CONCAT(C764,Table16[[#This Row],[Pos Rank2]])</f>
        <v>G77</v>
      </c>
      <c r="H764" s="10">
        <f>MAX(_xlfn.IFNA(INDEX(Proj[],MATCH(Table16[[#This Row],[Player]],Proj[Player],0),29),-5000), _xlfn.IFNA(INDEX(Goalie[],MATCH(Table16[[#This Row],[Player]],Goalie[player],0),19),-5000))</f>
        <v>55.414999999999992</v>
      </c>
      <c r="I764" t="str">
        <f>IF(_xlfn.IFNA(INDEX(Proj[],MATCH(Table16[[#This Row],[Player]],Proj[Player],0),31),INDEX(Goalie[],MATCH(Table16[[#This Row],[Player]],Goalie[player],0),20)) = 0, "",_xlfn.IFNA(INDEX(Proj[],MATCH(Table16[[#This Row],[Player]],Proj[Player],0),31),INDEX(Goalie[],MATCH(Table16[[#This Row],[Player]],Goalie[player],0),20)))</f>
        <v/>
      </c>
    </row>
    <row r="765" spans="1:9" x14ac:dyDescent="0.25">
      <c r="A765" t="s">
        <v>1155</v>
      </c>
      <c r="B765" s="2" t="s">
        <v>103</v>
      </c>
      <c r="C765" t="str">
        <f t="shared" si="11"/>
        <v>RW</v>
      </c>
      <c r="D765" s="10">
        <f>MAX(_xlfn.IFNA(INDEX(Proj[],MATCH(Table16[[#This Row],[Player]],Proj[Player],0),27),-5000), _xlfn.IFNA(INDEX(Goalie[],MATCH(Table16[[#This Row],[Player]],Goalie[player],0),17),-5000))</f>
        <v>-1074.1507513161316</v>
      </c>
      <c r="E765">
        <f>_xlfn.RANK.EQ(Table16[[#This Row],[VOR]],Table16[VOR])</f>
        <v>753</v>
      </c>
      <c r="F765" cm="1">
        <f t="array" ref="F765">_xlfn.IFS(C765 = "C",INDEX('C'!$A$2:$L$254,MATCH($A765,'C'!$A$2:$A$254,0),10),C765 = "LW",INDEX(LW!$A$2:$K$180,MATCH($A765,LW!$A$2:$A$180,0),10),C765 = "RW",INDEX('RW'!$A$2:$L$164,MATCH($A765,'RW'!$A$2:$A$164,0),10), C765 = "D",INDEX(D!$A$2:$L$268,MATCH($A765,D!$A$2:$A$268,0),10),C765="G",INDEX(G!$A$2:$Q$78,MATCH($A765,G!$A$2:$A$78,0),16),C765="F",INDEX(F!$A$2:$K$494,MATCH($A765,F!$A$2:$A$494,0),10))</f>
        <v>153</v>
      </c>
      <c r="G765" t="str">
        <f>_xlfn.CONCAT(C765,Table16[[#This Row],[Pos Rank2]])</f>
        <v>RW153</v>
      </c>
      <c r="H765" s="10">
        <f>MAX(_xlfn.IFNA(INDEX(Proj[],MATCH(Table16[[#This Row],[Player]],Proj[Player],0),29),-5000), _xlfn.IFNA(INDEX(Goalie[],MATCH(Table16[[#This Row],[Player]],Goalie[player],0),19),-5000))</f>
        <v>-627.6060269258827</v>
      </c>
      <c r="I765" t="str">
        <f>IF(_xlfn.IFNA(INDEX(Proj[],MATCH(Table16[[#This Row],[Player]],Proj[Player],0),31),INDEX(Goalie[],MATCH(Table16[[#This Row],[Player]],Goalie[player],0),20)) = 0, "",_xlfn.IFNA(INDEX(Proj[],MATCH(Table16[[#This Row],[Player]],Proj[Player],0),31),INDEX(Goalie[],MATCH(Table16[[#This Row],[Player]],Goalie[player],0),20)))</f>
        <v/>
      </c>
    </row>
    <row r="766" spans="1:9" x14ac:dyDescent="0.25">
      <c r="A766" t="s">
        <v>1095</v>
      </c>
      <c r="B766" s="2" t="s">
        <v>103</v>
      </c>
      <c r="C766" t="str">
        <f t="shared" si="11"/>
        <v>RW</v>
      </c>
      <c r="D766" s="10">
        <f>MAX(_xlfn.IFNA(INDEX(Proj[],MATCH(Table16[[#This Row],[Player]],Proj[Player],0),27),-5000), _xlfn.IFNA(INDEX(Goalie[],MATCH(Table16[[#This Row],[Player]],Goalie[player],0),17),-5000))</f>
        <v>-1073.8491895344321</v>
      </c>
      <c r="E766">
        <f>_xlfn.RANK.EQ(Table16[[#This Row],[VOR]],Table16[VOR])</f>
        <v>752</v>
      </c>
      <c r="F766" cm="1">
        <f t="array" ref="F766">_xlfn.IFS(C766 = "C",INDEX('C'!$A$2:$L$254,MATCH($A766,'C'!$A$2:$A$254,0),10),C766 = "LW",INDEX(LW!$A$2:$K$180,MATCH($A766,LW!$A$2:$A$180,0),10),C766 = "RW",INDEX('RW'!$A$2:$L$164,MATCH($A766,'RW'!$A$2:$A$164,0),10), C766 = "D",INDEX(D!$A$2:$L$268,MATCH($A766,D!$A$2:$A$268,0),10),C766="G",INDEX(G!$A$2:$Q$78,MATCH($A766,G!$A$2:$A$78,0),16),C766="F",INDEX(F!$A$2:$K$494,MATCH($A766,F!$A$2:$A$494,0),10))</f>
        <v>152</v>
      </c>
      <c r="G766" t="str">
        <f>_xlfn.CONCAT(C766,Table16[[#This Row],[Pos Rank2]])</f>
        <v>RW152</v>
      </c>
      <c r="H766" s="10">
        <f>MAX(_xlfn.IFNA(INDEX(Proj[],MATCH(Table16[[#This Row],[Player]],Proj[Player],0),29),-5000), _xlfn.IFNA(INDEX(Goalie[],MATCH(Table16[[#This Row],[Player]],Goalie[player],0),19),-5000))</f>
        <v>-627.30446514418315</v>
      </c>
      <c r="I766" t="str">
        <f>IF(_xlfn.IFNA(INDEX(Proj[],MATCH(Table16[[#This Row],[Player]],Proj[Player],0),31),INDEX(Goalie[],MATCH(Table16[[#This Row],[Player]],Goalie[player],0),20)) = 0, "",_xlfn.IFNA(INDEX(Proj[],MATCH(Table16[[#This Row],[Player]],Proj[Player],0),31),INDEX(Goalie[],MATCH(Table16[[#This Row],[Player]],Goalie[player],0),20)))</f>
        <v/>
      </c>
    </row>
    <row r="767" spans="1:9" x14ac:dyDescent="0.25">
      <c r="A767" t="s">
        <v>737</v>
      </c>
      <c r="B767" s="2" t="s">
        <v>74</v>
      </c>
      <c r="C767" t="str">
        <f t="shared" si="11"/>
        <v>C</v>
      </c>
      <c r="D767" s="10">
        <f>MAX(_xlfn.IFNA(INDEX(Proj[],MATCH(Table16[[#This Row],[Player]],Proj[Player],0),27),-5000), _xlfn.IFNA(INDEX(Goalie[],MATCH(Table16[[#This Row],[Player]],Goalie[player],0),17),-5000))</f>
        <v>-1278.8661789235803</v>
      </c>
      <c r="E767">
        <f>_xlfn.RANK.EQ(Table16[[#This Row],[VOR]],Table16[VOR])</f>
        <v>784</v>
      </c>
      <c r="F767" cm="1">
        <f t="array" ref="F767">_xlfn.IFS(C767 = "C",INDEX('C'!$A$2:$L$254,MATCH($A767,'C'!$A$2:$A$254,0),10),C767 = "LW",INDEX(LW!$A$2:$K$180,MATCH($A767,LW!$A$2:$A$180,0),10),C767 = "RW",INDEX('RW'!$A$2:$L$164,MATCH($A767,'RW'!$A$2:$A$164,0),10), C767 = "D",INDEX(D!$A$2:$L$268,MATCH($A767,D!$A$2:$A$268,0),10),C767="G",INDEX(G!$A$2:$Q$78,MATCH($A767,G!$A$2:$A$78,0),16),C767="F",INDEX(F!$A$2:$K$494,MATCH($A767,F!$A$2:$A$494,0),10))</f>
        <v>215</v>
      </c>
      <c r="G767" t="str">
        <f>_xlfn.CONCAT(C767,Table16[[#This Row],[Pos Rank2]])</f>
        <v>C215</v>
      </c>
      <c r="H767" s="10">
        <f>MAX(_xlfn.IFNA(INDEX(Proj[],MATCH(Table16[[#This Row],[Player]],Proj[Player],0),29),-5000), _xlfn.IFNA(INDEX(Goalie[],MATCH(Table16[[#This Row],[Player]],Goalie[player],0),19),-5000))</f>
        <v>-544.23232461328166</v>
      </c>
      <c r="I767" t="str">
        <f>IF(_xlfn.IFNA(INDEX(Proj[],MATCH(Table16[[#This Row],[Player]],Proj[Player],0),31),INDEX(Goalie[],MATCH(Table16[[#This Row],[Player]],Goalie[player],0),20)) = 0, "",_xlfn.IFNA(INDEX(Proj[],MATCH(Table16[[#This Row],[Player]],Proj[Player],0),31),INDEX(Goalie[],MATCH(Table16[[#This Row],[Player]],Goalie[player],0),20)))</f>
        <v/>
      </c>
    </row>
    <row r="768" spans="1:9" x14ac:dyDescent="0.25">
      <c r="A768" t="s">
        <v>762</v>
      </c>
      <c r="B768" s="2" t="s">
        <v>74</v>
      </c>
      <c r="C768" t="str">
        <f t="shared" si="11"/>
        <v>C</v>
      </c>
      <c r="D768" s="10">
        <f>MAX(_xlfn.IFNA(INDEX(Proj[],MATCH(Table16[[#This Row],[Player]],Proj[Player],0),27),-5000), _xlfn.IFNA(INDEX(Goalie[],MATCH(Table16[[#This Row],[Player]],Goalie[player],0),17),-5000))</f>
        <v>-1043.2858769802172</v>
      </c>
      <c r="E768">
        <f>_xlfn.RANK.EQ(Table16[[#This Row],[VOR]],Table16[VOR])</f>
        <v>746</v>
      </c>
      <c r="F768" cm="1">
        <f t="array" ref="F768">_xlfn.IFS(C768 = "C",INDEX('C'!$A$2:$L$254,MATCH($A768,'C'!$A$2:$A$254,0),10),C768 = "LW",INDEX(LW!$A$2:$K$180,MATCH($A768,LW!$A$2:$A$180,0),10),C768 = "RW",INDEX('RW'!$A$2:$L$164,MATCH($A768,'RW'!$A$2:$A$164,0),10), C768 = "D",INDEX(D!$A$2:$L$268,MATCH($A768,D!$A$2:$A$268,0),10),C768="G",INDEX(G!$A$2:$Q$78,MATCH($A768,G!$A$2:$A$78,0),16),C768="F",INDEX(F!$A$2:$K$494,MATCH($A768,F!$A$2:$A$494,0),10))</f>
        <v>196</v>
      </c>
      <c r="G768" t="str">
        <f>_xlfn.CONCAT(C768,Table16[[#This Row],[Pos Rank2]])</f>
        <v>C196</v>
      </c>
      <c r="H768" s="10">
        <f>MAX(_xlfn.IFNA(INDEX(Proj[],MATCH(Table16[[#This Row],[Player]],Proj[Player],0),29),-5000), _xlfn.IFNA(INDEX(Goalie[],MATCH(Table16[[#This Row],[Player]],Goalie[player],0),19),-5000))</f>
        <v>-308.65202266991855</v>
      </c>
      <c r="I768" t="str">
        <f>IF(_xlfn.IFNA(INDEX(Proj[],MATCH(Table16[[#This Row],[Player]],Proj[Player],0),31),INDEX(Goalie[],MATCH(Table16[[#This Row],[Player]],Goalie[player],0),20)) = 0, "",_xlfn.IFNA(INDEX(Proj[],MATCH(Table16[[#This Row],[Player]],Proj[Player],0),31),INDEX(Goalie[],MATCH(Table16[[#This Row],[Player]],Goalie[player],0),20)))</f>
        <v/>
      </c>
    </row>
    <row r="769" spans="1:9" x14ac:dyDescent="0.25">
      <c r="A769" t="s">
        <v>673</v>
      </c>
      <c r="B769" s="2" t="s">
        <v>74</v>
      </c>
      <c r="C769" t="str">
        <f t="shared" si="11"/>
        <v>C</v>
      </c>
      <c r="D769" s="10">
        <f>MAX(_xlfn.IFNA(INDEX(Proj[],MATCH(Table16[[#This Row],[Player]],Proj[Player],0),27),-5000), _xlfn.IFNA(INDEX(Goalie[],MATCH(Table16[[#This Row],[Player]],Goalie[player],0),17),-5000))</f>
        <v>-1245.8105396463375</v>
      </c>
      <c r="E769">
        <f>_xlfn.RANK.EQ(Table16[[#This Row],[VOR]],Table16[VOR])</f>
        <v>780</v>
      </c>
      <c r="F769" cm="1">
        <f t="array" ref="F769">_xlfn.IFS(C769 = "C",INDEX('C'!$A$2:$L$254,MATCH($A769,'C'!$A$2:$A$254,0),10),C769 = "LW",INDEX(LW!$A$2:$K$180,MATCH($A769,LW!$A$2:$A$180,0),10),C769 = "RW",INDEX('RW'!$A$2:$L$164,MATCH($A769,'RW'!$A$2:$A$164,0),10), C769 = "D",INDEX(D!$A$2:$L$268,MATCH($A769,D!$A$2:$A$268,0),10),C769="G",INDEX(G!$A$2:$Q$78,MATCH($A769,G!$A$2:$A$78,0),16),C769="F",INDEX(F!$A$2:$K$494,MATCH($A769,F!$A$2:$A$494,0),10))</f>
        <v>212</v>
      </c>
      <c r="G769" t="str">
        <f>_xlfn.CONCAT(C769,Table16[[#This Row],[Pos Rank2]])</f>
        <v>C212</v>
      </c>
      <c r="H769" s="10">
        <f>MAX(_xlfn.IFNA(INDEX(Proj[],MATCH(Table16[[#This Row],[Player]],Proj[Player],0),29),-5000), _xlfn.IFNA(INDEX(Goalie[],MATCH(Table16[[#This Row],[Player]],Goalie[player],0),19),-5000))</f>
        <v>-511.17668533603887</v>
      </c>
      <c r="I769" t="str">
        <f>IF(_xlfn.IFNA(INDEX(Proj[],MATCH(Table16[[#This Row],[Player]],Proj[Player],0),31),INDEX(Goalie[],MATCH(Table16[[#This Row],[Player]],Goalie[player],0),20)) = 0, "",_xlfn.IFNA(INDEX(Proj[],MATCH(Table16[[#This Row],[Player]],Proj[Player],0),31),INDEX(Goalie[],MATCH(Table16[[#This Row],[Player]],Goalie[player],0),20)))</f>
        <v/>
      </c>
    </row>
    <row r="770" spans="1:9" x14ac:dyDescent="0.25">
      <c r="A770" t="s">
        <v>1044</v>
      </c>
      <c r="B770" s="2" t="s">
        <v>103</v>
      </c>
      <c r="C770" t="str">
        <f t="shared" ref="C770:C833" si="12">SUBSTITUTE(SUBSTITUTE(B770,"C,",""),"LW,","")</f>
        <v>RW</v>
      </c>
      <c r="D770" s="10">
        <f>MAX(_xlfn.IFNA(INDEX(Proj[],MATCH(Table16[[#This Row],[Player]],Proj[Player],0),27),-5000), _xlfn.IFNA(INDEX(Goalie[],MATCH(Table16[[#This Row],[Player]],Goalie[player],0),17),-5000))</f>
        <v>-1100.8039586182551</v>
      </c>
      <c r="E770">
        <f>_xlfn.RANK.EQ(Table16[[#This Row],[VOR]],Table16[VOR])</f>
        <v>755</v>
      </c>
      <c r="F770" cm="1">
        <f t="array" ref="F770">_xlfn.IFS(C770 = "C",INDEX('C'!$A$2:$L$254,MATCH($A770,'C'!$A$2:$A$254,0),10),C770 = "LW",INDEX(LW!$A$2:$K$180,MATCH($A770,LW!$A$2:$A$180,0),10),C770 = "RW",INDEX('RW'!$A$2:$L$164,MATCH($A770,'RW'!$A$2:$A$164,0),10), C770 = "D",INDEX(D!$A$2:$L$268,MATCH($A770,D!$A$2:$A$268,0),10),C770="G",INDEX(G!$A$2:$Q$78,MATCH($A770,G!$A$2:$A$78,0),16),C770="F",INDEX(F!$A$2:$K$494,MATCH($A770,F!$A$2:$A$494,0),10))</f>
        <v>154</v>
      </c>
      <c r="G770" t="str">
        <f>_xlfn.CONCAT(C770,Table16[[#This Row],[Pos Rank2]])</f>
        <v>RW154</v>
      </c>
      <c r="H770" s="10">
        <f>MAX(_xlfn.IFNA(INDEX(Proj[],MATCH(Table16[[#This Row],[Player]],Proj[Player],0),29),-5000), _xlfn.IFNA(INDEX(Goalie[],MATCH(Table16[[#This Row],[Player]],Goalie[player],0),19),-5000))</f>
        <v>-654.25923422800633</v>
      </c>
      <c r="I770" t="str">
        <f>IF(_xlfn.IFNA(INDEX(Proj[],MATCH(Table16[[#This Row],[Player]],Proj[Player],0),31),INDEX(Goalie[],MATCH(Table16[[#This Row],[Player]],Goalie[player],0),20)) = 0, "",_xlfn.IFNA(INDEX(Proj[],MATCH(Table16[[#This Row],[Player]],Proj[Player],0),31),INDEX(Goalie[],MATCH(Table16[[#This Row],[Player]],Goalie[player],0),20)))</f>
        <v/>
      </c>
    </row>
    <row r="771" spans="1:9" x14ac:dyDescent="0.25">
      <c r="A771" t="s">
        <v>1194</v>
      </c>
      <c r="B771" s="2" t="s">
        <v>3</v>
      </c>
      <c r="C771" t="str">
        <f t="shared" si="12"/>
        <v>D</v>
      </c>
      <c r="D771" s="10">
        <f>MAX(_xlfn.IFNA(INDEX(Proj[],MATCH(Table16[[#This Row],[Player]],Proj[Player],0),27),-5000), _xlfn.IFNA(INDEX(Goalie[],MATCH(Table16[[#This Row],[Player]],Goalie[player],0),17),-5000))</f>
        <v>-1035.4149242599817</v>
      </c>
      <c r="E771">
        <f>_xlfn.RANK.EQ(Table16[[#This Row],[VOR]],Table16[VOR])</f>
        <v>742</v>
      </c>
      <c r="F771" cm="1">
        <f t="array" ref="F771">_xlfn.IFS(C771 = "C",INDEX('C'!$A$2:$L$254,MATCH($A771,'C'!$A$2:$A$254,0),10),C771 = "LW",INDEX(LW!$A$2:$K$180,MATCH($A771,LW!$A$2:$A$180,0),10),C771 = "RW",INDEX('RW'!$A$2:$L$164,MATCH($A771,'RW'!$A$2:$A$164,0),10), C771 = "D",INDEX(D!$A$2:$L$268,MATCH($A771,D!$A$2:$A$268,0),10),C771="G",INDEX(G!$A$2:$Q$78,MATCH($A771,G!$A$2:$A$78,0),16),C771="F",INDEX(F!$A$2:$K$494,MATCH($A771,F!$A$2:$A$494,0),10))</f>
        <v>265</v>
      </c>
      <c r="G771" t="str">
        <f>_xlfn.CONCAT(C771,Table16[[#This Row],[Pos Rank2]])</f>
        <v>D265</v>
      </c>
      <c r="H771" s="10">
        <f>MAX(_xlfn.IFNA(INDEX(Proj[],MATCH(Table16[[#This Row],[Player]],Proj[Player],0),29),-5000), _xlfn.IFNA(INDEX(Goalie[],MATCH(Table16[[#This Row],[Player]],Goalie[player],0),19),-5000))</f>
        <v>-928.05015654051726</v>
      </c>
      <c r="I771" t="str">
        <f>IF(_xlfn.IFNA(INDEX(Proj[],MATCH(Table16[[#This Row],[Player]],Proj[Player],0),31),INDEX(Goalie[],MATCH(Table16[[#This Row],[Player]],Goalie[player],0),20)) = 0, "",_xlfn.IFNA(INDEX(Proj[],MATCH(Table16[[#This Row],[Player]],Proj[Player],0),31),INDEX(Goalie[],MATCH(Table16[[#This Row],[Player]],Goalie[player],0),20)))</f>
        <v/>
      </c>
    </row>
    <row r="772" spans="1:9" x14ac:dyDescent="0.25">
      <c r="A772" t="s">
        <v>984</v>
      </c>
      <c r="B772" s="2" t="s">
        <v>3</v>
      </c>
      <c r="C772" t="str">
        <f t="shared" si="12"/>
        <v>D</v>
      </c>
      <c r="D772" s="10">
        <f>MAX(_xlfn.IFNA(INDEX(Proj[],MATCH(Table16[[#This Row],[Player]],Proj[Player],0),27),-5000), _xlfn.IFNA(INDEX(Goalie[],MATCH(Table16[[#This Row],[Player]],Goalie[player],0),17),-5000))</f>
        <v>-1035.8320539747572</v>
      </c>
      <c r="E772">
        <f>_xlfn.RANK.EQ(Table16[[#This Row],[VOR]],Table16[VOR])</f>
        <v>744</v>
      </c>
      <c r="F772" cm="1">
        <f t="array" ref="F772">_xlfn.IFS(C772 = "C",INDEX('C'!$A$2:$L$254,MATCH($A772,'C'!$A$2:$A$254,0),10),C772 = "LW",INDEX(LW!$A$2:$K$180,MATCH($A772,LW!$A$2:$A$180,0),10),C772 = "RW",INDEX('RW'!$A$2:$L$164,MATCH($A772,'RW'!$A$2:$A$164,0),10), C772 = "D",INDEX(D!$A$2:$L$268,MATCH($A772,D!$A$2:$A$268,0),10),C772="G",INDEX(G!$A$2:$Q$78,MATCH($A772,G!$A$2:$A$78,0),16),C772="F",INDEX(F!$A$2:$K$494,MATCH($A772,F!$A$2:$A$494,0),10))</f>
        <v>266</v>
      </c>
      <c r="G772" t="str">
        <f>_xlfn.CONCAT(C772,Table16[[#This Row],[Pos Rank2]])</f>
        <v>D266</v>
      </c>
      <c r="H772" s="10">
        <f>MAX(_xlfn.IFNA(INDEX(Proj[],MATCH(Table16[[#This Row],[Player]],Proj[Player],0),29),-5000), _xlfn.IFNA(INDEX(Goalie[],MATCH(Table16[[#This Row],[Player]],Goalie[player],0),19),-5000))</f>
        <v>-928.46728625529272</v>
      </c>
      <c r="I772" t="str">
        <f>IF(_xlfn.IFNA(INDEX(Proj[],MATCH(Table16[[#This Row],[Player]],Proj[Player],0),31),INDEX(Goalie[],MATCH(Table16[[#This Row],[Player]],Goalie[player],0),20)) = 0, "",_xlfn.IFNA(INDEX(Proj[],MATCH(Table16[[#This Row],[Player]],Proj[Player],0),31),INDEX(Goalie[],MATCH(Table16[[#This Row],[Player]],Goalie[player],0),20)))</f>
        <v/>
      </c>
    </row>
    <row r="773" spans="1:9" x14ac:dyDescent="0.25">
      <c r="A773" t="s">
        <v>820</v>
      </c>
      <c r="B773" s="2" t="s">
        <v>74</v>
      </c>
      <c r="C773" t="str">
        <f t="shared" si="12"/>
        <v>C</v>
      </c>
      <c r="D773" s="10">
        <f>MAX(_xlfn.IFNA(INDEX(Proj[],MATCH(Table16[[#This Row],[Player]],Proj[Player],0),27),-5000), _xlfn.IFNA(INDEX(Goalie[],MATCH(Table16[[#This Row],[Player]],Goalie[player],0),17),-5000))</f>
        <v>-1291.2060828407161</v>
      </c>
      <c r="E773">
        <f>_xlfn.RANK.EQ(Table16[[#This Row],[VOR]],Table16[VOR])</f>
        <v>787</v>
      </c>
      <c r="F773" cm="1">
        <f t="array" ref="F773">_xlfn.IFS(C773 = "C",INDEX('C'!$A$2:$L$254,MATCH($A773,'C'!$A$2:$A$254,0),10),C773 = "LW",INDEX(LW!$A$2:$K$180,MATCH($A773,LW!$A$2:$A$180,0),10),C773 = "RW",INDEX('RW'!$A$2:$L$164,MATCH($A773,'RW'!$A$2:$A$164,0),10), C773 = "D",INDEX(D!$A$2:$L$268,MATCH($A773,D!$A$2:$A$268,0),10),C773="G",INDEX(G!$A$2:$Q$78,MATCH($A773,G!$A$2:$A$78,0),16),C773="F",INDEX(F!$A$2:$K$494,MATCH($A773,F!$A$2:$A$494,0),10))</f>
        <v>218</v>
      </c>
      <c r="G773" t="str">
        <f>_xlfn.CONCAT(C773,Table16[[#This Row],[Pos Rank2]])</f>
        <v>C218</v>
      </c>
      <c r="H773" s="10">
        <f>MAX(_xlfn.IFNA(INDEX(Proj[],MATCH(Table16[[#This Row],[Player]],Proj[Player],0),29),-5000), _xlfn.IFNA(INDEX(Goalie[],MATCH(Table16[[#This Row],[Player]],Goalie[player],0),19),-5000))</f>
        <v>-556.57222853041753</v>
      </c>
      <c r="I773" t="str">
        <f>IF(_xlfn.IFNA(INDEX(Proj[],MATCH(Table16[[#This Row],[Player]],Proj[Player],0),31),INDEX(Goalie[],MATCH(Table16[[#This Row],[Player]],Goalie[player],0),20)) = 0, "",_xlfn.IFNA(INDEX(Proj[],MATCH(Table16[[#This Row],[Player]],Proj[Player],0),31),INDEX(Goalie[],MATCH(Table16[[#This Row],[Player]],Goalie[player],0),20)))</f>
        <v/>
      </c>
    </row>
    <row r="774" spans="1:9" x14ac:dyDescent="0.25">
      <c r="A774" t="s">
        <v>942</v>
      </c>
      <c r="B774" s="2" t="s">
        <v>103</v>
      </c>
      <c r="C774" t="str">
        <f t="shared" si="12"/>
        <v>RW</v>
      </c>
      <c r="D774" s="10">
        <f>MAX(_xlfn.IFNA(INDEX(Proj[],MATCH(Table16[[#This Row],[Player]],Proj[Player],0),27),-5000), _xlfn.IFNA(INDEX(Goalie[],MATCH(Table16[[#This Row],[Player]],Goalie[player],0),17),-5000))</f>
        <v>-1113.3741483060437</v>
      </c>
      <c r="E774">
        <f>_xlfn.RANK.EQ(Table16[[#This Row],[VOR]],Table16[VOR])</f>
        <v>760</v>
      </c>
      <c r="F774" cm="1">
        <f t="array" ref="F774">_xlfn.IFS(C774 = "C",INDEX('C'!$A$2:$L$254,MATCH($A774,'C'!$A$2:$A$254,0),10),C774 = "LW",INDEX(LW!$A$2:$K$180,MATCH($A774,LW!$A$2:$A$180,0),10),C774 = "RW",INDEX('RW'!$A$2:$L$164,MATCH($A774,'RW'!$A$2:$A$164,0),10), C774 = "D",INDEX(D!$A$2:$L$268,MATCH($A774,D!$A$2:$A$268,0),10),C774="G",INDEX(G!$A$2:$Q$78,MATCH($A774,G!$A$2:$A$78,0),16),C774="F",INDEX(F!$A$2:$K$494,MATCH($A774,F!$A$2:$A$494,0),10))</f>
        <v>155</v>
      </c>
      <c r="G774" t="str">
        <f>_xlfn.CONCAT(C774,Table16[[#This Row],[Pos Rank2]])</f>
        <v>RW155</v>
      </c>
      <c r="H774" s="10">
        <f>MAX(_xlfn.IFNA(INDEX(Proj[],MATCH(Table16[[#This Row],[Player]],Proj[Player],0),29),-5000), _xlfn.IFNA(INDEX(Goalie[],MATCH(Table16[[#This Row],[Player]],Goalie[player],0),19),-5000))</f>
        <v>-666.82942391579491</v>
      </c>
      <c r="I774" t="str">
        <f>IF(_xlfn.IFNA(INDEX(Proj[],MATCH(Table16[[#This Row],[Player]],Proj[Player],0),31),INDEX(Goalie[],MATCH(Table16[[#This Row],[Player]],Goalie[player],0),20)) = 0, "",_xlfn.IFNA(INDEX(Proj[],MATCH(Table16[[#This Row],[Player]],Proj[Player],0),31),INDEX(Goalie[],MATCH(Table16[[#This Row],[Player]],Goalie[player],0),20)))</f>
        <v/>
      </c>
    </row>
    <row r="775" spans="1:9" x14ac:dyDescent="0.25">
      <c r="A775" t="s">
        <v>952</v>
      </c>
      <c r="B775" s="2" t="s">
        <v>74</v>
      </c>
      <c r="C775" t="str">
        <f t="shared" si="12"/>
        <v>C</v>
      </c>
      <c r="D775" s="10">
        <f>MAX(_xlfn.IFNA(INDEX(Proj[],MATCH(Table16[[#This Row],[Player]],Proj[Player],0),27),-5000), _xlfn.IFNA(INDEX(Goalie[],MATCH(Table16[[#This Row],[Player]],Goalie[player],0),17),-5000))</f>
        <v>-1309.8526929308823</v>
      </c>
      <c r="E775">
        <f>_xlfn.RANK.EQ(Table16[[#This Row],[VOR]],Table16[VOR])</f>
        <v>792</v>
      </c>
      <c r="F775" cm="1">
        <f t="array" ref="F775">_xlfn.IFS(C775 = "C",INDEX('C'!$A$2:$L$254,MATCH($A775,'C'!$A$2:$A$254,0),10),C775 = "LW",INDEX(LW!$A$2:$K$180,MATCH($A775,LW!$A$2:$A$180,0),10),C775 = "RW",INDEX('RW'!$A$2:$L$164,MATCH($A775,'RW'!$A$2:$A$164,0),10), C775 = "D",INDEX(D!$A$2:$L$268,MATCH($A775,D!$A$2:$A$268,0),10),C775="G",INDEX(G!$A$2:$Q$78,MATCH($A775,G!$A$2:$A$78,0),16),C775="F",INDEX(F!$A$2:$K$494,MATCH($A775,F!$A$2:$A$494,0),10))</f>
        <v>222</v>
      </c>
      <c r="G775" t="str">
        <f>_xlfn.CONCAT(C775,Table16[[#This Row],[Pos Rank2]])</f>
        <v>C222</v>
      </c>
      <c r="H775" s="10">
        <f>MAX(_xlfn.IFNA(INDEX(Proj[],MATCH(Table16[[#This Row],[Player]],Proj[Player],0),29),-5000), _xlfn.IFNA(INDEX(Goalie[],MATCH(Table16[[#This Row],[Player]],Goalie[player],0),19),-5000))</f>
        <v>-575.21883862058382</v>
      </c>
      <c r="I775" t="str">
        <f>IF(_xlfn.IFNA(INDEX(Proj[],MATCH(Table16[[#This Row],[Player]],Proj[Player],0),31),INDEX(Goalie[],MATCH(Table16[[#This Row],[Player]],Goalie[player],0),20)) = 0, "",_xlfn.IFNA(INDEX(Proj[],MATCH(Table16[[#This Row],[Player]],Proj[Player],0),31),INDEX(Goalie[],MATCH(Table16[[#This Row],[Player]],Goalie[player],0),20)))</f>
        <v/>
      </c>
    </row>
    <row r="776" spans="1:9" x14ac:dyDescent="0.25">
      <c r="A776" t="s">
        <v>672</v>
      </c>
      <c r="B776" s="2" t="s">
        <v>74</v>
      </c>
      <c r="C776" t="str">
        <f t="shared" si="12"/>
        <v>C</v>
      </c>
      <c r="D776" s="10">
        <f>MAX(_xlfn.IFNA(INDEX(Proj[],MATCH(Table16[[#This Row],[Player]],Proj[Player],0),27),-5000), _xlfn.IFNA(INDEX(Goalie[],MATCH(Table16[[#This Row],[Player]],Goalie[player],0),17),-5000))</f>
        <v>-1305.6362760620921</v>
      </c>
      <c r="E776">
        <f>_xlfn.RANK.EQ(Table16[[#This Row],[VOR]],Table16[VOR])</f>
        <v>789</v>
      </c>
      <c r="F776" cm="1">
        <f t="array" ref="F776">_xlfn.IFS(C776 = "C",INDEX('C'!$A$2:$L$254,MATCH($A776,'C'!$A$2:$A$254,0),10),C776 = "LW",INDEX(LW!$A$2:$K$180,MATCH($A776,LW!$A$2:$A$180,0),10),C776 = "RW",INDEX('RW'!$A$2:$L$164,MATCH($A776,'RW'!$A$2:$A$164,0),10), C776 = "D",INDEX(D!$A$2:$L$268,MATCH($A776,D!$A$2:$A$268,0),10),C776="G",INDEX(G!$A$2:$Q$78,MATCH($A776,G!$A$2:$A$78,0),16),C776="F",INDEX(F!$A$2:$K$494,MATCH($A776,F!$A$2:$A$494,0),10))</f>
        <v>219</v>
      </c>
      <c r="G776" t="str">
        <f>_xlfn.CONCAT(C776,Table16[[#This Row],[Pos Rank2]])</f>
        <v>C219</v>
      </c>
      <c r="H776" s="10">
        <f>MAX(_xlfn.IFNA(INDEX(Proj[],MATCH(Table16[[#This Row],[Player]],Proj[Player],0),29),-5000), _xlfn.IFNA(INDEX(Goalie[],MATCH(Table16[[#This Row],[Player]],Goalie[player],0),19),-5000))</f>
        <v>-571.00242175179346</v>
      </c>
      <c r="I776" t="str">
        <f>IF(_xlfn.IFNA(INDEX(Proj[],MATCH(Table16[[#This Row],[Player]],Proj[Player],0),31),INDEX(Goalie[],MATCH(Table16[[#This Row],[Player]],Goalie[player],0),20)) = 0, "",_xlfn.IFNA(INDEX(Proj[],MATCH(Table16[[#This Row],[Player]],Proj[Player],0),31),INDEX(Goalie[],MATCH(Table16[[#This Row],[Player]],Goalie[player],0),20)))</f>
        <v/>
      </c>
    </row>
    <row r="777" spans="1:9" x14ac:dyDescent="0.25">
      <c r="A777" t="s">
        <v>1061</v>
      </c>
      <c r="B777" s="2" t="s">
        <v>3</v>
      </c>
      <c r="C777" t="str">
        <f t="shared" si="12"/>
        <v>D</v>
      </c>
      <c r="D777" s="10">
        <f>MAX(_xlfn.IFNA(INDEX(Proj[],MATCH(Table16[[#This Row],[Player]],Proj[Player],0),27),-5000), _xlfn.IFNA(INDEX(Goalie[],MATCH(Table16[[#This Row],[Player]],Goalie[player],0),17),-5000))</f>
        <v>-1052.8521711397782</v>
      </c>
      <c r="E777">
        <f>_xlfn.RANK.EQ(Table16[[#This Row],[VOR]],Table16[VOR])</f>
        <v>748</v>
      </c>
      <c r="F777" cm="1">
        <f t="array" ref="F777">_xlfn.IFS(C777 = "C",INDEX('C'!$A$2:$L$254,MATCH($A777,'C'!$A$2:$A$254,0),10),C777 = "LW",INDEX(LW!$A$2:$K$180,MATCH($A777,LW!$A$2:$A$180,0),10),C777 = "RW",INDEX('RW'!$A$2:$L$164,MATCH($A777,'RW'!$A$2:$A$164,0),10), C777 = "D",INDEX(D!$A$2:$L$268,MATCH($A777,D!$A$2:$A$268,0),10),C777="G",INDEX(G!$A$2:$Q$78,MATCH($A777,G!$A$2:$A$78,0),16),C777="F",INDEX(F!$A$2:$K$494,MATCH($A777,F!$A$2:$A$494,0),10))</f>
        <v>267</v>
      </c>
      <c r="G777" t="str">
        <f>_xlfn.CONCAT(C777,Table16[[#This Row],[Pos Rank2]])</f>
        <v>D267</v>
      </c>
      <c r="H777" s="10">
        <f>MAX(_xlfn.IFNA(INDEX(Proj[],MATCH(Table16[[#This Row],[Player]],Proj[Player],0),29),-5000), _xlfn.IFNA(INDEX(Goalie[],MATCH(Table16[[#This Row],[Player]],Goalie[player],0),19),-5000))</f>
        <v>-945.48740342031363</v>
      </c>
      <c r="I777" t="str">
        <f>IF(_xlfn.IFNA(INDEX(Proj[],MATCH(Table16[[#This Row],[Player]],Proj[Player],0),31),INDEX(Goalie[],MATCH(Table16[[#This Row],[Player]],Goalie[player],0),20)) = 0, "",_xlfn.IFNA(INDEX(Proj[],MATCH(Table16[[#This Row],[Player]],Proj[Player],0),31),INDEX(Goalie[],MATCH(Table16[[#This Row],[Player]],Goalie[player],0),20)))</f>
        <v/>
      </c>
    </row>
    <row r="778" spans="1:9" x14ac:dyDescent="0.25">
      <c r="A778" t="s">
        <v>985</v>
      </c>
      <c r="B778" s="2" t="s">
        <v>74</v>
      </c>
      <c r="C778" t="str">
        <f t="shared" si="12"/>
        <v>C</v>
      </c>
      <c r="D778" s="10">
        <f>MAX(_xlfn.IFNA(INDEX(Proj[],MATCH(Table16[[#This Row],[Player]],Proj[Player],0),27),-5000), _xlfn.IFNA(INDEX(Goalie[],MATCH(Table16[[#This Row],[Player]],Goalie[player],0),17),-5000))</f>
        <v>-1235.9740839009767</v>
      </c>
      <c r="E778">
        <f>_xlfn.RANK.EQ(Table16[[#This Row],[VOR]],Table16[VOR])</f>
        <v>778</v>
      </c>
      <c r="F778" cm="1">
        <f t="array" ref="F778">_xlfn.IFS(C778 = "C",INDEX('C'!$A$2:$L$254,MATCH($A778,'C'!$A$2:$A$254,0),10),C778 = "LW",INDEX(LW!$A$2:$K$180,MATCH($A778,LW!$A$2:$A$180,0),10),C778 = "RW",INDEX('RW'!$A$2:$L$164,MATCH($A778,'RW'!$A$2:$A$164,0),10), C778 = "D",INDEX(D!$A$2:$L$268,MATCH($A778,D!$A$2:$A$268,0),10),C778="G",INDEX(G!$A$2:$Q$78,MATCH($A778,G!$A$2:$A$78,0),16),C778="F",INDEX(F!$A$2:$K$494,MATCH($A778,F!$A$2:$A$494,0),10))</f>
        <v>211</v>
      </c>
      <c r="G778" t="str">
        <f>_xlfn.CONCAT(C778,Table16[[#This Row],[Pos Rank2]])</f>
        <v>C211</v>
      </c>
      <c r="H778" s="10">
        <f>MAX(_xlfn.IFNA(INDEX(Proj[],MATCH(Table16[[#This Row],[Player]],Proj[Player],0),29),-5000), _xlfn.IFNA(INDEX(Goalie[],MATCH(Table16[[#This Row],[Player]],Goalie[player],0),19),-5000))</f>
        <v>-501.34022959067812</v>
      </c>
      <c r="I778" t="str">
        <f>IF(_xlfn.IFNA(INDEX(Proj[],MATCH(Table16[[#This Row],[Player]],Proj[Player],0),31),INDEX(Goalie[],MATCH(Table16[[#This Row],[Player]],Goalie[player],0),20)) = 0, "",_xlfn.IFNA(INDEX(Proj[],MATCH(Table16[[#This Row],[Player]],Proj[Player],0),31),INDEX(Goalie[],MATCH(Table16[[#This Row],[Player]],Goalie[player],0),20)))</f>
        <v/>
      </c>
    </row>
    <row r="779" spans="1:9" x14ac:dyDescent="0.25">
      <c r="A779" t="s">
        <v>795</v>
      </c>
      <c r="B779" s="2" t="s">
        <v>74</v>
      </c>
      <c r="C779" t="str">
        <f t="shared" si="12"/>
        <v>C</v>
      </c>
      <c r="D779" s="10">
        <f>MAX(_xlfn.IFNA(INDEX(Proj[],MATCH(Table16[[#This Row],[Player]],Proj[Player],0),27),-5000), _xlfn.IFNA(INDEX(Goalie[],MATCH(Table16[[#This Row],[Player]],Goalie[player],0),17),-5000))</f>
        <v>-1306.9388094746314</v>
      </c>
      <c r="E779">
        <f>_xlfn.RANK.EQ(Table16[[#This Row],[VOR]],Table16[VOR])</f>
        <v>790</v>
      </c>
      <c r="F779" cm="1">
        <f t="array" ref="F779">_xlfn.IFS(C779 = "C",INDEX('C'!$A$2:$L$254,MATCH($A779,'C'!$A$2:$A$254,0),10),C779 = "LW",INDEX(LW!$A$2:$K$180,MATCH($A779,LW!$A$2:$A$180,0),10),C779 = "RW",INDEX('RW'!$A$2:$L$164,MATCH($A779,'RW'!$A$2:$A$164,0),10), C779 = "D",INDEX(D!$A$2:$L$268,MATCH($A779,D!$A$2:$A$268,0),10),C779="G",INDEX(G!$A$2:$Q$78,MATCH($A779,G!$A$2:$A$78,0),16),C779="F",INDEX(F!$A$2:$K$494,MATCH($A779,F!$A$2:$A$494,0),10))</f>
        <v>220</v>
      </c>
      <c r="G779" t="str">
        <f>_xlfn.CONCAT(C779,Table16[[#This Row],[Pos Rank2]])</f>
        <v>C220</v>
      </c>
      <c r="H779" s="10">
        <f>MAX(_xlfn.IFNA(INDEX(Proj[],MATCH(Table16[[#This Row],[Player]],Proj[Player],0),29),-5000), _xlfn.IFNA(INDEX(Goalie[],MATCH(Table16[[#This Row],[Player]],Goalie[player],0),19),-5000))</f>
        <v>-572.30495516433268</v>
      </c>
      <c r="I779" t="str">
        <f>IF(_xlfn.IFNA(INDEX(Proj[],MATCH(Table16[[#This Row],[Player]],Proj[Player],0),31),INDEX(Goalie[],MATCH(Table16[[#This Row],[Player]],Goalie[player],0),20)) = 0, "",_xlfn.IFNA(INDEX(Proj[],MATCH(Table16[[#This Row],[Player]],Proj[Player],0),31),INDEX(Goalie[],MATCH(Table16[[#This Row],[Player]],Goalie[player],0),20)))</f>
        <v/>
      </c>
    </row>
    <row r="780" spans="1:9" x14ac:dyDescent="0.25">
      <c r="A780" t="s">
        <v>622</v>
      </c>
      <c r="B780" s="2" t="s">
        <v>74</v>
      </c>
      <c r="C780" t="str">
        <f t="shared" si="12"/>
        <v>C</v>
      </c>
      <c r="D780" s="10">
        <f>MAX(_xlfn.IFNA(INDEX(Proj[],MATCH(Table16[[#This Row],[Player]],Proj[Player],0),27),-5000), _xlfn.IFNA(INDEX(Goalie[],MATCH(Table16[[#This Row],[Player]],Goalie[player],0),17),-5000))</f>
        <v>-1345.4568615393353</v>
      </c>
      <c r="E780">
        <f>_xlfn.RANK.EQ(Table16[[#This Row],[VOR]],Table16[VOR])</f>
        <v>796</v>
      </c>
      <c r="F780" cm="1">
        <f t="array" ref="F780">_xlfn.IFS(C780 = "C",INDEX('C'!$A$2:$L$254,MATCH($A780,'C'!$A$2:$A$254,0),10),C780 = "LW",INDEX(LW!$A$2:$K$180,MATCH($A780,LW!$A$2:$A$180,0),10),C780 = "RW",INDEX('RW'!$A$2:$L$164,MATCH($A780,'RW'!$A$2:$A$164,0),10), C780 = "D",INDEX(D!$A$2:$L$268,MATCH($A780,D!$A$2:$A$268,0),10),C780="G",INDEX(G!$A$2:$Q$78,MATCH($A780,G!$A$2:$A$78,0),16),C780="F",INDEX(F!$A$2:$K$494,MATCH($A780,F!$A$2:$A$494,0),10))</f>
        <v>224</v>
      </c>
      <c r="G780" t="str">
        <f>_xlfn.CONCAT(C780,Table16[[#This Row],[Pos Rank2]])</f>
        <v>C224</v>
      </c>
      <c r="H780" s="10">
        <f>MAX(_xlfn.IFNA(INDEX(Proj[],MATCH(Table16[[#This Row],[Player]],Proj[Player],0),29),-5000), _xlfn.IFNA(INDEX(Goalie[],MATCH(Table16[[#This Row],[Player]],Goalie[player],0),19),-5000))</f>
        <v>-610.82300722903665</v>
      </c>
      <c r="I780" t="str">
        <f>IF(_xlfn.IFNA(INDEX(Proj[],MATCH(Table16[[#This Row],[Player]],Proj[Player],0),31),INDEX(Goalie[],MATCH(Table16[[#This Row],[Player]],Goalie[player],0),20)) = 0, "",_xlfn.IFNA(INDEX(Proj[],MATCH(Table16[[#This Row],[Player]],Proj[Player],0),31),INDEX(Goalie[],MATCH(Table16[[#This Row],[Player]],Goalie[player],0),20)))</f>
        <v/>
      </c>
    </row>
    <row r="781" spans="1:9" x14ac:dyDescent="0.25">
      <c r="A781" t="s">
        <v>684</v>
      </c>
      <c r="B781" s="2" t="s">
        <v>102</v>
      </c>
      <c r="C781" t="str">
        <f t="shared" si="12"/>
        <v>LW</v>
      </c>
      <c r="D781" s="10">
        <f>MAX(_xlfn.IFNA(INDEX(Proj[],MATCH(Table16[[#This Row],[Player]],Proj[Player],0),27),-5000), _xlfn.IFNA(INDEX(Goalie[],MATCH(Table16[[#This Row],[Player]],Goalie[player],0),17),-5000))</f>
        <v>-1139.3034021600097</v>
      </c>
      <c r="E781">
        <f>_xlfn.RANK.EQ(Table16[[#This Row],[VOR]],Table16[VOR])</f>
        <v>764</v>
      </c>
      <c r="F781" cm="1">
        <f t="array" ref="F781">_xlfn.IFS(C781 = "C",INDEX('C'!$A$2:$L$254,MATCH($A781,'C'!$A$2:$A$254,0),10),C781 = "LW",INDEX(LW!$A$2:$K$180,MATCH($A781,LW!$A$2:$A$180,0),10),C781 = "RW",INDEX('RW'!$A$2:$L$164,MATCH($A781,'RW'!$A$2:$A$164,0),10), C781 = "D",INDEX(D!$A$2:$L$268,MATCH($A781,D!$A$2:$A$268,0),10),C781="G",INDEX(G!$A$2:$Q$78,MATCH($A781,G!$A$2:$A$78,0),16),C781="F",INDEX(F!$A$2:$K$494,MATCH($A781,F!$A$2:$A$494,0),10))</f>
        <v>167</v>
      </c>
      <c r="G781" t="str">
        <f>_xlfn.CONCAT(C781,Table16[[#This Row],[Pos Rank2]])</f>
        <v>LW167</v>
      </c>
      <c r="H781" s="10">
        <f>MAX(_xlfn.IFNA(INDEX(Proj[],MATCH(Table16[[#This Row],[Player]],Proj[Player],0),29),-5000), _xlfn.IFNA(INDEX(Goalie[],MATCH(Table16[[#This Row],[Player]],Goalie[player],0),19),-5000))</f>
        <v>-667.75867776976088</v>
      </c>
      <c r="I781" t="str">
        <f>IF(_xlfn.IFNA(INDEX(Proj[],MATCH(Table16[[#This Row],[Player]],Proj[Player],0),31),INDEX(Goalie[],MATCH(Table16[[#This Row],[Player]],Goalie[player],0),20)) = 0, "",_xlfn.IFNA(INDEX(Proj[],MATCH(Table16[[#This Row],[Player]],Proj[Player],0),31),INDEX(Goalie[],MATCH(Table16[[#This Row],[Player]],Goalie[player],0),20)))</f>
        <v/>
      </c>
    </row>
    <row r="782" spans="1:9" x14ac:dyDescent="0.25">
      <c r="A782" t="s">
        <v>465</v>
      </c>
      <c r="B782" s="2" t="s">
        <v>103</v>
      </c>
      <c r="C782" t="str">
        <f t="shared" si="12"/>
        <v>RW</v>
      </c>
      <c r="D782" s="10">
        <f>MAX(_xlfn.IFNA(INDEX(Proj[],MATCH(Table16[[#This Row],[Player]],Proj[Player],0),27),-5000), _xlfn.IFNA(INDEX(Goalie[],MATCH(Table16[[#This Row],[Player]],Goalie[player],0),17),-5000))</f>
        <v>-1141.0148779009221</v>
      </c>
      <c r="E782">
        <f>_xlfn.RANK.EQ(Table16[[#This Row],[VOR]],Table16[VOR])</f>
        <v>765</v>
      </c>
      <c r="F782" cm="1">
        <f t="array" ref="F782">_xlfn.IFS(C782 = "C",INDEX('C'!$A$2:$L$254,MATCH($A782,'C'!$A$2:$A$254,0),10),C782 = "LW",INDEX(LW!$A$2:$K$180,MATCH($A782,LW!$A$2:$A$180,0),10),C782 = "RW",INDEX('RW'!$A$2:$L$164,MATCH($A782,'RW'!$A$2:$A$164,0),10), C782 = "D",INDEX(D!$A$2:$L$268,MATCH($A782,D!$A$2:$A$268,0),10),C782="G",INDEX(G!$A$2:$Q$78,MATCH($A782,G!$A$2:$A$78,0),16),C782="F",INDEX(F!$A$2:$K$494,MATCH($A782,F!$A$2:$A$494,0),10))</f>
        <v>156</v>
      </c>
      <c r="G782" t="str">
        <f>_xlfn.CONCAT(C782,Table16[[#This Row],[Pos Rank2]])</f>
        <v>RW156</v>
      </c>
      <c r="H782" s="10">
        <f>MAX(_xlfn.IFNA(INDEX(Proj[],MATCH(Table16[[#This Row],[Player]],Proj[Player],0),29),-5000), _xlfn.IFNA(INDEX(Goalie[],MATCH(Table16[[#This Row],[Player]],Goalie[player],0),19),-5000))</f>
        <v>-694.47015351067319</v>
      </c>
      <c r="I782" t="str">
        <f>IF(_xlfn.IFNA(INDEX(Proj[],MATCH(Table16[[#This Row],[Player]],Proj[Player],0),31),INDEX(Goalie[],MATCH(Table16[[#This Row],[Player]],Goalie[player],0),20)) = 0, "",_xlfn.IFNA(INDEX(Proj[],MATCH(Table16[[#This Row],[Player]],Proj[Player],0),31),INDEX(Goalie[],MATCH(Table16[[#This Row],[Player]],Goalie[player],0),20)))</f>
        <v/>
      </c>
    </row>
    <row r="783" spans="1:9" x14ac:dyDescent="0.25">
      <c r="A783" t="s">
        <v>780</v>
      </c>
      <c r="B783" s="2" t="s">
        <v>102</v>
      </c>
      <c r="C783" t="str">
        <f t="shared" si="12"/>
        <v>LW</v>
      </c>
      <c r="D783" s="10">
        <f>MAX(_xlfn.IFNA(INDEX(Proj[],MATCH(Table16[[#This Row],[Player]],Proj[Player],0),27),-5000), _xlfn.IFNA(INDEX(Goalie[],MATCH(Table16[[#This Row],[Player]],Goalie[player],0),17),-5000))</f>
        <v>-1143.9998833536858</v>
      </c>
      <c r="E783">
        <f>_xlfn.RANK.EQ(Table16[[#This Row],[VOR]],Table16[VOR])</f>
        <v>766</v>
      </c>
      <c r="F783" cm="1">
        <f t="array" ref="F783">_xlfn.IFS(C783 = "C",INDEX('C'!$A$2:$L$254,MATCH($A783,'C'!$A$2:$A$254,0),10),C783 = "LW",INDEX(LW!$A$2:$K$180,MATCH($A783,LW!$A$2:$A$180,0),10),C783 = "RW",INDEX('RW'!$A$2:$L$164,MATCH($A783,'RW'!$A$2:$A$164,0),10), C783 = "D",INDEX(D!$A$2:$L$268,MATCH($A783,D!$A$2:$A$268,0),10),C783="G",INDEX(G!$A$2:$Q$78,MATCH($A783,G!$A$2:$A$78,0),16),C783="F",INDEX(F!$A$2:$K$494,MATCH($A783,F!$A$2:$A$494,0),10))</f>
        <v>168</v>
      </c>
      <c r="G783" t="str">
        <f>_xlfn.CONCAT(C783,Table16[[#This Row],[Pos Rank2]])</f>
        <v>LW168</v>
      </c>
      <c r="H783" s="10">
        <f>MAX(_xlfn.IFNA(INDEX(Proj[],MATCH(Table16[[#This Row],[Player]],Proj[Player],0),29),-5000), _xlfn.IFNA(INDEX(Goalie[],MATCH(Table16[[#This Row],[Player]],Goalie[player],0),19),-5000))</f>
        <v>-672.45515896343704</v>
      </c>
      <c r="I783" t="str">
        <f>IF(_xlfn.IFNA(INDEX(Proj[],MATCH(Table16[[#This Row],[Player]],Proj[Player],0),31),INDEX(Goalie[],MATCH(Table16[[#This Row],[Player]],Goalie[player],0),20)) = 0, "",_xlfn.IFNA(INDEX(Proj[],MATCH(Table16[[#This Row],[Player]],Proj[Player],0),31),INDEX(Goalie[],MATCH(Table16[[#This Row],[Player]],Goalie[player],0),20)))</f>
        <v/>
      </c>
    </row>
    <row r="784" spans="1:9" x14ac:dyDescent="0.25">
      <c r="A784" t="s">
        <v>621</v>
      </c>
      <c r="B784" s="2" t="s">
        <v>74</v>
      </c>
      <c r="C784" t="str">
        <f t="shared" si="12"/>
        <v>C</v>
      </c>
      <c r="D784" s="10">
        <f>MAX(_xlfn.IFNA(INDEX(Proj[],MATCH(Table16[[#This Row],[Player]],Proj[Player],0),27),-5000), _xlfn.IFNA(INDEX(Goalie[],MATCH(Table16[[#This Row],[Player]],Goalie[player],0),17),-5000))</f>
        <v>-1210.5073208277336</v>
      </c>
      <c r="E784">
        <f>_xlfn.RANK.EQ(Table16[[#This Row],[VOR]],Table16[VOR])</f>
        <v>774</v>
      </c>
      <c r="F784" cm="1">
        <f t="array" ref="F784">_xlfn.IFS(C784 = "C",INDEX('C'!$A$2:$L$254,MATCH($A784,'C'!$A$2:$A$254,0),10),C784 = "LW",INDEX(LW!$A$2:$K$180,MATCH($A784,LW!$A$2:$A$180,0),10),C784 = "RW",INDEX('RW'!$A$2:$L$164,MATCH($A784,'RW'!$A$2:$A$164,0),10), C784 = "D",INDEX(D!$A$2:$L$268,MATCH($A784,D!$A$2:$A$268,0),10),C784="G",INDEX(G!$A$2:$Q$78,MATCH($A784,G!$A$2:$A$78,0),16),C784="F",INDEX(F!$A$2:$K$494,MATCH($A784,F!$A$2:$A$494,0),10))</f>
        <v>207</v>
      </c>
      <c r="G784" t="str">
        <f>_xlfn.CONCAT(C784,Table16[[#This Row],[Pos Rank2]])</f>
        <v>C207</v>
      </c>
      <c r="H784" s="10">
        <f>MAX(_xlfn.IFNA(INDEX(Proj[],MATCH(Table16[[#This Row],[Player]],Proj[Player],0),29),-5000), _xlfn.IFNA(INDEX(Goalie[],MATCH(Table16[[#This Row],[Player]],Goalie[player],0),19),-5000))</f>
        <v>-475.87346651743508</v>
      </c>
      <c r="I784" t="str">
        <f>IF(_xlfn.IFNA(INDEX(Proj[],MATCH(Table16[[#This Row],[Player]],Proj[Player],0),31),INDEX(Goalie[],MATCH(Table16[[#This Row],[Player]],Goalie[player],0),20)) = 0, "",_xlfn.IFNA(INDEX(Proj[],MATCH(Table16[[#This Row],[Player]],Proj[Player],0),31),INDEX(Goalie[],MATCH(Table16[[#This Row],[Player]],Goalie[player],0),20)))</f>
        <v/>
      </c>
    </row>
    <row r="785" spans="1:9" x14ac:dyDescent="0.25">
      <c r="A785" t="s">
        <v>1112</v>
      </c>
      <c r="B785" s="2" t="s">
        <v>74</v>
      </c>
      <c r="C785" t="str">
        <f t="shared" si="12"/>
        <v>C</v>
      </c>
      <c r="D785" s="10">
        <f>MAX(_xlfn.IFNA(INDEX(Proj[],MATCH(Table16[[#This Row],[Player]],Proj[Player],0),27),-5000), _xlfn.IFNA(INDEX(Goalie[],MATCH(Table16[[#This Row],[Player]],Goalie[player],0),17),-5000))</f>
        <v>-1309.5239685587806</v>
      </c>
      <c r="E785">
        <f>_xlfn.RANK.EQ(Table16[[#This Row],[VOR]],Table16[VOR])</f>
        <v>791</v>
      </c>
      <c r="F785" cm="1">
        <f t="array" ref="F785">_xlfn.IFS(C785 = "C",INDEX('C'!$A$2:$L$254,MATCH($A785,'C'!$A$2:$A$254,0),10),C785 = "LW",INDEX(LW!$A$2:$K$180,MATCH($A785,LW!$A$2:$A$180,0),10),C785 = "RW",INDEX('RW'!$A$2:$L$164,MATCH($A785,'RW'!$A$2:$A$164,0),10), C785 = "D",INDEX(D!$A$2:$L$268,MATCH($A785,D!$A$2:$A$268,0),10),C785="G",INDEX(G!$A$2:$Q$78,MATCH($A785,G!$A$2:$A$78,0),16),C785="F",INDEX(F!$A$2:$K$494,MATCH($A785,F!$A$2:$A$494,0),10))</f>
        <v>221</v>
      </c>
      <c r="G785" t="str">
        <f>_xlfn.CONCAT(C785,Table16[[#This Row],[Pos Rank2]])</f>
        <v>C221</v>
      </c>
      <c r="H785" s="10">
        <f>MAX(_xlfn.IFNA(INDEX(Proj[],MATCH(Table16[[#This Row],[Player]],Proj[Player],0),29),-5000), _xlfn.IFNA(INDEX(Goalie[],MATCH(Table16[[#This Row],[Player]],Goalie[player],0),19),-5000))</f>
        <v>-574.89011424848195</v>
      </c>
      <c r="I785" t="str">
        <f>IF(_xlfn.IFNA(INDEX(Proj[],MATCH(Table16[[#This Row],[Player]],Proj[Player],0),31),INDEX(Goalie[],MATCH(Table16[[#This Row],[Player]],Goalie[player],0),20)) = 0, "",_xlfn.IFNA(INDEX(Proj[],MATCH(Table16[[#This Row],[Player]],Proj[Player],0),31),INDEX(Goalie[],MATCH(Table16[[#This Row],[Player]],Goalie[player],0),20)))</f>
        <v/>
      </c>
    </row>
    <row r="786" spans="1:9" x14ac:dyDescent="0.25">
      <c r="A786" t="s">
        <v>1034</v>
      </c>
      <c r="B786" s="2" t="s">
        <v>102</v>
      </c>
      <c r="C786" t="str">
        <f t="shared" si="12"/>
        <v>LW</v>
      </c>
      <c r="D786" s="10">
        <f>MAX(_xlfn.IFNA(INDEX(Proj[],MATCH(Table16[[#This Row],[Player]],Proj[Player],0),27),-5000), _xlfn.IFNA(INDEX(Goalie[],MATCH(Table16[[#This Row],[Player]],Goalie[player],0),17),-5000))</f>
        <v>-5000</v>
      </c>
      <c r="E786">
        <f>_xlfn.RANK.EQ(Table16[[#This Row],[VOR]],Table16[VOR])</f>
        <v>832</v>
      </c>
      <c r="F786" t="e" cm="1">
        <f t="array" ref="F786">_xlfn.IFS(C786 = "C",INDEX('C'!$A$2:$L$254,MATCH($A786,'C'!$A$2:$A$254,0),10),C786 = "LW",INDEX(LW!$A$2:$K$180,MATCH($A786,LW!$A$2:$A$180,0),10),C786 = "RW",INDEX('RW'!$A$2:$L$164,MATCH($A786,'RW'!$A$2:$A$164,0),10), C786 = "D",INDEX(D!$A$2:$L$268,MATCH($A786,D!$A$2:$A$268,0),10),C786="G",INDEX(G!$A$2:$Q$78,MATCH($A786,G!$A$2:$A$78,0),16),C786="F",INDEX(F!$A$2:$K$494,MATCH($A786,F!$A$2:$A$494,0),10))</f>
        <v>#N/A</v>
      </c>
      <c r="G786" t="e">
        <f>_xlfn.CONCAT(C786,Table16[[#This Row],[Pos Rank2]])</f>
        <v>#N/A</v>
      </c>
      <c r="H786" s="10">
        <f>MAX(_xlfn.IFNA(INDEX(Proj[],MATCH(Table16[[#This Row],[Player]],Proj[Player],0),29),-5000), _xlfn.IFNA(INDEX(Goalie[],MATCH(Table16[[#This Row],[Player]],Goalie[player],0),19),-5000))</f>
        <v>-5000</v>
      </c>
      <c r="I786" t="e">
        <f>IF(_xlfn.IFNA(INDEX(Proj[],MATCH(Table16[[#This Row],[Player]],Proj[Player],0),31),INDEX(Goalie[],MATCH(Table16[[#This Row],[Player]],Goalie[player],0),20)) = 0, "",_xlfn.IFNA(INDEX(Proj[],MATCH(Table16[[#This Row],[Player]],Proj[Player],0),31),INDEX(Goalie[],MATCH(Table16[[#This Row],[Player]],Goalie[player],0),20)))</f>
        <v>#N/A</v>
      </c>
    </row>
    <row r="787" spans="1:9" x14ac:dyDescent="0.25">
      <c r="A787" t="s">
        <v>799</v>
      </c>
      <c r="B787" s="2" t="s">
        <v>103</v>
      </c>
      <c r="C787" t="str">
        <f t="shared" si="12"/>
        <v>RW</v>
      </c>
      <c r="D787" s="10">
        <f>MAX(_xlfn.IFNA(INDEX(Proj[],MATCH(Table16[[#This Row],[Player]],Proj[Player],0),27),-5000), _xlfn.IFNA(INDEX(Goalie[],MATCH(Table16[[#This Row],[Player]],Goalie[player],0),17),-5000))</f>
        <v>-1176.7369703118673</v>
      </c>
      <c r="E787">
        <f>_xlfn.RANK.EQ(Table16[[#This Row],[VOR]],Table16[VOR])</f>
        <v>769</v>
      </c>
      <c r="F787" cm="1">
        <f t="array" ref="F787">_xlfn.IFS(C787 = "C",INDEX('C'!$A$2:$L$254,MATCH($A787,'C'!$A$2:$A$254,0),10),C787 = "LW",INDEX(LW!$A$2:$K$180,MATCH($A787,LW!$A$2:$A$180,0),10),C787 = "RW",INDEX('RW'!$A$2:$L$164,MATCH($A787,'RW'!$A$2:$A$164,0),10), C787 = "D",INDEX(D!$A$2:$L$268,MATCH($A787,D!$A$2:$A$268,0),10),C787="G",INDEX(G!$A$2:$Q$78,MATCH($A787,G!$A$2:$A$78,0),16),C787="F",INDEX(F!$A$2:$K$494,MATCH($A787,F!$A$2:$A$494,0),10))</f>
        <v>157</v>
      </c>
      <c r="G787" t="str">
        <f>_xlfn.CONCAT(C787,Table16[[#This Row],[Pos Rank2]])</f>
        <v>RW157</v>
      </c>
      <c r="H787" s="10">
        <f>MAX(_xlfn.IFNA(INDEX(Proj[],MATCH(Table16[[#This Row],[Player]],Proj[Player],0),29),-5000), _xlfn.IFNA(INDEX(Goalie[],MATCH(Table16[[#This Row],[Player]],Goalie[player],0),19),-5000))</f>
        <v>-730.19224592161845</v>
      </c>
      <c r="I787" t="str">
        <f>IF(_xlfn.IFNA(INDEX(Proj[],MATCH(Table16[[#This Row],[Player]],Proj[Player],0),31),INDEX(Goalie[],MATCH(Table16[[#This Row],[Player]],Goalie[player],0),20)) = 0, "",_xlfn.IFNA(INDEX(Proj[],MATCH(Table16[[#This Row],[Player]],Proj[Player],0),31),INDEX(Goalie[],MATCH(Table16[[#This Row],[Player]],Goalie[player],0),20)))</f>
        <v/>
      </c>
    </row>
    <row r="788" spans="1:9" x14ac:dyDescent="0.25">
      <c r="A788" t="s">
        <v>1037</v>
      </c>
      <c r="B788" s="2" t="s">
        <v>102</v>
      </c>
      <c r="C788" t="str">
        <f t="shared" si="12"/>
        <v>LW</v>
      </c>
      <c r="D788" s="10">
        <f>MAX(_xlfn.IFNA(INDEX(Proj[],MATCH(Table16[[#This Row],[Player]],Proj[Player],0),27),-5000), _xlfn.IFNA(INDEX(Goalie[],MATCH(Table16[[#This Row],[Player]],Goalie[player],0),17),-5000))</f>
        <v>-1164.286956340464</v>
      </c>
      <c r="E788">
        <f>_xlfn.RANK.EQ(Table16[[#This Row],[VOR]],Table16[VOR])</f>
        <v>767</v>
      </c>
      <c r="F788" cm="1">
        <f t="array" ref="F788">_xlfn.IFS(C788 = "C",INDEX('C'!$A$2:$L$254,MATCH($A788,'C'!$A$2:$A$254,0),10),C788 = "LW",INDEX(LW!$A$2:$K$180,MATCH($A788,LW!$A$2:$A$180,0),10),C788 = "RW",INDEX('RW'!$A$2:$L$164,MATCH($A788,'RW'!$A$2:$A$164,0),10), C788 = "D",INDEX(D!$A$2:$L$268,MATCH($A788,D!$A$2:$A$268,0),10),C788="G",INDEX(G!$A$2:$Q$78,MATCH($A788,G!$A$2:$A$78,0),16),C788="F",INDEX(F!$A$2:$K$494,MATCH($A788,F!$A$2:$A$494,0),10))</f>
        <v>169</v>
      </c>
      <c r="G788" t="str">
        <f>_xlfn.CONCAT(C788,Table16[[#This Row],[Pos Rank2]])</f>
        <v>LW169</v>
      </c>
      <c r="H788" s="10">
        <f>MAX(_xlfn.IFNA(INDEX(Proj[],MATCH(Table16[[#This Row],[Player]],Proj[Player],0),29),-5000), _xlfn.IFNA(INDEX(Goalie[],MATCH(Table16[[#This Row],[Player]],Goalie[player],0),19),-5000))</f>
        <v>-692.74223195021523</v>
      </c>
      <c r="I788" t="str">
        <f>IF(_xlfn.IFNA(INDEX(Proj[],MATCH(Table16[[#This Row],[Player]],Proj[Player],0),31),INDEX(Goalie[],MATCH(Table16[[#This Row],[Player]],Goalie[player],0),20)) = 0, "",_xlfn.IFNA(INDEX(Proj[],MATCH(Table16[[#This Row],[Player]],Proj[Player],0),31),INDEX(Goalie[],MATCH(Table16[[#This Row],[Player]],Goalie[player],0),20)))</f>
        <v/>
      </c>
    </row>
    <row r="789" spans="1:9" x14ac:dyDescent="0.25">
      <c r="A789" t="s">
        <v>803</v>
      </c>
      <c r="B789" s="2" t="s">
        <v>74</v>
      </c>
      <c r="C789" t="str">
        <f t="shared" si="12"/>
        <v>C</v>
      </c>
      <c r="D789" s="10">
        <f>MAX(_xlfn.IFNA(INDEX(Proj[],MATCH(Table16[[#This Row],[Player]],Proj[Player],0),27),-5000), _xlfn.IFNA(INDEX(Goalie[],MATCH(Table16[[#This Row],[Player]],Goalie[player],0),17),-5000))</f>
        <v>-1328.4222053094932</v>
      </c>
      <c r="E789">
        <f>_xlfn.RANK.EQ(Table16[[#This Row],[VOR]],Table16[VOR])</f>
        <v>795</v>
      </c>
      <c r="F789" cm="1">
        <f t="array" ref="F789">_xlfn.IFS(C789 = "C",INDEX('C'!$A$2:$L$254,MATCH($A789,'C'!$A$2:$A$254,0),10),C789 = "LW",INDEX(LW!$A$2:$K$180,MATCH($A789,LW!$A$2:$A$180,0),10),C789 = "RW",INDEX('RW'!$A$2:$L$164,MATCH($A789,'RW'!$A$2:$A$164,0),10), C789 = "D",INDEX(D!$A$2:$L$268,MATCH($A789,D!$A$2:$A$268,0),10),C789="G",INDEX(G!$A$2:$Q$78,MATCH($A789,G!$A$2:$A$78,0),16),C789="F",INDEX(F!$A$2:$K$494,MATCH($A789,F!$A$2:$A$494,0),10))</f>
        <v>223</v>
      </c>
      <c r="G789" t="str">
        <f>_xlfn.CONCAT(C789,Table16[[#This Row],[Pos Rank2]])</f>
        <v>C223</v>
      </c>
      <c r="H789" s="10">
        <f>MAX(_xlfn.IFNA(INDEX(Proj[],MATCH(Table16[[#This Row],[Player]],Proj[Player],0),29),-5000), _xlfn.IFNA(INDEX(Goalie[],MATCH(Table16[[#This Row],[Player]],Goalie[player],0),19),-5000))</f>
        <v>-593.78835099919468</v>
      </c>
      <c r="I789" t="str">
        <f>IF(_xlfn.IFNA(INDEX(Proj[],MATCH(Table16[[#This Row],[Player]],Proj[Player],0),31),INDEX(Goalie[],MATCH(Table16[[#This Row],[Player]],Goalie[player],0),20)) = 0, "",_xlfn.IFNA(INDEX(Proj[],MATCH(Table16[[#This Row],[Player]],Proj[Player],0),31),INDEX(Goalie[],MATCH(Table16[[#This Row],[Player]],Goalie[player],0),20)))</f>
        <v/>
      </c>
    </row>
    <row r="790" spans="1:9" x14ac:dyDescent="0.25">
      <c r="A790" t="s">
        <v>783</v>
      </c>
      <c r="B790" s="2" t="s">
        <v>74</v>
      </c>
      <c r="C790" t="str">
        <f t="shared" si="12"/>
        <v>C</v>
      </c>
      <c r="D790" s="10">
        <f>MAX(_xlfn.IFNA(INDEX(Proj[],MATCH(Table16[[#This Row],[Player]],Proj[Player],0),27),-5000), _xlfn.IFNA(INDEX(Goalie[],MATCH(Table16[[#This Row],[Player]],Goalie[player],0),17),-5000))</f>
        <v>-1348.6793182997521</v>
      </c>
      <c r="E790">
        <f>_xlfn.RANK.EQ(Table16[[#This Row],[VOR]],Table16[VOR])</f>
        <v>797</v>
      </c>
      <c r="F790" cm="1">
        <f t="array" ref="F790">_xlfn.IFS(C790 = "C",INDEX('C'!$A$2:$L$254,MATCH($A790,'C'!$A$2:$A$254,0),10),C790 = "LW",INDEX(LW!$A$2:$K$180,MATCH($A790,LW!$A$2:$A$180,0),10),C790 = "RW",INDEX('RW'!$A$2:$L$164,MATCH($A790,'RW'!$A$2:$A$164,0),10), C790 = "D",INDEX(D!$A$2:$L$268,MATCH($A790,D!$A$2:$A$268,0),10),C790="G",INDEX(G!$A$2:$Q$78,MATCH($A790,G!$A$2:$A$78,0),16),C790="F",INDEX(F!$A$2:$K$494,MATCH($A790,F!$A$2:$A$494,0),10))</f>
        <v>225</v>
      </c>
      <c r="G790" t="str">
        <f>_xlfn.CONCAT(C790,Table16[[#This Row],[Pos Rank2]])</f>
        <v>C225</v>
      </c>
      <c r="H790" s="10">
        <f>MAX(_xlfn.IFNA(INDEX(Proj[],MATCH(Table16[[#This Row],[Player]],Proj[Player],0),29),-5000), _xlfn.IFNA(INDEX(Goalie[],MATCH(Table16[[#This Row],[Player]],Goalie[player],0),19),-5000))</f>
        <v>-614.04546398945365</v>
      </c>
      <c r="I790" t="str">
        <f>IF(_xlfn.IFNA(INDEX(Proj[],MATCH(Table16[[#This Row],[Player]],Proj[Player],0),31),INDEX(Goalie[],MATCH(Table16[[#This Row],[Player]],Goalie[player],0),20)) = 0, "",_xlfn.IFNA(INDEX(Proj[],MATCH(Table16[[#This Row],[Player]],Proj[Player],0),31),INDEX(Goalie[],MATCH(Table16[[#This Row],[Player]],Goalie[player],0),20)))</f>
        <v/>
      </c>
    </row>
    <row r="791" spans="1:9" x14ac:dyDescent="0.25">
      <c r="A791" t="s">
        <v>740</v>
      </c>
      <c r="B791" s="2" t="s">
        <v>74</v>
      </c>
      <c r="C791" t="str">
        <f t="shared" si="12"/>
        <v>C</v>
      </c>
      <c r="D791" s="10">
        <f>MAX(_xlfn.IFNA(INDEX(Proj[],MATCH(Table16[[#This Row],[Player]],Proj[Player],0),27),-5000), _xlfn.IFNA(INDEX(Goalie[],MATCH(Table16[[#This Row],[Player]],Goalie[player],0),17),-5000))</f>
        <v>-1263.1108751795532</v>
      </c>
      <c r="E791">
        <f>_xlfn.RANK.EQ(Table16[[#This Row],[VOR]],Table16[VOR])</f>
        <v>782</v>
      </c>
      <c r="F791" cm="1">
        <f t="array" ref="F791">_xlfn.IFS(C791 = "C",INDEX('C'!$A$2:$L$254,MATCH($A791,'C'!$A$2:$A$254,0),10),C791 = "LW",INDEX(LW!$A$2:$K$180,MATCH($A791,LW!$A$2:$A$180,0),10),C791 = "RW",INDEX('RW'!$A$2:$L$164,MATCH($A791,'RW'!$A$2:$A$164,0),10), C791 = "D",INDEX(D!$A$2:$L$268,MATCH($A791,D!$A$2:$A$268,0),10),C791="G",INDEX(G!$A$2:$Q$78,MATCH($A791,G!$A$2:$A$78,0),16),C791="F",INDEX(F!$A$2:$K$494,MATCH($A791,F!$A$2:$A$494,0),10))</f>
        <v>214</v>
      </c>
      <c r="G791" t="str">
        <f>_xlfn.CONCAT(C791,Table16[[#This Row],[Pos Rank2]])</f>
        <v>C214</v>
      </c>
      <c r="H791" s="10">
        <f>MAX(_xlfn.IFNA(INDEX(Proj[],MATCH(Table16[[#This Row],[Player]],Proj[Player],0),29),-5000), _xlfn.IFNA(INDEX(Goalie[],MATCH(Table16[[#This Row],[Player]],Goalie[player],0),19),-5000))</f>
        <v>-528.47702086925472</v>
      </c>
      <c r="I791" t="str">
        <f>IF(_xlfn.IFNA(INDEX(Proj[],MATCH(Table16[[#This Row],[Player]],Proj[Player],0),31),INDEX(Goalie[],MATCH(Table16[[#This Row],[Player]],Goalie[player],0),20)) = 0, "",_xlfn.IFNA(INDEX(Proj[],MATCH(Table16[[#This Row],[Player]],Proj[Player],0),31),INDEX(Goalie[],MATCH(Table16[[#This Row],[Player]],Goalie[player],0),20)))</f>
        <v/>
      </c>
    </row>
    <row r="792" spans="1:9" x14ac:dyDescent="0.25">
      <c r="A792" t="s">
        <v>1130</v>
      </c>
      <c r="B792" s="2" t="s">
        <v>102</v>
      </c>
      <c r="C792" t="str">
        <f t="shared" si="12"/>
        <v>LW</v>
      </c>
      <c r="D792" s="10">
        <f>MAX(_xlfn.IFNA(INDEX(Proj[],MATCH(Table16[[#This Row],[Player]],Proj[Player],0),27),-5000), _xlfn.IFNA(INDEX(Goalie[],MATCH(Table16[[#This Row],[Player]],Goalie[player],0),17),-5000))</f>
        <v>-1177.8912138134065</v>
      </c>
      <c r="E792">
        <f>_xlfn.RANK.EQ(Table16[[#This Row],[VOR]],Table16[VOR])</f>
        <v>770</v>
      </c>
      <c r="F792" cm="1">
        <f t="array" ref="F792">_xlfn.IFS(C792 = "C",INDEX('C'!$A$2:$L$254,MATCH($A792,'C'!$A$2:$A$254,0),10),C792 = "LW",INDEX(LW!$A$2:$K$180,MATCH($A792,LW!$A$2:$A$180,0),10),C792 = "RW",INDEX('RW'!$A$2:$L$164,MATCH($A792,'RW'!$A$2:$A$164,0),10), C792 = "D",INDEX(D!$A$2:$L$268,MATCH($A792,D!$A$2:$A$268,0),10),C792="G",INDEX(G!$A$2:$Q$78,MATCH($A792,G!$A$2:$A$78,0),16),C792="F",INDEX(F!$A$2:$K$494,MATCH($A792,F!$A$2:$A$494,0),10))</f>
        <v>170</v>
      </c>
      <c r="G792" t="str">
        <f>_xlfn.CONCAT(C792,Table16[[#This Row],[Pos Rank2]])</f>
        <v>LW170</v>
      </c>
      <c r="H792" s="10">
        <f>MAX(_xlfn.IFNA(INDEX(Proj[],MATCH(Table16[[#This Row],[Player]],Proj[Player],0),29),-5000), _xlfn.IFNA(INDEX(Goalie[],MATCH(Table16[[#This Row],[Player]],Goalie[player],0),19),-5000))</f>
        <v>-706.34648942315766</v>
      </c>
      <c r="I792" t="str">
        <f>IF(_xlfn.IFNA(INDEX(Proj[],MATCH(Table16[[#This Row],[Player]],Proj[Player],0),31),INDEX(Goalie[],MATCH(Table16[[#This Row],[Player]],Goalie[player],0),20)) = 0, "",_xlfn.IFNA(INDEX(Proj[],MATCH(Table16[[#This Row],[Player]],Proj[Player],0),31),INDEX(Goalie[],MATCH(Table16[[#This Row],[Player]],Goalie[player],0),20)))</f>
        <v/>
      </c>
    </row>
    <row r="793" spans="1:9" x14ac:dyDescent="0.25">
      <c r="A793" t="s">
        <v>722</v>
      </c>
      <c r="B793" s="2" t="s">
        <v>74</v>
      </c>
      <c r="C793" t="str">
        <f t="shared" si="12"/>
        <v>C</v>
      </c>
      <c r="D793" s="10">
        <f>MAX(_xlfn.IFNA(INDEX(Proj[],MATCH(Table16[[#This Row],[Player]],Proj[Player],0),27),-5000), _xlfn.IFNA(INDEX(Goalie[],MATCH(Table16[[#This Row],[Player]],Goalie[player],0),17),-5000))</f>
        <v>-1385.1225373882774</v>
      </c>
      <c r="E793">
        <f>_xlfn.RANK.EQ(Table16[[#This Row],[VOR]],Table16[VOR])</f>
        <v>802</v>
      </c>
      <c r="F793" cm="1">
        <f t="array" ref="F793">_xlfn.IFS(C793 = "C",INDEX('C'!$A$2:$L$254,MATCH($A793,'C'!$A$2:$A$254,0),10),C793 = "LW",INDEX(LW!$A$2:$K$180,MATCH($A793,LW!$A$2:$A$180,0),10),C793 = "RW",INDEX('RW'!$A$2:$L$164,MATCH($A793,'RW'!$A$2:$A$164,0),10), C793 = "D",INDEX(D!$A$2:$L$268,MATCH($A793,D!$A$2:$A$268,0),10),C793="G",INDEX(G!$A$2:$Q$78,MATCH($A793,G!$A$2:$A$78,0),16),C793="F",INDEX(F!$A$2:$K$494,MATCH($A793,F!$A$2:$A$494,0),10))</f>
        <v>229</v>
      </c>
      <c r="G793" t="str">
        <f>_xlfn.CONCAT(C793,Table16[[#This Row],[Pos Rank2]])</f>
        <v>C229</v>
      </c>
      <c r="H793" s="10">
        <f>MAX(_xlfn.IFNA(INDEX(Proj[],MATCH(Table16[[#This Row],[Player]],Proj[Player],0),29),-5000), _xlfn.IFNA(INDEX(Goalie[],MATCH(Table16[[#This Row],[Player]],Goalie[player],0),19),-5000))</f>
        <v>-650.48868307797875</v>
      </c>
      <c r="I793" t="str">
        <f>IF(_xlfn.IFNA(INDEX(Proj[],MATCH(Table16[[#This Row],[Player]],Proj[Player],0),31),INDEX(Goalie[],MATCH(Table16[[#This Row],[Player]],Goalie[player],0),20)) = 0, "",_xlfn.IFNA(INDEX(Proj[],MATCH(Table16[[#This Row],[Player]],Proj[Player],0),31),INDEX(Goalie[],MATCH(Table16[[#This Row],[Player]],Goalie[player],0),20)))</f>
        <v/>
      </c>
    </row>
    <row r="794" spans="1:9" x14ac:dyDescent="0.25">
      <c r="A794" t="s">
        <v>485</v>
      </c>
      <c r="B794" s="2" t="s">
        <v>102</v>
      </c>
      <c r="C794" t="str">
        <f t="shared" si="12"/>
        <v>LW</v>
      </c>
      <c r="D794" s="10">
        <f>MAX(_xlfn.IFNA(INDEX(Proj[],MATCH(Table16[[#This Row],[Player]],Proj[Player],0),27),-5000), _xlfn.IFNA(INDEX(Goalie[],MATCH(Table16[[#This Row],[Player]],Goalie[player],0),17),-5000))</f>
        <v>-1196.3852676251206</v>
      </c>
      <c r="E794">
        <f>_xlfn.RANK.EQ(Table16[[#This Row],[VOR]],Table16[VOR])</f>
        <v>771</v>
      </c>
      <c r="F794" cm="1">
        <f t="array" ref="F794">_xlfn.IFS(C794 = "C",INDEX('C'!$A$2:$L$254,MATCH($A794,'C'!$A$2:$A$254,0),10),C794 = "LW",INDEX(LW!$A$2:$K$180,MATCH($A794,LW!$A$2:$A$180,0),10),C794 = "RW",INDEX('RW'!$A$2:$L$164,MATCH($A794,'RW'!$A$2:$A$164,0),10), C794 = "D",INDEX(D!$A$2:$L$268,MATCH($A794,D!$A$2:$A$268,0),10),C794="G",INDEX(G!$A$2:$Q$78,MATCH($A794,G!$A$2:$A$78,0),16),C794="F",INDEX(F!$A$2:$K$494,MATCH($A794,F!$A$2:$A$494,0),10))</f>
        <v>171</v>
      </c>
      <c r="G794" t="str">
        <f>_xlfn.CONCAT(C794,Table16[[#This Row],[Pos Rank2]])</f>
        <v>LW171</v>
      </c>
      <c r="H794" s="10">
        <f>MAX(_xlfn.IFNA(INDEX(Proj[],MATCH(Table16[[#This Row],[Player]],Proj[Player],0),29),-5000), _xlfn.IFNA(INDEX(Goalie[],MATCH(Table16[[#This Row],[Player]],Goalie[player],0),19),-5000))</f>
        <v>-724.8405432348718</v>
      </c>
      <c r="I794" t="str">
        <f>IF(_xlfn.IFNA(INDEX(Proj[],MATCH(Table16[[#This Row],[Player]],Proj[Player],0),31),INDEX(Goalie[],MATCH(Table16[[#This Row],[Player]],Goalie[player],0),20)) = 0, "",_xlfn.IFNA(INDEX(Proj[],MATCH(Table16[[#This Row],[Player]],Proj[Player],0),31),INDEX(Goalie[],MATCH(Table16[[#This Row],[Player]],Goalie[player],0),20)))</f>
        <v/>
      </c>
    </row>
    <row r="795" spans="1:9" x14ac:dyDescent="0.25">
      <c r="A795" t="s">
        <v>1046</v>
      </c>
      <c r="B795" s="2" t="s">
        <v>103</v>
      </c>
      <c r="C795" t="str">
        <f t="shared" si="12"/>
        <v>RW</v>
      </c>
      <c r="D795" s="10">
        <f>MAX(_xlfn.IFNA(INDEX(Proj[],MATCH(Table16[[#This Row],[Player]],Proj[Player],0),27),-5000), _xlfn.IFNA(INDEX(Goalie[],MATCH(Table16[[#This Row],[Player]],Goalie[player],0),17),-5000))</f>
        <v>-1203.3275189596359</v>
      </c>
      <c r="E795">
        <f>_xlfn.RANK.EQ(Table16[[#This Row],[VOR]],Table16[VOR])</f>
        <v>773</v>
      </c>
      <c r="F795" cm="1">
        <f t="array" ref="F795">_xlfn.IFS(C795 = "C",INDEX('C'!$A$2:$L$254,MATCH($A795,'C'!$A$2:$A$254,0),10),C795 = "LW",INDEX(LW!$A$2:$K$180,MATCH($A795,LW!$A$2:$A$180,0),10),C795 = "RW",INDEX('RW'!$A$2:$L$164,MATCH($A795,'RW'!$A$2:$A$164,0),10), C795 = "D",INDEX(D!$A$2:$L$268,MATCH($A795,D!$A$2:$A$268,0),10),C795="G",INDEX(G!$A$2:$Q$78,MATCH($A795,G!$A$2:$A$78,0),16),C795="F",INDEX(F!$A$2:$K$494,MATCH($A795,F!$A$2:$A$494,0),10))</f>
        <v>159</v>
      </c>
      <c r="G795" t="str">
        <f>_xlfn.CONCAT(C795,Table16[[#This Row],[Pos Rank2]])</f>
        <v>RW159</v>
      </c>
      <c r="H795" s="10">
        <f>MAX(_xlfn.IFNA(INDEX(Proj[],MATCH(Table16[[#This Row],[Player]],Proj[Player],0),29),-5000), _xlfn.IFNA(INDEX(Goalie[],MATCH(Table16[[#This Row],[Player]],Goalie[player],0),19),-5000))</f>
        <v>-756.78279456938697</v>
      </c>
      <c r="I795" t="str">
        <f>IF(_xlfn.IFNA(INDEX(Proj[],MATCH(Table16[[#This Row],[Player]],Proj[Player],0),31),INDEX(Goalie[],MATCH(Table16[[#This Row],[Player]],Goalie[player],0),20)) = 0, "",_xlfn.IFNA(INDEX(Proj[],MATCH(Table16[[#This Row],[Player]],Proj[Player],0),31),INDEX(Goalie[],MATCH(Table16[[#This Row],[Player]],Goalie[player],0),20)))</f>
        <v/>
      </c>
    </row>
    <row r="796" spans="1:9" x14ac:dyDescent="0.25">
      <c r="A796" t="s">
        <v>792</v>
      </c>
      <c r="B796" s="2" t="s">
        <v>74</v>
      </c>
      <c r="C796" t="str">
        <f t="shared" si="12"/>
        <v>C</v>
      </c>
      <c r="D796" s="10">
        <f>MAX(_xlfn.IFNA(INDEX(Proj[],MATCH(Table16[[#This Row],[Player]],Proj[Player],0),27),-5000), _xlfn.IFNA(INDEX(Goalie[],MATCH(Table16[[#This Row],[Player]],Goalie[player],0),17),-5000))</f>
        <v>-1287.7451119892801</v>
      </c>
      <c r="E796">
        <f>_xlfn.RANK.EQ(Table16[[#This Row],[VOR]],Table16[VOR])</f>
        <v>786</v>
      </c>
      <c r="F796" cm="1">
        <f t="array" ref="F796">_xlfn.IFS(C796 = "C",INDEX('C'!$A$2:$L$254,MATCH($A796,'C'!$A$2:$A$254,0),10),C796 = "LW",INDEX(LW!$A$2:$K$180,MATCH($A796,LW!$A$2:$A$180,0),10),C796 = "RW",INDEX('RW'!$A$2:$L$164,MATCH($A796,'RW'!$A$2:$A$164,0),10), C796 = "D",INDEX(D!$A$2:$L$268,MATCH($A796,D!$A$2:$A$268,0),10),C796="G",INDEX(G!$A$2:$Q$78,MATCH($A796,G!$A$2:$A$78,0),16),C796="F",INDEX(F!$A$2:$K$494,MATCH($A796,F!$A$2:$A$494,0),10))</f>
        <v>217</v>
      </c>
      <c r="G796" t="str">
        <f>_xlfn.CONCAT(C796,Table16[[#This Row],[Pos Rank2]])</f>
        <v>C217</v>
      </c>
      <c r="H796" s="10">
        <f>MAX(_xlfn.IFNA(INDEX(Proj[],MATCH(Table16[[#This Row],[Player]],Proj[Player],0),29),-5000), _xlfn.IFNA(INDEX(Goalie[],MATCH(Table16[[#This Row],[Player]],Goalie[player],0),19),-5000))</f>
        <v>-553.11125767898147</v>
      </c>
      <c r="I796" t="str">
        <f>IF(_xlfn.IFNA(INDEX(Proj[],MATCH(Table16[[#This Row],[Player]],Proj[Player],0),31),INDEX(Goalie[],MATCH(Table16[[#This Row],[Player]],Goalie[player],0),20)) = 0, "",_xlfn.IFNA(INDEX(Proj[],MATCH(Table16[[#This Row],[Player]],Proj[Player],0),31),INDEX(Goalie[],MATCH(Table16[[#This Row],[Player]],Goalie[player],0),20)))</f>
        <v/>
      </c>
    </row>
    <row r="797" spans="1:9" x14ac:dyDescent="0.25">
      <c r="A797" t="s">
        <v>1167</v>
      </c>
      <c r="B797" s="2" t="s">
        <v>103</v>
      </c>
      <c r="C797" t="str">
        <f t="shared" si="12"/>
        <v>RW</v>
      </c>
      <c r="D797" s="10">
        <f>MAX(_xlfn.IFNA(INDEX(Proj[],MATCH(Table16[[#This Row],[Player]],Proj[Player],0),27),-5000), _xlfn.IFNA(INDEX(Goalie[],MATCH(Table16[[#This Row],[Player]],Goalie[player],0),17),-5000))</f>
        <v>-1198.5034786058718</v>
      </c>
      <c r="E797">
        <f>_xlfn.RANK.EQ(Table16[[#This Row],[VOR]],Table16[VOR])</f>
        <v>772</v>
      </c>
      <c r="F797" cm="1">
        <f t="array" ref="F797">_xlfn.IFS(C797 = "C",INDEX('C'!$A$2:$L$254,MATCH($A797,'C'!$A$2:$A$254,0),10),C797 = "LW",INDEX(LW!$A$2:$K$180,MATCH($A797,LW!$A$2:$A$180,0),10),C797 = "RW",INDEX('RW'!$A$2:$L$164,MATCH($A797,'RW'!$A$2:$A$164,0),10), C797 = "D",INDEX(D!$A$2:$L$268,MATCH($A797,D!$A$2:$A$268,0),10),C797="G",INDEX(G!$A$2:$Q$78,MATCH($A797,G!$A$2:$A$78,0),16),C797="F",INDEX(F!$A$2:$K$494,MATCH($A797,F!$A$2:$A$494,0),10))</f>
        <v>158</v>
      </c>
      <c r="G797" t="str">
        <f>_xlfn.CONCAT(C797,Table16[[#This Row],[Pos Rank2]])</f>
        <v>RW158</v>
      </c>
      <c r="H797" s="10">
        <f>MAX(_xlfn.IFNA(INDEX(Proj[],MATCH(Table16[[#This Row],[Player]],Proj[Player],0),29),-5000), _xlfn.IFNA(INDEX(Goalie[],MATCH(Table16[[#This Row],[Player]],Goalie[player],0),19),-5000))</f>
        <v>-751.95875421562289</v>
      </c>
      <c r="I797" t="str">
        <f>IF(_xlfn.IFNA(INDEX(Proj[],MATCH(Table16[[#This Row],[Player]],Proj[Player],0),31),INDEX(Goalie[],MATCH(Table16[[#This Row],[Player]],Goalie[player],0),20)) = 0, "",_xlfn.IFNA(INDEX(Proj[],MATCH(Table16[[#This Row],[Player]],Proj[Player],0),31),INDEX(Goalie[],MATCH(Table16[[#This Row],[Player]],Goalie[player],0),20)))</f>
        <v/>
      </c>
    </row>
    <row r="798" spans="1:9" x14ac:dyDescent="0.25">
      <c r="A798" t="s">
        <v>788</v>
      </c>
      <c r="B798" s="2" t="s">
        <v>102</v>
      </c>
      <c r="C798" t="str">
        <f t="shared" si="12"/>
        <v>LW</v>
      </c>
      <c r="D798" s="10">
        <f>MAX(_xlfn.IFNA(INDEX(Proj[],MATCH(Table16[[#This Row],[Player]],Proj[Player],0),27),-5000), _xlfn.IFNA(INDEX(Goalie[],MATCH(Table16[[#This Row],[Player]],Goalie[player],0),17),-5000))</f>
        <v>-1063.7448355829783</v>
      </c>
      <c r="E798">
        <f>_xlfn.RANK.EQ(Table16[[#This Row],[VOR]],Table16[VOR])</f>
        <v>749</v>
      </c>
      <c r="F798" cm="1">
        <f t="array" ref="F798">_xlfn.IFS(C798 = "C",INDEX('C'!$A$2:$L$254,MATCH($A798,'C'!$A$2:$A$254,0),10),C798 = "LW",INDEX(LW!$A$2:$K$180,MATCH($A798,LW!$A$2:$A$180,0),10),C798 = "RW",INDEX('RW'!$A$2:$L$164,MATCH($A798,'RW'!$A$2:$A$164,0),10), C798 = "D",INDEX(D!$A$2:$L$268,MATCH($A798,D!$A$2:$A$268,0),10),C798="G",INDEX(G!$A$2:$Q$78,MATCH($A798,G!$A$2:$A$78,0),16),C798="F",INDEX(F!$A$2:$K$494,MATCH($A798,F!$A$2:$A$494,0),10))</f>
        <v>164</v>
      </c>
      <c r="G798" t="str">
        <f>_xlfn.CONCAT(C798,Table16[[#This Row],[Pos Rank2]])</f>
        <v>LW164</v>
      </c>
      <c r="H798" s="10">
        <f>MAX(_xlfn.IFNA(INDEX(Proj[],MATCH(Table16[[#This Row],[Player]],Proj[Player],0),29),-5000), _xlfn.IFNA(INDEX(Goalie[],MATCH(Table16[[#This Row],[Player]],Goalie[player],0),19),-5000))</f>
        <v>-592.20011119272954</v>
      </c>
      <c r="I798" t="str">
        <f>IF(_xlfn.IFNA(INDEX(Proj[],MATCH(Table16[[#This Row],[Player]],Proj[Player],0),31),INDEX(Goalie[],MATCH(Table16[[#This Row],[Player]],Goalie[player],0),20)) = 0, "",_xlfn.IFNA(INDEX(Proj[],MATCH(Table16[[#This Row],[Player]],Proj[Player],0),31),INDEX(Goalie[],MATCH(Table16[[#This Row],[Player]],Goalie[player],0),20)))</f>
        <v/>
      </c>
    </row>
    <row r="799" spans="1:9" x14ac:dyDescent="0.25">
      <c r="A799" t="s">
        <v>763</v>
      </c>
      <c r="B799" s="2" t="s">
        <v>74</v>
      </c>
      <c r="C799" t="str">
        <f t="shared" si="12"/>
        <v>C</v>
      </c>
      <c r="D799" s="10">
        <f>MAX(_xlfn.IFNA(INDEX(Proj[],MATCH(Table16[[#This Row],[Player]],Proj[Player],0),27),-5000), _xlfn.IFNA(INDEX(Goalie[],MATCH(Table16[[#This Row],[Player]],Goalie[player],0),17),-5000))</f>
        <v>-1283.6333612066639</v>
      </c>
      <c r="E799">
        <f>_xlfn.RANK.EQ(Table16[[#This Row],[VOR]],Table16[VOR])</f>
        <v>785</v>
      </c>
      <c r="F799" cm="1">
        <f t="array" ref="F799">_xlfn.IFS(C799 = "C",INDEX('C'!$A$2:$L$254,MATCH($A799,'C'!$A$2:$A$254,0),10),C799 = "LW",INDEX(LW!$A$2:$K$180,MATCH($A799,LW!$A$2:$A$180,0),10),C799 = "RW",INDEX('RW'!$A$2:$L$164,MATCH($A799,'RW'!$A$2:$A$164,0),10), C799 = "D",INDEX(D!$A$2:$L$268,MATCH($A799,D!$A$2:$A$268,0),10),C799="G",INDEX(G!$A$2:$Q$78,MATCH($A799,G!$A$2:$A$78,0),16),C799="F",INDEX(F!$A$2:$K$494,MATCH($A799,F!$A$2:$A$494,0),10))</f>
        <v>216</v>
      </c>
      <c r="G799" t="str">
        <f>_xlfn.CONCAT(C799,Table16[[#This Row],[Pos Rank2]])</f>
        <v>C216</v>
      </c>
      <c r="H799" s="10">
        <f>MAX(_xlfn.IFNA(INDEX(Proj[],MATCH(Table16[[#This Row],[Player]],Proj[Player],0),29),-5000), _xlfn.IFNA(INDEX(Goalie[],MATCH(Table16[[#This Row],[Player]],Goalie[player],0),19),-5000))</f>
        <v>-548.99950689636535</v>
      </c>
      <c r="I799" t="str">
        <f>IF(_xlfn.IFNA(INDEX(Proj[],MATCH(Table16[[#This Row],[Player]],Proj[Player],0),31),INDEX(Goalie[],MATCH(Table16[[#This Row],[Player]],Goalie[player],0),20)) = 0, "",_xlfn.IFNA(INDEX(Proj[],MATCH(Table16[[#This Row],[Player]],Proj[Player],0),31),INDEX(Goalie[],MATCH(Table16[[#This Row],[Player]],Goalie[player],0),20)))</f>
        <v/>
      </c>
    </row>
    <row r="800" spans="1:9" x14ac:dyDescent="0.25">
      <c r="A800" t="s">
        <v>1145</v>
      </c>
      <c r="B800" s="2" t="s">
        <v>74</v>
      </c>
      <c r="C800" t="str">
        <f t="shared" si="12"/>
        <v>C</v>
      </c>
      <c r="D800" s="10">
        <f>MAX(_xlfn.IFNA(INDEX(Proj[],MATCH(Table16[[#This Row],[Player]],Proj[Player],0),27),-5000), _xlfn.IFNA(INDEX(Goalie[],MATCH(Table16[[#This Row],[Player]],Goalie[player],0),17),-5000))</f>
        <v>-1361.4592279398753</v>
      </c>
      <c r="E800">
        <f>_xlfn.RANK.EQ(Table16[[#This Row],[VOR]],Table16[VOR])</f>
        <v>798</v>
      </c>
      <c r="F800" cm="1">
        <f t="array" ref="F800">_xlfn.IFS(C800 = "C",INDEX('C'!$A$2:$L$254,MATCH($A800,'C'!$A$2:$A$254,0),10),C800 = "LW",INDEX(LW!$A$2:$K$180,MATCH($A800,LW!$A$2:$A$180,0),10),C800 = "RW",INDEX('RW'!$A$2:$L$164,MATCH($A800,'RW'!$A$2:$A$164,0),10), C800 = "D",INDEX(D!$A$2:$L$268,MATCH($A800,D!$A$2:$A$268,0),10),C800="G",INDEX(G!$A$2:$Q$78,MATCH($A800,G!$A$2:$A$78,0),16),C800="F",INDEX(F!$A$2:$K$494,MATCH($A800,F!$A$2:$A$494,0),10))</f>
        <v>226</v>
      </c>
      <c r="G800" t="str">
        <f>_xlfn.CONCAT(C800,Table16[[#This Row],[Pos Rank2]])</f>
        <v>C226</v>
      </c>
      <c r="H800" s="10">
        <f>MAX(_xlfn.IFNA(INDEX(Proj[],MATCH(Table16[[#This Row],[Player]],Proj[Player],0),29),-5000), _xlfn.IFNA(INDEX(Goalie[],MATCH(Table16[[#This Row],[Player]],Goalie[player],0),19),-5000))</f>
        <v>-626.82537362957669</v>
      </c>
      <c r="I800" t="str">
        <f>IF(_xlfn.IFNA(INDEX(Proj[],MATCH(Table16[[#This Row],[Player]],Proj[Player],0),31),INDEX(Goalie[],MATCH(Table16[[#This Row],[Player]],Goalie[player],0),20)) = 0, "",_xlfn.IFNA(INDEX(Proj[],MATCH(Table16[[#This Row],[Player]],Proj[Player],0),31),INDEX(Goalie[],MATCH(Table16[[#This Row],[Player]],Goalie[player],0),20)))</f>
        <v/>
      </c>
    </row>
    <row r="801" spans="1:9" x14ac:dyDescent="0.25">
      <c r="A801" t="s">
        <v>826</v>
      </c>
      <c r="B801" s="2" t="s">
        <v>74</v>
      </c>
      <c r="C801" t="str">
        <f t="shared" si="12"/>
        <v>C</v>
      </c>
      <c r="D801" s="10">
        <f>MAX(_xlfn.IFNA(INDEX(Proj[],MATCH(Table16[[#This Row],[Player]],Proj[Player],0),27),-5000), _xlfn.IFNA(INDEX(Goalie[],MATCH(Table16[[#This Row],[Player]],Goalie[player],0),17),-5000))</f>
        <v>-1364.6995865499562</v>
      </c>
      <c r="E801">
        <f>_xlfn.RANK.EQ(Table16[[#This Row],[VOR]],Table16[VOR])</f>
        <v>799</v>
      </c>
      <c r="F801" cm="1">
        <f t="array" ref="F801">_xlfn.IFS(C801 = "C",INDEX('C'!$A$2:$L$254,MATCH($A801,'C'!$A$2:$A$254,0),10),C801 = "LW",INDEX(LW!$A$2:$K$180,MATCH($A801,LW!$A$2:$A$180,0),10),C801 = "RW",INDEX('RW'!$A$2:$L$164,MATCH($A801,'RW'!$A$2:$A$164,0),10), C801 = "D",INDEX(D!$A$2:$L$268,MATCH($A801,D!$A$2:$A$268,0),10),C801="G",INDEX(G!$A$2:$Q$78,MATCH($A801,G!$A$2:$A$78,0),16),C801="F",INDEX(F!$A$2:$K$494,MATCH($A801,F!$A$2:$A$494,0),10))</f>
        <v>227</v>
      </c>
      <c r="G801" t="str">
        <f>_xlfn.CONCAT(C801,Table16[[#This Row],[Pos Rank2]])</f>
        <v>C227</v>
      </c>
      <c r="H801" s="10">
        <f>MAX(_xlfn.IFNA(INDEX(Proj[],MATCH(Table16[[#This Row],[Player]],Proj[Player],0),29),-5000), _xlfn.IFNA(INDEX(Goalie[],MATCH(Table16[[#This Row],[Player]],Goalie[player],0),19),-5000))</f>
        <v>-630.06573223965745</v>
      </c>
      <c r="I801" t="str">
        <f>IF(_xlfn.IFNA(INDEX(Proj[],MATCH(Table16[[#This Row],[Player]],Proj[Player],0),31),INDEX(Goalie[],MATCH(Table16[[#This Row],[Player]],Goalie[player],0),20)) = 0, "",_xlfn.IFNA(INDEX(Proj[],MATCH(Table16[[#This Row],[Player]],Proj[Player],0),31),INDEX(Goalie[],MATCH(Table16[[#This Row],[Player]],Goalie[player],0),20)))</f>
        <v/>
      </c>
    </row>
    <row r="802" spans="1:9" x14ac:dyDescent="0.25">
      <c r="A802" t="s">
        <v>1032</v>
      </c>
      <c r="B802" s="2" t="s">
        <v>74</v>
      </c>
      <c r="C802" t="str">
        <f t="shared" si="12"/>
        <v>C</v>
      </c>
      <c r="D802" s="10">
        <f>MAX(_xlfn.IFNA(INDEX(Proj[],MATCH(Table16[[#This Row],[Player]],Proj[Player],0),27),-5000), _xlfn.IFNA(INDEX(Goalie[],MATCH(Table16[[#This Row],[Player]],Goalie[player],0),17),-5000))</f>
        <v>-1398.7401558524616</v>
      </c>
      <c r="E802">
        <f>_xlfn.RANK.EQ(Table16[[#This Row],[VOR]],Table16[VOR])</f>
        <v>805</v>
      </c>
      <c r="F802" cm="1">
        <f t="array" ref="F802">_xlfn.IFS(C802 = "C",INDEX('C'!$A$2:$L$254,MATCH($A802,'C'!$A$2:$A$254,0),10),C802 = "LW",INDEX(LW!$A$2:$K$180,MATCH($A802,LW!$A$2:$A$180,0),10),C802 = "RW",INDEX('RW'!$A$2:$L$164,MATCH($A802,'RW'!$A$2:$A$164,0),10), C802 = "D",INDEX(D!$A$2:$L$268,MATCH($A802,D!$A$2:$A$268,0),10),C802="G",INDEX(G!$A$2:$Q$78,MATCH($A802,G!$A$2:$A$78,0),16),C802="F",INDEX(F!$A$2:$K$494,MATCH($A802,F!$A$2:$A$494,0),10))</f>
        <v>230</v>
      </c>
      <c r="G802" t="str">
        <f>_xlfn.CONCAT(C802,Table16[[#This Row],[Pos Rank2]])</f>
        <v>C230</v>
      </c>
      <c r="H802" s="10">
        <f>MAX(_xlfn.IFNA(INDEX(Proj[],MATCH(Table16[[#This Row],[Player]],Proj[Player],0),29),-5000), _xlfn.IFNA(INDEX(Goalie[],MATCH(Table16[[#This Row],[Player]],Goalie[player],0),19),-5000))</f>
        <v>-664.10630154216301</v>
      </c>
      <c r="I802" t="str">
        <f>IF(_xlfn.IFNA(INDEX(Proj[],MATCH(Table16[[#This Row],[Player]],Proj[Player],0),31),INDEX(Goalie[],MATCH(Table16[[#This Row],[Player]],Goalie[player],0),20)) = 0, "",_xlfn.IFNA(INDEX(Proj[],MATCH(Table16[[#This Row],[Player]],Proj[Player],0),31),INDEX(Goalie[],MATCH(Table16[[#This Row],[Player]],Goalie[player],0),20)))</f>
        <v/>
      </c>
    </row>
    <row r="803" spans="1:9" x14ac:dyDescent="0.25">
      <c r="A803" t="s">
        <v>1038</v>
      </c>
      <c r="B803" s="2" t="s">
        <v>103</v>
      </c>
      <c r="C803" t="str">
        <f t="shared" si="12"/>
        <v>RW</v>
      </c>
      <c r="D803" s="10">
        <f>MAX(_xlfn.IFNA(INDEX(Proj[],MATCH(Table16[[#This Row],[Player]],Proj[Player],0),27),-5000), _xlfn.IFNA(INDEX(Goalie[],MATCH(Table16[[#This Row],[Player]],Goalie[player],0),17),-5000))</f>
        <v>-1247.8250616600951</v>
      </c>
      <c r="E803">
        <f>_xlfn.RANK.EQ(Table16[[#This Row],[VOR]],Table16[VOR])</f>
        <v>781</v>
      </c>
      <c r="F803" cm="1">
        <f t="array" ref="F803">_xlfn.IFS(C803 = "C",INDEX('C'!$A$2:$L$254,MATCH($A803,'C'!$A$2:$A$254,0),10),C803 = "LW",INDEX(LW!$A$2:$K$180,MATCH($A803,LW!$A$2:$A$180,0),10),C803 = "RW",INDEX('RW'!$A$2:$L$164,MATCH($A803,'RW'!$A$2:$A$164,0),10), C803 = "D",INDEX(D!$A$2:$L$268,MATCH($A803,D!$A$2:$A$268,0),10),C803="G",INDEX(G!$A$2:$Q$78,MATCH($A803,G!$A$2:$A$78,0),16),C803="F",INDEX(F!$A$2:$K$494,MATCH($A803,F!$A$2:$A$494,0),10))</f>
        <v>161</v>
      </c>
      <c r="G803" t="str">
        <f>_xlfn.CONCAT(C803,Table16[[#This Row],[Pos Rank2]])</f>
        <v>RW161</v>
      </c>
      <c r="H803" s="10">
        <f>MAX(_xlfn.IFNA(INDEX(Proj[],MATCH(Table16[[#This Row],[Player]],Proj[Player],0),29),-5000), _xlfn.IFNA(INDEX(Goalie[],MATCH(Table16[[#This Row],[Player]],Goalie[player],0),19),-5000))</f>
        <v>-801.2803372698462</v>
      </c>
      <c r="I803" t="str">
        <f>IF(_xlfn.IFNA(INDEX(Proj[],MATCH(Table16[[#This Row],[Player]],Proj[Player],0),31),INDEX(Goalie[],MATCH(Table16[[#This Row],[Player]],Goalie[player],0),20)) = 0, "",_xlfn.IFNA(INDEX(Proj[],MATCH(Table16[[#This Row],[Player]],Proj[Player],0),31),INDEX(Goalie[],MATCH(Table16[[#This Row],[Player]],Goalie[player],0),20)))</f>
        <v/>
      </c>
    </row>
    <row r="804" spans="1:9" x14ac:dyDescent="0.25">
      <c r="A804" t="s">
        <v>674</v>
      </c>
      <c r="B804" s="2" t="s">
        <v>74</v>
      </c>
      <c r="C804" t="str">
        <f t="shared" si="12"/>
        <v>C</v>
      </c>
      <c r="D804" s="10">
        <f>MAX(_xlfn.IFNA(INDEX(Proj[],MATCH(Table16[[#This Row],[Player]],Proj[Player],0),27),-5000), _xlfn.IFNA(INDEX(Goalie[],MATCH(Table16[[#This Row],[Player]],Goalie[player],0),17),-5000))</f>
        <v>-1450.1864530473508</v>
      </c>
      <c r="E804">
        <f>_xlfn.RANK.EQ(Table16[[#This Row],[VOR]],Table16[VOR])</f>
        <v>812</v>
      </c>
      <c r="F804" cm="1">
        <f t="array" ref="F804">_xlfn.IFS(C804 = "C",INDEX('C'!$A$2:$L$254,MATCH($A804,'C'!$A$2:$A$254,0),10),C804 = "LW",INDEX(LW!$A$2:$K$180,MATCH($A804,LW!$A$2:$A$180,0),10),C804 = "RW",INDEX('RW'!$A$2:$L$164,MATCH($A804,'RW'!$A$2:$A$164,0),10), C804 = "D",INDEX(D!$A$2:$L$268,MATCH($A804,D!$A$2:$A$268,0),10),C804="G",INDEX(G!$A$2:$Q$78,MATCH($A804,G!$A$2:$A$78,0),16),C804="F",INDEX(F!$A$2:$K$494,MATCH($A804,F!$A$2:$A$494,0),10))</f>
        <v>235</v>
      </c>
      <c r="G804" t="str">
        <f>_xlfn.CONCAT(C804,Table16[[#This Row],[Pos Rank2]])</f>
        <v>C235</v>
      </c>
      <c r="H804" s="10">
        <f>MAX(_xlfn.IFNA(INDEX(Proj[],MATCH(Table16[[#This Row],[Player]],Proj[Player],0),29),-5000), _xlfn.IFNA(INDEX(Goalie[],MATCH(Table16[[#This Row],[Player]],Goalie[player],0),19),-5000))</f>
        <v>-715.55259873705222</v>
      </c>
      <c r="I804" t="str">
        <f>IF(_xlfn.IFNA(INDEX(Proj[],MATCH(Table16[[#This Row],[Player]],Proj[Player],0),31),INDEX(Goalie[],MATCH(Table16[[#This Row],[Player]],Goalie[player],0),20)) = 0, "",_xlfn.IFNA(INDEX(Proj[],MATCH(Table16[[#This Row],[Player]],Proj[Player],0),31),INDEX(Goalie[],MATCH(Table16[[#This Row],[Player]],Goalie[player],0),20)))</f>
        <v/>
      </c>
    </row>
    <row r="805" spans="1:9" x14ac:dyDescent="0.25">
      <c r="A805" t="s">
        <v>1093</v>
      </c>
      <c r="B805" s="2" t="s">
        <v>103</v>
      </c>
      <c r="C805" t="str">
        <f t="shared" si="12"/>
        <v>RW</v>
      </c>
      <c r="D805" s="10">
        <f>MAX(_xlfn.IFNA(INDEX(Proj[],MATCH(Table16[[#This Row],[Player]],Proj[Player],0),27),-5000), _xlfn.IFNA(INDEX(Goalie[],MATCH(Table16[[#This Row],[Player]],Goalie[player],0),17),-5000))</f>
        <v>-1240.7709420093017</v>
      </c>
      <c r="E805">
        <f>_xlfn.RANK.EQ(Table16[[#This Row],[VOR]],Table16[VOR])</f>
        <v>779</v>
      </c>
      <c r="F805" cm="1">
        <f t="array" ref="F805">_xlfn.IFS(C805 = "C",INDEX('C'!$A$2:$L$254,MATCH($A805,'C'!$A$2:$A$254,0),10),C805 = "LW",INDEX(LW!$A$2:$K$180,MATCH($A805,LW!$A$2:$A$180,0),10),C805 = "RW",INDEX('RW'!$A$2:$L$164,MATCH($A805,'RW'!$A$2:$A$164,0),10), C805 = "D",INDEX(D!$A$2:$L$268,MATCH($A805,D!$A$2:$A$268,0),10),C805="G",INDEX(G!$A$2:$Q$78,MATCH($A805,G!$A$2:$A$78,0),16),C805="F",INDEX(F!$A$2:$K$494,MATCH($A805,F!$A$2:$A$494,0),10))</f>
        <v>160</v>
      </c>
      <c r="G805" t="str">
        <f>_xlfn.CONCAT(C805,Table16[[#This Row],[Pos Rank2]])</f>
        <v>RW160</v>
      </c>
      <c r="H805" s="10">
        <f>MAX(_xlfn.IFNA(INDEX(Proj[],MATCH(Table16[[#This Row],[Player]],Proj[Player],0),29),-5000), _xlfn.IFNA(INDEX(Goalie[],MATCH(Table16[[#This Row],[Player]],Goalie[player],0),19),-5000))</f>
        <v>-794.22621761905282</v>
      </c>
      <c r="I805" t="str">
        <f>IF(_xlfn.IFNA(INDEX(Proj[],MATCH(Table16[[#This Row],[Player]],Proj[Player],0),31),INDEX(Goalie[],MATCH(Table16[[#This Row],[Player]],Goalie[player],0),20)) = 0, "",_xlfn.IFNA(INDEX(Proj[],MATCH(Table16[[#This Row],[Player]],Proj[Player],0),31),INDEX(Goalie[],MATCH(Table16[[#This Row],[Player]],Goalie[player],0),20)))</f>
        <v/>
      </c>
    </row>
    <row r="806" spans="1:9" x14ac:dyDescent="0.25">
      <c r="A806" t="s">
        <v>819</v>
      </c>
      <c r="B806" s="2" t="s">
        <v>74</v>
      </c>
      <c r="C806" t="str">
        <f t="shared" si="12"/>
        <v>C</v>
      </c>
      <c r="D806" s="10">
        <f>MAX(_xlfn.IFNA(INDEX(Proj[],MATCH(Table16[[#This Row],[Player]],Proj[Player],0),27),-5000), _xlfn.IFNA(INDEX(Goalie[],MATCH(Table16[[#This Row],[Player]],Goalie[player],0),17),-5000))</f>
        <v>-1469.2410935386404</v>
      </c>
      <c r="E806">
        <f>_xlfn.RANK.EQ(Table16[[#This Row],[VOR]],Table16[VOR])</f>
        <v>813</v>
      </c>
      <c r="F806" cm="1">
        <f t="array" ref="F806">_xlfn.IFS(C806 = "C",INDEX('C'!$A$2:$L$254,MATCH($A806,'C'!$A$2:$A$254,0),10),C806 = "LW",INDEX(LW!$A$2:$K$180,MATCH($A806,LW!$A$2:$A$180,0),10),C806 = "RW",INDEX('RW'!$A$2:$L$164,MATCH($A806,'RW'!$A$2:$A$164,0),10), C806 = "D",INDEX(D!$A$2:$L$268,MATCH($A806,D!$A$2:$A$268,0),10),C806="G",INDEX(G!$A$2:$Q$78,MATCH($A806,G!$A$2:$A$78,0),16),C806="F",INDEX(F!$A$2:$K$494,MATCH($A806,F!$A$2:$A$494,0),10))</f>
        <v>236</v>
      </c>
      <c r="G806" t="str">
        <f>_xlfn.CONCAT(C806,Table16[[#This Row],[Pos Rank2]])</f>
        <v>C236</v>
      </c>
      <c r="H806" s="10">
        <f>MAX(_xlfn.IFNA(INDEX(Proj[],MATCH(Table16[[#This Row],[Player]],Proj[Player],0),29),-5000), _xlfn.IFNA(INDEX(Goalie[],MATCH(Table16[[#This Row],[Player]],Goalie[player],0),19),-5000))</f>
        <v>-734.60723922834177</v>
      </c>
      <c r="I806" t="str">
        <f>IF(_xlfn.IFNA(INDEX(Proj[],MATCH(Table16[[#This Row],[Player]],Proj[Player],0),31),INDEX(Goalie[],MATCH(Table16[[#This Row],[Player]],Goalie[player],0),20)) = 0, "",_xlfn.IFNA(INDEX(Proj[],MATCH(Table16[[#This Row],[Player]],Proj[Player],0),31),INDEX(Goalie[],MATCH(Table16[[#This Row],[Player]],Goalie[player],0),20)))</f>
        <v/>
      </c>
    </row>
    <row r="807" spans="1:9" x14ac:dyDescent="0.25">
      <c r="A807" t="s">
        <v>748</v>
      </c>
      <c r="B807" s="2" t="s">
        <v>74</v>
      </c>
      <c r="C807" t="str">
        <f t="shared" si="12"/>
        <v>C</v>
      </c>
      <c r="D807" s="10">
        <f>MAX(_xlfn.IFNA(INDEX(Proj[],MATCH(Table16[[#This Row],[Player]],Proj[Player],0),27),-5000), _xlfn.IFNA(INDEX(Goalie[],MATCH(Table16[[#This Row],[Player]],Goalie[player],0),17),-5000))</f>
        <v>-1414.7246104170167</v>
      </c>
      <c r="E807">
        <f>_xlfn.RANK.EQ(Table16[[#This Row],[VOR]],Table16[VOR])</f>
        <v>806</v>
      </c>
      <c r="F807" cm="1">
        <f t="array" ref="F807">_xlfn.IFS(C807 = "C",INDEX('C'!$A$2:$L$254,MATCH($A807,'C'!$A$2:$A$254,0),10),C807 = "LW",INDEX(LW!$A$2:$K$180,MATCH($A807,LW!$A$2:$A$180,0),10),C807 = "RW",INDEX('RW'!$A$2:$L$164,MATCH($A807,'RW'!$A$2:$A$164,0),10), C807 = "D",INDEX(D!$A$2:$L$268,MATCH($A807,D!$A$2:$A$268,0),10),C807="G",INDEX(G!$A$2:$Q$78,MATCH($A807,G!$A$2:$A$78,0),16),C807="F",INDEX(F!$A$2:$K$494,MATCH($A807,F!$A$2:$A$494,0),10))</f>
        <v>231</v>
      </c>
      <c r="G807" t="str">
        <f>_xlfn.CONCAT(C807,Table16[[#This Row],[Pos Rank2]])</f>
        <v>C231</v>
      </c>
      <c r="H807" s="10">
        <f>MAX(_xlfn.IFNA(INDEX(Proj[],MATCH(Table16[[#This Row],[Player]],Proj[Player],0),29),-5000), _xlfn.IFNA(INDEX(Goalie[],MATCH(Table16[[#This Row],[Player]],Goalie[player],0),19),-5000))</f>
        <v>-680.09075610671823</v>
      </c>
      <c r="I807" t="str">
        <f>IF(_xlfn.IFNA(INDEX(Proj[],MATCH(Table16[[#This Row],[Player]],Proj[Player],0),31),INDEX(Goalie[],MATCH(Table16[[#This Row],[Player]],Goalie[player],0),20)) = 0, "",_xlfn.IFNA(INDEX(Proj[],MATCH(Table16[[#This Row],[Player]],Proj[Player],0),31),INDEX(Goalie[],MATCH(Table16[[#This Row],[Player]],Goalie[player],0),20)))</f>
        <v/>
      </c>
    </row>
    <row r="808" spans="1:9" x14ac:dyDescent="0.25">
      <c r="A808" t="s">
        <v>775</v>
      </c>
      <c r="B808" s="2" t="s">
        <v>74</v>
      </c>
      <c r="C808" t="str">
        <f t="shared" si="12"/>
        <v>C</v>
      </c>
      <c r="D808" s="10">
        <f>MAX(_xlfn.IFNA(INDEX(Proj[],MATCH(Table16[[#This Row],[Player]],Proj[Player],0),27),-5000), _xlfn.IFNA(INDEX(Goalie[],MATCH(Table16[[#This Row],[Player]],Goalie[player],0),17),-5000))</f>
        <v>-1422.598498901129</v>
      </c>
      <c r="E808">
        <f>_xlfn.RANK.EQ(Table16[[#This Row],[VOR]],Table16[VOR])</f>
        <v>808</v>
      </c>
      <c r="F808" cm="1">
        <f t="array" ref="F808">_xlfn.IFS(C808 = "C",INDEX('C'!$A$2:$L$254,MATCH($A808,'C'!$A$2:$A$254,0),10),C808 = "LW",INDEX(LW!$A$2:$K$180,MATCH($A808,LW!$A$2:$A$180,0),10),C808 = "RW",INDEX('RW'!$A$2:$L$164,MATCH($A808,'RW'!$A$2:$A$164,0),10), C808 = "D",INDEX(D!$A$2:$L$268,MATCH($A808,D!$A$2:$A$268,0),10),C808="G",INDEX(G!$A$2:$Q$78,MATCH($A808,G!$A$2:$A$78,0),16),C808="F",INDEX(F!$A$2:$K$494,MATCH($A808,F!$A$2:$A$494,0),10))</f>
        <v>233</v>
      </c>
      <c r="G808" t="str">
        <f>_xlfn.CONCAT(C808,Table16[[#This Row],[Pos Rank2]])</f>
        <v>C233</v>
      </c>
      <c r="H808" s="10">
        <f>MAX(_xlfn.IFNA(INDEX(Proj[],MATCH(Table16[[#This Row],[Player]],Proj[Player],0),29),-5000), _xlfn.IFNA(INDEX(Goalie[],MATCH(Table16[[#This Row],[Player]],Goalie[player],0),19),-5000))</f>
        <v>-687.96464459083029</v>
      </c>
      <c r="I808" t="str">
        <f>IF(_xlfn.IFNA(INDEX(Proj[],MATCH(Table16[[#This Row],[Player]],Proj[Player],0),31),INDEX(Goalie[],MATCH(Table16[[#This Row],[Player]],Goalie[player],0),20)) = 0, "",_xlfn.IFNA(INDEX(Proj[],MATCH(Table16[[#This Row],[Player]],Proj[Player],0),31),INDEX(Goalie[],MATCH(Table16[[#This Row],[Player]],Goalie[player],0),20)))</f>
        <v/>
      </c>
    </row>
    <row r="809" spans="1:9" x14ac:dyDescent="0.25">
      <c r="A809" t="s">
        <v>823</v>
      </c>
      <c r="B809" s="2" t="s">
        <v>74</v>
      </c>
      <c r="C809" t="str">
        <f t="shared" si="12"/>
        <v>C</v>
      </c>
      <c r="D809" s="10">
        <f>MAX(_xlfn.IFNA(INDEX(Proj[],MATCH(Table16[[#This Row],[Player]],Proj[Player],0),27),-5000), _xlfn.IFNA(INDEX(Goalie[],MATCH(Table16[[#This Row],[Player]],Goalie[player],0),17),-5000))</f>
        <v>-1384.420424755386</v>
      </c>
      <c r="E809">
        <f>_xlfn.RANK.EQ(Table16[[#This Row],[VOR]],Table16[VOR])</f>
        <v>801</v>
      </c>
      <c r="F809" cm="1">
        <f t="array" ref="F809">_xlfn.IFS(C809 = "C",INDEX('C'!$A$2:$L$254,MATCH($A809,'C'!$A$2:$A$254,0),10),C809 = "LW",INDEX(LW!$A$2:$K$180,MATCH($A809,LW!$A$2:$A$180,0),10),C809 = "RW",INDEX('RW'!$A$2:$L$164,MATCH($A809,'RW'!$A$2:$A$164,0),10), C809 = "D",INDEX(D!$A$2:$L$268,MATCH($A809,D!$A$2:$A$268,0),10),C809="G",INDEX(G!$A$2:$Q$78,MATCH($A809,G!$A$2:$A$78,0),16),C809="F",INDEX(F!$A$2:$K$494,MATCH($A809,F!$A$2:$A$494,0),10))</f>
        <v>228</v>
      </c>
      <c r="G809" t="str">
        <f>_xlfn.CONCAT(C809,Table16[[#This Row],[Pos Rank2]])</f>
        <v>C228</v>
      </c>
      <c r="H809" s="10">
        <f>MAX(_xlfn.IFNA(INDEX(Proj[],MATCH(Table16[[#This Row],[Player]],Proj[Player],0),29),-5000), _xlfn.IFNA(INDEX(Goalie[],MATCH(Table16[[#This Row],[Player]],Goalie[player],0),19),-5000))</f>
        <v>-649.78657044508736</v>
      </c>
      <c r="I809" t="str">
        <f>IF(_xlfn.IFNA(INDEX(Proj[],MATCH(Table16[[#This Row],[Player]],Proj[Player],0),31),INDEX(Goalie[],MATCH(Table16[[#This Row],[Player]],Goalie[player],0),20)) = 0, "",_xlfn.IFNA(INDEX(Proj[],MATCH(Table16[[#This Row],[Player]],Proj[Player],0),31),INDEX(Goalie[],MATCH(Table16[[#This Row],[Player]],Goalie[player],0),20)))</f>
        <v/>
      </c>
    </row>
    <row r="810" spans="1:9" x14ac:dyDescent="0.25">
      <c r="A810" t="s">
        <v>886</v>
      </c>
      <c r="B810" s="2" t="s">
        <v>74</v>
      </c>
      <c r="C810" t="str">
        <f t="shared" si="12"/>
        <v>C</v>
      </c>
      <c r="D810" s="10">
        <f>MAX(_xlfn.IFNA(INDEX(Proj[],MATCH(Table16[[#This Row],[Player]],Proj[Player],0),27),-5000), _xlfn.IFNA(INDEX(Goalie[],MATCH(Table16[[#This Row],[Player]],Goalie[player],0),17),-5000))</f>
        <v>-1419.5574594926775</v>
      </c>
      <c r="E810">
        <f>_xlfn.RANK.EQ(Table16[[#This Row],[VOR]],Table16[VOR])</f>
        <v>807</v>
      </c>
      <c r="F810" cm="1">
        <f t="array" ref="F810">_xlfn.IFS(C810 = "C",INDEX('C'!$A$2:$L$254,MATCH($A810,'C'!$A$2:$A$254,0),10),C810 = "LW",INDEX(LW!$A$2:$K$180,MATCH($A810,LW!$A$2:$A$180,0),10),C810 = "RW",INDEX('RW'!$A$2:$L$164,MATCH($A810,'RW'!$A$2:$A$164,0),10), C810 = "D",INDEX(D!$A$2:$L$268,MATCH($A810,D!$A$2:$A$268,0),10),C810="G",INDEX(G!$A$2:$Q$78,MATCH($A810,G!$A$2:$A$78,0),16),C810="F",INDEX(F!$A$2:$K$494,MATCH($A810,F!$A$2:$A$494,0),10))</f>
        <v>232</v>
      </c>
      <c r="G810" t="str">
        <f>_xlfn.CONCAT(C810,Table16[[#This Row],[Pos Rank2]])</f>
        <v>C232</v>
      </c>
      <c r="H810" s="10">
        <f>MAX(_xlfn.IFNA(INDEX(Proj[],MATCH(Table16[[#This Row],[Player]],Proj[Player],0),29),-5000), _xlfn.IFNA(INDEX(Goalie[],MATCH(Table16[[#This Row],[Player]],Goalie[player],0),19),-5000))</f>
        <v>-684.92360518237876</v>
      </c>
      <c r="I810" t="str">
        <f>IF(_xlfn.IFNA(INDEX(Proj[],MATCH(Table16[[#This Row],[Player]],Proj[Player],0),31),INDEX(Goalie[],MATCH(Table16[[#This Row],[Player]],Goalie[player],0),20)) = 0, "",_xlfn.IFNA(INDEX(Proj[],MATCH(Table16[[#This Row],[Player]],Proj[Player],0),31),INDEX(Goalie[],MATCH(Table16[[#This Row],[Player]],Goalie[player],0),20)))</f>
        <v/>
      </c>
    </row>
    <row r="811" spans="1:9" x14ac:dyDescent="0.25">
      <c r="A811" t="s">
        <v>724</v>
      </c>
      <c r="B811" s="2" t="s">
        <v>74</v>
      </c>
      <c r="C811" t="str">
        <f t="shared" si="12"/>
        <v>C</v>
      </c>
      <c r="D811" s="10">
        <f>MAX(_xlfn.IFNA(INDEX(Proj[],MATCH(Table16[[#This Row],[Player]],Proj[Player],0),27),-5000), _xlfn.IFNA(INDEX(Goalie[],MATCH(Table16[[#This Row],[Player]],Goalie[player],0),17),-5000))</f>
        <v>-1473.0406207027729</v>
      </c>
      <c r="E811">
        <f>_xlfn.RANK.EQ(Table16[[#This Row],[VOR]],Table16[VOR])</f>
        <v>814</v>
      </c>
      <c r="F811" cm="1">
        <f t="array" ref="F811">_xlfn.IFS(C811 = "C",INDEX('C'!$A$2:$L$254,MATCH($A811,'C'!$A$2:$A$254,0),10),C811 = "LW",INDEX(LW!$A$2:$K$180,MATCH($A811,LW!$A$2:$A$180,0),10),C811 = "RW",INDEX('RW'!$A$2:$L$164,MATCH($A811,'RW'!$A$2:$A$164,0),10), C811 = "D",INDEX(D!$A$2:$L$268,MATCH($A811,D!$A$2:$A$268,0),10),C811="G",INDEX(G!$A$2:$Q$78,MATCH($A811,G!$A$2:$A$78,0),16),C811="F",INDEX(F!$A$2:$K$494,MATCH($A811,F!$A$2:$A$494,0),10))</f>
        <v>237</v>
      </c>
      <c r="G811" t="str">
        <f>_xlfn.CONCAT(C811,Table16[[#This Row],[Pos Rank2]])</f>
        <v>C237</v>
      </c>
      <c r="H811" s="10">
        <f>MAX(_xlfn.IFNA(INDEX(Proj[],MATCH(Table16[[#This Row],[Player]],Proj[Player],0),29),-5000), _xlfn.IFNA(INDEX(Goalie[],MATCH(Table16[[#This Row],[Player]],Goalie[player],0),19),-5000))</f>
        <v>-738.40676639247431</v>
      </c>
      <c r="I811" t="str">
        <f>IF(_xlfn.IFNA(INDEX(Proj[],MATCH(Table16[[#This Row],[Player]],Proj[Player],0),31),INDEX(Goalie[],MATCH(Table16[[#This Row],[Player]],Goalie[player],0),20)) = 0, "",_xlfn.IFNA(INDEX(Proj[],MATCH(Table16[[#This Row],[Player]],Proj[Player],0),31),INDEX(Goalie[],MATCH(Table16[[#This Row],[Player]],Goalie[player],0),20)))</f>
        <v/>
      </c>
    </row>
    <row r="812" spans="1:9" x14ac:dyDescent="0.25">
      <c r="A812" t="s">
        <v>1156</v>
      </c>
      <c r="B812" s="2" t="s">
        <v>103</v>
      </c>
      <c r="C812" t="str">
        <f t="shared" si="12"/>
        <v>RW</v>
      </c>
      <c r="D812" s="10">
        <f>MAX(_xlfn.IFNA(INDEX(Proj[],MATCH(Table16[[#This Row],[Player]],Proj[Player],0),27),-5000), _xlfn.IFNA(INDEX(Goalie[],MATCH(Table16[[#This Row],[Player]],Goalie[player],0),17),-5000))</f>
        <v>-1277.7630922011799</v>
      </c>
      <c r="E812">
        <f>_xlfn.RANK.EQ(Table16[[#This Row],[VOR]],Table16[VOR])</f>
        <v>783</v>
      </c>
      <c r="F812" cm="1">
        <f t="array" ref="F812">_xlfn.IFS(C812 = "C",INDEX('C'!$A$2:$L$254,MATCH($A812,'C'!$A$2:$A$254,0),10),C812 = "LW",INDEX(LW!$A$2:$K$180,MATCH($A812,LW!$A$2:$A$180,0),10),C812 = "RW",INDEX('RW'!$A$2:$L$164,MATCH($A812,'RW'!$A$2:$A$164,0),10), C812 = "D",INDEX(D!$A$2:$L$268,MATCH($A812,D!$A$2:$A$268,0),10),C812="G",INDEX(G!$A$2:$Q$78,MATCH($A812,G!$A$2:$A$78,0),16),C812="F",INDEX(F!$A$2:$K$494,MATCH($A812,F!$A$2:$A$494,0),10))</f>
        <v>162</v>
      </c>
      <c r="G812" t="str">
        <f>_xlfn.CONCAT(C812,Table16[[#This Row],[Pos Rank2]])</f>
        <v>RW162</v>
      </c>
      <c r="H812" s="10">
        <f>MAX(_xlfn.IFNA(INDEX(Proj[],MATCH(Table16[[#This Row],[Player]],Proj[Player],0),29),-5000), _xlfn.IFNA(INDEX(Goalie[],MATCH(Table16[[#This Row],[Player]],Goalie[player],0),19),-5000))</f>
        <v>-831.218367810931</v>
      </c>
      <c r="I812" t="str">
        <f>IF(_xlfn.IFNA(INDEX(Proj[],MATCH(Table16[[#This Row],[Player]],Proj[Player],0),31),INDEX(Goalie[],MATCH(Table16[[#This Row],[Player]],Goalie[player],0),20)) = 0, "",_xlfn.IFNA(INDEX(Proj[],MATCH(Table16[[#This Row],[Player]],Proj[Player],0),31),INDEX(Goalie[],MATCH(Table16[[#This Row],[Player]],Goalie[player],0),20)))</f>
        <v/>
      </c>
    </row>
    <row r="813" spans="1:9" x14ac:dyDescent="0.25">
      <c r="A813" t="s">
        <v>710</v>
      </c>
      <c r="B813" s="2" t="s">
        <v>74</v>
      </c>
      <c r="C813" t="str">
        <f t="shared" si="12"/>
        <v>C</v>
      </c>
      <c r="D813" s="10">
        <f>MAX(_xlfn.IFNA(INDEX(Proj[],MATCH(Table16[[#This Row],[Player]],Proj[Player],0),27),-5000), _xlfn.IFNA(INDEX(Goalie[],MATCH(Table16[[#This Row],[Player]],Goalie[player],0),17),-5000))</f>
        <v>-1442.0998625903867</v>
      </c>
      <c r="E813">
        <f>_xlfn.RANK.EQ(Table16[[#This Row],[VOR]],Table16[VOR])</f>
        <v>810</v>
      </c>
      <c r="F813" cm="1">
        <f t="array" ref="F813">_xlfn.IFS(C813 = "C",INDEX('C'!$A$2:$L$254,MATCH($A813,'C'!$A$2:$A$254,0),10),C813 = "LW",INDEX(LW!$A$2:$K$180,MATCH($A813,LW!$A$2:$A$180,0),10),C813 = "RW",INDEX('RW'!$A$2:$L$164,MATCH($A813,'RW'!$A$2:$A$164,0),10), C813 = "D",INDEX(D!$A$2:$L$268,MATCH($A813,D!$A$2:$A$268,0),10),C813="G",INDEX(G!$A$2:$Q$78,MATCH($A813,G!$A$2:$A$78,0),16),C813="F",INDEX(F!$A$2:$K$494,MATCH($A813,F!$A$2:$A$494,0),10))</f>
        <v>234</v>
      </c>
      <c r="G813" t="str">
        <f>_xlfn.CONCAT(C813,Table16[[#This Row],[Pos Rank2]])</f>
        <v>C234</v>
      </c>
      <c r="H813" s="10">
        <f>MAX(_xlfn.IFNA(INDEX(Proj[],MATCH(Table16[[#This Row],[Player]],Proj[Player],0),29),-5000), _xlfn.IFNA(INDEX(Goalie[],MATCH(Table16[[#This Row],[Player]],Goalie[player],0),19),-5000))</f>
        <v>-707.46600828008798</v>
      </c>
      <c r="I813" t="str">
        <f>IF(_xlfn.IFNA(INDEX(Proj[],MATCH(Table16[[#This Row],[Player]],Proj[Player],0),31),INDEX(Goalie[],MATCH(Table16[[#This Row],[Player]],Goalie[player],0),20)) = 0, "",_xlfn.IFNA(INDEX(Proj[],MATCH(Table16[[#This Row],[Player]],Proj[Player],0),31),INDEX(Goalie[],MATCH(Table16[[#This Row],[Player]],Goalie[player],0),20)))</f>
        <v/>
      </c>
    </row>
    <row r="814" spans="1:9" x14ac:dyDescent="0.25">
      <c r="A814" t="s">
        <v>1154</v>
      </c>
      <c r="B814" s="2" t="s">
        <v>102</v>
      </c>
      <c r="C814" t="str">
        <f t="shared" si="12"/>
        <v>LW</v>
      </c>
      <c r="D814" s="10">
        <f>MAX(_xlfn.IFNA(INDEX(Proj[],MATCH(Table16[[#This Row],[Player]],Proj[Player],0),27),-5000), _xlfn.IFNA(INDEX(Goalie[],MATCH(Table16[[#This Row],[Player]],Goalie[player],0),17),-5000))</f>
        <v>-1300.3530738343431</v>
      </c>
      <c r="E814">
        <f>_xlfn.RANK.EQ(Table16[[#This Row],[VOR]],Table16[VOR])</f>
        <v>788</v>
      </c>
      <c r="F814" cm="1">
        <f t="array" ref="F814">_xlfn.IFS(C814 = "C",INDEX('C'!$A$2:$L$254,MATCH($A814,'C'!$A$2:$A$254,0),10),C814 = "LW",INDEX(LW!$A$2:$K$180,MATCH($A814,LW!$A$2:$A$180,0),10),C814 = "RW",INDEX('RW'!$A$2:$L$164,MATCH($A814,'RW'!$A$2:$A$164,0),10), C814 = "D",INDEX(D!$A$2:$L$268,MATCH($A814,D!$A$2:$A$268,0),10),C814="G",INDEX(G!$A$2:$Q$78,MATCH($A814,G!$A$2:$A$78,0),16),C814="F",INDEX(F!$A$2:$K$494,MATCH($A814,F!$A$2:$A$494,0),10))</f>
        <v>172</v>
      </c>
      <c r="G814" t="str">
        <f>_xlfn.CONCAT(C814,Table16[[#This Row],[Pos Rank2]])</f>
        <v>LW172</v>
      </c>
      <c r="H814" s="10">
        <f>MAX(_xlfn.IFNA(INDEX(Proj[],MATCH(Table16[[#This Row],[Player]],Proj[Player],0),29),-5000), _xlfn.IFNA(INDEX(Goalie[],MATCH(Table16[[#This Row],[Player]],Goalie[player],0),19),-5000))</f>
        <v>-828.80834944409423</v>
      </c>
      <c r="I814" t="str">
        <f>IF(_xlfn.IFNA(INDEX(Proj[],MATCH(Table16[[#This Row],[Player]],Proj[Player],0),31),INDEX(Goalie[],MATCH(Table16[[#This Row],[Player]],Goalie[player],0),20)) = 0, "",_xlfn.IFNA(INDEX(Proj[],MATCH(Table16[[#This Row],[Player]],Proj[Player],0),31),INDEX(Goalie[],MATCH(Table16[[#This Row],[Player]],Goalie[player],0),20)))</f>
        <v/>
      </c>
    </row>
    <row r="815" spans="1:9" x14ac:dyDescent="0.25">
      <c r="A815" t="s">
        <v>1146</v>
      </c>
      <c r="B815" s="2" t="s">
        <v>102</v>
      </c>
      <c r="C815" t="str">
        <f t="shared" si="12"/>
        <v>LW</v>
      </c>
      <c r="D815" s="10">
        <f>MAX(_xlfn.IFNA(INDEX(Proj[],MATCH(Table16[[#This Row],[Player]],Proj[Player],0),27),-5000), _xlfn.IFNA(INDEX(Goalie[],MATCH(Table16[[#This Row],[Player]],Goalie[player],0),17),-5000))</f>
        <v>-1322.0819913547127</v>
      </c>
      <c r="E815">
        <f>_xlfn.RANK.EQ(Table16[[#This Row],[VOR]],Table16[VOR])</f>
        <v>794</v>
      </c>
      <c r="F815" cm="1">
        <f t="array" ref="F815">_xlfn.IFS(C815 = "C",INDEX('C'!$A$2:$L$254,MATCH($A815,'C'!$A$2:$A$254,0),10),C815 = "LW",INDEX(LW!$A$2:$K$180,MATCH($A815,LW!$A$2:$A$180,0),10),C815 = "RW",INDEX('RW'!$A$2:$L$164,MATCH($A815,'RW'!$A$2:$A$164,0),10), C815 = "D",INDEX(D!$A$2:$L$268,MATCH($A815,D!$A$2:$A$268,0),10),C815="G",INDEX(G!$A$2:$Q$78,MATCH($A815,G!$A$2:$A$78,0),16),C815="F",INDEX(F!$A$2:$K$494,MATCH($A815,F!$A$2:$A$494,0),10))</f>
        <v>174</v>
      </c>
      <c r="G815" t="str">
        <f>_xlfn.CONCAT(C815,Table16[[#This Row],[Pos Rank2]])</f>
        <v>LW174</v>
      </c>
      <c r="H815" s="10">
        <f>MAX(_xlfn.IFNA(INDEX(Proj[],MATCH(Table16[[#This Row],[Player]],Proj[Player],0),29),-5000), _xlfn.IFNA(INDEX(Goalie[],MATCH(Table16[[#This Row],[Player]],Goalie[player],0),19),-5000))</f>
        <v>-850.53726696446392</v>
      </c>
      <c r="I815" t="str">
        <f>IF(_xlfn.IFNA(INDEX(Proj[],MATCH(Table16[[#This Row],[Player]],Proj[Player],0),31),INDEX(Goalie[],MATCH(Table16[[#This Row],[Player]],Goalie[player],0),20)) = 0, "",_xlfn.IFNA(INDEX(Proj[],MATCH(Table16[[#This Row],[Player]],Proj[Player],0),31),INDEX(Goalie[],MATCH(Table16[[#This Row],[Player]],Goalie[player],0),20)))</f>
        <v/>
      </c>
    </row>
    <row r="816" spans="1:9" x14ac:dyDescent="0.25">
      <c r="A816" t="s">
        <v>566</v>
      </c>
      <c r="B816" s="2" t="s">
        <v>102</v>
      </c>
      <c r="C816" t="str">
        <f t="shared" si="12"/>
        <v>LW</v>
      </c>
      <c r="D816" s="10">
        <f>MAX(_xlfn.IFNA(INDEX(Proj[],MATCH(Table16[[#This Row],[Player]],Proj[Player],0),27),-5000), _xlfn.IFNA(INDEX(Goalie[],MATCH(Table16[[#This Row],[Player]],Goalie[player],0),17),-5000))</f>
        <v>-1312.84235261803</v>
      </c>
      <c r="E816">
        <f>_xlfn.RANK.EQ(Table16[[#This Row],[VOR]],Table16[VOR])</f>
        <v>793</v>
      </c>
      <c r="F816" cm="1">
        <f t="array" ref="F816">_xlfn.IFS(C816 = "C",INDEX('C'!$A$2:$L$254,MATCH($A816,'C'!$A$2:$A$254,0),10),C816 = "LW",INDEX(LW!$A$2:$K$180,MATCH($A816,LW!$A$2:$A$180,0),10),C816 = "RW",INDEX('RW'!$A$2:$L$164,MATCH($A816,'RW'!$A$2:$A$164,0),10), C816 = "D",INDEX(D!$A$2:$L$268,MATCH($A816,D!$A$2:$A$268,0),10),C816="G",INDEX(G!$A$2:$Q$78,MATCH($A816,G!$A$2:$A$78,0),16),C816="F",INDEX(F!$A$2:$K$494,MATCH($A816,F!$A$2:$A$494,0),10))</f>
        <v>173</v>
      </c>
      <c r="G816" t="str">
        <f>_xlfn.CONCAT(C816,Table16[[#This Row],[Pos Rank2]])</f>
        <v>LW173</v>
      </c>
      <c r="H816" s="10">
        <f>MAX(_xlfn.IFNA(INDEX(Proj[],MATCH(Table16[[#This Row],[Player]],Proj[Player],0),29),-5000), _xlfn.IFNA(INDEX(Goalie[],MATCH(Table16[[#This Row],[Player]],Goalie[player],0),19),-5000))</f>
        <v>-841.29762822778105</v>
      </c>
      <c r="I816" t="str">
        <f>IF(_xlfn.IFNA(INDEX(Proj[],MATCH(Table16[[#This Row],[Player]],Proj[Player],0),31),INDEX(Goalie[],MATCH(Table16[[#This Row],[Player]],Goalie[player],0),20)) = 0, "",_xlfn.IFNA(INDEX(Proj[],MATCH(Table16[[#This Row],[Player]],Proj[Player],0),31),INDEX(Goalie[],MATCH(Table16[[#This Row],[Player]],Goalie[player],0),20)))</f>
        <v/>
      </c>
    </row>
    <row r="817" spans="1:9" x14ac:dyDescent="0.25">
      <c r="A817" t="s">
        <v>1133</v>
      </c>
      <c r="B817" s="2" t="s">
        <v>74</v>
      </c>
      <c r="C817" t="str">
        <f t="shared" si="12"/>
        <v>C</v>
      </c>
      <c r="D817" s="10">
        <f>MAX(_xlfn.IFNA(INDEX(Proj[],MATCH(Table16[[#This Row],[Player]],Proj[Player],0),27),-5000), _xlfn.IFNA(INDEX(Goalie[],MATCH(Table16[[#This Row],[Player]],Goalie[player],0),17),-5000))</f>
        <v>-1522.1708689405887</v>
      </c>
      <c r="E817">
        <f>_xlfn.RANK.EQ(Table16[[#This Row],[VOR]],Table16[VOR])</f>
        <v>819</v>
      </c>
      <c r="F817" cm="1">
        <f t="array" ref="F817">_xlfn.IFS(C817 = "C",INDEX('C'!$A$2:$L$254,MATCH($A817,'C'!$A$2:$A$254,0),10),C817 = "LW",INDEX(LW!$A$2:$K$180,MATCH($A817,LW!$A$2:$A$180,0),10),C817 = "RW",INDEX('RW'!$A$2:$L$164,MATCH($A817,'RW'!$A$2:$A$164,0),10), C817 = "D",INDEX(D!$A$2:$L$268,MATCH($A817,D!$A$2:$A$268,0),10),C817="G",INDEX(G!$A$2:$Q$78,MATCH($A817,G!$A$2:$A$78,0),16),C817="F",INDEX(F!$A$2:$K$494,MATCH($A817,F!$A$2:$A$494,0),10))</f>
        <v>241</v>
      </c>
      <c r="G817" t="str">
        <f>_xlfn.CONCAT(C817,Table16[[#This Row],[Pos Rank2]])</f>
        <v>C241</v>
      </c>
      <c r="H817" s="10">
        <f>MAX(_xlfn.IFNA(INDEX(Proj[],MATCH(Table16[[#This Row],[Player]],Proj[Player],0),29),-5000), _xlfn.IFNA(INDEX(Goalie[],MATCH(Table16[[#This Row],[Player]],Goalie[player],0),19),-5000))</f>
        <v>-787.53701463029006</v>
      </c>
      <c r="I817" t="str">
        <f>IF(_xlfn.IFNA(INDEX(Proj[],MATCH(Table16[[#This Row],[Player]],Proj[Player],0),31),INDEX(Goalie[],MATCH(Table16[[#This Row],[Player]],Goalie[player],0),20)) = 0, "",_xlfn.IFNA(INDEX(Proj[],MATCH(Table16[[#This Row],[Player]],Proj[Player],0),31),INDEX(Goalie[],MATCH(Table16[[#This Row],[Player]],Goalie[player],0),20)))</f>
        <v/>
      </c>
    </row>
    <row r="818" spans="1:9" x14ac:dyDescent="0.25">
      <c r="A818" t="s">
        <v>934</v>
      </c>
      <c r="B818" s="2" t="s">
        <v>74</v>
      </c>
      <c r="C818" t="str">
        <f t="shared" si="12"/>
        <v>C</v>
      </c>
      <c r="D818" s="10">
        <f>MAX(_xlfn.IFNA(INDEX(Proj[],MATCH(Table16[[#This Row],[Player]],Proj[Player],0),27),-5000), _xlfn.IFNA(INDEX(Goalie[],MATCH(Table16[[#This Row],[Player]],Goalie[player],0),17),-5000))</f>
        <v>-1474.0043136932925</v>
      </c>
      <c r="E818">
        <f>_xlfn.RANK.EQ(Table16[[#This Row],[VOR]],Table16[VOR])</f>
        <v>815</v>
      </c>
      <c r="F818" cm="1">
        <f t="array" ref="F818">_xlfn.IFS(C818 = "C",INDEX('C'!$A$2:$L$254,MATCH($A818,'C'!$A$2:$A$254,0),10),C818 = "LW",INDEX(LW!$A$2:$K$180,MATCH($A818,LW!$A$2:$A$180,0),10),C818 = "RW",INDEX('RW'!$A$2:$L$164,MATCH($A818,'RW'!$A$2:$A$164,0),10), C818 = "D",INDEX(D!$A$2:$L$268,MATCH($A818,D!$A$2:$A$268,0),10),C818="G",INDEX(G!$A$2:$Q$78,MATCH($A818,G!$A$2:$A$78,0),16),C818="F",INDEX(F!$A$2:$K$494,MATCH($A818,F!$A$2:$A$494,0),10))</f>
        <v>238</v>
      </c>
      <c r="G818" t="str">
        <f>_xlfn.CONCAT(C818,Table16[[#This Row],[Pos Rank2]])</f>
        <v>C238</v>
      </c>
      <c r="H818" s="10">
        <f>MAX(_xlfn.IFNA(INDEX(Proj[],MATCH(Table16[[#This Row],[Player]],Proj[Player],0),29),-5000), _xlfn.IFNA(INDEX(Goalie[],MATCH(Table16[[#This Row],[Player]],Goalie[player],0),19),-5000))</f>
        <v>-739.37045938299389</v>
      </c>
      <c r="I818" t="str">
        <f>IF(_xlfn.IFNA(INDEX(Proj[],MATCH(Table16[[#This Row],[Player]],Proj[Player],0),31),INDEX(Goalie[],MATCH(Table16[[#This Row],[Player]],Goalie[player],0),20)) = 0, "",_xlfn.IFNA(INDEX(Proj[],MATCH(Table16[[#This Row],[Player]],Proj[Player],0),31),INDEX(Goalie[],MATCH(Table16[[#This Row],[Player]],Goalie[player],0),20)))</f>
        <v/>
      </c>
    </row>
    <row r="819" spans="1:9" x14ac:dyDescent="0.25">
      <c r="A819" t="s">
        <v>752</v>
      </c>
      <c r="B819" s="2" t="s">
        <v>74</v>
      </c>
      <c r="C819" t="str">
        <f t="shared" si="12"/>
        <v>C</v>
      </c>
      <c r="D819" s="10">
        <f>MAX(_xlfn.IFNA(INDEX(Proj[],MATCH(Table16[[#This Row],[Player]],Proj[Player],0),27),-5000), _xlfn.IFNA(INDEX(Goalie[],MATCH(Table16[[#This Row],[Player]],Goalie[player],0),17),-5000))</f>
        <v>-1474.041803268045</v>
      </c>
      <c r="E819">
        <f>_xlfn.RANK.EQ(Table16[[#This Row],[VOR]],Table16[VOR])</f>
        <v>816</v>
      </c>
      <c r="F819" cm="1">
        <f t="array" ref="F819">_xlfn.IFS(C819 = "C",INDEX('C'!$A$2:$L$254,MATCH($A819,'C'!$A$2:$A$254,0),10),C819 = "LW",INDEX(LW!$A$2:$K$180,MATCH($A819,LW!$A$2:$A$180,0),10),C819 = "RW",INDEX('RW'!$A$2:$L$164,MATCH($A819,'RW'!$A$2:$A$164,0),10), C819 = "D",INDEX(D!$A$2:$L$268,MATCH($A819,D!$A$2:$A$268,0),10),C819="G",INDEX(G!$A$2:$Q$78,MATCH($A819,G!$A$2:$A$78,0),16),C819="F",INDEX(F!$A$2:$K$494,MATCH($A819,F!$A$2:$A$494,0),10))</f>
        <v>239</v>
      </c>
      <c r="G819" t="str">
        <f>_xlfn.CONCAT(C819,Table16[[#This Row],[Pos Rank2]])</f>
        <v>C239</v>
      </c>
      <c r="H819" s="10">
        <f>MAX(_xlfn.IFNA(INDEX(Proj[],MATCH(Table16[[#This Row],[Player]],Proj[Player],0),29),-5000), _xlfn.IFNA(INDEX(Goalie[],MATCH(Table16[[#This Row],[Player]],Goalie[player],0),19),-5000))</f>
        <v>-739.40794895774638</v>
      </c>
      <c r="I819" t="str">
        <f>IF(_xlfn.IFNA(INDEX(Proj[],MATCH(Table16[[#This Row],[Player]],Proj[Player],0),31),INDEX(Goalie[],MATCH(Table16[[#This Row],[Player]],Goalie[player],0),20)) = 0, "",_xlfn.IFNA(INDEX(Proj[],MATCH(Table16[[#This Row],[Player]],Proj[Player],0),31),INDEX(Goalie[],MATCH(Table16[[#This Row],[Player]],Goalie[player],0),20)))</f>
        <v/>
      </c>
    </row>
    <row r="820" spans="1:9" x14ac:dyDescent="0.25">
      <c r="A820" t="s">
        <v>958</v>
      </c>
      <c r="B820" s="2" t="s">
        <v>74</v>
      </c>
      <c r="C820" t="str">
        <f t="shared" si="12"/>
        <v>C</v>
      </c>
      <c r="D820" s="10">
        <f>MAX(_xlfn.IFNA(INDEX(Proj[],MATCH(Table16[[#This Row],[Player]],Proj[Player],0),27),-5000), _xlfn.IFNA(INDEX(Goalie[],MATCH(Table16[[#This Row],[Player]],Goalie[player],0),17),-5000))</f>
        <v>-1509.6417244245611</v>
      </c>
      <c r="E820">
        <f>_xlfn.RANK.EQ(Table16[[#This Row],[VOR]],Table16[VOR])</f>
        <v>818</v>
      </c>
      <c r="F820" cm="1">
        <f t="array" ref="F820">_xlfn.IFS(C820 = "C",INDEX('C'!$A$2:$L$254,MATCH($A820,'C'!$A$2:$A$254,0),10),C820 = "LW",INDEX(LW!$A$2:$K$180,MATCH($A820,LW!$A$2:$A$180,0),10),C820 = "RW",INDEX('RW'!$A$2:$L$164,MATCH($A820,'RW'!$A$2:$A$164,0),10), C820 = "D",INDEX(D!$A$2:$L$268,MATCH($A820,D!$A$2:$A$268,0),10),C820="G",INDEX(G!$A$2:$Q$78,MATCH($A820,G!$A$2:$A$78,0),16),C820="F",INDEX(F!$A$2:$K$494,MATCH($A820,F!$A$2:$A$494,0),10))</f>
        <v>240</v>
      </c>
      <c r="G820" t="str">
        <f>_xlfn.CONCAT(C820,Table16[[#This Row],[Pos Rank2]])</f>
        <v>C240</v>
      </c>
      <c r="H820" s="10">
        <f>MAX(_xlfn.IFNA(INDEX(Proj[],MATCH(Table16[[#This Row],[Player]],Proj[Player],0),29),-5000), _xlfn.IFNA(INDEX(Goalie[],MATCH(Table16[[#This Row],[Player]],Goalie[player],0),19),-5000))</f>
        <v>-775.00787011426246</v>
      </c>
      <c r="I820" t="str">
        <f>IF(_xlfn.IFNA(INDEX(Proj[],MATCH(Table16[[#This Row],[Player]],Proj[Player],0),31),INDEX(Goalie[],MATCH(Table16[[#This Row],[Player]],Goalie[player],0),20)) = 0, "",_xlfn.IFNA(INDEX(Proj[],MATCH(Table16[[#This Row],[Player]],Proj[Player],0),31),INDEX(Goalie[],MATCH(Table16[[#This Row],[Player]],Goalie[player],0),20)))</f>
        <v/>
      </c>
    </row>
    <row r="821" spans="1:9" x14ac:dyDescent="0.25">
      <c r="A821" t="s">
        <v>832</v>
      </c>
      <c r="B821" s="2" t="s">
        <v>102</v>
      </c>
      <c r="C821" t="str">
        <f t="shared" si="12"/>
        <v>LW</v>
      </c>
      <c r="D821" s="10">
        <f>MAX(_xlfn.IFNA(INDEX(Proj[],MATCH(Table16[[#This Row],[Player]],Proj[Player],0),27),-5000), _xlfn.IFNA(INDEX(Goalie[],MATCH(Table16[[#This Row],[Player]],Goalie[player],0),17),-5000))</f>
        <v>-1369.6782788018022</v>
      </c>
      <c r="E821">
        <f>_xlfn.RANK.EQ(Table16[[#This Row],[VOR]],Table16[VOR])</f>
        <v>800</v>
      </c>
      <c r="F821" cm="1">
        <f t="array" ref="F821">_xlfn.IFS(C821 = "C",INDEX('C'!$A$2:$L$254,MATCH($A821,'C'!$A$2:$A$254,0),10),C821 = "LW",INDEX(LW!$A$2:$K$180,MATCH($A821,LW!$A$2:$A$180,0),10),C821 = "RW",INDEX('RW'!$A$2:$L$164,MATCH($A821,'RW'!$A$2:$A$164,0),10), C821 = "D",INDEX(D!$A$2:$L$268,MATCH($A821,D!$A$2:$A$268,0),10),C821="G",INDEX(G!$A$2:$Q$78,MATCH($A821,G!$A$2:$A$78,0),16),C821="F",INDEX(F!$A$2:$K$494,MATCH($A821,F!$A$2:$A$494,0),10))</f>
        <v>175</v>
      </c>
      <c r="G821" t="str">
        <f>_xlfn.CONCAT(C821,Table16[[#This Row],[Pos Rank2]])</f>
        <v>LW175</v>
      </c>
      <c r="H821" s="10">
        <f>MAX(_xlfn.IFNA(INDEX(Proj[],MATCH(Table16[[#This Row],[Player]],Proj[Player],0),29),-5000), _xlfn.IFNA(INDEX(Goalie[],MATCH(Table16[[#This Row],[Player]],Goalie[player],0),19),-5000))</f>
        <v>-898.1335544115534</v>
      </c>
      <c r="I821" t="str">
        <f>IF(_xlfn.IFNA(INDEX(Proj[],MATCH(Table16[[#This Row],[Player]],Proj[Player],0),31),INDEX(Goalie[],MATCH(Table16[[#This Row],[Player]],Goalie[player],0),20)) = 0, "",_xlfn.IFNA(INDEX(Proj[],MATCH(Table16[[#This Row],[Player]],Proj[Player],0),31),INDEX(Goalie[],MATCH(Table16[[#This Row],[Player]],Goalie[player],0),20)))</f>
        <v/>
      </c>
    </row>
    <row r="822" spans="1:9" x14ac:dyDescent="0.25">
      <c r="A822" t="s">
        <v>689</v>
      </c>
      <c r="B822" s="2" t="s">
        <v>74</v>
      </c>
      <c r="C822" t="str">
        <f t="shared" si="12"/>
        <v>C</v>
      </c>
      <c r="D822" s="10">
        <f>MAX(_xlfn.IFNA(INDEX(Proj[],MATCH(Table16[[#This Row],[Player]],Proj[Player],0),27),-5000), _xlfn.IFNA(INDEX(Goalie[],MATCH(Table16[[#This Row],[Player]],Goalie[player],0),17),-5000))</f>
        <v>-1573.074171214887</v>
      </c>
      <c r="E822">
        <f>_xlfn.RANK.EQ(Table16[[#This Row],[VOR]],Table16[VOR])</f>
        <v>824</v>
      </c>
      <c r="F822" cm="1">
        <f t="array" ref="F822">_xlfn.IFS(C822 = "C",INDEX('C'!$A$2:$L$254,MATCH($A822,'C'!$A$2:$A$254,0),10),C822 = "LW",INDEX(LW!$A$2:$K$180,MATCH($A822,LW!$A$2:$A$180,0),10),C822 = "RW",INDEX('RW'!$A$2:$L$164,MATCH($A822,'RW'!$A$2:$A$164,0),10), C822 = "D",INDEX(D!$A$2:$L$268,MATCH($A822,D!$A$2:$A$268,0),10),C822="G",INDEX(G!$A$2:$Q$78,MATCH($A822,G!$A$2:$A$78,0),16),C822="F",INDEX(F!$A$2:$K$494,MATCH($A822,F!$A$2:$A$494,0),10))</f>
        <v>246</v>
      </c>
      <c r="G822" t="str">
        <f>_xlfn.CONCAT(C822,Table16[[#This Row],[Pos Rank2]])</f>
        <v>C246</v>
      </c>
      <c r="H822" s="10">
        <f>MAX(_xlfn.IFNA(INDEX(Proj[],MATCH(Table16[[#This Row],[Player]],Proj[Player],0),29),-5000), _xlfn.IFNA(INDEX(Goalie[],MATCH(Table16[[#This Row],[Player]],Goalie[player],0),19),-5000))</f>
        <v>-838.44031690458837</v>
      </c>
      <c r="I822" t="str">
        <f>IF(_xlfn.IFNA(INDEX(Proj[],MATCH(Table16[[#This Row],[Player]],Proj[Player],0),31),INDEX(Goalie[],MATCH(Table16[[#This Row],[Player]],Goalie[player],0),20)) = 0, "",_xlfn.IFNA(INDEX(Proj[],MATCH(Table16[[#This Row],[Player]],Proj[Player],0),31),INDEX(Goalie[],MATCH(Table16[[#This Row],[Player]],Goalie[player],0),20)))</f>
        <v/>
      </c>
    </row>
    <row r="823" spans="1:9" x14ac:dyDescent="0.25">
      <c r="A823" t="s">
        <v>969</v>
      </c>
      <c r="B823" s="2" t="s">
        <v>74</v>
      </c>
      <c r="C823" t="str">
        <f t="shared" si="12"/>
        <v>C</v>
      </c>
      <c r="D823" s="10">
        <f>MAX(_xlfn.IFNA(INDEX(Proj[],MATCH(Table16[[#This Row],[Player]],Proj[Player],0),27),-5000), _xlfn.IFNA(INDEX(Goalie[],MATCH(Table16[[#This Row],[Player]],Goalie[player],0),17),-5000))</f>
        <v>-1534.8529636957878</v>
      </c>
      <c r="E823">
        <f>_xlfn.RANK.EQ(Table16[[#This Row],[VOR]],Table16[VOR])</f>
        <v>820</v>
      </c>
      <c r="F823" cm="1">
        <f t="array" ref="F823">_xlfn.IFS(C823 = "C",INDEX('C'!$A$2:$L$254,MATCH($A823,'C'!$A$2:$A$254,0),10),C823 = "LW",INDEX(LW!$A$2:$K$180,MATCH($A823,LW!$A$2:$A$180,0),10),C823 = "RW",INDEX('RW'!$A$2:$L$164,MATCH($A823,'RW'!$A$2:$A$164,0),10), C823 = "D",INDEX(D!$A$2:$L$268,MATCH($A823,D!$A$2:$A$268,0),10),C823="G",INDEX(G!$A$2:$Q$78,MATCH($A823,G!$A$2:$A$78,0),16),C823="F",INDEX(F!$A$2:$K$494,MATCH($A823,F!$A$2:$A$494,0),10))</f>
        <v>242</v>
      </c>
      <c r="G823" t="str">
        <f>_xlfn.CONCAT(C823,Table16[[#This Row],[Pos Rank2]])</f>
        <v>C242</v>
      </c>
      <c r="H823" s="10">
        <f>MAX(_xlfn.IFNA(INDEX(Proj[],MATCH(Table16[[#This Row],[Player]],Proj[Player],0),29),-5000), _xlfn.IFNA(INDEX(Goalie[],MATCH(Table16[[#This Row],[Player]],Goalie[player],0),19),-5000))</f>
        <v>-800.21910938548933</v>
      </c>
      <c r="I823" t="str">
        <f>IF(_xlfn.IFNA(INDEX(Proj[],MATCH(Table16[[#This Row],[Player]],Proj[Player],0),31),INDEX(Goalie[],MATCH(Table16[[#This Row],[Player]],Goalie[player],0),20)) = 0, "",_xlfn.IFNA(INDEX(Proj[],MATCH(Table16[[#This Row],[Player]],Proj[Player],0),31),INDEX(Goalie[],MATCH(Table16[[#This Row],[Player]],Goalie[player],0),20)))</f>
        <v/>
      </c>
    </row>
    <row r="824" spans="1:9" x14ac:dyDescent="0.25">
      <c r="A824" t="s">
        <v>1149</v>
      </c>
      <c r="B824" s="2" t="s">
        <v>74</v>
      </c>
      <c r="C824" t="str">
        <f t="shared" si="12"/>
        <v>C</v>
      </c>
      <c r="D824" s="10">
        <f>MAX(_xlfn.IFNA(INDEX(Proj[],MATCH(Table16[[#This Row],[Player]],Proj[Player],0),27),-5000), _xlfn.IFNA(INDEX(Goalie[],MATCH(Table16[[#This Row],[Player]],Goalie[player],0),17),-5000))</f>
        <v>-1541.5356670186584</v>
      </c>
      <c r="E824">
        <f>_xlfn.RANK.EQ(Table16[[#This Row],[VOR]],Table16[VOR])</f>
        <v>822</v>
      </c>
      <c r="F824" cm="1">
        <f t="array" ref="F824">_xlfn.IFS(C824 = "C",INDEX('C'!$A$2:$L$254,MATCH($A824,'C'!$A$2:$A$254,0),10),C824 = "LW",INDEX(LW!$A$2:$K$180,MATCH($A824,LW!$A$2:$A$180,0),10),C824 = "RW",INDEX('RW'!$A$2:$L$164,MATCH($A824,'RW'!$A$2:$A$164,0),10), C824 = "D",INDEX(D!$A$2:$L$268,MATCH($A824,D!$A$2:$A$268,0),10),C824="G",INDEX(G!$A$2:$Q$78,MATCH($A824,G!$A$2:$A$78,0),16),C824="F",INDEX(F!$A$2:$K$494,MATCH($A824,F!$A$2:$A$494,0),10))</f>
        <v>244</v>
      </c>
      <c r="G824" t="str">
        <f>_xlfn.CONCAT(C824,Table16[[#This Row],[Pos Rank2]])</f>
        <v>C244</v>
      </c>
      <c r="H824" s="10">
        <f>MAX(_xlfn.IFNA(INDEX(Proj[],MATCH(Table16[[#This Row],[Player]],Proj[Player],0),29),-5000), _xlfn.IFNA(INDEX(Goalie[],MATCH(Table16[[#This Row],[Player]],Goalie[player],0),19),-5000))</f>
        <v>-806.90181270835967</v>
      </c>
      <c r="I824" t="str">
        <f>IF(_xlfn.IFNA(INDEX(Proj[],MATCH(Table16[[#This Row],[Player]],Proj[Player],0),31),INDEX(Goalie[],MATCH(Table16[[#This Row],[Player]],Goalie[player],0),20)) = 0, "",_xlfn.IFNA(INDEX(Proj[],MATCH(Table16[[#This Row],[Player]],Proj[Player],0),31),INDEX(Goalie[],MATCH(Table16[[#This Row],[Player]],Goalie[player],0),20)))</f>
        <v/>
      </c>
    </row>
    <row r="825" spans="1:9" x14ac:dyDescent="0.25">
      <c r="A825" t="s">
        <v>828</v>
      </c>
      <c r="B825" s="2" t="s">
        <v>103</v>
      </c>
      <c r="C825" t="str">
        <f t="shared" si="12"/>
        <v>RW</v>
      </c>
      <c r="D825" s="10">
        <f>MAX(_xlfn.IFNA(INDEX(Proj[],MATCH(Table16[[#This Row],[Player]],Proj[Player],0),27),-5000), _xlfn.IFNA(INDEX(Goalie[],MATCH(Table16[[#This Row],[Player]],Goalie[player],0),17),-5000))</f>
        <v>-1388.2706367749045</v>
      </c>
      <c r="E825">
        <f>_xlfn.RANK.EQ(Table16[[#This Row],[VOR]],Table16[VOR])</f>
        <v>804</v>
      </c>
      <c r="F825" cm="1">
        <f t="array" ref="F825">_xlfn.IFS(C825 = "C",INDEX('C'!$A$2:$L$254,MATCH($A825,'C'!$A$2:$A$254,0),10),C825 = "LW",INDEX(LW!$A$2:$K$180,MATCH($A825,LW!$A$2:$A$180,0),10),C825 = "RW",INDEX('RW'!$A$2:$L$164,MATCH($A825,'RW'!$A$2:$A$164,0),10), C825 = "D",INDEX(D!$A$2:$L$268,MATCH($A825,D!$A$2:$A$268,0),10),C825="G",INDEX(G!$A$2:$Q$78,MATCH($A825,G!$A$2:$A$78,0),16),C825="F",INDEX(F!$A$2:$K$494,MATCH($A825,F!$A$2:$A$494,0),10))</f>
        <v>163</v>
      </c>
      <c r="G825" t="str">
        <f>_xlfn.CONCAT(C825,Table16[[#This Row],[Pos Rank2]])</f>
        <v>RW163</v>
      </c>
      <c r="H825" s="10">
        <f>MAX(_xlfn.IFNA(INDEX(Proj[],MATCH(Table16[[#This Row],[Player]],Proj[Player],0),29),-5000), _xlfn.IFNA(INDEX(Goalie[],MATCH(Table16[[#This Row],[Player]],Goalie[player],0),19),-5000))</f>
        <v>-941.72591238465554</v>
      </c>
      <c r="I825" t="str">
        <f>IF(_xlfn.IFNA(INDEX(Proj[],MATCH(Table16[[#This Row],[Player]],Proj[Player],0),31),INDEX(Goalie[],MATCH(Table16[[#This Row],[Player]],Goalie[player],0),20)) = 0, "",_xlfn.IFNA(INDEX(Proj[],MATCH(Table16[[#This Row],[Player]],Proj[Player],0),31),INDEX(Goalie[],MATCH(Table16[[#This Row],[Player]],Goalie[player],0),20)))</f>
        <v/>
      </c>
    </row>
    <row r="826" spans="1:9" x14ac:dyDescent="0.25">
      <c r="A826" s="72" t="s">
        <v>1033</v>
      </c>
      <c r="B826" s="2" t="s">
        <v>102</v>
      </c>
      <c r="C826" t="str">
        <f t="shared" si="12"/>
        <v>LW</v>
      </c>
      <c r="D826" s="10">
        <f>MAX(_xlfn.IFNA(INDEX(Proj[],MATCH(Table16[[#This Row],[Player]],Proj[Player],0),27),-5000), _xlfn.IFNA(INDEX(Goalie[],MATCH(Table16[[#This Row],[Player]],Goalie[player],0),17),-5000))</f>
        <v>-1386.2028464883508</v>
      </c>
      <c r="E826">
        <f>_xlfn.RANK.EQ(Table16[[#This Row],[VOR]],Table16[VOR])</f>
        <v>803</v>
      </c>
      <c r="F826" cm="1">
        <f t="array" ref="F826">_xlfn.IFS(C826 = "C",INDEX('C'!$A$2:$L$254,MATCH($A826,'C'!$A$2:$A$254,0),10),C826 = "LW",INDEX(LW!$A$2:$K$180,MATCH($A826,LW!$A$2:$A$180,0),10),C826 = "RW",INDEX('RW'!$A$2:$L$164,MATCH($A826,'RW'!$A$2:$A$164,0),10), C826 = "D",INDEX(D!$A$2:$L$268,MATCH($A826,D!$A$2:$A$268,0),10),C826="G",INDEX(G!$A$2:$Q$78,MATCH($A826,G!$A$2:$A$78,0),16),C826="F",INDEX(F!$A$2:$K$494,MATCH($A826,F!$A$2:$A$494,0),10))</f>
        <v>176</v>
      </c>
      <c r="G826" t="str">
        <f>_xlfn.CONCAT(C826,Table16[[#This Row],[Pos Rank2]])</f>
        <v>LW176</v>
      </c>
      <c r="H826" s="10">
        <f>MAX(_xlfn.IFNA(INDEX(Proj[],MATCH(Table16[[#This Row],[Player]],Proj[Player],0),29),-5000), _xlfn.IFNA(INDEX(Goalie[],MATCH(Table16[[#This Row],[Player]],Goalie[player],0),19),-5000))</f>
        <v>-914.65812209810201</v>
      </c>
      <c r="I826" t="str">
        <f>IF(_xlfn.IFNA(INDEX(Proj[],MATCH(Table16[[#This Row],[Player]],Proj[Player],0),31),INDEX(Goalie[],MATCH(Table16[[#This Row],[Player]],Goalie[player],0),20)) = 0, "",_xlfn.IFNA(INDEX(Proj[],MATCH(Table16[[#This Row],[Player]],Proj[Player],0),31),INDEX(Goalie[],MATCH(Table16[[#This Row],[Player]],Goalie[player],0),20)))</f>
        <v/>
      </c>
    </row>
    <row r="827" spans="1:9" x14ac:dyDescent="0.25">
      <c r="A827" s="72" t="s">
        <v>1153</v>
      </c>
      <c r="B827" s="2" t="s">
        <v>74</v>
      </c>
      <c r="C827" t="str">
        <f t="shared" si="12"/>
        <v>C</v>
      </c>
      <c r="D827" s="10">
        <f>MAX(_xlfn.IFNA(INDEX(Proj[],MATCH(Table16[[#This Row],[Player]],Proj[Player],0),27),-5000), _xlfn.IFNA(INDEX(Goalie[],MATCH(Table16[[#This Row],[Player]],Goalie[player],0),17),-5000))</f>
        <v>-1562.2403227124203</v>
      </c>
      <c r="E827">
        <f>_xlfn.RANK.EQ(Table16[[#This Row],[VOR]],Table16[VOR])</f>
        <v>823</v>
      </c>
      <c r="F827" cm="1">
        <f t="array" ref="F827">_xlfn.IFS(C827 = "C",INDEX('C'!$A$2:$L$254,MATCH($A827,'C'!$A$2:$A$254,0),10),C827 = "LW",INDEX(LW!$A$2:$K$180,MATCH($A827,LW!$A$2:$A$180,0),10),C827 = "RW",INDEX('RW'!$A$2:$L$164,MATCH($A827,'RW'!$A$2:$A$164,0),10), C827 = "D",INDEX(D!$A$2:$L$268,MATCH($A827,D!$A$2:$A$268,0),10),C827="G",INDEX(G!$A$2:$Q$78,MATCH($A827,G!$A$2:$A$78,0),16),C827="F",INDEX(F!$A$2:$K$494,MATCH($A827,F!$A$2:$A$494,0),10))</f>
        <v>245</v>
      </c>
      <c r="G827" t="str">
        <f>_xlfn.CONCAT(C827,Table16[[#This Row],[Pos Rank2]])</f>
        <v>C245</v>
      </c>
      <c r="H827" s="10">
        <f>MAX(_xlfn.IFNA(INDEX(Proj[],MATCH(Table16[[#This Row],[Player]],Proj[Player],0),29),-5000), _xlfn.IFNA(INDEX(Goalie[],MATCH(Table16[[#This Row],[Player]],Goalie[player],0),19),-5000))</f>
        <v>-827.60646840212166</v>
      </c>
      <c r="I827" t="str">
        <f>IF(_xlfn.IFNA(INDEX(Proj[],MATCH(Table16[[#This Row],[Player]],Proj[Player],0),31),INDEX(Goalie[],MATCH(Table16[[#This Row],[Player]],Goalie[player],0),20)) = 0, "",_xlfn.IFNA(INDEX(Proj[],MATCH(Table16[[#This Row],[Player]],Proj[Player],0),31),INDEX(Goalie[],MATCH(Table16[[#This Row],[Player]],Goalie[player],0),20)))</f>
        <v/>
      </c>
    </row>
    <row r="828" spans="1:9" x14ac:dyDescent="0.25">
      <c r="A828" s="72" t="s">
        <v>781</v>
      </c>
      <c r="B828" s="2" t="s">
        <v>74</v>
      </c>
      <c r="C828" t="str">
        <f t="shared" si="12"/>
        <v>C</v>
      </c>
      <c r="D828" s="10">
        <f>MAX(_xlfn.IFNA(INDEX(Proj[],MATCH(Table16[[#This Row],[Player]],Proj[Player],0),27),-5000), _xlfn.IFNA(INDEX(Goalie[],MATCH(Table16[[#This Row],[Player]],Goalie[player],0),17),-5000))</f>
        <v>-1538.7913423675625</v>
      </c>
      <c r="E828">
        <f>_xlfn.RANK.EQ(Table16[[#This Row],[VOR]],Table16[VOR])</f>
        <v>821</v>
      </c>
      <c r="F828" cm="1">
        <f t="array" ref="F828">_xlfn.IFS(C828 = "C",INDEX('C'!$A$2:$L$254,MATCH($A828,'C'!$A$2:$A$254,0),10),C828 = "LW",INDEX(LW!$A$2:$K$180,MATCH($A828,LW!$A$2:$A$180,0),10),C828 = "RW",INDEX('RW'!$A$2:$L$164,MATCH($A828,'RW'!$A$2:$A$164,0),10), C828 = "D",INDEX(D!$A$2:$L$268,MATCH($A828,D!$A$2:$A$268,0),10),C828="G",INDEX(G!$A$2:$Q$78,MATCH($A828,G!$A$2:$A$78,0),16),C828="F",INDEX(F!$A$2:$K$494,MATCH($A828,F!$A$2:$A$494,0),10))</f>
        <v>243</v>
      </c>
      <c r="G828" t="str">
        <f>_xlfn.CONCAT(C828,Table16[[#This Row],[Pos Rank2]])</f>
        <v>C243</v>
      </c>
      <c r="H828" s="10">
        <f>MAX(_xlfn.IFNA(INDEX(Proj[],MATCH(Table16[[#This Row],[Player]],Proj[Player],0),29),-5000), _xlfn.IFNA(INDEX(Goalie[],MATCH(Table16[[#This Row],[Player]],Goalie[player],0),19),-5000))</f>
        <v>-804.15748805726389</v>
      </c>
      <c r="I828" t="str">
        <f>IF(_xlfn.IFNA(INDEX(Proj[],MATCH(Table16[[#This Row],[Player]],Proj[Player],0),31),INDEX(Goalie[],MATCH(Table16[[#This Row],[Player]],Goalie[player],0),20)) = 0, "",_xlfn.IFNA(INDEX(Proj[],MATCH(Table16[[#This Row],[Player]],Proj[Player],0),31),INDEX(Goalie[],MATCH(Table16[[#This Row],[Player]],Goalie[player],0),20)))</f>
        <v/>
      </c>
    </row>
    <row r="829" spans="1:9" x14ac:dyDescent="0.25">
      <c r="A829" s="72" t="s">
        <v>990</v>
      </c>
      <c r="B829" s="2" t="s">
        <v>74</v>
      </c>
      <c r="C829" t="str">
        <f t="shared" si="12"/>
        <v>C</v>
      </c>
      <c r="D829" s="10">
        <f>MAX(_xlfn.IFNA(INDEX(Proj[],MATCH(Table16[[#This Row],[Player]],Proj[Player],0),27),-5000), _xlfn.IFNA(INDEX(Goalie[],MATCH(Table16[[#This Row],[Player]],Goalie[player],0),17),-5000))</f>
        <v>-1577.8791563288523</v>
      </c>
      <c r="E829">
        <f>_xlfn.RANK.EQ(Table16[[#This Row],[VOR]],Table16[VOR])</f>
        <v>825</v>
      </c>
      <c r="F829" cm="1">
        <f t="array" ref="F829">_xlfn.IFS(C829 = "C",INDEX('C'!$A$2:$L$254,MATCH($A829,'C'!$A$2:$A$254,0),10),C829 = "LW",INDEX(LW!$A$2:$K$180,MATCH($A829,LW!$A$2:$A$180,0),10),C829 = "RW",INDEX('RW'!$A$2:$L$164,MATCH($A829,'RW'!$A$2:$A$164,0),10), C829 = "D",INDEX(D!$A$2:$L$268,MATCH($A829,D!$A$2:$A$268,0),10),C829="G",INDEX(G!$A$2:$Q$78,MATCH($A829,G!$A$2:$A$78,0),16),C829="F",INDEX(F!$A$2:$K$494,MATCH($A829,F!$A$2:$A$494,0),10))</f>
        <v>247</v>
      </c>
      <c r="G829" t="str">
        <f>_xlfn.CONCAT(C829,Table16[[#This Row],[Pos Rank2]])</f>
        <v>C247</v>
      </c>
      <c r="H829" s="10">
        <f>MAX(_xlfn.IFNA(INDEX(Proj[],MATCH(Table16[[#This Row],[Player]],Proj[Player],0),29),-5000), _xlfn.IFNA(INDEX(Goalie[],MATCH(Table16[[#This Row],[Player]],Goalie[player],0),19),-5000))</f>
        <v>-843.24530201855373</v>
      </c>
      <c r="I829" t="str">
        <f>IF(_xlfn.IFNA(INDEX(Proj[],MATCH(Table16[[#This Row],[Player]],Proj[Player],0),31),INDEX(Goalie[],MATCH(Table16[[#This Row],[Player]],Goalie[player],0),20)) = 0, "",_xlfn.IFNA(INDEX(Proj[],MATCH(Table16[[#This Row],[Player]],Proj[Player],0),31),INDEX(Goalie[],MATCH(Table16[[#This Row],[Player]],Goalie[player],0),20)))</f>
        <v/>
      </c>
    </row>
    <row r="830" spans="1:9" x14ac:dyDescent="0.25">
      <c r="A830" s="72" t="s">
        <v>974</v>
      </c>
      <c r="B830" s="2" t="s">
        <v>74</v>
      </c>
      <c r="C830" t="str">
        <f t="shared" si="12"/>
        <v>C</v>
      </c>
      <c r="D830" s="10">
        <f>MAX(_xlfn.IFNA(INDEX(Proj[],MATCH(Table16[[#This Row],[Player]],Proj[Player],0),27),-5000), _xlfn.IFNA(INDEX(Goalie[],MATCH(Table16[[#This Row],[Player]],Goalie[player],0),17),-5000))</f>
        <v>-1640.7189330756778</v>
      </c>
      <c r="E830">
        <f>_xlfn.RANK.EQ(Table16[[#This Row],[VOR]],Table16[VOR])</f>
        <v>829</v>
      </c>
      <c r="F830" cm="1">
        <f t="array" ref="F830">_xlfn.IFS(C830 = "C",INDEX('C'!$A$2:$L$254,MATCH($A830,'C'!$A$2:$A$254,0),10),C830 = "LW",INDEX(LW!$A$2:$K$180,MATCH($A830,LW!$A$2:$A$180,0),10),C830 = "RW",INDEX('RW'!$A$2:$L$164,MATCH($A830,'RW'!$A$2:$A$164,0),10), C830 = "D",INDEX(D!$A$2:$L$268,MATCH($A830,D!$A$2:$A$268,0),10),C830="G",INDEX(G!$A$2:$Q$78,MATCH($A830,G!$A$2:$A$78,0),16),C830="F",INDEX(F!$A$2:$K$494,MATCH($A830,F!$A$2:$A$494,0),10))</f>
        <v>251</v>
      </c>
      <c r="G830" t="str">
        <f>_xlfn.CONCAT(C830,Table16[[#This Row],[Pos Rank2]])</f>
        <v>C251</v>
      </c>
      <c r="H830" s="10">
        <f>MAX(_xlfn.IFNA(INDEX(Proj[],MATCH(Table16[[#This Row],[Player]],Proj[Player],0),29),-5000), _xlfn.IFNA(INDEX(Goalie[],MATCH(Table16[[#This Row],[Player]],Goalie[player],0),19),-5000))</f>
        <v>-906.08507876537919</v>
      </c>
      <c r="I830" t="str">
        <f>IF(_xlfn.IFNA(INDEX(Proj[],MATCH(Table16[[#This Row],[Player]],Proj[Player],0),31),INDEX(Goalie[],MATCH(Table16[[#This Row],[Player]],Goalie[player],0),20)) = 0, "",_xlfn.IFNA(INDEX(Proj[],MATCH(Table16[[#This Row],[Player]],Proj[Player],0),31),INDEX(Goalie[],MATCH(Table16[[#This Row],[Player]],Goalie[player],0),20)))</f>
        <v/>
      </c>
    </row>
    <row r="831" spans="1:9" x14ac:dyDescent="0.25">
      <c r="A831" s="72" t="s">
        <v>755</v>
      </c>
      <c r="B831" s="2" t="s">
        <v>102</v>
      </c>
      <c r="C831" t="str">
        <f t="shared" si="12"/>
        <v>LW</v>
      </c>
      <c r="D831" s="10">
        <f>MAX(_xlfn.IFNA(INDEX(Proj[],MATCH(Table16[[#This Row],[Player]],Proj[Player],0),27),-5000), _xlfn.IFNA(INDEX(Goalie[],MATCH(Table16[[#This Row],[Player]],Goalie[player],0),17),-5000))</f>
        <v>-1447.7783484901136</v>
      </c>
      <c r="E831">
        <f>_xlfn.RANK.EQ(Table16[[#This Row],[VOR]],Table16[VOR])</f>
        <v>811</v>
      </c>
      <c r="F831" cm="1">
        <f t="array" ref="F831">_xlfn.IFS(C831 = "C",INDEX('C'!$A$2:$L$254,MATCH($A831,'C'!$A$2:$A$254,0),10),C831 = "LW",INDEX(LW!$A$2:$K$180,MATCH($A831,LW!$A$2:$A$180,0),10),C831 = "RW",INDEX('RW'!$A$2:$L$164,MATCH($A831,'RW'!$A$2:$A$164,0),10), C831 = "D",INDEX(D!$A$2:$L$268,MATCH($A831,D!$A$2:$A$268,0),10),C831="G",INDEX(G!$A$2:$Q$78,MATCH($A831,G!$A$2:$A$78,0),16),C831="F",INDEX(F!$A$2:$K$494,MATCH($A831,F!$A$2:$A$494,0),10))</f>
        <v>178</v>
      </c>
      <c r="G831" t="str">
        <f>_xlfn.CONCAT(C831,Table16[[#This Row],[Pos Rank2]])</f>
        <v>LW178</v>
      </c>
      <c r="H831" s="10">
        <f>MAX(_xlfn.IFNA(INDEX(Proj[],MATCH(Table16[[#This Row],[Player]],Proj[Player],0),29),-5000), _xlfn.IFNA(INDEX(Goalie[],MATCH(Table16[[#This Row],[Player]],Goalie[player],0),19),-5000))</f>
        <v>-976.23362409986464</v>
      </c>
      <c r="I831" t="str">
        <f>IF(_xlfn.IFNA(INDEX(Proj[],MATCH(Table16[[#This Row],[Player]],Proj[Player],0),31),INDEX(Goalie[],MATCH(Table16[[#This Row],[Player]],Goalie[player],0),20)) = 0, "",_xlfn.IFNA(INDEX(Proj[],MATCH(Table16[[#This Row],[Player]],Proj[Player],0),31),INDEX(Goalie[],MATCH(Table16[[#This Row],[Player]],Goalie[player],0),20)))</f>
        <v/>
      </c>
    </row>
    <row r="832" spans="1:9" x14ac:dyDescent="0.25">
      <c r="A832" s="72" t="s">
        <v>1040</v>
      </c>
      <c r="B832" s="2" t="s">
        <v>74</v>
      </c>
      <c r="C832" t="str">
        <f t="shared" si="12"/>
        <v>C</v>
      </c>
      <c r="D832" s="10">
        <f>MAX(_xlfn.IFNA(INDEX(Proj[],MATCH(Table16[[#This Row],[Player]],Proj[Player],0),27),-5000), _xlfn.IFNA(INDEX(Goalie[],MATCH(Table16[[#This Row],[Player]],Goalie[player],0),17),-5000))</f>
        <v>-1619.3113375035214</v>
      </c>
      <c r="E832">
        <f>_xlfn.RANK.EQ(Table16[[#This Row],[VOR]],Table16[VOR])</f>
        <v>827</v>
      </c>
      <c r="F832" cm="1">
        <f t="array" ref="F832">_xlfn.IFS(C832 = "C",INDEX('C'!$A$2:$L$254,MATCH($A832,'C'!$A$2:$A$254,0),10),C832 = "LW",INDEX(LW!$A$2:$K$180,MATCH($A832,LW!$A$2:$A$180,0),10),C832 = "RW",INDEX('RW'!$A$2:$L$164,MATCH($A832,'RW'!$A$2:$A$164,0),10), C832 = "D",INDEX(D!$A$2:$L$268,MATCH($A832,D!$A$2:$A$268,0),10),C832="G",INDEX(G!$A$2:$Q$78,MATCH($A832,G!$A$2:$A$78,0),16),C832="F",INDEX(F!$A$2:$K$494,MATCH($A832,F!$A$2:$A$494,0),10))</f>
        <v>249</v>
      </c>
      <c r="G832" t="str">
        <f>_xlfn.CONCAT(C832,Table16[[#This Row],[Pos Rank2]])</f>
        <v>C249</v>
      </c>
      <c r="H832" s="10">
        <f>MAX(_xlfn.IFNA(INDEX(Proj[],MATCH(Table16[[#This Row],[Player]],Proj[Player],0),29),-5000), _xlfn.IFNA(INDEX(Goalie[],MATCH(Table16[[#This Row],[Player]],Goalie[player],0),19),-5000))</f>
        <v>-884.67748319322266</v>
      </c>
      <c r="I832" t="str">
        <f>IF(_xlfn.IFNA(INDEX(Proj[],MATCH(Table16[[#This Row],[Player]],Proj[Player],0),31),INDEX(Goalie[],MATCH(Table16[[#This Row],[Player]],Goalie[player],0),20)) = 0, "",_xlfn.IFNA(INDEX(Proj[],MATCH(Table16[[#This Row],[Player]],Proj[Player],0),31),INDEX(Goalie[],MATCH(Table16[[#This Row],[Player]],Goalie[player],0),20)))</f>
        <v/>
      </c>
    </row>
    <row r="833" spans="1:9" x14ac:dyDescent="0.25">
      <c r="A833" s="72" t="s">
        <v>1148</v>
      </c>
      <c r="B833" s="2" t="s">
        <v>102</v>
      </c>
      <c r="C833" t="str">
        <f t="shared" si="12"/>
        <v>LW</v>
      </c>
      <c r="D833" s="10">
        <f>MAX(_xlfn.IFNA(INDEX(Proj[],MATCH(Table16[[#This Row],[Player]],Proj[Player],0),27),-5000), _xlfn.IFNA(INDEX(Goalie[],MATCH(Table16[[#This Row],[Player]],Goalie[player],0),17),-5000))</f>
        <v>-1440.0551270632402</v>
      </c>
      <c r="E833">
        <f>_xlfn.RANK.EQ(Table16[[#This Row],[VOR]],Table16[VOR])</f>
        <v>809</v>
      </c>
      <c r="F833" cm="1">
        <f t="array" ref="F833">_xlfn.IFS(C833 = "C",INDEX('C'!$A$2:$L$254,MATCH($A833,'C'!$A$2:$A$254,0),10),C833 = "LW",INDEX(LW!$A$2:$K$180,MATCH($A833,LW!$A$2:$A$180,0),10),C833 = "RW",INDEX('RW'!$A$2:$L$164,MATCH($A833,'RW'!$A$2:$A$164,0),10), C833 = "D",INDEX(D!$A$2:$L$268,MATCH($A833,D!$A$2:$A$268,0),10),C833="G",INDEX(G!$A$2:$Q$78,MATCH($A833,G!$A$2:$A$78,0),16),C833="F",INDEX(F!$A$2:$K$494,MATCH($A833,F!$A$2:$A$494,0),10))</f>
        <v>177</v>
      </c>
      <c r="G833" t="str">
        <f>_xlfn.CONCAT(C833,Table16[[#This Row],[Pos Rank2]])</f>
        <v>LW177</v>
      </c>
      <c r="H833" s="10">
        <f>MAX(_xlfn.IFNA(INDEX(Proj[],MATCH(Table16[[#This Row],[Player]],Proj[Player],0),29),-5000), _xlfn.IFNA(INDEX(Goalie[],MATCH(Table16[[#This Row],[Player]],Goalie[player],0),19),-5000))</f>
        <v>-968.51040267299129</v>
      </c>
      <c r="I833" t="str">
        <f>IF(_xlfn.IFNA(INDEX(Proj[],MATCH(Table16[[#This Row],[Player]],Proj[Player],0),31),INDEX(Goalie[],MATCH(Table16[[#This Row],[Player]],Goalie[player],0),20)) = 0, "",_xlfn.IFNA(INDEX(Proj[],MATCH(Table16[[#This Row],[Player]],Proj[Player],0),31),INDEX(Goalie[],MATCH(Table16[[#This Row],[Player]],Goalie[player],0),20)))</f>
        <v/>
      </c>
    </row>
    <row r="834" spans="1:9" x14ac:dyDescent="0.25">
      <c r="A834" s="72" t="s">
        <v>858</v>
      </c>
      <c r="B834" s="2" t="s">
        <v>74</v>
      </c>
      <c r="C834" t="str">
        <f t="shared" ref="C834:C838" si="13">SUBSTITUTE(SUBSTITUTE(B834,"C,",""),"LW,","")</f>
        <v>C</v>
      </c>
      <c r="D834" s="10">
        <f>MAX(_xlfn.IFNA(INDEX(Proj[],MATCH(Table16[[#This Row],[Player]],Proj[Player],0),27),-5000), _xlfn.IFNA(INDEX(Goalie[],MATCH(Table16[[#This Row],[Player]],Goalie[player],0),17),-5000))</f>
        <v>-1618.1248118299441</v>
      </c>
      <c r="E834">
        <f>_xlfn.RANK.EQ(Table16[[#This Row],[VOR]],Table16[VOR])</f>
        <v>826</v>
      </c>
      <c r="F834" cm="1">
        <f t="array" ref="F834">_xlfn.IFS(C834 = "C",INDEX('C'!$A$2:$L$254,MATCH($A834,'C'!$A$2:$A$254,0),10),C834 = "LW",INDEX(LW!$A$2:$K$180,MATCH($A834,LW!$A$2:$A$180,0),10),C834 = "RW",INDEX('RW'!$A$2:$L$164,MATCH($A834,'RW'!$A$2:$A$164,0),10), C834 = "D",INDEX(D!$A$2:$L$268,MATCH($A834,D!$A$2:$A$268,0),10),C834="G",INDEX(G!$A$2:$Q$78,MATCH($A834,G!$A$2:$A$78,0),16),C834="F",INDEX(F!$A$2:$K$494,MATCH($A834,F!$A$2:$A$494,0),10))</f>
        <v>248</v>
      </c>
      <c r="G834" t="str">
        <f>_xlfn.CONCAT(C834,Table16[[#This Row],[Pos Rank2]])</f>
        <v>C248</v>
      </c>
      <c r="H834" s="10">
        <f>MAX(_xlfn.IFNA(INDEX(Proj[],MATCH(Table16[[#This Row],[Player]],Proj[Player],0),29),-5000), _xlfn.IFNA(INDEX(Goalie[],MATCH(Table16[[#This Row],[Player]],Goalie[player],0),19),-5000))</f>
        <v>-883.49095751964558</v>
      </c>
      <c r="I834" t="str">
        <f>IF(_xlfn.IFNA(INDEX(Proj[],MATCH(Table16[[#This Row],[Player]],Proj[Player],0),31),INDEX(Goalie[],MATCH(Table16[[#This Row],[Player]],Goalie[player],0),20)) = 0, "",_xlfn.IFNA(INDEX(Proj[],MATCH(Table16[[#This Row],[Player]],Proj[Player],0),31),INDEX(Goalie[],MATCH(Table16[[#This Row],[Player]],Goalie[player],0),20)))</f>
        <v/>
      </c>
    </row>
    <row r="835" spans="1:9" x14ac:dyDescent="0.25">
      <c r="A835" s="72" t="s">
        <v>743</v>
      </c>
      <c r="B835" s="2" t="s">
        <v>74</v>
      </c>
      <c r="C835" t="str">
        <f t="shared" si="13"/>
        <v>C</v>
      </c>
      <c r="D835" s="10">
        <f>MAX(_xlfn.IFNA(INDEX(Proj[],MATCH(Table16[[#This Row],[Player]],Proj[Player],0),27),-5000), _xlfn.IFNA(INDEX(Goalie[],MATCH(Table16[[#This Row],[Player]],Goalie[player],0),17),-5000))</f>
        <v>-1676.6197423441627</v>
      </c>
      <c r="E835">
        <f>_xlfn.RANK.EQ(Table16[[#This Row],[VOR]],Table16[VOR])</f>
        <v>831</v>
      </c>
      <c r="F835" cm="1">
        <f t="array" ref="F835">_xlfn.IFS(C835 = "C",INDEX('C'!$A$2:$L$254,MATCH($A835,'C'!$A$2:$A$254,0),10),C835 = "LW",INDEX(LW!$A$2:$K$180,MATCH($A835,LW!$A$2:$A$180,0),10),C835 = "RW",INDEX('RW'!$A$2:$L$164,MATCH($A835,'RW'!$A$2:$A$164,0),10), C835 = "D",INDEX(D!$A$2:$L$268,MATCH($A835,D!$A$2:$A$268,0),10),C835="G",INDEX(G!$A$2:$Q$78,MATCH($A835,G!$A$2:$A$78,0),16),C835="F",INDEX(F!$A$2:$K$494,MATCH($A835,F!$A$2:$A$494,0),10))</f>
        <v>253</v>
      </c>
      <c r="G835" t="str">
        <f>_xlfn.CONCAT(C835,Table16[[#This Row],[Pos Rank2]])</f>
        <v>C253</v>
      </c>
      <c r="H835" s="10">
        <f>MAX(_xlfn.IFNA(INDEX(Proj[],MATCH(Table16[[#This Row],[Player]],Proj[Player],0),29),-5000), _xlfn.IFNA(INDEX(Goalie[],MATCH(Table16[[#This Row],[Player]],Goalie[player],0),19),-5000))</f>
        <v>-941.98588803386406</v>
      </c>
      <c r="I835" t="str">
        <f>IF(_xlfn.IFNA(INDEX(Proj[],MATCH(Table16[[#This Row],[Player]],Proj[Player],0),31),INDEX(Goalie[],MATCH(Table16[[#This Row],[Player]],Goalie[player],0),20)) = 0, "",_xlfn.IFNA(INDEX(Proj[],MATCH(Table16[[#This Row],[Player]],Proj[Player],0),31),INDEX(Goalie[],MATCH(Table16[[#This Row],[Player]],Goalie[player],0),20)))</f>
        <v/>
      </c>
    </row>
    <row r="836" spans="1:9" x14ac:dyDescent="0.25">
      <c r="A836" s="72" t="s">
        <v>818</v>
      </c>
      <c r="B836" s="2" t="s">
        <v>74</v>
      </c>
      <c r="C836" t="str">
        <f t="shared" si="13"/>
        <v>C</v>
      </c>
      <c r="D836" s="10">
        <f>MAX(_xlfn.IFNA(INDEX(Proj[],MATCH(Table16[[#This Row],[Player]],Proj[Player],0),27),-5000), _xlfn.IFNA(INDEX(Goalie[],MATCH(Table16[[#This Row],[Player]],Goalie[player],0),17),-5000))</f>
        <v>-1665.2753008460593</v>
      </c>
      <c r="E836">
        <f>_xlfn.RANK.EQ(Table16[[#This Row],[VOR]],Table16[VOR])</f>
        <v>830</v>
      </c>
      <c r="F836" cm="1">
        <f t="array" ref="F836">_xlfn.IFS(C836 = "C",INDEX('C'!$A$2:$L$254,MATCH($A836,'C'!$A$2:$A$254,0),10),C836 = "LW",INDEX(LW!$A$2:$K$180,MATCH($A836,LW!$A$2:$A$180,0),10),C836 = "RW",INDEX('RW'!$A$2:$L$164,MATCH($A836,'RW'!$A$2:$A$164,0),10), C836 = "D",INDEX(D!$A$2:$L$268,MATCH($A836,D!$A$2:$A$268,0),10),C836="G",INDEX(G!$A$2:$Q$78,MATCH($A836,G!$A$2:$A$78,0),16),C836="F",INDEX(F!$A$2:$K$494,MATCH($A836,F!$A$2:$A$494,0),10))</f>
        <v>252</v>
      </c>
      <c r="G836" t="str">
        <f>_xlfn.CONCAT(C836,Table16[[#This Row],[Pos Rank2]])</f>
        <v>C252</v>
      </c>
      <c r="H836" s="10">
        <f>MAX(_xlfn.IFNA(INDEX(Proj[],MATCH(Table16[[#This Row],[Player]],Proj[Player],0),29),-5000), _xlfn.IFNA(INDEX(Goalie[],MATCH(Table16[[#This Row],[Player]],Goalie[player],0),19),-5000))</f>
        <v>-930.64144653576068</v>
      </c>
      <c r="I836" t="str">
        <f>IF(_xlfn.IFNA(INDEX(Proj[],MATCH(Table16[[#This Row],[Player]],Proj[Player],0),31),INDEX(Goalie[],MATCH(Table16[[#This Row],[Player]],Goalie[player],0),20)) = 0, "",_xlfn.IFNA(INDEX(Proj[],MATCH(Table16[[#This Row],[Player]],Proj[Player],0),31),INDEX(Goalie[],MATCH(Table16[[#This Row],[Player]],Goalie[player],0),20)))</f>
        <v/>
      </c>
    </row>
    <row r="837" spans="1:9" x14ac:dyDescent="0.25">
      <c r="A837" s="72" t="s">
        <v>810</v>
      </c>
      <c r="B837" s="2" t="s">
        <v>74</v>
      </c>
      <c r="C837" t="str">
        <f t="shared" si="13"/>
        <v>C</v>
      </c>
      <c r="D837" s="10">
        <f>MAX(_xlfn.IFNA(INDEX(Proj[],MATCH(Table16[[#This Row],[Player]],Proj[Player],0),27),-5000), _xlfn.IFNA(INDEX(Goalie[],MATCH(Table16[[#This Row],[Player]],Goalie[player],0),17),-5000))</f>
        <v>-1623.8056883643076</v>
      </c>
      <c r="E837">
        <f>_xlfn.RANK.EQ(Table16[[#This Row],[VOR]],Table16[VOR])</f>
        <v>828</v>
      </c>
      <c r="F837" cm="1">
        <f t="array" ref="F837">_xlfn.IFS(C837 = "C",INDEX('C'!$A$2:$L$254,MATCH($A837,'C'!$A$2:$A$254,0),10),C837 = "LW",INDEX(LW!$A$2:$K$180,MATCH($A837,LW!$A$2:$A$180,0),10),C837 = "RW",INDEX('RW'!$A$2:$L$164,MATCH($A837,'RW'!$A$2:$A$164,0),10), C837 = "D",INDEX(D!$A$2:$L$268,MATCH($A837,D!$A$2:$A$268,0),10),C837="G",INDEX(G!$A$2:$Q$78,MATCH($A837,G!$A$2:$A$78,0),16),C837="F",INDEX(F!$A$2:$K$494,MATCH($A837,F!$A$2:$A$494,0),10))</f>
        <v>250</v>
      </c>
      <c r="G837" t="str">
        <f>_xlfn.CONCAT(C837,Table16[[#This Row],[Pos Rank2]])</f>
        <v>C250</v>
      </c>
      <c r="H837" s="10">
        <f>MAX(_xlfn.IFNA(INDEX(Proj[],MATCH(Table16[[#This Row],[Player]],Proj[Player],0),29),-5000), _xlfn.IFNA(INDEX(Goalie[],MATCH(Table16[[#This Row],[Player]],Goalie[player],0),19),-5000))</f>
        <v>-889.17183405400897</v>
      </c>
      <c r="I837" t="str">
        <f>IF(_xlfn.IFNA(INDEX(Proj[],MATCH(Table16[[#This Row],[Player]],Proj[Player],0),31),INDEX(Goalie[],MATCH(Table16[[#This Row],[Player]],Goalie[player],0),20)) = 0, "",_xlfn.IFNA(INDEX(Proj[],MATCH(Table16[[#This Row],[Player]],Proj[Player],0),31),INDEX(Goalie[],MATCH(Table16[[#This Row],[Player]],Goalie[player],0),20)))</f>
        <v/>
      </c>
    </row>
    <row r="838" spans="1:9" x14ac:dyDescent="0.25">
      <c r="A838" s="72" t="s">
        <v>1135</v>
      </c>
      <c r="B838" s="2" t="s">
        <v>102</v>
      </c>
      <c r="C838" t="str">
        <f t="shared" si="13"/>
        <v>LW</v>
      </c>
      <c r="D838" s="10">
        <f>MAX(_xlfn.IFNA(INDEX(Proj[],MATCH(Table16[[#This Row],[Player]],Proj[Player],0),27),-5000), _xlfn.IFNA(INDEX(Goalie[],MATCH(Table16[[#This Row],[Player]],Goalie[player],0),17),-5000))</f>
        <v>-1492.8326592771391</v>
      </c>
      <c r="E838">
        <f>_xlfn.RANK.EQ(Table16[[#This Row],[VOR]],Table16[VOR])</f>
        <v>817</v>
      </c>
      <c r="F838" cm="1">
        <f t="array" ref="F838">_xlfn.IFS(C838 = "C",INDEX('C'!$A$2:$L$254,MATCH($A838,'C'!$A$2:$A$254,0),10),C838 = "LW",INDEX(LW!$A$2:$K$180,MATCH($A838,LW!$A$2:$A$180,0),10),C838 = "RW",INDEX('RW'!$A$2:$L$164,MATCH($A838,'RW'!$A$2:$A$164,0),10), C838 = "D",INDEX(D!$A$2:$L$268,MATCH($A838,D!$A$2:$A$268,0),10),C838="G",INDEX(G!$A$2:$Q$78,MATCH($A838,G!$A$2:$A$78,0),16),C838="F",INDEX(F!$A$2:$K$494,MATCH($A838,F!$A$2:$A$494,0),10))</f>
        <v>179</v>
      </c>
      <c r="G838" t="str">
        <f>_xlfn.CONCAT(C838,Table16[[#This Row],[Pos Rank2]])</f>
        <v>LW179</v>
      </c>
      <c r="H838" s="10">
        <f>MAX(_xlfn.IFNA(INDEX(Proj[],MATCH(Table16[[#This Row],[Player]],Proj[Player],0),29),-5000), _xlfn.IFNA(INDEX(Goalie[],MATCH(Table16[[#This Row],[Player]],Goalie[player],0),19),-5000))</f>
        <v>-1021.2879348868903</v>
      </c>
      <c r="I838" t="str">
        <f>IF(_xlfn.IFNA(INDEX(Proj[],MATCH(Table16[[#This Row],[Player]],Proj[Player],0),31),INDEX(Goalie[],MATCH(Table16[[#This Row],[Player]],Goalie[player],0),20)) = 0, "",_xlfn.IFNA(INDEX(Proj[],MATCH(Table16[[#This Row],[Player]],Proj[Player],0),31),INDEX(Goalie[],MATCH(Table16[[#This Row],[Player]],Goalie[player],0),20)))</f>
        <v/>
      </c>
    </row>
  </sheetData>
  <phoneticPr fontId="18" type="noConversion"/>
  <conditionalFormatting sqref="A775:A785">
    <cfRule type="duplicateValues" dxfId="1" priority="1"/>
  </conditionalFormatting>
  <conditionalFormatting sqref="A2:A838">
    <cfRule type="duplicateValues" dxfId="0" priority="302"/>
  </conditionalFormatting>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CD938-9977-464D-9D90-06983A17B2C4}">
  <sheetPr codeName="Sheet7"/>
  <dimension ref="A1:AF38"/>
  <sheetViews>
    <sheetView workbookViewId="0">
      <selection activeCell="X11" sqref="X11"/>
    </sheetView>
  </sheetViews>
  <sheetFormatPr defaultRowHeight="15" x14ac:dyDescent="0.25"/>
  <cols>
    <col min="3" max="3" width="17.85546875" customWidth="1"/>
    <col min="6" max="6" width="9.42578125" customWidth="1"/>
    <col min="20" max="20" width="5.85546875" customWidth="1"/>
    <col min="23" max="23" width="18" bestFit="1" customWidth="1"/>
    <col min="24" max="24" width="13.5703125" bestFit="1" customWidth="1"/>
    <col min="27" max="27" width="18" bestFit="1" customWidth="1"/>
    <col min="28" max="28" width="24.42578125" bestFit="1" customWidth="1"/>
    <col min="29" max="29" width="9.140625" style="18"/>
    <col min="31" max="31" width="24.42578125" bestFit="1" customWidth="1"/>
    <col min="32" max="32" width="9.140625" style="18"/>
  </cols>
  <sheetData>
    <row r="1" spans="1:32" ht="15.75" thickBot="1" x14ac:dyDescent="0.3">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row>
    <row r="2" spans="1:32" ht="15.75" customHeight="1" thickBot="1" x14ac:dyDescent="0.3">
      <c r="A2" s="20"/>
      <c r="B2" s="20"/>
      <c r="C2" s="187" t="s">
        <v>122</v>
      </c>
      <c r="D2" s="188"/>
      <c r="E2" s="188"/>
      <c r="F2" s="188"/>
      <c r="G2" s="188"/>
      <c r="H2" s="188"/>
      <c r="I2" s="188"/>
      <c r="J2" s="188"/>
      <c r="K2" s="188"/>
      <c r="L2" s="188"/>
      <c r="M2" s="188"/>
      <c r="N2" s="188"/>
      <c r="O2" s="188"/>
      <c r="P2" s="188"/>
      <c r="Q2" s="188"/>
      <c r="R2" s="189"/>
      <c r="S2" s="20"/>
      <c r="T2" s="178" t="s">
        <v>129</v>
      </c>
      <c r="U2" s="179"/>
      <c r="V2" s="179"/>
      <c r="W2" s="180"/>
      <c r="X2" s="20"/>
      <c r="Y2" s="20"/>
      <c r="Z2" s="20"/>
      <c r="AA2" s="31"/>
      <c r="AB2" s="20"/>
      <c r="AC2"/>
      <c r="AD2" s="18"/>
      <c r="AF2"/>
    </row>
    <row r="3" spans="1:32" ht="15.75" thickBot="1" x14ac:dyDescent="0.3">
      <c r="A3" s="20"/>
      <c r="B3" s="20"/>
      <c r="C3" s="32" t="s">
        <v>0</v>
      </c>
      <c r="D3" s="33" t="s">
        <v>55</v>
      </c>
      <c r="E3" s="33" t="s">
        <v>51</v>
      </c>
      <c r="F3" s="33" t="s">
        <v>45</v>
      </c>
      <c r="G3" s="33" t="s">
        <v>50</v>
      </c>
      <c r="H3" s="33" t="s">
        <v>844</v>
      </c>
      <c r="I3" s="33" t="s">
        <v>845</v>
      </c>
      <c r="J3" s="33" t="s">
        <v>64</v>
      </c>
      <c r="K3" s="33" t="s">
        <v>846</v>
      </c>
      <c r="L3" s="33" t="s">
        <v>69</v>
      </c>
      <c r="M3" s="33" t="s">
        <v>66</v>
      </c>
      <c r="N3" s="33" t="s">
        <v>44</v>
      </c>
      <c r="O3" s="33" t="s">
        <v>67</v>
      </c>
      <c r="P3" s="33" t="s">
        <v>56</v>
      </c>
      <c r="Q3" s="33" t="s">
        <v>149</v>
      </c>
      <c r="R3" s="34" t="s">
        <v>118</v>
      </c>
      <c r="S3" s="35"/>
      <c r="T3" s="181"/>
      <c r="U3" s="182"/>
      <c r="V3" s="182"/>
      <c r="W3" s="183"/>
      <c r="X3" s="36"/>
      <c r="Y3" s="20"/>
      <c r="Z3" s="20"/>
      <c r="AA3" s="20"/>
      <c r="AB3" s="20"/>
    </row>
    <row r="4" spans="1:32" x14ac:dyDescent="0.25">
      <c r="A4" s="20"/>
      <c r="B4" s="20"/>
      <c r="C4" s="37" t="s">
        <v>906</v>
      </c>
      <c r="D4" s="38" t="str">
        <f>INDEX(Proj[],MATCH(C4,Proj[Player],0),3)</f>
        <v>C</v>
      </c>
      <c r="E4" s="39">
        <f>IF('League Inputs'!$C$10 = "Yes", INDEX(Std[],MATCH(C4,Std[Player],0),7), 0)*100</f>
        <v>314.03340188980792</v>
      </c>
      <c r="F4" s="39">
        <f>IF('League Inputs'!$C$11 = "Yes", INDEX(Std[],MATCH(C4,Std[Player],0),8), 0)*100</f>
        <v>522.51432585733164</v>
      </c>
      <c r="G4" s="39">
        <f>IF('League Inputs'!$C$12 = "Yes", INDEX(Std[],MATCH(C4,Std[Player],0),9), 0)*100</f>
        <v>471.65594263396747</v>
      </c>
      <c r="H4" s="39">
        <f>IF('League Inputs'!$C$13 = "Yes", INDEX(Std[],MATCH(C4,Std[Player],0),10), 0)*100</f>
        <v>0</v>
      </c>
      <c r="I4" s="39">
        <f>IF('League Inputs'!$C$14 = "Yes", INDEX(Std[],MATCH(C4,Std[Player],0),11), 0)*100</f>
        <v>0</v>
      </c>
      <c r="J4" s="39">
        <f>IF('League Inputs'!$C$15 = "Yes", INDEX(Std[],MATCH(C4,Std[Player],0),12), 0)*100</f>
        <v>462.04556788888686</v>
      </c>
      <c r="K4" s="39">
        <f>IF('League Inputs'!$C$16 = "Yes", INDEX(Std[],MATCH(C4,Std[Player],0),13), 0)*100</f>
        <v>0</v>
      </c>
      <c r="L4" s="39">
        <f>IF('League Inputs'!$C$17 = "Yes", INDEX(Std[],MATCH(C4,Std[Player],0),19)*100,"")</f>
        <v>272.2785757607129</v>
      </c>
      <c r="M4" s="39">
        <f>IF('League Inputs'!$C$19 = "Yes", INDEX(Std[],MATCH(C4,Std[Player],0),15)*100, "")</f>
        <v>-54.439221604893206</v>
      </c>
      <c r="N4" s="39">
        <f>IF('League Inputs'!$C$18 = "Yes", INDEX(Std[],MATCH(C4,Std[Player],0),14)*100,"")</f>
        <v>31.526077481379737</v>
      </c>
      <c r="O4" s="39">
        <f>IF('League Inputs'!$C$20 = "Yes", INDEX(Std[],MATCH(C4,Std[Player],0),17)*100, 0)</f>
        <v>191.26961313511001</v>
      </c>
      <c r="P4" s="40">
        <f>IF('League Inputs'!$C$22 = "Yes", INDEX(Std[],MATCH(C4,Std[Player],0),16)*100,"")</f>
        <v>6.9963766660446165</v>
      </c>
      <c r="Q4" s="40">
        <f>INDEX(Proj[],MATCH(C4,Proj[Player],0),27)</f>
        <v>1483.246805398049</v>
      </c>
      <c r="R4" s="41">
        <f>INDEX(Proj[],MATCH(C4,Proj[Player],0),28)</f>
        <v>1</v>
      </c>
      <c r="S4" s="42"/>
      <c r="T4" s="181"/>
      <c r="U4" s="182"/>
      <c r="V4" s="182"/>
      <c r="W4" s="183"/>
      <c r="X4" s="36"/>
      <c r="Y4" s="20"/>
      <c r="Z4" s="20"/>
      <c r="AA4" s="20"/>
      <c r="AB4" s="20"/>
    </row>
    <row r="5" spans="1:32" ht="15.75" thickBot="1" x14ac:dyDescent="0.3">
      <c r="A5" s="20"/>
      <c r="B5" s="20"/>
      <c r="C5" s="43" t="s">
        <v>247</v>
      </c>
      <c r="D5" s="44" t="str">
        <f>INDEX(Proj[],MATCH(C5,Proj[Player],0),3)</f>
        <v>C</v>
      </c>
      <c r="E5" s="45">
        <f>IF('League Inputs'!$C$10 = "Yes", INDEX(Std[],MATCH(C5,Std[Player],0),7), 0)*100</f>
        <v>461.92081815067985</v>
      </c>
      <c r="F5" s="45">
        <f>IF('League Inputs'!$C$11 = "Yes", INDEX(Std[],MATCH(C5,Std[Player],0),8), 0)*100</f>
        <v>179.67969771131172</v>
      </c>
      <c r="G5" s="45">
        <f>IF('League Inputs'!$C$12 = "Yes", INDEX(Std[],MATCH(C5,Std[Player],0),9), 0)*100</f>
        <v>320.47975395523719</v>
      </c>
      <c r="H5" s="45">
        <f>IF('League Inputs'!$C$13 = "Yes", INDEX(Std[],MATCH(C5,Std[Player],0),10), 0)*100</f>
        <v>0</v>
      </c>
      <c r="I5" s="45">
        <f>IF('League Inputs'!$C$14 = "Yes", INDEX(Std[],MATCH(C5,Std[Player],0),11), 0)*100</f>
        <v>0</v>
      </c>
      <c r="J5" s="45">
        <f>IF('League Inputs'!$C$15 = "Yes", INDEX(Std[],MATCH(C5,Std[Player],0),12), 0)*100</f>
        <v>255.44216801462852</v>
      </c>
      <c r="K5" s="45">
        <f>IF('League Inputs'!$C$16 = "Yes", INDEX(Std[],MATCH(C5,Std[Player],0),13), 0)*100</f>
        <v>0</v>
      </c>
      <c r="L5" s="45">
        <f>IF('League Inputs'!$C$17 = "Yes", INDEX(Std[],MATCH(C5,Std[Player],0),19)*100, "")</f>
        <v>389.05317262816237</v>
      </c>
      <c r="M5" s="45">
        <f>IF('League Inputs'!$C$19 = "Yes", INDEX(Std[],MATCH(C5,Std[Player],0),15)*100, "")</f>
        <v>68.60559609279106</v>
      </c>
      <c r="N5" s="45">
        <f>IF('League Inputs'!$C$18 = "Yes", INDEX(Std[],MATCH(C5,Std[Player],0),14)*100,"")</f>
        <v>-5.2954158804825378</v>
      </c>
      <c r="O5" s="45">
        <f>IF('League Inputs'!$C$20 = "Yes", INDEX(Std[],MATCH(C5,Std[Player],0),17)*100, 0)</f>
        <v>301.07627846397327</v>
      </c>
      <c r="P5" s="45">
        <f>IF('League Inputs'!$C$22 = "Yes", INDEX(Std[],MATCH(C5,Std[Player],0),16)*100,"")</f>
        <v>-67.467262211328929</v>
      </c>
      <c r="Q5" s="45">
        <f>INDEX(Proj[],MATCH(C5,Proj[Player],0),27)</f>
        <v>1168.860952614674</v>
      </c>
      <c r="R5" s="46">
        <f>INDEX(Proj[],MATCH(C5,Proj[Player],0),28)</f>
        <v>6</v>
      </c>
      <c r="S5" s="47"/>
      <c r="T5" s="184"/>
      <c r="U5" s="185"/>
      <c r="V5" s="185"/>
      <c r="W5" s="186"/>
      <c r="X5" s="36"/>
      <c r="Y5" s="20"/>
      <c r="Z5" s="20"/>
      <c r="AA5" s="20"/>
      <c r="AB5" s="20"/>
    </row>
    <row r="6" spans="1:32"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1:32" x14ac:dyDescent="0.25">
      <c r="A7" s="20"/>
      <c r="B7" s="20"/>
      <c r="C7" s="20"/>
      <c r="D7" s="20"/>
      <c r="E7" s="20"/>
      <c r="F7" s="48"/>
      <c r="G7" s="48"/>
      <c r="H7" s="48"/>
      <c r="I7" s="48"/>
      <c r="J7" s="20"/>
      <c r="K7" s="20"/>
      <c r="L7" s="20"/>
      <c r="M7" s="20"/>
      <c r="N7" s="20"/>
      <c r="O7" s="20"/>
      <c r="P7" s="20"/>
      <c r="Q7" s="20"/>
      <c r="R7" s="20"/>
      <c r="S7" s="20"/>
      <c r="T7" s="20"/>
      <c r="U7" s="20"/>
      <c r="V7" s="20"/>
      <c r="W7" s="20"/>
      <c r="X7" s="20"/>
      <c r="Y7" s="20"/>
      <c r="Z7" s="20"/>
      <c r="AA7" s="20"/>
      <c r="AB7" s="20"/>
    </row>
    <row r="8" spans="1:32" x14ac:dyDescent="0.25">
      <c r="A8" s="20"/>
      <c r="B8" s="20"/>
      <c r="C8" s="20"/>
      <c r="D8" s="20"/>
      <c r="E8" s="20"/>
      <c r="F8" s="48"/>
      <c r="G8" s="49"/>
      <c r="H8" s="48"/>
      <c r="I8" s="48"/>
      <c r="J8" s="20"/>
      <c r="K8" s="20"/>
      <c r="L8" s="20"/>
      <c r="M8" s="20"/>
      <c r="N8" s="20"/>
      <c r="O8" s="20"/>
      <c r="P8" s="20"/>
      <c r="Q8" s="20"/>
      <c r="R8" s="20"/>
      <c r="S8" s="20"/>
      <c r="T8" s="20"/>
      <c r="U8" s="20"/>
      <c r="V8" s="20"/>
      <c r="W8" s="20"/>
      <c r="X8" s="20"/>
      <c r="Y8" s="20"/>
      <c r="Z8" s="20"/>
      <c r="AA8" s="20"/>
      <c r="AB8" s="20"/>
    </row>
    <row r="9" spans="1:32" x14ac:dyDescent="0.25">
      <c r="A9" s="20"/>
      <c r="B9" s="20"/>
      <c r="C9" s="20"/>
      <c r="D9" s="20"/>
      <c r="E9" s="20"/>
      <c r="F9" s="48"/>
      <c r="G9" s="48"/>
      <c r="H9" s="48"/>
      <c r="I9" s="48"/>
      <c r="J9" s="20"/>
      <c r="K9" s="20"/>
      <c r="L9" s="20"/>
      <c r="M9" s="20"/>
      <c r="N9" s="20"/>
      <c r="O9" s="20"/>
      <c r="P9" s="20"/>
      <c r="Q9" s="20"/>
      <c r="R9" s="20"/>
      <c r="S9" s="20"/>
      <c r="T9" s="20"/>
      <c r="U9" s="20"/>
      <c r="V9" s="20"/>
      <c r="W9" s="20"/>
      <c r="X9" s="20"/>
      <c r="Y9" s="20"/>
      <c r="Z9" s="20"/>
      <c r="AA9" s="20"/>
      <c r="AB9" s="20"/>
    </row>
    <row r="10" spans="1:32" x14ac:dyDescent="0.25">
      <c r="A10" s="20"/>
      <c r="B10" s="20"/>
      <c r="C10" s="20"/>
      <c r="D10" s="20"/>
      <c r="E10" s="20"/>
      <c r="F10" s="48"/>
      <c r="G10" s="48"/>
      <c r="H10" s="48"/>
      <c r="I10" s="48"/>
      <c r="J10" s="20"/>
      <c r="K10" s="20"/>
      <c r="L10" s="20"/>
      <c r="M10" s="20"/>
      <c r="N10" s="20"/>
      <c r="O10" s="20"/>
      <c r="P10" s="20"/>
      <c r="Q10" s="20"/>
      <c r="R10" s="20"/>
      <c r="S10" s="20"/>
      <c r="T10" s="20"/>
      <c r="U10" s="20"/>
      <c r="V10" s="20"/>
      <c r="W10" s="20"/>
      <c r="X10" s="20"/>
      <c r="Y10" s="20"/>
      <c r="Z10" s="20"/>
      <c r="AA10" s="20"/>
      <c r="AB10" s="20"/>
    </row>
    <row r="11" spans="1:32" x14ac:dyDescent="0.25">
      <c r="A11" s="20"/>
      <c r="B11" s="20"/>
      <c r="C11" s="20"/>
      <c r="D11" s="20"/>
      <c r="E11" s="20"/>
      <c r="F11" s="48"/>
      <c r="G11" s="48"/>
      <c r="H11" s="48"/>
      <c r="I11" s="48"/>
      <c r="J11" s="20"/>
      <c r="K11" s="20"/>
      <c r="L11" s="20"/>
      <c r="M11" s="20"/>
      <c r="N11" s="20"/>
      <c r="O11" s="20"/>
      <c r="P11" s="20"/>
      <c r="Q11" s="20"/>
      <c r="R11" s="20"/>
      <c r="S11" s="20"/>
      <c r="T11" s="20"/>
      <c r="U11" s="20"/>
      <c r="V11" s="20"/>
      <c r="W11" s="20"/>
      <c r="X11" s="20"/>
      <c r="Y11" s="20"/>
      <c r="Z11" s="20"/>
      <c r="AA11" s="20"/>
      <c r="AB11" s="20"/>
    </row>
    <row r="12" spans="1:32" x14ac:dyDescent="0.25">
      <c r="A12" s="20"/>
      <c r="B12" s="20"/>
      <c r="C12" s="20"/>
      <c r="D12" s="20"/>
      <c r="E12" s="20"/>
      <c r="F12" s="48"/>
      <c r="G12" s="48"/>
      <c r="H12" s="48"/>
      <c r="I12" s="48"/>
      <c r="J12" s="20"/>
      <c r="K12" s="20"/>
      <c r="L12" s="20"/>
      <c r="M12" s="20"/>
      <c r="N12" s="20"/>
      <c r="O12" s="20"/>
      <c r="P12" s="20"/>
      <c r="Q12" s="20"/>
      <c r="R12" s="20"/>
      <c r="S12" s="20"/>
      <c r="T12" s="20"/>
      <c r="U12" s="20"/>
      <c r="V12" s="20"/>
      <c r="W12" s="20"/>
      <c r="X12" s="20"/>
      <c r="Y12" s="20"/>
      <c r="Z12" s="20"/>
      <c r="AA12" s="20"/>
      <c r="AB12" s="20"/>
    </row>
    <row r="13" spans="1:32" x14ac:dyDescent="0.25">
      <c r="A13" s="20"/>
      <c r="B13" s="20"/>
      <c r="C13" s="20"/>
      <c r="D13" s="20"/>
      <c r="E13" s="20"/>
      <c r="F13" s="48"/>
      <c r="G13" s="48"/>
      <c r="H13" s="48"/>
      <c r="I13" s="48"/>
      <c r="J13" s="20"/>
      <c r="K13" s="20"/>
      <c r="L13" s="20"/>
      <c r="M13" s="20"/>
      <c r="N13" s="20"/>
      <c r="O13" s="20"/>
      <c r="P13" s="20"/>
      <c r="Q13" s="20"/>
      <c r="R13" s="20"/>
      <c r="S13" s="20"/>
      <c r="T13" s="20"/>
      <c r="U13" s="20"/>
      <c r="V13" s="20"/>
      <c r="W13" s="20"/>
      <c r="X13" s="20"/>
      <c r="Y13" s="20"/>
      <c r="Z13" s="20"/>
      <c r="AA13" s="20"/>
      <c r="AB13" s="20"/>
    </row>
    <row r="14" spans="1:32" x14ac:dyDescent="0.25">
      <c r="A14" s="20"/>
      <c r="B14" s="20"/>
      <c r="C14" s="20"/>
      <c r="D14" s="20"/>
      <c r="E14" s="20"/>
      <c r="F14" s="48"/>
      <c r="G14" s="48"/>
      <c r="H14" s="48"/>
      <c r="I14" s="48"/>
      <c r="J14" s="20"/>
      <c r="K14" s="20"/>
      <c r="L14" s="20"/>
      <c r="M14" s="20"/>
      <c r="N14" s="20"/>
      <c r="O14" s="20"/>
      <c r="P14" s="20"/>
      <c r="Q14" s="20"/>
      <c r="R14" s="20"/>
      <c r="S14" s="20"/>
      <c r="T14" s="20"/>
      <c r="U14" s="20"/>
      <c r="V14" s="20"/>
      <c r="W14" s="20"/>
      <c r="X14" s="20"/>
      <c r="Y14" s="20"/>
      <c r="Z14" s="20"/>
      <c r="AA14" s="20"/>
      <c r="AB14" s="20"/>
    </row>
    <row r="15" spans="1:32" x14ac:dyDescent="0.25">
      <c r="A15" s="20"/>
      <c r="B15" s="20"/>
      <c r="C15" s="20"/>
      <c r="D15" s="20"/>
      <c r="E15" s="20"/>
      <c r="F15" s="48"/>
      <c r="G15" s="48"/>
      <c r="H15" s="48"/>
      <c r="I15" s="48"/>
      <c r="J15" s="20"/>
      <c r="K15" s="20"/>
      <c r="L15" s="20"/>
      <c r="M15" s="20"/>
      <c r="N15" s="20"/>
      <c r="O15" s="20"/>
      <c r="P15" s="20"/>
      <c r="Q15" s="20"/>
      <c r="R15" s="20"/>
      <c r="S15" s="20"/>
      <c r="T15" s="20"/>
      <c r="U15" s="20"/>
      <c r="V15" s="20"/>
      <c r="W15" s="20"/>
      <c r="X15" s="20"/>
      <c r="Y15" s="20"/>
      <c r="Z15" s="20"/>
      <c r="AA15" s="20"/>
      <c r="AB15" s="20"/>
    </row>
    <row r="16" spans="1:32" x14ac:dyDescent="0.25">
      <c r="A16" s="20"/>
      <c r="B16" s="20"/>
      <c r="C16" s="20"/>
      <c r="D16" s="20"/>
      <c r="E16" s="20"/>
      <c r="F16" s="48"/>
      <c r="G16" s="48"/>
      <c r="H16" s="48"/>
      <c r="I16" s="48"/>
      <c r="J16" s="20"/>
      <c r="K16" s="20"/>
      <c r="L16" s="20"/>
      <c r="M16" s="20"/>
      <c r="N16" s="20"/>
      <c r="O16" s="20"/>
      <c r="P16" s="20"/>
      <c r="Q16" s="20"/>
      <c r="R16" s="20"/>
      <c r="S16" s="20"/>
      <c r="T16" s="20"/>
      <c r="U16" s="20"/>
      <c r="V16" s="20"/>
      <c r="W16" s="20"/>
      <c r="X16" s="20"/>
      <c r="Y16" s="20"/>
      <c r="Z16" s="20"/>
      <c r="AA16" s="20"/>
      <c r="AB16" s="20"/>
    </row>
    <row r="17" spans="1:28" x14ac:dyDescent="0.25">
      <c r="A17" s="20"/>
      <c r="B17" s="20"/>
      <c r="C17" s="20"/>
      <c r="D17" s="20"/>
      <c r="E17" s="20"/>
      <c r="F17" s="48"/>
      <c r="G17" s="48"/>
      <c r="H17" s="48"/>
      <c r="I17" s="48"/>
      <c r="J17" s="20"/>
      <c r="K17" s="20"/>
      <c r="L17" s="20"/>
      <c r="M17" s="20"/>
      <c r="N17" s="20"/>
      <c r="O17" s="20"/>
      <c r="P17" s="20"/>
      <c r="Q17" s="20"/>
      <c r="R17" s="20"/>
      <c r="S17" s="20"/>
      <c r="T17" s="20"/>
      <c r="U17" s="20"/>
      <c r="V17" s="20"/>
      <c r="W17" s="20"/>
      <c r="X17" s="20"/>
      <c r="Y17" s="20"/>
      <c r="Z17" s="20"/>
      <c r="AA17" s="20"/>
      <c r="AB17" s="20"/>
    </row>
    <row r="18" spans="1:28" x14ac:dyDescent="0.25">
      <c r="A18" s="20"/>
      <c r="B18" s="20"/>
      <c r="C18" s="20"/>
      <c r="D18" s="20"/>
      <c r="E18" s="20"/>
      <c r="F18" s="48"/>
      <c r="G18" s="48"/>
      <c r="H18" s="48"/>
      <c r="I18" s="48"/>
      <c r="J18" s="20"/>
      <c r="K18" s="20"/>
      <c r="L18" s="20"/>
      <c r="M18" s="20"/>
      <c r="N18" s="20"/>
      <c r="O18" s="20"/>
      <c r="P18" s="20"/>
      <c r="Q18" s="20"/>
      <c r="R18" s="20"/>
      <c r="S18" s="20"/>
      <c r="T18" s="20"/>
      <c r="U18" s="20"/>
      <c r="V18" s="20"/>
      <c r="W18" s="20"/>
      <c r="X18" s="20"/>
      <c r="Y18" s="20"/>
      <c r="Z18" s="20"/>
      <c r="AA18" s="20"/>
      <c r="AB18" s="20"/>
    </row>
    <row r="19" spans="1:28" x14ac:dyDescent="0.25">
      <c r="A19" s="20"/>
      <c r="B19" s="20"/>
      <c r="C19" s="20"/>
      <c r="D19" s="20"/>
      <c r="E19" s="20"/>
      <c r="F19" s="48"/>
      <c r="G19" s="48"/>
      <c r="H19" s="48"/>
      <c r="I19" s="48"/>
      <c r="J19" s="20"/>
      <c r="K19" s="20"/>
      <c r="L19" s="20"/>
      <c r="M19" s="20"/>
      <c r="N19" s="20"/>
      <c r="O19" s="20"/>
      <c r="P19" s="20"/>
      <c r="Q19" s="20"/>
      <c r="R19" s="20"/>
      <c r="S19" s="20"/>
      <c r="T19" s="20"/>
      <c r="U19" s="20"/>
      <c r="V19" s="20"/>
      <c r="W19" s="20"/>
      <c r="X19" s="20"/>
      <c r="Y19" s="20"/>
      <c r="Z19" s="20"/>
      <c r="AA19" s="20"/>
      <c r="AB19" s="20"/>
    </row>
    <row r="20" spans="1:28" x14ac:dyDescent="0.25">
      <c r="A20" s="20"/>
      <c r="B20" s="20"/>
      <c r="C20" s="20"/>
      <c r="D20" s="20"/>
      <c r="E20" s="20"/>
      <c r="F20" s="48"/>
      <c r="G20" s="48"/>
      <c r="H20" s="48"/>
      <c r="I20" s="48"/>
      <c r="J20" s="20"/>
      <c r="K20" s="20"/>
      <c r="L20" s="20"/>
      <c r="M20" s="20"/>
      <c r="N20" s="20"/>
      <c r="O20" s="20"/>
      <c r="P20" s="20"/>
      <c r="Q20" s="20"/>
      <c r="R20" s="20"/>
      <c r="S20" s="20"/>
      <c r="T20" s="20"/>
      <c r="U20" s="20"/>
      <c r="V20" s="20"/>
      <c r="W20" s="20"/>
      <c r="X20" s="20"/>
      <c r="Y20" s="20"/>
      <c r="Z20" s="20"/>
      <c r="AA20" s="20"/>
      <c r="AB20" s="20"/>
    </row>
    <row r="21" spans="1:28" x14ac:dyDescent="0.25">
      <c r="A21" s="20"/>
      <c r="B21" s="20"/>
      <c r="C21" s="20"/>
      <c r="D21" s="20"/>
      <c r="E21" s="20"/>
      <c r="F21" s="48"/>
      <c r="G21" s="48"/>
      <c r="H21" s="48"/>
      <c r="I21" s="48"/>
      <c r="J21" s="20"/>
      <c r="K21" s="20"/>
      <c r="L21" s="20"/>
      <c r="M21" s="20"/>
      <c r="N21" s="20"/>
      <c r="O21" s="20"/>
      <c r="P21" s="20"/>
      <c r="Q21" s="20"/>
      <c r="R21" s="20"/>
      <c r="S21" s="20"/>
      <c r="T21" s="20"/>
      <c r="U21" s="20"/>
      <c r="V21" s="20"/>
      <c r="W21" s="20"/>
      <c r="X21" s="20"/>
      <c r="Y21" s="20"/>
      <c r="Z21" s="20"/>
      <c r="AA21" s="20"/>
      <c r="AB21" s="20"/>
    </row>
    <row r="22" spans="1:28" x14ac:dyDescent="0.25">
      <c r="A22" s="20"/>
      <c r="B22" s="20"/>
      <c r="C22" s="20"/>
      <c r="D22" s="20"/>
      <c r="E22" s="20"/>
      <c r="F22" s="48"/>
      <c r="G22" s="48"/>
      <c r="H22" s="48"/>
      <c r="I22" s="48"/>
      <c r="J22" s="20"/>
      <c r="K22" s="20"/>
      <c r="L22" s="20"/>
      <c r="M22" s="20"/>
      <c r="N22" s="20"/>
      <c r="O22" s="20"/>
      <c r="P22" s="20"/>
      <c r="Q22" s="20"/>
      <c r="R22" s="20"/>
      <c r="S22" s="20"/>
      <c r="T22" s="20"/>
      <c r="U22" s="20"/>
      <c r="V22" s="20"/>
      <c r="W22" s="20"/>
      <c r="X22" s="20"/>
      <c r="Y22" s="20"/>
      <c r="Z22" s="20"/>
      <c r="AA22" s="20"/>
      <c r="AB22" s="20"/>
    </row>
    <row r="23" spans="1:28" x14ac:dyDescent="0.25">
      <c r="A23" s="20"/>
      <c r="B23" s="20"/>
      <c r="C23" s="20"/>
      <c r="D23" s="20"/>
      <c r="E23" s="20"/>
      <c r="F23" s="48"/>
      <c r="G23" s="48"/>
      <c r="H23" s="48"/>
      <c r="I23" s="50"/>
      <c r="J23" s="20"/>
      <c r="K23" s="20"/>
      <c r="L23" s="20"/>
      <c r="M23" s="20"/>
      <c r="N23" s="20"/>
      <c r="O23" s="20"/>
      <c r="P23" s="20"/>
      <c r="Q23" s="20"/>
      <c r="R23" s="20"/>
      <c r="S23" s="20"/>
      <c r="T23" s="20"/>
      <c r="U23" s="20"/>
      <c r="V23" s="20"/>
      <c r="W23" s="20"/>
      <c r="X23" s="20"/>
      <c r="Y23" s="20"/>
      <c r="Z23" s="20"/>
      <c r="AA23" s="20"/>
      <c r="AB23" s="20"/>
    </row>
    <row r="24" spans="1:28" x14ac:dyDescent="0.25">
      <c r="A24" s="20"/>
      <c r="B24" s="20"/>
      <c r="C24" s="20"/>
      <c r="D24" s="20"/>
      <c r="E24" s="20"/>
      <c r="F24" s="48"/>
      <c r="G24" s="48"/>
      <c r="H24" s="48"/>
      <c r="I24" s="48"/>
      <c r="J24" s="20"/>
      <c r="K24" s="20"/>
      <c r="L24" s="20"/>
      <c r="M24" s="20"/>
      <c r="N24" s="20"/>
      <c r="O24" s="20"/>
      <c r="P24" s="20"/>
      <c r="Q24" s="20"/>
      <c r="R24" s="20"/>
      <c r="S24" s="20"/>
      <c r="T24" s="20"/>
      <c r="U24" s="20"/>
      <c r="V24" s="20"/>
      <c r="W24" s="20"/>
      <c r="X24" s="20"/>
      <c r="Y24" s="20"/>
      <c r="Z24" s="20"/>
      <c r="AA24" s="20"/>
      <c r="AB24" s="20"/>
    </row>
    <row r="25" spans="1:28" x14ac:dyDescent="0.25">
      <c r="A25" s="20"/>
      <c r="B25" s="20"/>
      <c r="C25" s="20"/>
      <c r="D25" s="20"/>
      <c r="E25" s="20"/>
      <c r="F25" s="48"/>
      <c r="G25" s="48"/>
      <c r="H25" s="48"/>
      <c r="I25" s="48"/>
      <c r="J25" s="20"/>
      <c r="K25" s="20"/>
      <c r="L25" s="20"/>
      <c r="M25" s="20"/>
      <c r="N25" s="20"/>
      <c r="O25" s="20"/>
      <c r="P25" s="20"/>
      <c r="Q25" s="20"/>
      <c r="R25" s="20"/>
      <c r="S25" s="20"/>
      <c r="T25" s="20"/>
      <c r="U25" s="20"/>
      <c r="V25" s="20"/>
      <c r="W25" s="20"/>
      <c r="X25" s="20"/>
      <c r="Y25" s="20"/>
      <c r="Z25" s="20"/>
      <c r="AA25" s="20"/>
      <c r="AB25" s="20"/>
    </row>
    <row r="26" spans="1:28" x14ac:dyDescent="0.25">
      <c r="A26" s="20"/>
      <c r="B26" s="20"/>
      <c r="C26" s="20"/>
      <c r="D26" s="20"/>
      <c r="E26" s="20"/>
      <c r="F26" s="48"/>
      <c r="G26" s="48"/>
      <c r="H26" s="48"/>
      <c r="I26" s="48"/>
      <c r="J26" s="20"/>
      <c r="K26" s="20"/>
      <c r="L26" s="20"/>
      <c r="M26" s="20"/>
      <c r="N26" s="20"/>
      <c r="O26" s="20"/>
      <c r="P26" s="20"/>
      <c r="Q26" s="20"/>
      <c r="R26" s="20"/>
      <c r="S26" s="20"/>
      <c r="T26" s="20"/>
      <c r="U26" s="20"/>
      <c r="V26" s="20"/>
      <c r="W26" s="20"/>
      <c r="X26" s="20"/>
      <c r="Y26" s="20"/>
      <c r="Z26" s="20"/>
      <c r="AA26" s="20"/>
      <c r="AB26" s="20"/>
    </row>
    <row r="27" spans="1:28" x14ac:dyDescent="0.25">
      <c r="A27" s="20"/>
      <c r="B27" s="20"/>
      <c r="C27" s="20"/>
      <c r="D27" s="20"/>
      <c r="E27" s="20"/>
      <c r="F27" s="48"/>
      <c r="G27" s="48"/>
      <c r="H27" s="48"/>
      <c r="I27" s="48"/>
      <c r="J27" s="20"/>
      <c r="K27" s="20"/>
      <c r="L27" s="20"/>
      <c r="M27" s="20"/>
      <c r="N27" s="20"/>
      <c r="O27" s="20"/>
      <c r="P27" s="20"/>
      <c r="Q27" s="20"/>
      <c r="R27" s="20"/>
      <c r="S27" s="20"/>
      <c r="T27" s="20"/>
      <c r="U27" s="20"/>
      <c r="V27" s="20"/>
      <c r="W27" s="20"/>
      <c r="X27" s="20"/>
      <c r="Y27" s="20"/>
      <c r="Z27" s="20"/>
      <c r="AA27" s="20"/>
      <c r="AB27" s="20"/>
    </row>
    <row r="28" spans="1:28" x14ac:dyDescent="0.25">
      <c r="A28" s="20"/>
      <c r="B28" s="20"/>
      <c r="C28" s="20"/>
      <c r="D28" s="20"/>
      <c r="E28" s="20"/>
      <c r="F28" s="48"/>
      <c r="G28" s="48"/>
      <c r="H28" s="48"/>
      <c r="I28" s="48"/>
      <c r="J28" s="20"/>
      <c r="K28" s="20"/>
      <c r="L28" s="20"/>
      <c r="M28" s="20"/>
      <c r="N28" s="20"/>
      <c r="O28" s="20"/>
      <c r="P28" s="20"/>
      <c r="Q28" s="20"/>
      <c r="R28" s="20"/>
      <c r="S28" s="20"/>
      <c r="T28" s="20"/>
      <c r="U28" s="20"/>
      <c r="V28" s="20"/>
      <c r="W28" s="20"/>
      <c r="X28" s="20"/>
      <c r="Y28" s="20"/>
      <c r="Z28" s="20"/>
      <c r="AA28" s="20"/>
      <c r="AB28" s="20"/>
    </row>
    <row r="29" spans="1:28" x14ac:dyDescent="0.25">
      <c r="A29" s="20"/>
      <c r="B29" s="20"/>
      <c r="C29" s="20"/>
      <c r="D29" s="20"/>
      <c r="E29" s="20"/>
      <c r="F29" s="48"/>
      <c r="G29" s="48"/>
      <c r="H29" s="48"/>
      <c r="I29" s="48"/>
      <c r="J29" s="20"/>
      <c r="K29" s="20"/>
      <c r="L29" s="20"/>
      <c r="M29" s="20"/>
      <c r="N29" s="20"/>
      <c r="O29" s="20"/>
      <c r="P29" s="20"/>
      <c r="Q29" s="20"/>
      <c r="R29" s="20"/>
      <c r="S29" s="20"/>
      <c r="T29" s="20"/>
      <c r="U29" s="20"/>
      <c r="V29" s="20"/>
      <c r="W29" s="20"/>
      <c r="X29" s="20"/>
      <c r="Y29" s="20"/>
      <c r="Z29" s="20"/>
      <c r="AA29" s="20"/>
      <c r="AB29" s="20"/>
    </row>
    <row r="30" spans="1:28" x14ac:dyDescent="0.25">
      <c r="A30" s="20"/>
      <c r="B30" s="20"/>
      <c r="C30" s="20"/>
      <c r="D30" s="20"/>
      <c r="E30" s="20"/>
      <c r="F30" s="48"/>
      <c r="G30" s="48"/>
      <c r="H30" s="48"/>
      <c r="I30" s="48"/>
      <c r="J30" s="20"/>
      <c r="K30" s="20"/>
      <c r="L30" s="20"/>
      <c r="M30" s="20"/>
      <c r="N30" s="20"/>
      <c r="O30" s="20"/>
      <c r="P30" s="20"/>
      <c r="Q30" s="20"/>
      <c r="R30" s="20"/>
      <c r="S30" s="20"/>
      <c r="T30" s="20"/>
      <c r="U30" s="20"/>
      <c r="V30" s="20"/>
      <c r="W30" s="20"/>
      <c r="X30" s="20"/>
      <c r="Y30" s="20"/>
      <c r="Z30" s="20"/>
      <c r="AA30" s="20"/>
      <c r="AB30" s="20"/>
    </row>
    <row r="31" spans="1:28" x14ac:dyDescent="0.25">
      <c r="A31" s="20"/>
      <c r="B31" s="20"/>
      <c r="C31" s="20"/>
      <c r="D31" s="20"/>
      <c r="E31" s="20"/>
      <c r="F31" s="48"/>
      <c r="G31" s="48"/>
      <c r="H31" s="48"/>
      <c r="I31" s="48"/>
      <c r="J31" s="20"/>
      <c r="K31" s="20"/>
      <c r="L31" s="20"/>
      <c r="M31" s="20"/>
      <c r="N31" s="20"/>
      <c r="O31" s="20"/>
      <c r="P31" s="20"/>
      <c r="Q31" s="20"/>
      <c r="R31" s="20"/>
      <c r="S31" s="20"/>
      <c r="T31" s="20"/>
      <c r="U31" s="20"/>
      <c r="V31" s="20"/>
      <c r="W31" s="20"/>
      <c r="X31" s="20"/>
      <c r="Y31" s="20"/>
      <c r="Z31" s="20"/>
      <c r="AA31" s="20"/>
      <c r="AB31" s="20"/>
    </row>
    <row r="32" spans="1:28" x14ac:dyDescent="0.25">
      <c r="A32" s="20"/>
      <c r="B32" s="20"/>
      <c r="C32" s="20"/>
      <c r="D32" s="20"/>
      <c r="E32" s="20"/>
      <c r="F32" s="48"/>
      <c r="G32" s="48"/>
      <c r="H32" s="48"/>
      <c r="I32" s="48"/>
      <c r="J32" s="20"/>
      <c r="K32" s="20"/>
      <c r="L32" s="20"/>
      <c r="M32" s="20"/>
      <c r="N32" s="20"/>
      <c r="O32" s="20"/>
      <c r="P32" s="20"/>
      <c r="Q32" s="20"/>
      <c r="R32" s="20"/>
      <c r="S32" s="20"/>
      <c r="T32" s="20"/>
      <c r="U32" s="20"/>
      <c r="V32" s="20"/>
      <c r="W32" s="20"/>
      <c r="X32" s="20"/>
      <c r="Y32" s="20"/>
      <c r="Z32" s="20"/>
      <c r="AA32" s="20"/>
      <c r="AB32" s="20"/>
    </row>
    <row r="33" spans="1:28" x14ac:dyDescent="0.25">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1:28" x14ac:dyDescent="0.25">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1:28" x14ac:dyDescent="0.25">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1:28" x14ac:dyDescent="0.25">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1:28" x14ac:dyDescent="0.25">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1:28" x14ac:dyDescent="0.25">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sheetData>
  <sheetProtection sort="0" autoFilter="0"/>
  <protectedRanges>
    <protectedRange sqref="C4:C5" name="Range1"/>
  </protectedRanges>
  <mergeCells count="2">
    <mergeCell ref="T2:W5"/>
    <mergeCell ref="C2:R2"/>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42A7BB51-DE64-46D4-909F-CE0BCCD6D9B5}">
          <x14:formula1>
            <xm:f>_xlfn.ANCHORARRAY(Std!$X$2)</xm:f>
          </x14:formula1>
          <xm:sqref>C4</xm:sqref>
        </x14:dataValidation>
        <x14:dataValidation type="list" allowBlank="1" showInputMessage="1" showErrorMessage="1" xr:uid="{7F8DB6E7-60D2-4A31-8388-97CF3DB4BE11}">
          <x14:formula1>
            <xm:f>_xlfn.ANCHORARRAY(Std!$AB$2)</xm:f>
          </x14:formula1>
          <xm:sqref>C5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Z80"/>
  <sheetViews>
    <sheetView workbookViewId="0">
      <selection activeCell="N4" sqref="N4"/>
    </sheetView>
  </sheetViews>
  <sheetFormatPr defaultRowHeight="15" x14ac:dyDescent="0.25"/>
  <cols>
    <col min="1" max="1" width="15.42578125" bestFit="1" customWidth="1"/>
    <col min="2" max="2" width="17" bestFit="1" customWidth="1"/>
    <col min="3" max="3" width="9.42578125" bestFit="1" customWidth="1"/>
    <col min="4" max="4" width="9.28515625" bestFit="1" customWidth="1"/>
    <col min="5" max="5" width="9.5703125" bestFit="1" customWidth="1"/>
    <col min="6" max="6" width="11.85546875" bestFit="1" customWidth="1"/>
    <col min="7" max="7" width="11.42578125" bestFit="1" customWidth="1"/>
    <col min="8" max="8" width="10.7109375" bestFit="1" customWidth="1"/>
    <col min="9" max="9" width="11.5703125" bestFit="1" customWidth="1"/>
    <col min="10" max="10" width="12.42578125" bestFit="1" customWidth="1"/>
    <col min="11" max="11" width="11.85546875" bestFit="1" customWidth="1"/>
    <col min="12" max="12" width="14.42578125" bestFit="1" customWidth="1"/>
    <col min="14" max="14" width="11.42578125" bestFit="1" customWidth="1"/>
    <col min="15" max="15" width="11" customWidth="1"/>
    <col min="16" max="16" width="11.28515625" customWidth="1"/>
    <col min="17" max="17" width="11.7109375" customWidth="1"/>
    <col min="18" max="18" width="13.28515625" customWidth="1"/>
    <col min="23" max="24" width="11" customWidth="1"/>
  </cols>
  <sheetData>
    <row r="1" spans="1:21" ht="18.75" x14ac:dyDescent="0.3">
      <c r="B1" s="190" t="s">
        <v>126</v>
      </c>
      <c r="C1" s="190"/>
      <c r="D1" s="190"/>
      <c r="E1" s="190"/>
      <c r="F1" s="190"/>
      <c r="G1" s="190"/>
      <c r="H1" s="190"/>
      <c r="I1" s="190"/>
      <c r="J1" s="190"/>
      <c r="K1" s="190"/>
    </row>
    <row r="3" spans="1:21" x14ac:dyDescent="0.25">
      <c r="A3" s="27" t="s">
        <v>72</v>
      </c>
      <c r="B3" s="28" t="s">
        <v>88</v>
      </c>
      <c r="C3" s="28" t="s">
        <v>51</v>
      </c>
      <c r="D3" s="28" t="s">
        <v>45</v>
      </c>
      <c r="E3" s="28" t="s">
        <v>50</v>
      </c>
      <c r="F3" s="28" t="s">
        <v>64</v>
      </c>
      <c r="G3" s="28" t="s">
        <v>65</v>
      </c>
      <c r="H3" s="28" t="s">
        <v>66</v>
      </c>
      <c r="I3" s="28" t="s">
        <v>56</v>
      </c>
      <c r="J3" s="28" t="s">
        <v>67</v>
      </c>
      <c r="K3" s="28" t="s">
        <v>69</v>
      </c>
      <c r="L3" s="66" t="s">
        <v>237</v>
      </c>
      <c r="M3" s="66" t="s">
        <v>232</v>
      </c>
      <c r="N3" s="66" t="s">
        <v>231</v>
      </c>
      <c r="O3" s="66" t="s">
        <v>230</v>
      </c>
      <c r="P3" s="66" t="s">
        <v>149</v>
      </c>
      <c r="Q3" s="78"/>
    </row>
    <row r="4" spans="1:21" x14ac:dyDescent="0.25">
      <c r="A4" s="70" t="str" cm="1">
        <f t="array" ref="A4">IF(_xlfn.UNIQUE(Proj[Fantasy Team]) = "","",_xlfn.UNIQUE(Proj[Fantasy Team]))</f>
        <v/>
      </c>
      <c r="B4" s="17" t="str">
        <f>IF('Team Strength'!$A4 = "","",COUNTIF(Proj[Fantasy Team], 'Team Strength'!$A4))</f>
        <v/>
      </c>
      <c r="C4" s="11" t="str">
        <f>IF('Team Strength'!$A4 ="","",SUMIF(Proj[Fantasy Team], 'Team Strength'!$A4,Proj[Goals]))</f>
        <v/>
      </c>
      <c r="D4" s="11" t="str">
        <f>IF(('Team Strength'!$A4)="","",SUMIF(Proj[Fantasy Team],  'Team Strength'!$A4,Proj[Assists]))</f>
        <v/>
      </c>
      <c r="E4" s="70" t="str">
        <f>IF(('Team Strength'!$A4)="","",SUMIF(Proj[Fantasy Team], 'Team Strength'!$A4,Proj[Points]))</f>
        <v/>
      </c>
      <c r="F4" s="17" t="str">
        <f>IF(('Team Strength'!$A4)="","",SUMIF(Proj[Fantasy Team], 'Team Strength'!$A4,Proj[PP Points]))</f>
        <v/>
      </c>
      <c r="G4" s="11" t="str">
        <f>IF(('Team Strength'!$A4)="","",SUMIF(Proj[Fantasy Team],  'Team Strength'!$A4,Proj[Hits]))</f>
        <v/>
      </c>
      <c r="H4" s="11" t="str">
        <f>IF(('Team Strength'!$A4)="","",SUMIF(Proj[Fantasy Team], 'Team Strength'!$A4,Proj[BLK]))</f>
        <v/>
      </c>
      <c r="I4" s="11" t="str">
        <f>IF(('Team Strength'!$A4)="","",SUMIF(Proj[Fantasy Team], 'Team Strength'!$A4,Proj[PIM]))</f>
        <v/>
      </c>
      <c r="J4" s="11" t="str">
        <f>IF(('Team Strength'!$A4)="","",SUMIF(Proj[Fantasy Team], 'Team Strength'!$A4,Proj[FOW]))</f>
        <v/>
      </c>
      <c r="K4" s="11" t="str">
        <f>IF(('Team Strength'!$A4)="","",SUMIF(Proj[Fantasy Team], 'Team Strength'!$A4,Proj[SOG]))</f>
        <v/>
      </c>
      <c r="L4" s="11" t="str">
        <f>IF(('Team Strength'!$A4)="","",SUMIF(Goalie[Fantasy Team], 'Team Strength'!$A4,Goalie[W]))</f>
        <v/>
      </c>
      <c r="M4" s="11" t="str">
        <f>IF(('Team Strength'!$A4)="","",SUMIF(Goalie[Fantasy Team], 'Team Strength'!$A4,Goalie[SV]))</f>
        <v/>
      </c>
      <c r="N4" s="11">
        <f>IFERROR(IF(('Team Strength'!$A4)="","",SUMIF(Goalie[Fantasy Team], 'Team Strength'!$A4,Goalie[SV]))/IF(('Team Strength'!$A4)="","",SUMIF(Goalie[Fantasy Team], 'Team Strength'!$A4,Goalie[SA])),0)</f>
        <v>0</v>
      </c>
      <c r="O4" s="11">
        <f>IFERROR(IF(('Team Strength'!$A4)="","",SUMIF(Goalie[Fantasy Team], 'Team Strength'!$A4,Goalie[GA]))/IF(('Team Strength'!$A4)="","",SUMIF(Goalie[Fantasy Team], 'Team Strength'!$A4,Goalie[GP])),100)</f>
        <v>100</v>
      </c>
      <c r="P4" s="90" t="str">
        <f>IF(('Team Strength'!$A4)="","",SUMIF(Proj[Fantasy Team], 'Team Strength'!$A4,Proj[VOR]))</f>
        <v/>
      </c>
      <c r="Q4" s="10"/>
      <c r="R4" s="10"/>
      <c r="S4" s="10"/>
      <c r="T4" s="10"/>
      <c r="U4" s="9"/>
    </row>
    <row r="5" spans="1:21" x14ac:dyDescent="0.25">
      <c r="A5" s="19"/>
      <c r="B5" s="17" t="str">
        <f>IF('Team Strength'!$A5 = "","",COUNTIF(Proj[Fantasy Team], 'Team Strength'!$A5))</f>
        <v/>
      </c>
      <c r="C5" s="91" t="str">
        <f>IF('Team Strength'!$A5 ="","",SUMIF(Proj[Fantasy Team], 'Team Strength'!$A5,Proj[Goals]))</f>
        <v/>
      </c>
      <c r="D5" s="91" t="str">
        <f>IF(('Team Strength'!$A5)="","",SUMIF(Proj[Fantasy Team],  'Team Strength'!$A5,Proj[Assists]))</f>
        <v/>
      </c>
      <c r="E5" s="19" t="str">
        <f>IF(('Team Strength'!$A5)="","",SUMIF(Proj[Fantasy Team], 'Team Strength'!$A5,Proj[Points]))</f>
        <v/>
      </c>
      <c r="F5" s="2" t="str">
        <f>IF(('Team Strength'!$A5)="","",SUMIF(Proj[Fantasy Team], 'Team Strength'!$A5,Proj[PP Points]))</f>
        <v/>
      </c>
      <c r="G5" s="91" t="str">
        <f>IF(('Team Strength'!$A5)="","",SUMIF(Proj[Fantasy Team],  'Team Strength'!$A5,Proj[Hits]))</f>
        <v/>
      </c>
      <c r="H5" s="91" t="str">
        <f>IF(('Team Strength'!$A5)="","",SUMIF(Proj[Fantasy Team], 'Team Strength'!$A5,Proj[BLK]))</f>
        <v/>
      </c>
      <c r="I5" s="91" t="str">
        <f>IF(('Team Strength'!$A5)="","",SUMIF(Proj[Fantasy Team], 'Team Strength'!$A5,Proj[PIM]))</f>
        <v/>
      </c>
      <c r="J5" s="91" t="str">
        <f>IF(('Team Strength'!$A5)="","",SUMIF(Proj[Fantasy Team], 'Team Strength'!$A5,Proj[FOW]))</f>
        <v/>
      </c>
      <c r="K5" s="91" t="str">
        <f>IF(('Team Strength'!$A5)="","",SUMIF(Proj[Fantasy Team], 'Team Strength'!$A5,Proj[SOG]))</f>
        <v/>
      </c>
      <c r="L5" s="91" t="str">
        <f>IF(('Team Strength'!$A5)="","",SUMIF(Goalie[Fantasy Team], 'Team Strength'!$A5,Goalie[W]))</f>
        <v/>
      </c>
      <c r="M5" s="91" t="str">
        <f>IF(('Team Strength'!$A5)="","",SUMIF(Goalie[Fantasy Team], 'Team Strength'!$A5,Goalie[SV]))</f>
        <v/>
      </c>
      <c r="N5" s="91">
        <f>IFERROR(IF(('Team Strength'!$A5)="","",SUMIF(Goalie[Fantasy Team], 'Team Strength'!$A5,Goalie[SV]))/IF(('Team Strength'!$A5)="","",SUMIF(Goalie[Fantasy Team], 'Team Strength'!$A5,Goalie[SA])),0)</f>
        <v>0</v>
      </c>
      <c r="O5" s="91">
        <f>IFERROR(IF(('Team Strength'!$A5)="","",SUMIF(Goalie[Fantasy Team], 'Team Strength'!$A5,Goalie[GA]))/IF(('Team Strength'!$A5)="","",SUMIF(Goalie[Fantasy Team], 'Team Strength'!$A5,Goalie[GP])),100)</f>
        <v>100</v>
      </c>
      <c r="P5" s="92" t="str">
        <f>IF(('Team Strength'!$A5)="","",SUMIF(Proj[Fantasy Team], 'Team Strength'!$A5,Proj[VOR]))</f>
        <v/>
      </c>
      <c r="Q5" s="10"/>
      <c r="R5" s="10"/>
      <c r="S5" s="10"/>
      <c r="T5" s="9"/>
      <c r="U5" s="9"/>
    </row>
    <row r="6" spans="1:21" x14ac:dyDescent="0.25">
      <c r="A6" s="70"/>
      <c r="B6" s="17" t="str">
        <f>IF('Team Strength'!$A6 = "","",COUNTIF(Proj[Fantasy Team], 'Team Strength'!$A6))</f>
        <v/>
      </c>
      <c r="C6" s="11" t="str">
        <f>IF('Team Strength'!$A6 ="","",SUMIF(Proj[Fantasy Team], 'Team Strength'!$A6,Proj[Goals]))</f>
        <v/>
      </c>
      <c r="D6" s="11" t="str">
        <f>IF(('Team Strength'!$A6)="","",SUMIF(Proj[Fantasy Team],  'Team Strength'!$A6,Proj[Assists]))</f>
        <v/>
      </c>
      <c r="E6" s="70" t="str">
        <f>IF(('Team Strength'!$A6)="","",SUMIF(Proj[Fantasy Team], 'Team Strength'!$A6,Proj[Points]))</f>
        <v/>
      </c>
      <c r="F6" s="17" t="str">
        <f>IF(('Team Strength'!$A6)="","",SUMIF(Proj[Fantasy Team], 'Team Strength'!$A6,Proj[PP Points]))</f>
        <v/>
      </c>
      <c r="G6" s="11" t="str">
        <f>IF(('Team Strength'!$A6)="","",SUMIF(Proj[Fantasy Team],  'Team Strength'!$A6,Proj[Hits]))</f>
        <v/>
      </c>
      <c r="H6" s="11" t="str">
        <f>IF(('Team Strength'!$A6)="","",SUMIF(Proj[Fantasy Team], 'Team Strength'!$A6,Proj[BLK]))</f>
        <v/>
      </c>
      <c r="I6" s="11" t="str">
        <f>IF(('Team Strength'!$A6)="","",SUMIF(Proj[Fantasy Team], 'Team Strength'!$A6,Proj[PIM]))</f>
        <v/>
      </c>
      <c r="J6" s="11" t="str">
        <f>IF(('Team Strength'!$A6)="","",SUMIF(Proj[Fantasy Team], 'Team Strength'!$A6,Proj[FOW]))</f>
        <v/>
      </c>
      <c r="K6" s="11" t="str">
        <f>IF(('Team Strength'!$A6)="","",SUMIF(Proj[Fantasy Team], 'Team Strength'!$A6,Proj[SOG]))</f>
        <v/>
      </c>
      <c r="L6" s="11" t="str">
        <f>IF(('Team Strength'!$A6)="","",SUMIF(Goalie[Fantasy Team], 'Team Strength'!$A6,Goalie[W]))</f>
        <v/>
      </c>
      <c r="M6" s="11" t="str">
        <f>IF(('Team Strength'!$A6)="","",SUMIF(Goalie[Fantasy Team], 'Team Strength'!$A6,Goalie[SV]))</f>
        <v/>
      </c>
      <c r="N6" s="11">
        <f>IFERROR(IF(('Team Strength'!$A6)="","",SUMIF(Goalie[Fantasy Team], 'Team Strength'!$A6,Goalie[SV]))/IF(('Team Strength'!$A6)="","",SUMIF(Goalie[Fantasy Team], 'Team Strength'!$A6,Goalie[SA])),0)</f>
        <v>0</v>
      </c>
      <c r="O6" s="11">
        <f>IFERROR(IF(('Team Strength'!$A6)="","",SUMIF(Goalie[Fantasy Team], 'Team Strength'!$A6,Goalie[GA]))/IF(('Team Strength'!$A6)="","",SUMIF(Goalie[Fantasy Team], 'Team Strength'!$A6,Goalie[GP])),100)</f>
        <v>100</v>
      </c>
      <c r="P6" s="90" t="str">
        <f>IF(('Team Strength'!$A6)="","",SUMIF(Proj[Fantasy Team], 'Team Strength'!$A6,Proj[VOR]))</f>
        <v/>
      </c>
      <c r="Q6" s="10"/>
      <c r="R6" s="10"/>
      <c r="S6" s="10"/>
      <c r="T6" s="9"/>
      <c r="U6" s="9"/>
    </row>
    <row r="7" spans="1:21" x14ac:dyDescent="0.25">
      <c r="A7" s="19"/>
      <c r="B7" s="17" t="str">
        <f>IF('Team Strength'!$A7 = "","",COUNTIF(Proj[Fantasy Team], 'Team Strength'!$A7))</f>
        <v/>
      </c>
      <c r="C7" s="91" t="str">
        <f>IF('Team Strength'!$A7 ="","",SUMIF(Proj[Fantasy Team], 'Team Strength'!$A7,Proj[Goals]))</f>
        <v/>
      </c>
      <c r="D7" s="91" t="str">
        <f>IF(('Team Strength'!$A7)="","",SUMIF(Proj[Fantasy Team],  'Team Strength'!$A7,Proj[Assists]))</f>
        <v/>
      </c>
      <c r="E7" s="19" t="str">
        <f>IF(('Team Strength'!$A7)="","",SUMIF(Proj[Fantasy Team], 'Team Strength'!$A7,Proj[Points]))</f>
        <v/>
      </c>
      <c r="F7" s="2" t="str">
        <f>IF(('Team Strength'!$A7)="","",SUMIF(Proj[Fantasy Team], 'Team Strength'!$A7,Proj[PP Points]))</f>
        <v/>
      </c>
      <c r="G7" s="91" t="str">
        <f>IF(('Team Strength'!$A7)="","",SUMIF(Proj[Fantasy Team],  'Team Strength'!$A7,Proj[Hits]))</f>
        <v/>
      </c>
      <c r="H7" s="91" t="str">
        <f>IF(('Team Strength'!$A7)="","",SUMIF(Proj[Fantasy Team], 'Team Strength'!$A7,Proj[BLK]))</f>
        <v/>
      </c>
      <c r="I7" s="91" t="str">
        <f>IF(('Team Strength'!$A7)="","",SUMIF(Proj[Fantasy Team], 'Team Strength'!$A7,Proj[PIM]))</f>
        <v/>
      </c>
      <c r="J7" s="91" t="str">
        <f>IF(('Team Strength'!$A7)="","",SUMIF(Proj[Fantasy Team], 'Team Strength'!$A7,Proj[FOW]))</f>
        <v/>
      </c>
      <c r="K7" s="91" t="str">
        <f>IF(('Team Strength'!$A7)="","",SUMIF(Proj[Fantasy Team], 'Team Strength'!$A7,Proj[SOG]))</f>
        <v/>
      </c>
      <c r="L7" s="91" t="str">
        <f>IF(('Team Strength'!$A7)="","",SUMIF(Goalie[Fantasy Team], 'Team Strength'!$A7,Goalie[W]))</f>
        <v/>
      </c>
      <c r="M7" s="91" t="str">
        <f>IF(('Team Strength'!$A7)="","",SUMIF(Goalie[Fantasy Team], 'Team Strength'!$A7,Goalie[SV]))</f>
        <v/>
      </c>
      <c r="N7" s="91">
        <f>IFERROR(IF(('Team Strength'!$A7)="","",SUMIF(Goalie[Fantasy Team], 'Team Strength'!$A7,Goalie[SV]))/IF(('Team Strength'!$A7)="","",SUMIF(Goalie[Fantasy Team], 'Team Strength'!$A7,Goalie[SA])),0)</f>
        <v>0</v>
      </c>
      <c r="O7" s="91">
        <f>IFERROR(IF(('Team Strength'!$A7)="","",SUMIF(Goalie[Fantasy Team], 'Team Strength'!$A7,Goalie[GA]))/IF(('Team Strength'!$A7)="","",SUMIF(Goalie[Fantasy Team], 'Team Strength'!$A7,Goalie[GP])),100)</f>
        <v>100</v>
      </c>
      <c r="P7" s="92" t="str">
        <f>IF(('Team Strength'!$A7)="","",SUMIF(Proj[Fantasy Team], 'Team Strength'!$A7,Proj[VOR]))</f>
        <v/>
      </c>
      <c r="Q7" s="10"/>
      <c r="R7" s="10"/>
      <c r="S7" s="10"/>
      <c r="T7" s="9"/>
      <c r="U7" s="9"/>
    </row>
    <row r="8" spans="1:21" x14ac:dyDescent="0.25">
      <c r="A8" s="70"/>
      <c r="B8" s="17" t="str">
        <f>IF('Team Strength'!$A8 = "","",COUNTIF(Proj[Fantasy Team], 'Team Strength'!$A8))</f>
        <v/>
      </c>
      <c r="C8" s="11" t="str">
        <f>IF('Team Strength'!$A8 ="","",SUMIF(Proj[Fantasy Team], 'Team Strength'!$A8,Proj[Goals]))</f>
        <v/>
      </c>
      <c r="D8" s="11" t="str">
        <f>IF(('Team Strength'!$A8)="","",SUMIF(Proj[Fantasy Team],  'Team Strength'!$A8,Proj[Assists]))</f>
        <v/>
      </c>
      <c r="E8" s="70" t="str">
        <f>IF(('Team Strength'!$A8)="","",SUMIF(Proj[Fantasy Team], 'Team Strength'!$A8,Proj[Points]))</f>
        <v/>
      </c>
      <c r="F8" s="17" t="str">
        <f>IF(('Team Strength'!$A8)="","",SUMIF(Proj[Fantasy Team], 'Team Strength'!$A8,Proj[PP Points]))</f>
        <v/>
      </c>
      <c r="G8" s="11" t="str">
        <f>IF(('Team Strength'!$A8)="","",SUMIF(Proj[Fantasy Team],  'Team Strength'!$A8,Proj[Hits]))</f>
        <v/>
      </c>
      <c r="H8" s="11" t="str">
        <f>IF(('Team Strength'!$A8)="","",SUMIF(Proj[Fantasy Team], 'Team Strength'!$A8,Proj[BLK]))</f>
        <v/>
      </c>
      <c r="I8" s="11" t="str">
        <f>IF(('Team Strength'!$A8)="","",SUMIF(Proj[Fantasy Team], 'Team Strength'!$A8,Proj[PIM]))</f>
        <v/>
      </c>
      <c r="J8" s="11" t="str">
        <f>IF(('Team Strength'!$A8)="","",SUMIF(Proj[Fantasy Team], 'Team Strength'!$A8,Proj[FOW]))</f>
        <v/>
      </c>
      <c r="K8" s="11" t="str">
        <f>IF(('Team Strength'!$A8)="","",SUMIF(Proj[Fantasy Team], 'Team Strength'!$A8,Proj[SOG]))</f>
        <v/>
      </c>
      <c r="L8" s="11" t="str">
        <f>IF(('Team Strength'!$A8)="","",SUMIF(Goalie[Fantasy Team], 'Team Strength'!$A8,Goalie[W]))</f>
        <v/>
      </c>
      <c r="M8" s="11" t="str">
        <f>IF(('Team Strength'!$A8)="","",SUMIF(Goalie[Fantasy Team], 'Team Strength'!$A8,Goalie[SV]))</f>
        <v/>
      </c>
      <c r="N8" s="11">
        <f>IFERROR(IF(('Team Strength'!$A8)="","",SUMIF(Goalie[Fantasy Team], 'Team Strength'!$A8,Goalie[SV]))/IF(('Team Strength'!$A8)="","",SUMIF(Goalie[Fantasy Team], 'Team Strength'!$A8,Goalie[SA])),0)</f>
        <v>0</v>
      </c>
      <c r="O8" s="11">
        <f>IFERROR(IF(('Team Strength'!$A8)="","",SUMIF(Goalie[Fantasy Team], 'Team Strength'!$A8,Goalie[GA]))/IF(('Team Strength'!$A8)="","",SUMIF(Goalie[Fantasy Team], 'Team Strength'!$A8,Goalie[GP])),100)</f>
        <v>100</v>
      </c>
      <c r="P8" s="90" t="str">
        <f>IF(('Team Strength'!$A8)="","",SUMIF(Proj[Fantasy Team], 'Team Strength'!$A8,Proj[VOR]))</f>
        <v/>
      </c>
      <c r="Q8" s="10"/>
      <c r="R8" s="10"/>
      <c r="S8" s="10"/>
      <c r="T8" s="9"/>
      <c r="U8" s="9"/>
    </row>
    <row r="9" spans="1:21" x14ac:dyDescent="0.25">
      <c r="A9" s="19"/>
      <c r="B9" s="2" t="str">
        <f>IF('Team Strength'!$A9 = "","",COUNTIF(Proj[Fantasy Team], 'Team Strength'!$A9))</f>
        <v/>
      </c>
      <c r="C9" s="91" t="str">
        <f>IF('Team Strength'!$A9 ="","",SUMIF(Proj[Fantasy Team], 'Team Strength'!$A9,Proj[Goals]))</f>
        <v/>
      </c>
      <c r="D9" s="91" t="str">
        <f>IF(('Team Strength'!$A9)="","",SUMIF(Proj[Fantasy Team],  'Team Strength'!$A9,Proj[Assists]))</f>
        <v/>
      </c>
      <c r="E9" s="19" t="str">
        <f>IF(('Team Strength'!$A9)="","",SUMIF(Proj[Fantasy Team], 'Team Strength'!$A9,Proj[Points]))</f>
        <v/>
      </c>
      <c r="F9" s="2" t="str">
        <f>IF(('Team Strength'!$A9)="","",SUMIF(Proj[Fantasy Team], 'Team Strength'!$A9,Proj[PP Points]))</f>
        <v/>
      </c>
      <c r="G9" s="91" t="str">
        <f>IF(('Team Strength'!$A9)="","",SUMIF(Proj[Fantasy Team],  'Team Strength'!$A9,Proj[Hits]))</f>
        <v/>
      </c>
      <c r="H9" s="91" t="str">
        <f>IF(('Team Strength'!$A9)="","",SUMIF(Proj[Fantasy Team], 'Team Strength'!$A9,Proj[BLK]))</f>
        <v/>
      </c>
      <c r="I9" s="91" t="str">
        <f>IF(('Team Strength'!$A9)="","",SUMIF(Proj[Fantasy Team], 'Team Strength'!$A9,Proj[PIM]))</f>
        <v/>
      </c>
      <c r="J9" s="91" t="str">
        <f>IF(('Team Strength'!$A9)="","",SUMIF(Proj[Fantasy Team], 'Team Strength'!$A9,Proj[FOW]))</f>
        <v/>
      </c>
      <c r="K9" s="91" t="str">
        <f>IF(('Team Strength'!$A9)="","",SUMIF(Proj[Fantasy Team], 'Team Strength'!$A9,Proj[SOG]))</f>
        <v/>
      </c>
      <c r="L9" s="91" t="str">
        <f>IF(('Team Strength'!$A9)="","",SUMIF(Goalie[Fantasy Team], 'Team Strength'!$A9,Goalie[W]))</f>
        <v/>
      </c>
      <c r="M9" s="91" t="str">
        <f>IF(('Team Strength'!$A9)="","",SUMIF(Goalie[Fantasy Team], 'Team Strength'!$A9,Goalie[SV]))</f>
        <v/>
      </c>
      <c r="N9" s="91">
        <f>IFERROR(IF(('Team Strength'!$A9)="","",SUMIF(Goalie[Fantasy Team], 'Team Strength'!$A9,Goalie[SV]))/IF(('Team Strength'!$A9)="","",SUMIF(Goalie[Fantasy Team], 'Team Strength'!$A9,Goalie[SA])),0)</f>
        <v>0</v>
      </c>
      <c r="O9" s="91">
        <f>IFERROR(IF(('Team Strength'!$A9)="","",SUMIF(Goalie[Fantasy Team], 'Team Strength'!$A9,Goalie[GA]))/IF(('Team Strength'!$A9)="","",SUMIF(Goalie[Fantasy Team], 'Team Strength'!$A9,Goalie[GP])),100)</f>
        <v>100</v>
      </c>
      <c r="P9" s="92" t="str">
        <f>IF(('Team Strength'!$A9)="","",SUMIF(Proj[Fantasy Team], 'Team Strength'!$A9,Proj[VOR]))</f>
        <v/>
      </c>
      <c r="Q9" s="10"/>
      <c r="R9" s="10"/>
      <c r="S9" s="10"/>
      <c r="T9" s="9"/>
      <c r="U9" s="9"/>
    </row>
    <row r="10" spans="1:21" x14ac:dyDescent="0.25">
      <c r="A10" s="70"/>
      <c r="B10" s="17" t="str">
        <f>IF('Team Strength'!$A10 = "","",COUNTIF(Proj[Fantasy Team], 'Team Strength'!$A10))</f>
        <v/>
      </c>
      <c r="C10" s="11" t="str">
        <f>IF('Team Strength'!$A10 ="","",SUMIF(Proj[Fantasy Team], 'Team Strength'!$A10,Proj[Goals]))</f>
        <v/>
      </c>
      <c r="D10" s="11" t="str">
        <f>IF(('Team Strength'!$A10)="","",SUMIF(Proj[Fantasy Team],  'Team Strength'!$A10,Proj[Assists]))</f>
        <v/>
      </c>
      <c r="E10" s="70" t="str">
        <f>IF(('Team Strength'!$A10)="","",SUMIF(Proj[Fantasy Team], 'Team Strength'!$A10,Proj[Points]))</f>
        <v/>
      </c>
      <c r="F10" s="17" t="str">
        <f>IF(('Team Strength'!$A10)="","",SUMIF(Proj[Fantasy Team], 'Team Strength'!$A10,Proj[PP Points]))</f>
        <v/>
      </c>
      <c r="G10" s="11" t="str">
        <f>IF(('Team Strength'!$A10)="","",SUMIF(Proj[Fantasy Team],  'Team Strength'!$A10,Proj[Hits]))</f>
        <v/>
      </c>
      <c r="H10" s="11" t="str">
        <f>IF(('Team Strength'!$A10)="","",SUMIF(Proj[Fantasy Team], 'Team Strength'!$A10,Proj[BLK]))</f>
        <v/>
      </c>
      <c r="I10" s="11" t="str">
        <f>IF(('Team Strength'!$A10)="","",SUMIF(Proj[Fantasy Team], 'Team Strength'!$A10,Proj[PIM]))</f>
        <v/>
      </c>
      <c r="J10" s="11" t="str">
        <f>IF(('Team Strength'!$A10)="","",SUMIF(Proj[Fantasy Team], 'Team Strength'!$A10,Proj[FOW]))</f>
        <v/>
      </c>
      <c r="K10" s="11" t="str">
        <f>IF(('Team Strength'!$A10)="","",SUMIF(Proj[Fantasy Team], 'Team Strength'!$A10,Proj[SOG]))</f>
        <v/>
      </c>
      <c r="L10" s="11" t="str">
        <f>IF(('Team Strength'!$A10)="","",SUMIF(Goalie[Fantasy Team], 'Team Strength'!$A10,Goalie[W]))</f>
        <v/>
      </c>
      <c r="M10" s="11" t="str">
        <f>IF(('Team Strength'!$A10)="","",SUMIF(Goalie[Fantasy Team], 'Team Strength'!$A10,Goalie[SV]))</f>
        <v/>
      </c>
      <c r="N10" s="11">
        <f>IFERROR(IF(('Team Strength'!$A10)="","",SUMIF(Goalie[Fantasy Team], 'Team Strength'!$A10,Goalie[SV]))/IF(('Team Strength'!$A10)="","",SUMIF(Goalie[Fantasy Team], 'Team Strength'!$A10,Goalie[SA])),0)</f>
        <v>0</v>
      </c>
      <c r="O10" s="11">
        <f>IFERROR(IF(('Team Strength'!$A10)="","",SUMIF(Goalie[Fantasy Team], 'Team Strength'!$A10,Goalie[GA]))/IF(('Team Strength'!$A10)="","",SUMIF(Goalie[Fantasy Team], 'Team Strength'!$A10,Goalie[GP])),100)</f>
        <v>100</v>
      </c>
      <c r="P10" s="90" t="str">
        <f>IF(('Team Strength'!$A10)="","",SUMIF(Proj[Fantasy Team], 'Team Strength'!$A10,Proj[VOR]))</f>
        <v/>
      </c>
      <c r="Q10" s="10"/>
      <c r="R10" s="10"/>
      <c r="S10" s="10"/>
      <c r="T10" s="9"/>
      <c r="U10" s="9"/>
    </row>
    <row r="11" spans="1:21" x14ac:dyDescent="0.25">
      <c r="A11" s="19"/>
      <c r="B11" s="2" t="str">
        <f>IF('Team Strength'!$A11 = "","",COUNTIF(Proj[Fantasy Team], 'Team Strength'!$A11))</f>
        <v/>
      </c>
      <c r="C11" s="91" t="str">
        <f>IF('Team Strength'!$A11 ="","",SUMIF(Proj[Fantasy Team], 'Team Strength'!$A11,Proj[Goals]))</f>
        <v/>
      </c>
      <c r="D11" s="91" t="str">
        <f>IF(('Team Strength'!$A11)="","",SUMIF(Proj[Fantasy Team],  'Team Strength'!$A11,Proj[Assists]))</f>
        <v/>
      </c>
      <c r="E11" s="19" t="str">
        <f>IF(('Team Strength'!$A11)="","",SUMIF(Proj[Fantasy Team], 'Team Strength'!$A11,Proj[Points]))</f>
        <v/>
      </c>
      <c r="F11" s="2" t="str">
        <f>IF(('Team Strength'!$A11)="","",SUMIF(Proj[Fantasy Team], 'Team Strength'!$A11,Proj[PP Points]))</f>
        <v/>
      </c>
      <c r="G11" s="91" t="str">
        <f>IF(('Team Strength'!$A11)="","",SUMIF(Proj[Fantasy Team],  'Team Strength'!$A11,Proj[Hits]))</f>
        <v/>
      </c>
      <c r="H11" s="91" t="str">
        <f>IF(('Team Strength'!$A11)="","",SUMIF(Proj[Fantasy Team], 'Team Strength'!$A11,Proj[BLK]))</f>
        <v/>
      </c>
      <c r="I11" s="91" t="str">
        <f>IF(('Team Strength'!$A11)="","",SUMIF(Proj[Fantasy Team], 'Team Strength'!$A11,Proj[PIM]))</f>
        <v/>
      </c>
      <c r="J11" s="91" t="str">
        <f>IF(('Team Strength'!$A11)="","",SUMIF(Proj[Fantasy Team], 'Team Strength'!$A11,Proj[FOW]))</f>
        <v/>
      </c>
      <c r="K11" s="91" t="str">
        <f>IF(('Team Strength'!$A11)="","",SUMIF(Proj[Fantasy Team], 'Team Strength'!$A11,Proj[SOG]))</f>
        <v/>
      </c>
      <c r="L11" s="91" t="str">
        <f>IF(('Team Strength'!$A11)="","",SUMIF(Goalie[Fantasy Team], 'Team Strength'!$A11,Goalie[W]))</f>
        <v/>
      </c>
      <c r="M11" s="91" t="str">
        <f>IF(('Team Strength'!$A11)="","",SUMIF(Goalie[Fantasy Team], 'Team Strength'!$A11,Goalie[SV]))</f>
        <v/>
      </c>
      <c r="N11" s="91">
        <f>IFERROR(IF(('Team Strength'!$A11)="","",SUMIF(Goalie[Fantasy Team], 'Team Strength'!$A11,Goalie[SV]))/IF(('Team Strength'!$A11)="","",SUMIF(Goalie[Fantasy Team], 'Team Strength'!$A11,Goalie[SA])),0)</f>
        <v>0</v>
      </c>
      <c r="O11" s="91">
        <f>IFERROR(IF(('Team Strength'!$A11)="","",SUMIF(Goalie[Fantasy Team], 'Team Strength'!$A11,Goalie[GA]))/IF(('Team Strength'!$A11)="","",SUMIF(Goalie[Fantasy Team], 'Team Strength'!$A11,Goalie[GP])),100)</f>
        <v>100</v>
      </c>
      <c r="P11" s="92" t="str">
        <f>IF(('Team Strength'!$A11)="","",SUMIF(Proj[Fantasy Team], 'Team Strength'!$A11,Proj[VOR]))</f>
        <v/>
      </c>
      <c r="Q11" s="10"/>
      <c r="R11" s="10"/>
      <c r="S11" s="10"/>
      <c r="T11" s="9"/>
      <c r="U11" s="9"/>
    </row>
    <row r="12" spans="1:21" x14ac:dyDescent="0.25">
      <c r="A12" s="70"/>
      <c r="B12" s="17" t="str">
        <f>IF('Team Strength'!$A12 = "","",COUNTIF(Proj[Fantasy Team], 'Team Strength'!$A12))</f>
        <v/>
      </c>
      <c r="C12" s="11" t="str">
        <f>IF('Team Strength'!$A12 ="","",SUMIF(Proj[Fantasy Team], 'Team Strength'!$A12,Proj[Goals]))</f>
        <v/>
      </c>
      <c r="D12" s="11" t="str">
        <f>IF(('Team Strength'!$A12)="","",SUMIF(Proj[Fantasy Team],  'Team Strength'!$A12,Proj[Assists]))</f>
        <v/>
      </c>
      <c r="E12" s="70" t="str">
        <f>IF(('Team Strength'!$A12)="","",SUMIF(Proj[Fantasy Team], 'Team Strength'!$A12,Proj[Points]))</f>
        <v/>
      </c>
      <c r="F12" s="17" t="str">
        <f>IF(('Team Strength'!$A12)="","",SUMIF(Proj[Fantasy Team], 'Team Strength'!$A12,Proj[PP Points]))</f>
        <v/>
      </c>
      <c r="G12" s="11" t="str">
        <f>IF(('Team Strength'!$A12)="","",SUMIF(Proj[Fantasy Team],  'Team Strength'!$A12,Proj[Hits]))</f>
        <v/>
      </c>
      <c r="H12" s="11" t="str">
        <f>IF(('Team Strength'!$A12)="","",SUMIF(Proj[Fantasy Team], 'Team Strength'!$A12,Proj[BLK]))</f>
        <v/>
      </c>
      <c r="I12" s="11" t="str">
        <f>IF(('Team Strength'!$A12)="","",SUMIF(Proj[Fantasy Team], 'Team Strength'!$A12,Proj[PIM]))</f>
        <v/>
      </c>
      <c r="J12" s="11" t="str">
        <f>IF(('Team Strength'!$A12)="","",SUMIF(Proj[Fantasy Team], 'Team Strength'!$A12,Proj[FOW]))</f>
        <v/>
      </c>
      <c r="K12" s="11" t="str">
        <f>IF(('Team Strength'!$A12)="","",SUMIF(Proj[Fantasy Team], 'Team Strength'!$A12,Proj[SOG]))</f>
        <v/>
      </c>
      <c r="L12" s="11" t="str">
        <f>IF(('Team Strength'!$A12)="","",SUMIF(Goalie[Fantasy Team], 'Team Strength'!$A12,Goalie[W]))</f>
        <v/>
      </c>
      <c r="M12" s="11" t="str">
        <f>IF(('Team Strength'!$A12)="","",SUMIF(Goalie[Fantasy Team], 'Team Strength'!$A12,Goalie[SV]))</f>
        <v/>
      </c>
      <c r="N12" s="11">
        <f>IFERROR(IF(('Team Strength'!$A12)="","",SUMIF(Goalie[Fantasy Team], 'Team Strength'!$A12,Goalie[SV]))/IF(('Team Strength'!$A12)="","",SUMIF(Goalie[Fantasy Team], 'Team Strength'!$A12,Goalie[SA])),0)</f>
        <v>0</v>
      </c>
      <c r="O12" s="11">
        <f>IFERROR(IF(('Team Strength'!$A12)="","",SUMIF(Goalie[Fantasy Team], 'Team Strength'!$A12,Goalie[GA]))/IF(('Team Strength'!$A12)="","",SUMIF(Goalie[Fantasy Team], 'Team Strength'!$A12,Goalie[GP])),100)</f>
        <v>100</v>
      </c>
      <c r="P12" s="90" t="str">
        <f>IF(('Team Strength'!$A12)="","",SUMIF(Proj[Fantasy Team], 'Team Strength'!$A12,Proj[VOR]))</f>
        <v/>
      </c>
      <c r="Q12" s="10"/>
      <c r="R12" s="10"/>
      <c r="S12" s="10"/>
      <c r="T12" s="9"/>
      <c r="U12" s="9"/>
    </row>
    <row r="13" spans="1:21" x14ac:dyDescent="0.25">
      <c r="A13" s="19"/>
      <c r="B13" s="2" t="str">
        <f>IF('Team Strength'!$A13 = "","",COUNTIF(Proj[Fantasy Team], 'Team Strength'!$A13))</f>
        <v/>
      </c>
      <c r="C13" s="91" t="str">
        <f>IF('Team Strength'!$A13 ="","",SUMIF(Proj[Fantasy Team], 'Team Strength'!$A13,Proj[Goals]))</f>
        <v/>
      </c>
      <c r="D13" s="91" t="str">
        <f>IF(('Team Strength'!$A13)="","",SUMIF(Proj[Fantasy Team],  'Team Strength'!$A13,Proj[Assists]))</f>
        <v/>
      </c>
      <c r="E13" s="19" t="str">
        <f>IF(('Team Strength'!$A13)="","",SUMIF(Proj[Fantasy Team], 'Team Strength'!$A13,Proj[Points]))</f>
        <v/>
      </c>
      <c r="F13" s="2" t="str">
        <f>IF(('Team Strength'!$A13)="","",SUMIF(Proj[Fantasy Team], 'Team Strength'!$A13,Proj[PP Points]))</f>
        <v/>
      </c>
      <c r="G13" s="91" t="str">
        <f>IF(('Team Strength'!$A13)="","",SUMIF(Proj[Fantasy Team],  'Team Strength'!$A13,Proj[Hits]))</f>
        <v/>
      </c>
      <c r="H13" s="91" t="str">
        <f>IF(('Team Strength'!$A13)="","",SUMIF(Proj[Fantasy Team], 'Team Strength'!$A13,Proj[BLK]))</f>
        <v/>
      </c>
      <c r="I13" s="91" t="str">
        <f>IF(('Team Strength'!$A13)="","",SUMIF(Proj[Fantasy Team], 'Team Strength'!$A13,Proj[PIM]))</f>
        <v/>
      </c>
      <c r="J13" s="91" t="str">
        <f>IF(('Team Strength'!$A13)="","",SUMIF(Proj[Fantasy Team], 'Team Strength'!$A13,Proj[FOW]))</f>
        <v/>
      </c>
      <c r="K13" s="91" t="str">
        <f>IF(('Team Strength'!$A13)="","",SUMIF(Proj[Fantasy Team], 'Team Strength'!$A13,Proj[SOG]))</f>
        <v/>
      </c>
      <c r="L13" s="91" t="str">
        <f>IF(('Team Strength'!$A13)="","",SUMIF(Goalie[Fantasy Team], 'Team Strength'!$A13,Goalie[W]))</f>
        <v/>
      </c>
      <c r="M13" s="91" t="str">
        <f>IF(('Team Strength'!$A13)="","",SUMIF(Goalie[Fantasy Team], 'Team Strength'!$A13,Goalie[SV]))</f>
        <v/>
      </c>
      <c r="N13" s="91">
        <f>IFERROR(IF(('Team Strength'!$A13)="","",SUMIF(Goalie[Fantasy Team], 'Team Strength'!$A13,Goalie[SV]))/IF(('Team Strength'!$A13)="","",SUMIF(Goalie[Fantasy Team], 'Team Strength'!$A13,Goalie[SA])),0)</f>
        <v>0</v>
      </c>
      <c r="O13" s="91">
        <f>IFERROR(IF(('Team Strength'!$A13)="","",SUMIF(Goalie[Fantasy Team], 'Team Strength'!$A13,Goalie[GA]))/IF(('Team Strength'!$A13)="","",SUMIF(Goalie[Fantasy Team], 'Team Strength'!$A13,Goalie[GP])),100)</f>
        <v>100</v>
      </c>
      <c r="P13" s="92" t="str">
        <f>IF(('Team Strength'!$A13)="","",SUMIF(Proj[Fantasy Team], 'Team Strength'!$A13,Proj[VOR]))</f>
        <v/>
      </c>
      <c r="Q13" s="10"/>
      <c r="R13" s="10"/>
      <c r="S13" s="10"/>
      <c r="T13" s="9"/>
      <c r="U13" s="9"/>
    </row>
    <row r="14" spans="1:21" x14ac:dyDescent="0.25">
      <c r="A14" s="70"/>
      <c r="B14" s="17" t="str">
        <f>IF('Team Strength'!$A14 = "","",COUNTIF(Proj[Fantasy Team], 'Team Strength'!$A14))</f>
        <v/>
      </c>
      <c r="C14" s="11" t="str">
        <f>IF('Team Strength'!$A14 ="","",SUMIF(Proj[Fantasy Team], 'Team Strength'!$A14,Proj[Goals]))</f>
        <v/>
      </c>
      <c r="D14" s="11" t="str">
        <f>IF(('Team Strength'!$A14)="","",SUMIF(Proj[Fantasy Team],  'Team Strength'!$A14,Proj[Assists]))</f>
        <v/>
      </c>
      <c r="E14" s="70" t="str">
        <f>IF(('Team Strength'!$A14)="","",SUMIF(Proj[Fantasy Team], 'Team Strength'!$A14,Proj[Points]))</f>
        <v/>
      </c>
      <c r="F14" s="17" t="str">
        <f>IF(('Team Strength'!$A14)="","",SUMIF(Proj[Fantasy Team], 'Team Strength'!$A14,Proj[PP Points]))</f>
        <v/>
      </c>
      <c r="G14" s="11" t="str">
        <f>IF(('Team Strength'!$A14)="","",SUMIF(Proj[Fantasy Team],  'Team Strength'!$A14,Proj[Hits]))</f>
        <v/>
      </c>
      <c r="H14" s="11" t="str">
        <f>IF(('Team Strength'!$A14)="","",SUMIF(Proj[Fantasy Team], 'Team Strength'!$A14,Proj[BLK]))</f>
        <v/>
      </c>
      <c r="I14" s="11" t="str">
        <f>IF(('Team Strength'!$A14)="","",SUMIF(Proj[Fantasy Team], 'Team Strength'!$A14,Proj[PIM]))</f>
        <v/>
      </c>
      <c r="J14" s="11" t="str">
        <f>IF(('Team Strength'!$A14)="","",SUMIF(Proj[Fantasy Team], 'Team Strength'!$A14,Proj[FOW]))</f>
        <v/>
      </c>
      <c r="K14" s="11" t="str">
        <f>IF(('Team Strength'!$A14)="","",SUMIF(Proj[Fantasy Team], 'Team Strength'!$A14,Proj[SOG]))</f>
        <v/>
      </c>
      <c r="L14" s="11" t="str">
        <f>IF(('Team Strength'!$A14)="","",SUMIF(Goalie[Fantasy Team], 'Team Strength'!$A14,Goalie[W]))</f>
        <v/>
      </c>
      <c r="M14" s="11" t="str">
        <f>IF(('Team Strength'!$A14)="","",SUMIF(Goalie[Fantasy Team], 'Team Strength'!$A14,Goalie[SV]))</f>
        <v/>
      </c>
      <c r="N14" s="11">
        <f>IFERROR(IF(('Team Strength'!$A14)="","",SUMIF(Goalie[Fantasy Team], 'Team Strength'!$A14,Goalie[SV]))/IF(('Team Strength'!$A14)="","",SUMIF(Goalie[Fantasy Team], 'Team Strength'!$A14,Goalie[SA])),0)</f>
        <v>0</v>
      </c>
      <c r="O14" s="11">
        <f>IFERROR(IF(('Team Strength'!$A14)="","",SUMIF(Goalie[Fantasy Team], 'Team Strength'!$A14,Goalie[GA]))/IF(('Team Strength'!$A14)="","",SUMIF(Goalie[Fantasy Team], 'Team Strength'!$A14,Goalie[GP])),100)</f>
        <v>100</v>
      </c>
      <c r="P14" s="90" t="str">
        <f>IF(('Team Strength'!$A14)="","",SUMIF(Proj[Fantasy Team], 'Team Strength'!$A14,Proj[VOR]))</f>
        <v/>
      </c>
      <c r="Q14" s="10"/>
      <c r="R14" s="10"/>
      <c r="S14" s="10"/>
      <c r="T14" s="9"/>
      <c r="U14" s="9"/>
    </row>
    <row r="15" spans="1:21" x14ac:dyDescent="0.25">
      <c r="A15" s="19"/>
      <c r="B15" s="2" t="str">
        <f>IF('Team Strength'!$A15 = "","",COUNTIF(Proj[Fantasy Team], 'Team Strength'!$A15))</f>
        <v/>
      </c>
      <c r="C15" s="91" t="str">
        <f>IF('Team Strength'!$A15 ="","",SUMIF(Proj[Fantasy Team], 'Team Strength'!$A15,Proj[Goals]))</f>
        <v/>
      </c>
      <c r="D15" s="91" t="str">
        <f>IF(('Team Strength'!$A15)="","",SUMIF(Proj[Fantasy Team],  'Team Strength'!$A15,Proj[Assists]))</f>
        <v/>
      </c>
      <c r="E15" s="19" t="str">
        <f>IF(('Team Strength'!$A15)="","",SUMIF(Proj[Fantasy Team], 'Team Strength'!$A15,Proj[Points]))</f>
        <v/>
      </c>
      <c r="F15" s="2" t="str">
        <f>IF(('Team Strength'!$A15)="","",SUMIF(Proj[Fantasy Team], 'Team Strength'!$A15,Proj[PP Points]))</f>
        <v/>
      </c>
      <c r="G15" s="91" t="str">
        <f>IF(('Team Strength'!$A15)="","",SUMIF(Proj[Fantasy Team],  'Team Strength'!$A15,Proj[Hits]))</f>
        <v/>
      </c>
      <c r="H15" s="91" t="str">
        <f>IF(('Team Strength'!$A15)="","",SUMIF(Proj[Fantasy Team], 'Team Strength'!$A15,Proj[BLK]))</f>
        <v/>
      </c>
      <c r="I15" s="91" t="str">
        <f>IF(('Team Strength'!$A15)="","",SUMIF(Proj[Fantasy Team], 'Team Strength'!$A15,Proj[PIM]))</f>
        <v/>
      </c>
      <c r="J15" s="91" t="str">
        <f>IF(('Team Strength'!$A15)="","",SUMIF(Proj[Fantasy Team], 'Team Strength'!$A15,Proj[FOW]))</f>
        <v/>
      </c>
      <c r="K15" s="91" t="str">
        <f>IF(('Team Strength'!$A15)="","",SUMIF(Proj[Fantasy Team], 'Team Strength'!$A15,Proj[SOG]))</f>
        <v/>
      </c>
      <c r="L15" s="91" t="str">
        <f>IF(('Team Strength'!$A15)="","",SUMIF(Goalie[Fantasy Team], 'Team Strength'!$A15,Goalie[W]))</f>
        <v/>
      </c>
      <c r="M15" s="91" t="str">
        <f>IF(('Team Strength'!$A15)="","",SUMIF(Goalie[Fantasy Team], 'Team Strength'!$A15,Goalie[SV]))</f>
        <v/>
      </c>
      <c r="N15" s="91">
        <f>IFERROR(IF(('Team Strength'!$A15)="","",SUMIF(Goalie[Fantasy Team], 'Team Strength'!$A15,Goalie[SV]))/IF(('Team Strength'!$A15)="","",SUMIF(Goalie[Fantasy Team], 'Team Strength'!$A15,Goalie[SA])),0)</f>
        <v>0</v>
      </c>
      <c r="O15" s="91">
        <f>IFERROR(IF(('Team Strength'!$A15)="","",SUMIF(Goalie[Fantasy Team], 'Team Strength'!$A15,Goalie[GA]))/IF(('Team Strength'!$A15)="","",SUMIF(Goalie[Fantasy Team], 'Team Strength'!$A15,Goalie[GP])),100)</f>
        <v>100</v>
      </c>
      <c r="P15" s="92" t="str">
        <f>IF(('Team Strength'!$A15)="","",SUMIF(Proj[Fantasy Team], 'Team Strength'!$A15,Proj[VOR]))</f>
        <v/>
      </c>
      <c r="Q15" s="10"/>
      <c r="R15" s="10"/>
      <c r="S15" s="10"/>
      <c r="T15" s="9"/>
      <c r="U15" s="9"/>
    </row>
    <row r="16" spans="1:21" x14ac:dyDescent="0.25">
      <c r="A16" s="70"/>
      <c r="B16" s="17" t="str">
        <f>IF('Team Strength'!$A16 = "","",COUNTIF(Proj[Fantasy Team], 'Team Strength'!$A16))</f>
        <v/>
      </c>
      <c r="C16" s="11" t="str">
        <f>IF('Team Strength'!$A16 ="","",SUMIF(Proj[Fantasy Team], 'Team Strength'!$A16,Proj[Goals]))</f>
        <v/>
      </c>
      <c r="D16" s="11" t="str">
        <f>IF(('Team Strength'!$A16)="","",SUMIF(Proj[Fantasy Team],  'Team Strength'!$A16,Proj[Assists]))</f>
        <v/>
      </c>
      <c r="E16" s="70" t="str">
        <f>IF(('Team Strength'!$A16)="","",SUMIF(Proj[Fantasy Team], 'Team Strength'!$A16,Proj[Points]))</f>
        <v/>
      </c>
      <c r="F16" s="17" t="str">
        <f>IF(('Team Strength'!$A16)="","",SUMIF(Proj[Fantasy Team], 'Team Strength'!$A16,Proj[PP Points]))</f>
        <v/>
      </c>
      <c r="G16" s="11" t="str">
        <f>IF(('Team Strength'!$A16)="","",SUMIF(Proj[Fantasy Team],  'Team Strength'!$A16,Proj[Hits]))</f>
        <v/>
      </c>
      <c r="H16" s="11" t="str">
        <f>IF(('Team Strength'!$A16)="","",SUMIF(Proj[Fantasy Team], 'Team Strength'!$A16,Proj[BLK]))</f>
        <v/>
      </c>
      <c r="I16" s="11" t="str">
        <f>IF(('Team Strength'!$A16)="","",SUMIF(Proj[Fantasy Team], 'Team Strength'!$A16,Proj[PIM]))</f>
        <v/>
      </c>
      <c r="J16" s="11" t="str">
        <f>IF(('Team Strength'!$A16)="","",SUMIF(Proj[Fantasy Team], 'Team Strength'!$A16,Proj[FOW]))</f>
        <v/>
      </c>
      <c r="K16" s="11" t="str">
        <f>IF(('Team Strength'!$A16)="","",SUMIF(Proj[Fantasy Team], 'Team Strength'!$A16,Proj[SOG]))</f>
        <v/>
      </c>
      <c r="L16" s="11" t="str">
        <f>IF(('Team Strength'!$A16)="","",SUMIF(Goalie[Fantasy Team], 'Team Strength'!$A16,Goalie[W]))</f>
        <v/>
      </c>
      <c r="M16" s="11" t="str">
        <f>IF(('Team Strength'!$A16)="","",SUMIF(Goalie[Fantasy Team], 'Team Strength'!$A16,Goalie[SV]))</f>
        <v/>
      </c>
      <c r="N16" s="11">
        <f>IFERROR(IF(('Team Strength'!$A16)="","",SUMIF(Goalie[Fantasy Team], 'Team Strength'!$A16,Goalie[SV]))/IF(('Team Strength'!$A16)="","",SUMIF(Goalie[Fantasy Team], 'Team Strength'!$A16,Goalie[SA])),0)</f>
        <v>0</v>
      </c>
      <c r="O16" s="11">
        <f>IFERROR(IF(('Team Strength'!$A16)="","",SUMIF(Goalie[Fantasy Team], 'Team Strength'!$A16,Goalie[GA]))/IF(('Team Strength'!$A16)="","",SUMIF(Goalie[Fantasy Team], 'Team Strength'!$A16,Goalie[GP])),100)</f>
        <v>100</v>
      </c>
      <c r="P16" s="90" t="str">
        <f>IF(('Team Strength'!$A16)="","",SUMIF(Proj[Fantasy Team], 'Team Strength'!$A16,Proj[VOR]))</f>
        <v/>
      </c>
      <c r="Q16" s="10"/>
      <c r="R16" s="10"/>
      <c r="S16" s="10"/>
      <c r="T16" s="9"/>
      <c r="U16" s="9"/>
    </row>
    <row r="17" spans="1:21" x14ac:dyDescent="0.25">
      <c r="A17" s="19"/>
      <c r="B17" s="2" t="str">
        <f>IF('Team Strength'!$A17 = "","",COUNTIF(Proj[Fantasy Team], 'Team Strength'!$A17))</f>
        <v/>
      </c>
      <c r="C17" s="91" t="str">
        <f>IF('Team Strength'!$A17 ="","",SUMIF(Proj[Fantasy Team], 'Team Strength'!$A17,Proj[Goals]))</f>
        <v/>
      </c>
      <c r="D17" s="91" t="str">
        <f>IF(('Team Strength'!$A17)="","",SUMIF(Proj[Fantasy Team],  'Team Strength'!$A17,Proj[Assists]))</f>
        <v/>
      </c>
      <c r="E17" s="19" t="str">
        <f>IF(('Team Strength'!$A17)="","",SUMIF(Proj[Fantasy Team], 'Team Strength'!$A17,Proj[Points]))</f>
        <v/>
      </c>
      <c r="F17" s="2" t="str">
        <f>IF(('Team Strength'!$A17)="","",SUMIF(Proj[Fantasy Team], 'Team Strength'!$A17,Proj[PP Points]))</f>
        <v/>
      </c>
      <c r="G17" s="91" t="str">
        <f>IF(('Team Strength'!$A17)="","",SUMIF(Proj[Fantasy Team],  'Team Strength'!$A17,Proj[Hits]))</f>
        <v/>
      </c>
      <c r="H17" s="91" t="str">
        <f>IF(('Team Strength'!$A17)="","",SUMIF(Proj[Fantasy Team], 'Team Strength'!$A17,Proj[BLK]))</f>
        <v/>
      </c>
      <c r="I17" s="91" t="str">
        <f>IF(('Team Strength'!$A17)="","",SUMIF(Proj[Fantasy Team], 'Team Strength'!$A17,Proj[PIM]))</f>
        <v/>
      </c>
      <c r="J17" s="91" t="str">
        <f>IF(('Team Strength'!$A17)="","",SUMIF(Proj[Fantasy Team], 'Team Strength'!$A17,Proj[FOW]))</f>
        <v/>
      </c>
      <c r="K17" s="91" t="str">
        <f>IF(('Team Strength'!$A17)="","",SUMIF(Proj[Fantasy Team], 'Team Strength'!$A17,Proj[SOG]))</f>
        <v/>
      </c>
      <c r="L17" s="91" t="str">
        <f>IF(('Team Strength'!$A17)="","",SUMIF(Goalie[Fantasy Team], 'Team Strength'!$A17,Goalie[W]))</f>
        <v/>
      </c>
      <c r="M17" s="91" t="str">
        <f>IF(('Team Strength'!$A17)="","",SUMIF(Goalie[Fantasy Team], 'Team Strength'!$A17,Goalie[SV]))</f>
        <v/>
      </c>
      <c r="N17" s="91">
        <f>IFERROR(IF(('Team Strength'!$A17)="","",SUMIF(Goalie[Fantasy Team], 'Team Strength'!$A17,Goalie[SV]))/IF(('Team Strength'!$A17)="","",SUMIF(Goalie[Fantasy Team], 'Team Strength'!$A17,Goalie[SA])),0)</f>
        <v>0</v>
      </c>
      <c r="O17" s="91">
        <f>IFERROR(IF(('Team Strength'!$A17)="","",SUMIF(Goalie[Fantasy Team], 'Team Strength'!$A17,Goalie[GA]))/IF(('Team Strength'!$A17)="","",SUMIF(Goalie[Fantasy Team], 'Team Strength'!$A17,Goalie[GP])),100)</f>
        <v>100</v>
      </c>
      <c r="P17" s="92" t="str">
        <f>IF(('Team Strength'!$A17)="","",SUMIF(Proj[Fantasy Team], 'Team Strength'!$A17,Proj[VOR]))</f>
        <v/>
      </c>
      <c r="Q17" s="10"/>
      <c r="R17" s="10"/>
      <c r="S17" s="10"/>
      <c r="T17" s="9"/>
      <c r="U17" s="9"/>
    </row>
    <row r="18" spans="1:21" x14ac:dyDescent="0.25">
      <c r="A18" s="70"/>
      <c r="B18" s="17" t="str">
        <f>IF('Team Strength'!$A18 = "","",COUNTIF(Proj[Fantasy Team], 'Team Strength'!$A18))</f>
        <v/>
      </c>
      <c r="C18" s="11" t="str">
        <f>IF('Team Strength'!$A18 ="","",SUMIF(Proj[Fantasy Team], 'Team Strength'!$A18,Proj[Goals]))</f>
        <v/>
      </c>
      <c r="D18" s="11" t="str">
        <f>IF(('Team Strength'!$A18)="","",SUMIF(Proj[Fantasy Team],  'Team Strength'!$A18,Proj[Assists]))</f>
        <v/>
      </c>
      <c r="E18" s="70" t="str">
        <f>IF(('Team Strength'!$A18)="","",SUMIF(Proj[Fantasy Team], 'Team Strength'!$A18,Proj[Points]))</f>
        <v/>
      </c>
      <c r="F18" s="17" t="str">
        <f>IF(('Team Strength'!$A18)="","",SUMIF(Proj[Fantasy Team], 'Team Strength'!$A18,Proj[PP Points]))</f>
        <v/>
      </c>
      <c r="G18" s="11" t="str">
        <f>IF(('Team Strength'!$A18)="","",SUMIF(Proj[Fantasy Team],  'Team Strength'!$A18,Proj[Hits]))</f>
        <v/>
      </c>
      <c r="H18" s="11" t="str">
        <f>IF(('Team Strength'!$A18)="","",SUMIF(Proj[Fantasy Team], 'Team Strength'!$A18,Proj[BLK]))</f>
        <v/>
      </c>
      <c r="I18" s="11" t="str">
        <f>IF(('Team Strength'!$A18)="","",SUMIF(Proj[Fantasy Team], 'Team Strength'!$A18,Proj[PIM]))</f>
        <v/>
      </c>
      <c r="J18" s="11" t="str">
        <f>IF(('Team Strength'!$A18)="","",SUMIF(Proj[Fantasy Team], 'Team Strength'!$A18,Proj[FOW]))</f>
        <v/>
      </c>
      <c r="K18" s="11" t="str">
        <f>IF(('Team Strength'!$A18)="","",SUMIF(Proj[Fantasy Team], 'Team Strength'!$A18,Proj[SOG]))</f>
        <v/>
      </c>
      <c r="L18" s="11" t="str">
        <f>IF(('Team Strength'!$A18)="","",SUMIF(Goalie[Fantasy Team], 'Team Strength'!$A18,Goalie[W]))</f>
        <v/>
      </c>
      <c r="M18" s="11" t="str">
        <f>IF(('Team Strength'!$A18)="","",SUMIF(Goalie[Fantasy Team], 'Team Strength'!$A18,Goalie[SV]))</f>
        <v/>
      </c>
      <c r="N18" s="11">
        <f>IFERROR(IF(('Team Strength'!$A18)="","",SUMIF(Goalie[Fantasy Team], 'Team Strength'!$A18,Goalie[SV]))/IF(('Team Strength'!$A18)="","",SUMIF(Goalie[Fantasy Team], 'Team Strength'!$A18,Goalie[SA])),0)</f>
        <v>0</v>
      </c>
      <c r="O18" s="11">
        <f>IFERROR(IF(('Team Strength'!$A18)="","",SUMIF(Goalie[Fantasy Team], 'Team Strength'!$A18,Goalie[GA]))/IF(('Team Strength'!$A18)="","",SUMIF(Goalie[Fantasy Team], 'Team Strength'!$A18,Goalie[GP])),100)</f>
        <v>100</v>
      </c>
      <c r="P18" s="90" t="str">
        <f>IF(('Team Strength'!$A18)="","",SUMIF(Proj[Fantasy Team], 'Team Strength'!$A18,Proj[VOR]))</f>
        <v/>
      </c>
      <c r="Q18" s="10"/>
      <c r="R18" s="10"/>
      <c r="S18" s="10"/>
      <c r="T18" s="9"/>
      <c r="U18" s="9"/>
    </row>
    <row r="19" spans="1:21" x14ac:dyDescent="0.25">
      <c r="A19" s="70"/>
      <c r="B19" s="17" t="str">
        <f>IF('Team Strength'!$A19 = "","",COUNTIF(Proj[Fantasy Team], 'Team Strength'!$A19))</f>
        <v/>
      </c>
      <c r="C19" s="11" t="str">
        <f>IF('Team Strength'!$A19 ="","",SUMIF(Proj[Fantasy Team], 'Team Strength'!$A19,Proj[Goals]))</f>
        <v/>
      </c>
      <c r="D19" s="11" t="str">
        <f>IF(('Team Strength'!$A19)="","",SUMIF(Proj[Fantasy Team],  'Team Strength'!$A19,Proj[Assists]))</f>
        <v/>
      </c>
      <c r="E19" s="70" t="str">
        <f>IF(('Team Strength'!$A19)="","",SUMIF(Proj[Fantasy Team], 'Team Strength'!$A19,Proj[Points]))</f>
        <v/>
      </c>
      <c r="F19" s="17" t="str">
        <f>IF(('Team Strength'!$A19)="","",SUMIF(Proj[Fantasy Team], 'Team Strength'!$A19,Proj[PP Points]))</f>
        <v/>
      </c>
      <c r="G19" s="11" t="str">
        <f>IF(('Team Strength'!$A19)="","",SUMIF(Proj[Fantasy Team],  'Team Strength'!$A19,Proj[Hits]))</f>
        <v/>
      </c>
      <c r="H19" s="11" t="str">
        <f>IF(('Team Strength'!$A19)="","",SUMIF(Proj[Fantasy Team], 'Team Strength'!$A19,Proj[BLK]))</f>
        <v/>
      </c>
      <c r="I19" s="11" t="str">
        <f>IF(('Team Strength'!$A19)="","",SUMIF(Proj[Fantasy Team], 'Team Strength'!$A19,Proj[PIM]))</f>
        <v/>
      </c>
      <c r="J19" s="11" t="str">
        <f>IF(('Team Strength'!$A19)="","",SUMIF(Proj[Fantasy Team], 'Team Strength'!$A19,Proj[FOW]))</f>
        <v/>
      </c>
      <c r="K19" s="11" t="str">
        <f>IF(('Team Strength'!$A19)="","",SUMIF(Proj[Fantasy Team], 'Team Strength'!$A19,Proj[SOG]))</f>
        <v/>
      </c>
      <c r="L19" s="11" t="str">
        <f>IF(('Team Strength'!$A19)="","",SUMIF(Goalie[Fantasy Team], 'Team Strength'!$A19,Goalie[W]))</f>
        <v/>
      </c>
      <c r="M19" s="11" t="str">
        <f>IF(('Team Strength'!$A19)="","",SUMIF(Goalie[Fantasy Team], 'Team Strength'!$A19,Goalie[SV]))</f>
        <v/>
      </c>
      <c r="N19" s="11">
        <f>IFERROR(IF(('Team Strength'!$A19)="","",SUMIF(Goalie[Fantasy Team], 'Team Strength'!$A19,Goalie[SV]))/IF(('Team Strength'!$A19)="","",SUMIF(Goalie[Fantasy Team], 'Team Strength'!$A19,Goalie[SA])),0)</f>
        <v>0</v>
      </c>
      <c r="O19" s="11">
        <f>IFERROR(IF(('Team Strength'!$A19)="","",SUMIF(Goalie[Fantasy Team], 'Team Strength'!$A19,Goalie[GA]))/IF(('Team Strength'!$A19)="","",SUMIF(Goalie[Fantasy Team], 'Team Strength'!$A19,Goalie[GP])),100)</f>
        <v>100</v>
      </c>
      <c r="P19" s="90" t="str">
        <f>IF(('Team Strength'!$A19)="","",SUMIF(Proj[Fantasy Team], 'Team Strength'!$A19,Proj[VOR]))</f>
        <v/>
      </c>
      <c r="Q19" s="10"/>
      <c r="R19" s="10"/>
      <c r="S19" s="10"/>
      <c r="T19" s="9"/>
      <c r="U19" s="9"/>
    </row>
    <row r="20" spans="1:21" x14ac:dyDescent="0.25">
      <c r="A20" s="19"/>
      <c r="B20" s="2" t="str">
        <f>IF('Team Strength'!$A20 = "","",COUNTIF(Proj[Fantasy Team], 'Team Strength'!$A20))</f>
        <v/>
      </c>
      <c r="C20" s="91" t="str">
        <f>IF('Team Strength'!$A20 ="","",SUMIF(Proj[Fantasy Team], 'Team Strength'!$A20,Proj[Goals]))</f>
        <v/>
      </c>
      <c r="D20" s="91" t="str">
        <f>IF(('Team Strength'!$A20)="","",SUMIF(Proj[Fantasy Team],  'Team Strength'!$A20,Proj[Assists]))</f>
        <v/>
      </c>
      <c r="E20" s="19" t="str">
        <f>IF(('Team Strength'!$A20)="","",SUMIF(Proj[Fantasy Team], 'Team Strength'!$A20,Proj[Points]))</f>
        <v/>
      </c>
      <c r="F20" s="2" t="str">
        <f>IF(('Team Strength'!$A20)="","",SUMIF(Proj[Fantasy Team], 'Team Strength'!$A20,Proj[PP Points]))</f>
        <v/>
      </c>
      <c r="G20" s="91" t="str">
        <f>IF(('Team Strength'!$A20)="","",SUMIF(Proj[Fantasy Team],  'Team Strength'!$A20,Proj[Hits]))</f>
        <v/>
      </c>
      <c r="H20" s="91" t="str">
        <f>IF(('Team Strength'!$A20)="","",SUMIF(Proj[Fantasy Team], 'Team Strength'!$A20,Proj[BLK]))</f>
        <v/>
      </c>
      <c r="I20" s="91" t="str">
        <f>IF(('Team Strength'!$A20)="","",SUMIF(Proj[Fantasy Team], 'Team Strength'!$A20,Proj[PIM]))</f>
        <v/>
      </c>
      <c r="J20" s="91" t="str">
        <f>IF(('Team Strength'!$A20)="","",SUMIF(Proj[Fantasy Team], 'Team Strength'!$A20,Proj[FOW]))</f>
        <v/>
      </c>
      <c r="K20" s="91" t="str">
        <f>IF(('Team Strength'!$A20)="","",SUMIF(Proj[Fantasy Team], 'Team Strength'!$A20,Proj[SOG]))</f>
        <v/>
      </c>
      <c r="L20" s="91" t="str">
        <f>IF(('Team Strength'!$A20)="","",SUMIF(Goalie[Fantasy Team], 'Team Strength'!$A20,Goalie[W]))</f>
        <v/>
      </c>
      <c r="M20" s="91" t="str">
        <f>IF(('Team Strength'!$A20)="","",SUMIF(Goalie[Fantasy Team], 'Team Strength'!$A20,Goalie[SV]))</f>
        <v/>
      </c>
      <c r="N20" s="91">
        <f>IFERROR(IF(('Team Strength'!$A20)="","",SUMIF(Goalie[Fantasy Team], 'Team Strength'!$A20,Goalie[SV]))/IF(('Team Strength'!$A20)="","",SUMIF(Goalie[Fantasy Team], 'Team Strength'!$A20,Goalie[SA])),0)</f>
        <v>0</v>
      </c>
      <c r="O20" s="91">
        <f>IFERROR(IF(('Team Strength'!$A20)="","",SUMIF(Goalie[Fantasy Team], 'Team Strength'!$A20,Goalie[GA]))/IF(('Team Strength'!$A20)="","",SUMIF(Goalie[Fantasy Team], 'Team Strength'!$A20,Goalie[GP])),100)</f>
        <v>100</v>
      </c>
      <c r="P20" s="92" t="str">
        <f>IF(('Team Strength'!$A20)="","",SUMIF(Proj[Fantasy Team], 'Team Strength'!$A20,Proj[VOR]))</f>
        <v/>
      </c>
      <c r="Q20" s="10"/>
      <c r="R20" s="10"/>
      <c r="S20" s="10"/>
      <c r="T20" s="9"/>
      <c r="U20" s="9"/>
    </row>
    <row r="21" spans="1:21" x14ac:dyDescent="0.25">
      <c r="A21" s="70"/>
      <c r="B21" s="17" t="str">
        <f>IF('Team Strength'!$A21 = "","",COUNTIF(Proj[Fantasy Team], 'Team Strength'!$A21))</f>
        <v/>
      </c>
      <c r="C21" s="11" t="str">
        <f>IF('Team Strength'!$A21 ="","",SUMIF(Proj[Fantasy Team], 'Team Strength'!$A21,Proj[Goals]))</f>
        <v/>
      </c>
      <c r="D21" s="11" t="str">
        <f>IF(('Team Strength'!$A21)="","",SUMIF(Proj[Fantasy Team],  'Team Strength'!$A21,Proj[Assists]))</f>
        <v/>
      </c>
      <c r="E21" s="70" t="str">
        <f>IF(('Team Strength'!$A21)="","",SUMIF(Proj[Fantasy Team], 'Team Strength'!$A21,Proj[Points]))</f>
        <v/>
      </c>
      <c r="F21" s="17" t="str">
        <f>IF(('Team Strength'!$A21)="","",SUMIF(Proj[Fantasy Team], 'Team Strength'!$A21,Proj[PP Points]))</f>
        <v/>
      </c>
      <c r="G21" s="11" t="str">
        <f>IF(('Team Strength'!$A21)="","",SUMIF(Proj[Fantasy Team],  'Team Strength'!$A21,Proj[Hits]))</f>
        <v/>
      </c>
      <c r="H21" s="11" t="str">
        <f>IF(('Team Strength'!$A21)="","",SUMIF(Proj[Fantasy Team], 'Team Strength'!$A21,Proj[BLK]))</f>
        <v/>
      </c>
      <c r="I21" s="11" t="str">
        <f>IF(('Team Strength'!$A21)="","",SUMIF(Proj[Fantasy Team], 'Team Strength'!$A21,Proj[PIM]))</f>
        <v/>
      </c>
      <c r="J21" s="11" t="str">
        <f>IF(('Team Strength'!$A21)="","",SUMIF(Proj[Fantasy Team], 'Team Strength'!$A21,Proj[FOW]))</f>
        <v/>
      </c>
      <c r="K21" s="11" t="str">
        <f>IF(('Team Strength'!$A21)="","",SUMIF(Proj[Fantasy Team], 'Team Strength'!$A21,Proj[SOG]))</f>
        <v/>
      </c>
      <c r="L21" s="11" t="str">
        <f>IF(('Team Strength'!$A21)="","",SUMIF(Goalie[Fantasy Team], 'Team Strength'!$A21,Goalie[W]))</f>
        <v/>
      </c>
      <c r="M21" s="11" t="str">
        <f>IF(('Team Strength'!$A21)="","",SUMIF(Goalie[Fantasy Team], 'Team Strength'!$A21,Goalie[SV]))</f>
        <v/>
      </c>
      <c r="N21" s="11">
        <f>IFERROR(IF(('Team Strength'!$A21)="","",SUMIF(Goalie[Fantasy Team], 'Team Strength'!$A21,Goalie[SV]))/IF(('Team Strength'!$A21)="","",SUMIF(Goalie[Fantasy Team], 'Team Strength'!$A21,Goalie[SA])),0)</f>
        <v>0</v>
      </c>
      <c r="O21" s="11">
        <f>IFERROR(IF(('Team Strength'!$A21)="","",SUMIF(Goalie[Fantasy Team], 'Team Strength'!$A21,Goalie[GA]))/IF(('Team Strength'!$A21)="","",SUMIF(Goalie[Fantasy Team], 'Team Strength'!$A21,Goalie[GP])),100)</f>
        <v>100</v>
      </c>
      <c r="P21" s="90" t="str">
        <f>IF(('Team Strength'!$A21)="","",SUMIF(Proj[Fantasy Team], 'Team Strength'!$A21,Proj[VOR]))</f>
        <v/>
      </c>
      <c r="Q21" s="10"/>
      <c r="R21" s="10"/>
      <c r="S21" s="10"/>
      <c r="T21" s="9"/>
      <c r="U21" s="9"/>
    </row>
    <row r="22" spans="1:21" x14ac:dyDescent="0.25">
      <c r="A22" s="19"/>
      <c r="B22" s="2" t="str">
        <f>IF('Team Strength'!$A22 = "","",COUNTIF(Proj[Fantasy Team], 'Team Strength'!$A22))</f>
        <v/>
      </c>
      <c r="C22" s="91" t="str">
        <f>IF('Team Strength'!$A22 ="","",SUMIF(Proj[Fantasy Team], 'Team Strength'!$A22,Proj[Goals]))</f>
        <v/>
      </c>
      <c r="D22" s="91" t="str">
        <f>IF(('Team Strength'!$A22)="","",SUMIF(Proj[Fantasy Team],  'Team Strength'!$A22,Proj[Assists]))</f>
        <v/>
      </c>
      <c r="E22" s="19" t="str">
        <f>IF(('Team Strength'!$A22)="","",SUMIF(Proj[Fantasy Team], 'Team Strength'!$A22,Proj[Points]))</f>
        <v/>
      </c>
      <c r="F22" s="2" t="str">
        <f>IF(('Team Strength'!$A22)="","",SUMIF(Proj[Fantasy Team], 'Team Strength'!$A22,Proj[PP Points]))</f>
        <v/>
      </c>
      <c r="G22" s="91" t="str">
        <f>IF(('Team Strength'!$A22)="","",SUMIF(Proj[Fantasy Team],  'Team Strength'!$A22,Proj[Hits]))</f>
        <v/>
      </c>
      <c r="H22" s="91" t="str">
        <f>IF(('Team Strength'!$A22)="","",SUMIF(Proj[Fantasy Team], 'Team Strength'!$A22,Proj[BLK]))</f>
        <v/>
      </c>
      <c r="I22" s="91" t="str">
        <f>IF(('Team Strength'!$A22)="","",SUMIF(Proj[Fantasy Team], 'Team Strength'!$A22,Proj[PIM]))</f>
        <v/>
      </c>
      <c r="J22" s="91" t="str">
        <f>IF(('Team Strength'!$A22)="","",SUMIF(Proj[Fantasy Team], 'Team Strength'!$A22,Proj[FOW]))</f>
        <v/>
      </c>
      <c r="K22" s="91" t="str">
        <f>IF(('Team Strength'!$A22)="","",SUMIF(Proj[Fantasy Team], 'Team Strength'!$A22,Proj[SOG]))</f>
        <v/>
      </c>
      <c r="L22" s="91" t="str">
        <f>IF(('Team Strength'!$A22)="","",SUMIF(Goalie[Fantasy Team], 'Team Strength'!$A22,Goalie[W]))</f>
        <v/>
      </c>
      <c r="M22" s="91" t="str">
        <f>IF(('Team Strength'!$A22)="","",SUMIF(Goalie[Fantasy Team], 'Team Strength'!$A22,Goalie[SV]))</f>
        <v/>
      </c>
      <c r="N22" s="91">
        <f>IFERROR(IF(('Team Strength'!$A22)="","",SUMIF(Goalie[Fantasy Team], 'Team Strength'!$A22,Goalie[SV]))/IF(('Team Strength'!$A22)="","",SUMIF(Goalie[Fantasy Team], 'Team Strength'!$A22,Goalie[SA])),0)</f>
        <v>0</v>
      </c>
      <c r="O22" s="91">
        <f>IFERROR(IF(('Team Strength'!$A22)="","",SUMIF(Goalie[Fantasy Team], 'Team Strength'!$A22,Goalie[GA]))/IF(('Team Strength'!$A22)="","",SUMIF(Goalie[Fantasy Team], 'Team Strength'!$A22,Goalie[GP])),100)</f>
        <v>100</v>
      </c>
      <c r="P22" s="92" t="str">
        <f>IF(('Team Strength'!$A22)="","",SUMIF(Proj[Fantasy Team], 'Team Strength'!$A22,Proj[VOR]))</f>
        <v/>
      </c>
      <c r="Q22" s="10"/>
      <c r="R22" s="10"/>
      <c r="S22" s="10"/>
      <c r="T22" s="9"/>
      <c r="U22" s="9"/>
    </row>
    <row r="23" spans="1:21" x14ac:dyDescent="0.25">
      <c r="A23" s="70"/>
      <c r="B23" s="17" t="str">
        <f>IF('Team Strength'!$A23 = "","",COUNTIF(Proj[Fantasy Team], 'Team Strength'!$A23))</f>
        <v/>
      </c>
      <c r="C23" s="11" t="str">
        <f>IF('Team Strength'!$A23 ="","",SUMIF(Proj[Fantasy Team], 'Team Strength'!$A23,Proj[Goals]))</f>
        <v/>
      </c>
      <c r="D23" s="11" t="str">
        <f>IF(('Team Strength'!$A23)="","",SUMIF(Proj[Fantasy Team],  'Team Strength'!$A23,Proj[Assists]))</f>
        <v/>
      </c>
      <c r="E23" s="70" t="str">
        <f>IF(('Team Strength'!$A23)="","",SUMIF(Proj[Fantasy Team], 'Team Strength'!$A23,Proj[Points]))</f>
        <v/>
      </c>
      <c r="F23" s="17" t="str">
        <f>IF(('Team Strength'!$A23)="","",SUMIF(Proj[Fantasy Team], 'Team Strength'!$A23,Proj[PP Points]))</f>
        <v/>
      </c>
      <c r="G23" s="11" t="str">
        <f>IF(('Team Strength'!$A23)="","",SUMIF(Proj[Fantasy Team],  'Team Strength'!$A23,Proj[Hits]))</f>
        <v/>
      </c>
      <c r="H23" s="11" t="str">
        <f>IF(('Team Strength'!$A23)="","",SUMIF(Proj[Fantasy Team], 'Team Strength'!$A23,Proj[BLK]))</f>
        <v/>
      </c>
      <c r="I23" s="11" t="str">
        <f>IF(('Team Strength'!$A23)="","",SUMIF(Proj[Fantasy Team], 'Team Strength'!$A23,Proj[PIM]))</f>
        <v/>
      </c>
      <c r="J23" s="11" t="str">
        <f>IF(('Team Strength'!$A23)="","",SUMIF(Proj[Fantasy Team], 'Team Strength'!$A23,Proj[FOW]))</f>
        <v/>
      </c>
      <c r="K23" s="11" t="str">
        <f>IF(('Team Strength'!$A23)="","",SUMIF(Proj[Fantasy Team], 'Team Strength'!$A23,Proj[SOG]))</f>
        <v/>
      </c>
      <c r="L23" s="11" t="str">
        <f>IF(('Team Strength'!$A23)="","",SUMIF(Goalie[Fantasy Team], 'Team Strength'!$A23,Goalie[W]))</f>
        <v/>
      </c>
      <c r="M23" s="11" t="str">
        <f>IF(('Team Strength'!$A23)="","",SUMIF(Goalie[Fantasy Team], 'Team Strength'!$A23,Goalie[SV]))</f>
        <v/>
      </c>
      <c r="N23" s="11">
        <f>IFERROR(IF(('Team Strength'!$A23)="","",SUMIF(Goalie[Fantasy Team], 'Team Strength'!$A23,Goalie[SV]))/IF(('Team Strength'!$A23)="","",SUMIF(Goalie[Fantasy Team], 'Team Strength'!$A23,Goalie[SA])),0)</f>
        <v>0</v>
      </c>
      <c r="O23" s="11">
        <f>IFERROR(IF(('Team Strength'!$A23)="","",SUMIF(Goalie[Fantasy Team], 'Team Strength'!$A23,Goalie[GA]))/IF(('Team Strength'!$A23)="","",SUMIF(Goalie[Fantasy Team], 'Team Strength'!$A23,Goalie[GP])),100)</f>
        <v>100</v>
      </c>
      <c r="P23" s="90" t="str">
        <f>IF(('Team Strength'!$A23)="","",SUMIF(Proj[Fantasy Team], 'Team Strength'!$A23,Proj[VOR]))</f>
        <v/>
      </c>
      <c r="Q23" s="10"/>
      <c r="R23" s="10"/>
      <c r="S23" s="10"/>
      <c r="T23" s="9"/>
      <c r="U23" s="9"/>
    </row>
    <row r="24" spans="1:21" x14ac:dyDescent="0.25">
      <c r="A24" s="19"/>
      <c r="B24" s="2" t="str">
        <f>IF('Team Strength'!$A24 = "","",COUNTIF(Proj[Fantasy Team], 'Team Strength'!$A24))</f>
        <v/>
      </c>
      <c r="C24" s="91" t="str">
        <f>IF('Team Strength'!$A24 ="","",SUMIF(Proj[Fantasy Team], 'Team Strength'!$A24,Proj[Goals]))</f>
        <v/>
      </c>
      <c r="D24" s="91" t="str">
        <f>IF(('Team Strength'!$A24)="","",SUMIF(Proj[Fantasy Team],  'Team Strength'!$A24,Proj[Assists]))</f>
        <v/>
      </c>
      <c r="E24" s="19" t="str">
        <f>IF(('Team Strength'!$A24)="","",SUMIF(Proj[Fantasy Team], 'Team Strength'!$A24,Proj[Points]))</f>
        <v/>
      </c>
      <c r="F24" s="2" t="str">
        <f>IF(('Team Strength'!$A24)="","",SUMIF(Proj[Fantasy Team], 'Team Strength'!$A24,Proj[PP Points]))</f>
        <v/>
      </c>
      <c r="G24" s="91" t="str">
        <f>IF(('Team Strength'!$A24)="","",SUMIF(Proj[Fantasy Team],  'Team Strength'!$A24,Proj[Hits]))</f>
        <v/>
      </c>
      <c r="H24" s="91" t="str">
        <f>IF(('Team Strength'!$A24)="","",SUMIF(Proj[Fantasy Team], 'Team Strength'!$A24,Proj[BLK]))</f>
        <v/>
      </c>
      <c r="I24" s="91" t="str">
        <f>IF(('Team Strength'!$A24)="","",SUMIF(Proj[Fantasy Team], 'Team Strength'!$A24,Proj[PIM]))</f>
        <v/>
      </c>
      <c r="J24" s="91" t="str">
        <f>IF(('Team Strength'!$A24)="","",SUMIF(Proj[Fantasy Team], 'Team Strength'!$A24,Proj[FOW]))</f>
        <v/>
      </c>
      <c r="K24" s="91" t="str">
        <f>IF(('Team Strength'!$A24)="","",SUMIF(Proj[Fantasy Team], 'Team Strength'!$A24,Proj[SOG]))</f>
        <v/>
      </c>
      <c r="L24" s="91" t="str">
        <f>IF(('Team Strength'!$A24)="","",SUMIF(Goalie[Fantasy Team], 'Team Strength'!$A24,Goalie[W]))</f>
        <v/>
      </c>
      <c r="M24" s="91" t="str">
        <f>IF(('Team Strength'!$A24)="","",SUMIF(Goalie[Fantasy Team], 'Team Strength'!$A24,Goalie[SV]))</f>
        <v/>
      </c>
      <c r="N24" s="11">
        <f>IFERROR(IF(('Team Strength'!$A24)="","",SUMIF(Goalie[Fantasy Team], 'Team Strength'!$A24,Goalie[SV]))/IF(('Team Strength'!$A24)="","",SUMIF(Goalie[Fantasy Team], 'Team Strength'!$A24,Goalie[SA])),0)</f>
        <v>0</v>
      </c>
      <c r="O24" s="11">
        <f>IFERROR(IF(('Team Strength'!$A24)="","",SUMIF(Goalie[Fantasy Team], 'Team Strength'!$A24,Goalie[GA]))/IF(('Team Strength'!$A24)="","",SUMIF(Goalie[Fantasy Team], 'Team Strength'!$A24,Goalie[GP])),100)</f>
        <v>100</v>
      </c>
      <c r="P24" s="92" t="str">
        <f>IF(('Team Strength'!$A24)="","",SUMIF(Proj[Fantasy Team], 'Team Strength'!$A24,Proj[VOR]))</f>
        <v/>
      </c>
      <c r="Q24" s="77"/>
      <c r="R24" s="10"/>
    </row>
    <row r="25" spans="1:21" x14ac:dyDescent="0.25">
      <c r="A25" s="70"/>
      <c r="B25" s="17" t="str">
        <f>IF('Team Strength'!$A25 = "","",COUNTIF(Proj[Fantasy Team], 'Team Strength'!$A25))</f>
        <v/>
      </c>
      <c r="C25" s="11" t="str">
        <f>IF('Team Strength'!$A25 ="","",SUMIF(Proj[Fantasy Team], 'Team Strength'!$A25,Proj[Goals]))</f>
        <v/>
      </c>
      <c r="D25" s="11" t="str">
        <f>IF(('Team Strength'!$A25)="","",SUMIF(Proj[Fantasy Team],  'Team Strength'!$A25,Proj[Assists]))</f>
        <v/>
      </c>
      <c r="E25" s="70" t="str">
        <f>IF(('Team Strength'!$A25)="","",SUMIF(Proj[Fantasy Team], 'Team Strength'!$A25,Proj[Points]))</f>
        <v/>
      </c>
      <c r="F25" s="17" t="str">
        <f>IF(('Team Strength'!$A25)="","",SUMIF(Proj[Fantasy Team], 'Team Strength'!$A25,Proj[PP Points]))</f>
        <v/>
      </c>
      <c r="G25" s="11" t="str">
        <f>IF(('Team Strength'!$A25)="","",SUMIF(Proj[Fantasy Team],  'Team Strength'!$A25,Proj[Hits]))</f>
        <v/>
      </c>
      <c r="H25" s="11" t="str">
        <f>IF(('Team Strength'!$A25)="","",SUMIF(Proj[Fantasy Team], 'Team Strength'!$A25,Proj[BLK]))</f>
        <v/>
      </c>
      <c r="I25" s="11" t="str">
        <f>IF(('Team Strength'!$A25)="","",SUMIF(Proj[Fantasy Team], 'Team Strength'!$A25,Proj[PIM]))</f>
        <v/>
      </c>
      <c r="J25" s="11" t="str">
        <f>IF(('Team Strength'!$A25)="","",SUMIF(Proj[Fantasy Team], 'Team Strength'!$A25,Proj[FOW]))</f>
        <v/>
      </c>
      <c r="K25" s="11" t="str">
        <f>IF(('Team Strength'!$A25)="","",SUMIF(Proj[Fantasy Team], 'Team Strength'!$A25,Proj[SOG]))</f>
        <v/>
      </c>
      <c r="L25" s="11" t="str">
        <f>IF(('Team Strength'!$A25)="","",SUMIF(Goalie[Fantasy Team], 'Team Strength'!$A25,Goalie[W]))</f>
        <v/>
      </c>
      <c r="M25" s="11" t="str">
        <f>IF(('Team Strength'!$A25)="","",SUMIF(Goalie[Fantasy Team], 'Team Strength'!$A25,Goalie[SV]))</f>
        <v/>
      </c>
      <c r="N25" s="11">
        <f>IFERROR(IF(('Team Strength'!$A25)="","",SUMIF(Goalie[Fantasy Team], 'Team Strength'!$A25,Goalie[SV]))/IF(('Team Strength'!$A25)="","",SUMIF(Goalie[Fantasy Team], 'Team Strength'!$A25,Goalie[SA])),0)</f>
        <v>0</v>
      </c>
      <c r="O25" s="11">
        <f>IFERROR(IF(('Team Strength'!$A25)="","",SUMIF(Goalie[Fantasy Team], 'Team Strength'!$A25,Goalie[GA]))/IF(('Team Strength'!$A25)="","",SUMIF(Goalie[Fantasy Team], 'Team Strength'!$A25,Goalie[GP])),100)</f>
        <v>100</v>
      </c>
      <c r="P25" s="90" t="str">
        <f>IF(('Team Strength'!$A25)="","",SUMIF(Proj[Fantasy Team], 'Team Strength'!$A25,Proj[VOR]))</f>
        <v/>
      </c>
      <c r="Q25" s="77"/>
      <c r="R25" s="10"/>
    </row>
    <row r="26" spans="1:21" x14ac:dyDescent="0.25">
      <c r="A26" s="19"/>
      <c r="B26" s="2" t="str">
        <f>IF('Team Strength'!$A26 = "","",COUNTIF(Proj[Fantasy Team], 'Team Strength'!$A26))</f>
        <v/>
      </c>
      <c r="C26" s="91" t="str">
        <f>IF('Team Strength'!$A26 ="","",SUMIF(Proj[Fantasy Team], 'Team Strength'!$A26,Proj[Goals]))</f>
        <v/>
      </c>
      <c r="D26" s="91" t="str">
        <f>IF(('Team Strength'!$A26)="","",SUMIF(Proj[Fantasy Team],  'Team Strength'!$A26,Proj[Assists]))</f>
        <v/>
      </c>
      <c r="E26" s="19" t="str">
        <f>IF(('Team Strength'!$A26)="","",SUMIF(Proj[Fantasy Team], 'Team Strength'!$A26,Proj[Points]))</f>
        <v/>
      </c>
      <c r="F26" s="2" t="str">
        <f>IF(('Team Strength'!$A26)="","",SUMIF(Proj[Fantasy Team], 'Team Strength'!$A26,Proj[PP Points]))</f>
        <v/>
      </c>
      <c r="G26" s="91" t="str">
        <f>IF(('Team Strength'!$A26)="","",SUMIF(Proj[Fantasy Team],  'Team Strength'!$A26,Proj[Hits]))</f>
        <v/>
      </c>
      <c r="H26" s="91" t="str">
        <f>IF(('Team Strength'!$A26)="","",SUMIF(Proj[Fantasy Team], 'Team Strength'!$A26,Proj[BLK]))</f>
        <v/>
      </c>
      <c r="I26" s="91" t="str">
        <f>IF(('Team Strength'!$A26)="","",SUMIF(Proj[Fantasy Team], 'Team Strength'!$A26,Proj[PIM]))</f>
        <v/>
      </c>
      <c r="J26" s="91" t="str">
        <f>IF(('Team Strength'!$A26)="","",SUMIF(Proj[Fantasy Team], 'Team Strength'!$A26,Proj[FOW]))</f>
        <v/>
      </c>
      <c r="K26" s="91" t="str">
        <f>IF(('Team Strength'!$A26)="","",SUMIF(Proj[Fantasy Team], 'Team Strength'!$A26,Proj[SOG]))</f>
        <v/>
      </c>
      <c r="L26" s="91" t="str">
        <f>IF(('Team Strength'!$A26)="","",SUMIF(Goalie[Fantasy Team], 'Team Strength'!$A26,Goalie[W]))</f>
        <v/>
      </c>
      <c r="M26" s="91" t="str">
        <f>IF(('Team Strength'!$A26)="","",SUMIF(Goalie[Fantasy Team], 'Team Strength'!$A26,Goalie[SV]))</f>
        <v/>
      </c>
      <c r="N26" s="11">
        <f>IFERROR(IF(('Team Strength'!$A26)="","",SUMIF(Goalie[Fantasy Team], 'Team Strength'!$A26,Goalie[SV]))/IF(('Team Strength'!$A26)="","",SUMIF(Goalie[Fantasy Team], 'Team Strength'!$A26,Goalie[SA])),0)</f>
        <v>0</v>
      </c>
      <c r="O26" s="11">
        <f>IFERROR(IF(('Team Strength'!$A26)="","",SUMIF(Goalie[Fantasy Team], 'Team Strength'!$A26,Goalie[GA]))/IF(('Team Strength'!$A26)="","",SUMIF(Goalie[Fantasy Team], 'Team Strength'!$A26,Goalie[GP])),100)</f>
        <v>100</v>
      </c>
      <c r="P26" s="92" t="str">
        <f>IF(('Team Strength'!$A26)="","",SUMIF(Proj[Fantasy Team], 'Team Strength'!$A26,Proj[VOR]))</f>
        <v/>
      </c>
      <c r="Q26" s="10"/>
    </row>
    <row r="27" spans="1:21" x14ac:dyDescent="0.25">
      <c r="A27" s="70"/>
      <c r="B27" s="17" t="str">
        <f>IF('Team Strength'!$A27 = "","",COUNTIF(Proj[Fantasy Team], 'Team Strength'!$A27))</f>
        <v/>
      </c>
      <c r="C27" s="11" t="str">
        <f>IF('Team Strength'!$A27 ="","",SUMIF(Proj[Fantasy Team], 'Team Strength'!$A27,Proj[Goals]))</f>
        <v/>
      </c>
      <c r="D27" s="11" t="str">
        <f>IF(('Team Strength'!$A27)="","",SUMIF(Proj[Fantasy Team],  'Team Strength'!$A27,Proj[Assists]))</f>
        <v/>
      </c>
      <c r="E27" s="70" t="str">
        <f>IF(('Team Strength'!$A27)="","",SUMIF(Proj[Fantasy Team], 'Team Strength'!$A27,Proj[Points]))</f>
        <v/>
      </c>
      <c r="F27" s="17" t="str">
        <f>IF(('Team Strength'!$A27)="","",SUMIF(Proj[Fantasy Team], 'Team Strength'!$A27,Proj[PP Points]))</f>
        <v/>
      </c>
      <c r="G27" s="11" t="str">
        <f>IF(('Team Strength'!$A27)="","",SUMIF(Proj[Fantasy Team],  'Team Strength'!$A27,Proj[Hits]))</f>
        <v/>
      </c>
      <c r="H27" s="11" t="str">
        <f>IF(('Team Strength'!$A27)="","",SUMIF(Proj[Fantasy Team], 'Team Strength'!$A27,Proj[BLK]))</f>
        <v/>
      </c>
      <c r="I27" s="11" t="str">
        <f>IF(('Team Strength'!$A27)="","",SUMIF(Proj[Fantasy Team], 'Team Strength'!$A27,Proj[PIM]))</f>
        <v/>
      </c>
      <c r="J27" s="11" t="str">
        <f>IF(('Team Strength'!$A27)="","",SUMIF(Proj[Fantasy Team], 'Team Strength'!$A27,Proj[FOW]))</f>
        <v/>
      </c>
      <c r="K27" s="11" t="str">
        <f>IF(('Team Strength'!$A27)="","",SUMIF(Proj[Fantasy Team], 'Team Strength'!$A27,Proj[SOG]))</f>
        <v/>
      </c>
      <c r="L27" s="11" t="str">
        <f>IF(('Team Strength'!$A27)="","",SUMIF(Goalie[Fantasy Team], 'Team Strength'!$A27,Goalie[W]))</f>
        <v/>
      </c>
      <c r="M27" s="11" t="str">
        <f>IF(('Team Strength'!$A27)="","",SUMIF(Goalie[Fantasy Team], 'Team Strength'!$A27,Goalie[SV]))</f>
        <v/>
      </c>
      <c r="N27" s="11">
        <f>IFERROR(IF(('Team Strength'!$A27)="","",SUMIF(Goalie[Fantasy Team], 'Team Strength'!$A27,Goalie[SV]))/IF(('Team Strength'!$A27)="","",SUMIF(Goalie[Fantasy Team], 'Team Strength'!$A27,Goalie[SA])),0)</f>
        <v>0</v>
      </c>
      <c r="O27" s="11">
        <f>IFERROR(IF(('Team Strength'!$A27)="","",SUMIF(Goalie[Fantasy Team], 'Team Strength'!$A27,Goalie[GA]))/IF(('Team Strength'!$A27)="","",SUMIF(Goalie[Fantasy Team], 'Team Strength'!$A27,Goalie[GP])),100)</f>
        <v>100</v>
      </c>
      <c r="P27" s="90" t="str">
        <f>IF(('Team Strength'!$A27)="","",SUMIF(Proj[Fantasy Team], 'Team Strength'!$A27,Proj[VOR]))</f>
        <v/>
      </c>
      <c r="Q27" s="10"/>
    </row>
    <row r="28" spans="1:21" x14ac:dyDescent="0.25">
      <c r="A28" s="19"/>
      <c r="B28" s="2" t="str">
        <f>IF('Team Strength'!$A28 = "","",COUNTIF(Proj[Fantasy Team], 'Team Strength'!$A28))</f>
        <v/>
      </c>
      <c r="C28" s="91" t="str">
        <f>IF('Team Strength'!$A28 ="","",SUMIF(Proj[Fantasy Team], 'Team Strength'!$A28,Proj[Goals]))</f>
        <v/>
      </c>
      <c r="D28" s="91" t="str">
        <f>IF(('Team Strength'!$A28)="","",SUMIF(Proj[Fantasy Team],  'Team Strength'!$A28,Proj[Assists]))</f>
        <v/>
      </c>
      <c r="E28" s="19" t="str">
        <f>IF(('Team Strength'!$A28)="","",SUMIF(Proj[Fantasy Team], 'Team Strength'!$A28,Proj[Points]))</f>
        <v/>
      </c>
      <c r="F28" s="2" t="str">
        <f>IF(('Team Strength'!$A28)="","",SUMIF(Proj[Fantasy Team], 'Team Strength'!$A28,Proj[PP Points]))</f>
        <v/>
      </c>
      <c r="G28" s="91" t="str">
        <f>IF(('Team Strength'!$A28)="","",SUMIF(Proj[Fantasy Team],  'Team Strength'!$A28,Proj[Hits]))</f>
        <v/>
      </c>
      <c r="H28" s="91" t="str">
        <f>IF(('Team Strength'!$A28)="","",SUMIF(Proj[Fantasy Team], 'Team Strength'!$A28,Proj[BLK]))</f>
        <v/>
      </c>
      <c r="I28" s="91" t="str">
        <f>IF(('Team Strength'!$A28)="","",SUMIF(Proj[Fantasy Team], 'Team Strength'!$A28,Proj[PIM]))</f>
        <v/>
      </c>
      <c r="J28" s="91" t="str">
        <f>IF(('Team Strength'!$A28)="","",SUMIF(Proj[Fantasy Team], 'Team Strength'!$A28,Proj[FOW]))</f>
        <v/>
      </c>
      <c r="K28" s="91" t="str">
        <f>IF(('Team Strength'!$A28)="","",SUMIF(Proj[Fantasy Team], 'Team Strength'!$A28,Proj[SOG]))</f>
        <v/>
      </c>
      <c r="L28" s="91" t="str">
        <f>IF(('Team Strength'!$A28)="","",SUMIF(Goalie[Fantasy Team], 'Team Strength'!$A28,Goalie[W]))</f>
        <v/>
      </c>
      <c r="M28" s="91" t="str">
        <f>IF(('Team Strength'!$A28)="","",SUMIF(Goalie[Fantasy Team], 'Team Strength'!$A28,Goalie[SV]))</f>
        <v/>
      </c>
      <c r="N28" s="11">
        <f>IFERROR(IF(('Team Strength'!$A28)="","",SUMIF(Goalie[Fantasy Team], 'Team Strength'!$A28,Goalie[SV]))/IF(('Team Strength'!$A28)="","",SUMIF(Goalie[Fantasy Team], 'Team Strength'!$A28,Goalie[SA])),0)</f>
        <v>0</v>
      </c>
      <c r="O28" s="11">
        <f>IFERROR(IF(('Team Strength'!$A28)="","",SUMIF(Goalie[Fantasy Team], 'Team Strength'!$A28,Goalie[GA]))/IF(('Team Strength'!$A28)="","",SUMIF(Goalie[Fantasy Team], 'Team Strength'!$A28,Goalie[GP])),100)</f>
        <v>100</v>
      </c>
      <c r="P28" s="92" t="str">
        <f>IF(('Team Strength'!$A28)="","",SUMIF(Proj[Fantasy Team], 'Team Strength'!$A28,Proj[VOR]))</f>
        <v/>
      </c>
      <c r="Q28" s="10"/>
    </row>
    <row r="29" spans="1:21" x14ac:dyDescent="0.25">
      <c r="A29" s="70"/>
      <c r="B29" s="17" t="str">
        <f>IF('Team Strength'!$A29 = "","",COUNTIF(Proj[Fantasy Team], 'Team Strength'!$A29))</f>
        <v/>
      </c>
      <c r="C29" s="11" t="str">
        <f>IF('Team Strength'!$A29 ="","",SUMIF(Proj[Fantasy Team], 'Team Strength'!$A29,Proj[Goals]))</f>
        <v/>
      </c>
      <c r="D29" s="11" t="str">
        <f>IF(('Team Strength'!$A29)="","",SUMIF(Proj[Fantasy Team],  'Team Strength'!$A29,Proj[Assists]))</f>
        <v/>
      </c>
      <c r="E29" s="70" t="str">
        <f>IF(('Team Strength'!$A29)="","",SUMIF(Proj[Fantasy Team], 'Team Strength'!$A29,Proj[Points]))</f>
        <v/>
      </c>
      <c r="F29" s="17" t="str">
        <f>IF(('Team Strength'!$A29)="","",SUMIF(Proj[Fantasy Team], 'Team Strength'!$A29,Proj[PP Points]))</f>
        <v/>
      </c>
      <c r="G29" s="11" t="str">
        <f>IF(('Team Strength'!$A29)="","",SUMIF(Proj[Fantasy Team],  'Team Strength'!$A29,Proj[Hits]))</f>
        <v/>
      </c>
      <c r="H29" s="11" t="str">
        <f>IF(('Team Strength'!$A29)="","",SUMIF(Proj[Fantasy Team], 'Team Strength'!$A29,Proj[BLK]))</f>
        <v/>
      </c>
      <c r="I29" s="11" t="str">
        <f>IF(('Team Strength'!$A29)="","",SUMIF(Proj[Fantasy Team], 'Team Strength'!$A29,Proj[PIM]))</f>
        <v/>
      </c>
      <c r="J29" s="11" t="str">
        <f>IF(('Team Strength'!$A29)="","",SUMIF(Proj[Fantasy Team], 'Team Strength'!$A29,Proj[FOW]))</f>
        <v/>
      </c>
      <c r="K29" s="11" t="str">
        <f>IF(('Team Strength'!$A29)="","",SUMIF(Proj[Fantasy Team], 'Team Strength'!$A29,Proj[SOG]))</f>
        <v/>
      </c>
      <c r="L29" s="11" t="str">
        <f>IF(('Team Strength'!$A29)="","",SUMIF(Goalie[Fantasy Team], 'Team Strength'!$A29,Goalie[W]))</f>
        <v/>
      </c>
      <c r="M29" s="11" t="str">
        <f>IF(('Team Strength'!$A29)="","",SUMIF(Goalie[Fantasy Team], 'Team Strength'!$A29,Goalie[SV]))</f>
        <v/>
      </c>
      <c r="N29" s="11">
        <f>IFERROR(IF(('Team Strength'!$A29)="","",SUMIF(Goalie[Fantasy Team], 'Team Strength'!$A29,Goalie[SV]))/IF(('Team Strength'!$A29)="","",SUMIF(Goalie[Fantasy Team], 'Team Strength'!$A29,Goalie[SA])),0)</f>
        <v>0</v>
      </c>
      <c r="O29" s="11">
        <f>IFERROR(IF(('Team Strength'!$A29)="","",SUMIF(Goalie[Fantasy Team], 'Team Strength'!$A29,Goalie[GA]))/IF(('Team Strength'!$A29)="","",SUMIF(Goalie[Fantasy Team], 'Team Strength'!$A29,Goalie[GP])),100)</f>
        <v>100</v>
      </c>
      <c r="P29" s="90" t="str">
        <f>IF(('Team Strength'!$A29)="","",SUMIF(Proj[Fantasy Team], 'Team Strength'!$A29,Proj[VOR]))</f>
        <v/>
      </c>
      <c r="Q29" s="10"/>
    </row>
    <row r="30" spans="1:21" x14ac:dyDescent="0.25">
      <c r="A30" s="19"/>
      <c r="B30" s="2" t="str">
        <f>IF('Team Strength'!$A30 = "","",COUNTIF(Proj[Fantasy Team], 'Team Strength'!$A30))</f>
        <v/>
      </c>
      <c r="C30" s="91" t="str">
        <f>IF('Team Strength'!$A30 ="","",SUMIF(Proj[Fantasy Team], 'Team Strength'!$A30,Proj[Goals]))</f>
        <v/>
      </c>
      <c r="D30" s="91" t="str">
        <f>IF(('Team Strength'!$A30)="","",SUMIF(Proj[Fantasy Team],  'Team Strength'!$A30,Proj[Assists]))</f>
        <v/>
      </c>
      <c r="E30" s="19" t="str">
        <f>IF(('Team Strength'!$A30)="","",SUMIF(Proj[Fantasy Team], 'Team Strength'!$A30,Proj[Points]))</f>
        <v/>
      </c>
      <c r="F30" s="2" t="str">
        <f>IF(('Team Strength'!$A30)="","",SUMIF(Proj[Fantasy Team], 'Team Strength'!$A30,Proj[PP Points]))</f>
        <v/>
      </c>
      <c r="G30" s="91" t="str">
        <f>IF(('Team Strength'!$A30)="","",SUMIF(Proj[Fantasy Team],  'Team Strength'!$A30,Proj[Hits]))</f>
        <v/>
      </c>
      <c r="H30" s="91" t="str">
        <f>IF(('Team Strength'!$A30)="","",SUMIF(Proj[Fantasy Team], 'Team Strength'!$A30,Proj[BLK]))</f>
        <v/>
      </c>
      <c r="I30" s="91" t="str">
        <f>IF(('Team Strength'!$A30)="","",SUMIF(Proj[Fantasy Team], 'Team Strength'!$A30,Proj[PIM]))</f>
        <v/>
      </c>
      <c r="J30" s="91" t="str">
        <f>IF(('Team Strength'!$A30)="","",SUMIF(Proj[Fantasy Team], 'Team Strength'!$A30,Proj[FOW]))</f>
        <v/>
      </c>
      <c r="K30" s="91" t="str">
        <f>IF(('Team Strength'!$A30)="","",SUMIF(Proj[Fantasy Team], 'Team Strength'!$A30,Proj[SOG]))</f>
        <v/>
      </c>
      <c r="L30" s="91" t="str">
        <f>IF(('Team Strength'!$A30)="","",SUMIF(Goalie[Fantasy Team], 'Team Strength'!$A30,Goalie[W]))</f>
        <v/>
      </c>
      <c r="M30" s="91" t="str">
        <f>IF(('Team Strength'!$A30)="","",SUMIF(Goalie[Fantasy Team], 'Team Strength'!$A30,Goalie[SV]))</f>
        <v/>
      </c>
      <c r="N30" s="11">
        <f>IFERROR(IF(('Team Strength'!$A30)="","",SUMIF(Goalie[Fantasy Team], 'Team Strength'!$A30,Goalie[SV]))/IF(('Team Strength'!$A30)="","",SUMIF(Goalie[Fantasy Team], 'Team Strength'!$A30,Goalie[SA])),0)</f>
        <v>0</v>
      </c>
      <c r="O30" s="11">
        <f>IFERROR(IF(('Team Strength'!$A30)="","",SUMIF(Goalie[Fantasy Team], 'Team Strength'!$A30,Goalie[GA]))/IF(('Team Strength'!$A30)="","",SUMIF(Goalie[Fantasy Team], 'Team Strength'!$A30,Goalie[GP])),100)</f>
        <v>100</v>
      </c>
      <c r="P30" s="92" t="str">
        <f>IF(('Team Strength'!$A30)="","",SUMIF(Proj[Fantasy Team], 'Team Strength'!$A30,Proj[VOR]))</f>
        <v/>
      </c>
      <c r="Q30" s="10"/>
    </row>
    <row r="31" spans="1:21" x14ac:dyDescent="0.25">
      <c r="A31" s="19"/>
      <c r="B31" s="2" t="str">
        <f>IF('Team Strength'!$A31 = "","",COUNTIF(Proj[Fantasy Team], 'Team Strength'!$A31))</f>
        <v/>
      </c>
      <c r="C31" s="91" t="str">
        <f>IF('Team Strength'!$A31 ="","",SUMIF(Proj[Fantasy Team], 'Team Strength'!$A31,Proj[Goals]))</f>
        <v/>
      </c>
      <c r="D31" s="91" t="str">
        <f>IF(('Team Strength'!$A31)="","",SUMIF(Proj[Fantasy Team],  'Team Strength'!$A31,Proj[Assists]))</f>
        <v/>
      </c>
      <c r="E31" s="19" t="str">
        <f>IF(('Team Strength'!$A31)="","",SUMIF(Proj[Fantasy Team], 'Team Strength'!$A31,Proj[Points]))</f>
        <v/>
      </c>
      <c r="F31" s="2" t="str">
        <f>IF(('Team Strength'!$A31)="","",SUMIF(Proj[Fantasy Team], 'Team Strength'!$A31,Proj[PP Points]))</f>
        <v/>
      </c>
      <c r="G31" s="91" t="str">
        <f>IF(('Team Strength'!$A31)="","",SUMIF(Proj[Fantasy Team],  'Team Strength'!$A31,Proj[Hits]))</f>
        <v/>
      </c>
      <c r="H31" s="91" t="str">
        <f>IF(('Team Strength'!$A31)="","",SUMIF(Proj[Fantasy Team], 'Team Strength'!$A31,Proj[BLK]))</f>
        <v/>
      </c>
      <c r="I31" s="91" t="str">
        <f>IF(('Team Strength'!$A31)="","",SUMIF(Proj[Fantasy Team], 'Team Strength'!$A31,Proj[PIM]))</f>
        <v/>
      </c>
      <c r="J31" s="91" t="str">
        <f>IF(('Team Strength'!$A31)="","",SUMIF(Proj[Fantasy Team], 'Team Strength'!$A31,Proj[FOW]))</f>
        <v/>
      </c>
      <c r="K31" s="91" t="str">
        <f>IF(('Team Strength'!$A31)="","",SUMIF(Proj[Fantasy Team], 'Team Strength'!$A31,Proj[SOG]))</f>
        <v/>
      </c>
      <c r="L31" s="91" t="str">
        <f>IF(('Team Strength'!$A31)="","",SUMIF(Goalie[Fantasy Team], 'Team Strength'!$A31,Goalie[W]))</f>
        <v/>
      </c>
      <c r="M31" s="91" t="str">
        <f>IF(('Team Strength'!$A31)="","",SUMIF(Goalie[Fantasy Team], 'Team Strength'!$A31,Goalie[SV]))</f>
        <v/>
      </c>
      <c r="N31" s="11">
        <f>IFERROR(IF(('Team Strength'!$A31)="","",SUMIF(Goalie[Fantasy Team], 'Team Strength'!$A31,Goalie[SV]))/IF(('Team Strength'!$A31)="","",SUMIF(Goalie[Fantasy Team], 'Team Strength'!$A31,Goalie[SA])),0)</f>
        <v>0</v>
      </c>
      <c r="O31" s="11">
        <f>IFERROR(IF(('Team Strength'!$A31)="","",SUMIF(Goalie[Fantasy Team], 'Team Strength'!$A31,Goalie[GA]))/IF(('Team Strength'!$A31)="","",SUMIF(Goalie[Fantasy Team], 'Team Strength'!$A31,Goalie[GP])),100)</f>
        <v>100</v>
      </c>
      <c r="P31" s="92" t="str">
        <f>IF(('Team Strength'!$A31)="","",SUMIF(Proj[Fantasy Team], 'Team Strength'!$A31,Proj[VOR]))</f>
        <v/>
      </c>
      <c r="Q31" s="10"/>
    </row>
    <row r="32" spans="1:21" x14ac:dyDescent="0.25">
      <c r="A32" s="70"/>
      <c r="B32" s="17" t="str">
        <f>IF('Team Strength'!$A32 = "","",COUNTIF(Proj[Fantasy Team], 'Team Strength'!$A32))</f>
        <v/>
      </c>
      <c r="C32" s="11" t="str">
        <f>IF('Team Strength'!$A32 ="","",SUMIF(Proj[Fantasy Team], 'Team Strength'!$A32,Proj[Goals]))</f>
        <v/>
      </c>
      <c r="D32" s="11" t="str">
        <f>IF(('Team Strength'!$A32)="","",SUMIF(Proj[Fantasy Team],  'Team Strength'!$A32,Proj[Assists]))</f>
        <v/>
      </c>
      <c r="E32" s="70" t="str">
        <f>IF(('Team Strength'!$A32)="","",SUMIF(Proj[Fantasy Team], 'Team Strength'!$A32,Proj[Points]))</f>
        <v/>
      </c>
      <c r="F32" s="17" t="str">
        <f>IF(('Team Strength'!$A32)="","",SUMIF(Proj[Fantasy Team], 'Team Strength'!$A32,Proj[PP Points]))</f>
        <v/>
      </c>
      <c r="G32" s="11" t="str">
        <f>IF(('Team Strength'!$A32)="","",SUMIF(Proj[Fantasy Team],  'Team Strength'!$A32,Proj[Hits]))</f>
        <v/>
      </c>
      <c r="H32" s="11" t="str">
        <f>IF(('Team Strength'!$A32)="","",SUMIF(Proj[Fantasy Team], 'Team Strength'!$A32,Proj[BLK]))</f>
        <v/>
      </c>
      <c r="I32" s="11" t="str">
        <f>IF(('Team Strength'!$A32)="","",SUMIF(Proj[Fantasy Team], 'Team Strength'!$A32,Proj[PIM]))</f>
        <v/>
      </c>
      <c r="J32" s="11" t="str">
        <f>IF(('Team Strength'!$A32)="","",SUMIF(Proj[Fantasy Team], 'Team Strength'!$A32,Proj[FOW]))</f>
        <v/>
      </c>
      <c r="K32" s="11" t="str">
        <f>IF(('Team Strength'!$A32)="","",SUMIF(Proj[Fantasy Team], 'Team Strength'!$A32,Proj[SOG]))</f>
        <v/>
      </c>
      <c r="L32" s="11" t="str">
        <f>IF(('Team Strength'!$A32)="","",SUMIF(Goalie[Fantasy Team], 'Team Strength'!$A32,Goalie[W]))</f>
        <v/>
      </c>
      <c r="M32" s="11" t="str">
        <f>IF(('Team Strength'!$A32)="","",SUMIF(Goalie[Fantasy Team], 'Team Strength'!$A32,Goalie[SV]))</f>
        <v/>
      </c>
      <c r="N32" s="11">
        <f>IFERROR(IF(('Team Strength'!$A32)="","",SUMIF(Goalie[Fantasy Team], 'Team Strength'!$A32,Goalie[SV]))/IF(('Team Strength'!$A32)="","",SUMIF(Goalie[Fantasy Team], 'Team Strength'!$A32,Goalie[SA])),0)</f>
        <v>0</v>
      </c>
      <c r="O32" s="11">
        <f>IFERROR(IF(('Team Strength'!$A32)="","",SUMIF(Goalie[Fantasy Team], 'Team Strength'!$A32,Goalie[GA]))/IF(('Team Strength'!$A32)="","",SUMIF(Goalie[Fantasy Team], 'Team Strength'!$A32,Goalie[GP])),100)</f>
        <v>100</v>
      </c>
      <c r="P32" s="90" t="str">
        <f>IF(('Team Strength'!$A32)="","",SUMIF(Proj[Fantasy Team], 'Team Strength'!$A32,Proj[VOR]))</f>
        <v/>
      </c>
      <c r="Q32" s="10"/>
    </row>
    <row r="33" spans="1:26" x14ac:dyDescent="0.25">
      <c r="A33" s="19"/>
      <c r="B33" s="2" t="str">
        <f>IF('Team Strength'!$A33 = "","",COUNTIF(Proj[Fantasy Team], 'Team Strength'!$A33))</f>
        <v/>
      </c>
      <c r="C33" s="91" t="str">
        <f>IF('Team Strength'!$A33 ="","",SUMIF(Proj[Fantasy Team], 'Team Strength'!$A33,Proj[Goals]))</f>
        <v/>
      </c>
      <c r="D33" s="91" t="str">
        <f>IF(('Team Strength'!$A33)="","",SUMIF(Proj[Fantasy Team],  'Team Strength'!$A33,Proj[Assists]))</f>
        <v/>
      </c>
      <c r="E33" s="19" t="str">
        <f>IF(('Team Strength'!$A33)="","",SUMIF(Proj[Fantasy Team], 'Team Strength'!$A33,Proj[Points]))</f>
        <v/>
      </c>
      <c r="F33" s="2" t="str">
        <f>IF(('Team Strength'!$A33)="","",SUMIF(Proj[Fantasy Team], 'Team Strength'!$A33,Proj[PP Points]))</f>
        <v/>
      </c>
      <c r="G33" s="91" t="str">
        <f>IF(('Team Strength'!$A33)="","",SUMIF(Proj[Fantasy Team],  'Team Strength'!$A33,Proj[Hits]))</f>
        <v/>
      </c>
      <c r="H33" s="91" t="str">
        <f>IF(('Team Strength'!$A33)="","",SUMIF(Proj[Fantasy Team], 'Team Strength'!$A33,Proj[BLK]))</f>
        <v/>
      </c>
      <c r="I33" s="91" t="str">
        <f>IF(('Team Strength'!$A33)="","",SUMIF(Proj[Fantasy Team], 'Team Strength'!$A33,Proj[PIM]))</f>
        <v/>
      </c>
      <c r="J33" s="91" t="str">
        <f>IF(('Team Strength'!$A33)="","",SUMIF(Proj[Fantasy Team], 'Team Strength'!$A33,Proj[FOW]))</f>
        <v/>
      </c>
      <c r="K33" s="91" t="str">
        <f>IF(('Team Strength'!$A33)="","",SUMIF(Proj[Fantasy Team], 'Team Strength'!$A33,Proj[SOG]))</f>
        <v/>
      </c>
      <c r="L33" s="91" t="str">
        <f>IF(('Team Strength'!$A33)="","",SUMIF(Goalie[Fantasy Team], 'Team Strength'!$A33,Goalie[W]))</f>
        <v/>
      </c>
      <c r="M33" s="91" t="str">
        <f>IF(('Team Strength'!$A33)="","",SUMIF(Goalie[Fantasy Team], 'Team Strength'!$A33,Goalie[SV]))</f>
        <v/>
      </c>
      <c r="N33" s="11">
        <f>IFERROR(IF(('Team Strength'!$A33)="","",SUMIF(Goalie[Fantasy Team], 'Team Strength'!$A33,Goalie[SV]))/IF(('Team Strength'!$A33)="","",SUMIF(Goalie[Fantasy Team], 'Team Strength'!$A33,Goalie[SA])),0)</f>
        <v>0</v>
      </c>
      <c r="O33" s="11">
        <f>IFERROR(IF(('Team Strength'!$A33)="","",SUMIF(Goalie[Fantasy Team], 'Team Strength'!$A33,Goalie[GA]))/IF(('Team Strength'!$A33)="","",SUMIF(Goalie[Fantasy Team], 'Team Strength'!$A33,Goalie[GP])),100)</f>
        <v>100</v>
      </c>
      <c r="P33" s="92" t="str">
        <f>IF(('Team Strength'!$A33)="","",SUMIF(Proj[Fantasy Team], 'Team Strength'!$A33,Proj[VOR]))</f>
        <v/>
      </c>
      <c r="Q33" s="10"/>
    </row>
    <row r="34" spans="1:26" x14ac:dyDescent="0.25">
      <c r="A34" s="18"/>
      <c r="B34" s="18" t="str">
        <f>IF('Team Strength'!$A34 = "","",COUNTIF(Proj[Fantasy Team], 'Team Strength'!$A34))</f>
        <v/>
      </c>
      <c r="C34" s="77" t="str">
        <f>IF('Team Strength'!$A34 ="","",SUMIF(Proj[Fantasy Team], 'Team Strength'!$A34,Proj[Goals]))</f>
        <v/>
      </c>
      <c r="D34" s="77" t="str">
        <f>IF(('Team Strength'!$A34)="","",SUMIF(Proj[Fantasy Team],  'Team Strength'!$A34,Proj[Assists]))</f>
        <v/>
      </c>
      <c r="E34" s="77" t="str">
        <f>IF(('Team Strength'!$A34)="","",SUMIF(Proj[Fantasy Team], 'Team Strength'!$A34,Proj[Points]))</f>
        <v/>
      </c>
      <c r="F34" s="77" t="str">
        <f>IF(('Team Strength'!$A34)="","",SUMIF(Proj[Fantasy Team], 'Team Strength'!$A34,Proj[PP Points]))</f>
        <v/>
      </c>
      <c r="G34" s="77" t="str">
        <f>IF(('Team Strength'!$A34)="","",SUMIF(Proj[Fantasy Team],  'Team Strength'!$A34,Proj[Hits]))</f>
        <v/>
      </c>
      <c r="H34" s="77" t="str">
        <f>IF(('Team Strength'!$A34)="","",SUMIF(Proj[Fantasy Team], 'Team Strength'!$A34,Proj[BLK]))</f>
        <v/>
      </c>
      <c r="I34" s="77" t="str">
        <f>IF(('Team Strength'!$A34)="","",SUMIF(Proj[Fantasy Team], 'Team Strength'!$A34,Proj[PIM]))</f>
        <v/>
      </c>
      <c r="J34" s="77" t="str">
        <f>IF(('Team Strength'!$A34)="","",SUMIF(Proj[Fantasy Team], 'Team Strength'!$A34,Proj[FOW]))</f>
        <v/>
      </c>
      <c r="K34" s="77" t="str">
        <f>IF(('Team Strength'!$A34)="","",SUMIF(Proj[Fantasy Team], 'Team Strength'!$A34,Proj[SOG]))</f>
        <v/>
      </c>
      <c r="L34" s="77" t="str">
        <f>IF(('Team Strength'!$A34)="","",SUMIF(Goalie[Fantasy Team], 'Team Strength'!$A34,Goalie[W]))</f>
        <v/>
      </c>
      <c r="M34" s="77" t="str">
        <f>IF(('Team Strength'!$A34)="","",SUMIF(Goalie[Fantasy Team], 'Team Strength'!$A34,Goalie[SV]))</f>
        <v/>
      </c>
      <c r="N34" s="89"/>
      <c r="O34" s="77"/>
      <c r="P34" s="77" t="str">
        <f>IF(('Team Strength'!$A34)="","",SUMIF(Proj[Fantasy Team], 'Team Strength'!$A34,#REF!))</f>
        <v/>
      </c>
      <c r="Q34" s="10"/>
    </row>
    <row r="36" spans="1:26" ht="18.75" x14ac:dyDescent="0.3">
      <c r="B36" s="190" t="s">
        <v>131</v>
      </c>
      <c r="C36" s="190"/>
      <c r="D36" s="190"/>
      <c r="E36" s="190"/>
      <c r="F36" s="190"/>
      <c r="G36" s="190"/>
      <c r="H36" s="190"/>
      <c r="I36" s="190"/>
      <c r="J36" s="190"/>
      <c r="K36" s="190"/>
    </row>
    <row r="38" spans="1:26" x14ac:dyDescent="0.25">
      <c r="A38" t="s">
        <v>72</v>
      </c>
      <c r="B38" t="s">
        <v>88</v>
      </c>
      <c r="C38" t="s">
        <v>89</v>
      </c>
      <c r="D38" t="s">
        <v>90</v>
      </c>
      <c r="E38" t="s">
        <v>91</v>
      </c>
      <c r="F38" t="s">
        <v>92</v>
      </c>
      <c r="G38" t="s">
        <v>93</v>
      </c>
      <c r="H38" t="s">
        <v>94</v>
      </c>
      <c r="I38" t="s">
        <v>95</v>
      </c>
      <c r="J38" t="s">
        <v>96</v>
      </c>
      <c r="K38" t="s">
        <v>97</v>
      </c>
      <c r="L38" t="s">
        <v>98</v>
      </c>
      <c r="N38" s="79"/>
      <c r="O38" s="80"/>
      <c r="P38" s="80"/>
      <c r="Q38" s="80"/>
      <c r="R38" s="79"/>
      <c r="V38" s="78"/>
      <c r="W38" s="78"/>
      <c r="X38" s="78"/>
      <c r="Y38" s="78"/>
      <c r="Z38" s="78"/>
    </row>
    <row r="39" spans="1:26" x14ac:dyDescent="0.25">
      <c r="A39" t="str">
        <f t="shared" ref="A39:A59" si="0">IF(A4 = "", "", A4)</f>
        <v/>
      </c>
      <c r="B39" t="str">
        <f>IF(Table610[[#This Row],[Fantasy Team]] = "", "", IF(ISBLANK(Table610[[#This Row],[Fantasy Team]]),"",COUNTIF(Proj[Fantasy Team], Table610[[#This Row],[Fantasy Team]])))</f>
        <v/>
      </c>
      <c r="C39" s="10" t="str">
        <f>IF('League Inputs'!$C$10 = "Yes",IFERROR(_xlfn.RANK.EQ(C4,'Team Strength'!$C$4:$C$34),""),"")</f>
        <v/>
      </c>
      <c r="D39" s="10" t="str">
        <f>IF('League Inputs'!$C$11 = "Yes",IFERROR(_xlfn.RANK.EQ(D4,'Team Strength'!$D$4:$D$34),""),"")</f>
        <v/>
      </c>
      <c r="E39" s="10" t="str">
        <f>IF('League Inputs'!$C$12 = "Yes",IFERROR(_xlfn.RANK.EQ(E4,'Team Strength'!$E$4:$E$34),""),"")</f>
        <v/>
      </c>
      <c r="F39" s="10" t="str">
        <f>IF('League Inputs'!$C$15 = "Yes",IFERROR(_xlfn.RANK.EQ(F4,'Team Strength'!$F$4:$F$34),""),"")</f>
        <v/>
      </c>
      <c r="G39" s="10" t="str">
        <f>IF('League Inputs'!$C$18 = "Yes",IFERROR(_xlfn.RANK.EQ(G4,'Team Strength'!$G$4:$G$34),""),"")</f>
        <v/>
      </c>
      <c r="H39" s="10" t="str">
        <f>IF('League Inputs'!$C$19 = "Yes",IFERROR(_xlfn.RANK.EQ(H4,'Team Strength'!$H$4:$H$34),""),"")</f>
        <v/>
      </c>
      <c r="I39" s="10" t="str">
        <f>IF('League Inputs'!$C$22 = "Yes",IFERROR(_xlfn.RANK.EQ(I4,'Team Strength'!$I$4:$I$34),""),"")</f>
        <v/>
      </c>
      <c r="J39" s="10" t="str">
        <f>IF('League Inputs'!$C$20 = "Yes",IFERROR(_xlfn.RANK.EQ(J4,'Team Strength'!$J$4:$J$34),""),"")</f>
        <v/>
      </c>
      <c r="K39" s="10" t="str">
        <f>IF('League Inputs'!$C$17 = "Yes", IFERROR(_xlfn.RANK.EQ(K4,'Team Strength'!$K$4:$K$34),""),"")</f>
        <v/>
      </c>
      <c r="L39" s="8" t="str">
        <f>IFERROR(AVERAGE(Table610[[#This Row],[Rank G]:[Rank SOG]]),"")</f>
        <v/>
      </c>
      <c r="N39" s="65"/>
      <c r="O39" s="81"/>
      <c r="P39" s="81"/>
      <c r="Q39" s="81"/>
    </row>
    <row r="40" spans="1:26" x14ac:dyDescent="0.25">
      <c r="A40" t="str">
        <f t="shared" si="0"/>
        <v/>
      </c>
      <c r="B40" t="str">
        <f>IF(Table610[[#This Row],[Fantasy Team]] = "", "", IF(ISBLANK(Table610[[#This Row],[Fantasy Team]]),"",COUNTIF(Proj[Fantasy Team], Table610[[#This Row],[Fantasy Team]])))</f>
        <v/>
      </c>
      <c r="C40" s="10" t="str">
        <f>IF('League Inputs'!$C$10 = "Yes",IFERROR(_xlfn.RANK.EQ(C5,'Team Strength'!$C$4:$C$34),""),"")</f>
        <v/>
      </c>
      <c r="D40" s="10" t="str">
        <f>IF('League Inputs'!$C$11 = "Yes",IFERROR(_xlfn.RANK.EQ(D5,'Team Strength'!$D$4:$D$34),""),"")</f>
        <v/>
      </c>
      <c r="E40" s="10" t="str">
        <f>IF('League Inputs'!$C$12 = "Yes",IFERROR(_xlfn.RANK.EQ(E5,'Team Strength'!$E$4:$E$34),""),"")</f>
        <v/>
      </c>
      <c r="F40" s="10" t="str">
        <f>IF('League Inputs'!$C$15 = "Yes",IFERROR(_xlfn.RANK.EQ(F5,'Team Strength'!$F$4:$F$34),""),"")</f>
        <v/>
      </c>
      <c r="G40" s="10" t="str">
        <f>IF('League Inputs'!$C$18 = "Yes",IFERROR(_xlfn.RANK.EQ(G5,'Team Strength'!$G$4:$G$34),""),"")</f>
        <v/>
      </c>
      <c r="H40" s="10" t="str">
        <f>IF('League Inputs'!$C$19 = "Yes",IFERROR(_xlfn.RANK.EQ(H5,'Team Strength'!$H$4:$H$34),""),"")</f>
        <v/>
      </c>
      <c r="I40" s="10" t="str">
        <f>IF('League Inputs'!$C$22 = "Yes",IFERROR(_xlfn.RANK.EQ(I5,'Team Strength'!$I$4:$I$34),""),"")</f>
        <v/>
      </c>
      <c r="J40" s="10" t="str">
        <f>IF('League Inputs'!$C$20 = "Yes",IFERROR(_xlfn.RANK.EQ(J5,'Team Strength'!$J$4:$J$34),""),"")</f>
        <v/>
      </c>
      <c r="K40" s="10" t="str">
        <f>IF('League Inputs'!$C$17 = "Yes", IFERROR(_xlfn.RANK.EQ(K5,'Team Strength'!$K$4:$K$34),""),"")</f>
        <v/>
      </c>
      <c r="L40" s="8" t="str">
        <f>IFERROR(AVERAGE(Table610[[#This Row],[Rank G]:[Rank SOG]]),"")</f>
        <v/>
      </c>
      <c r="N40" s="65"/>
      <c r="O40" s="81"/>
      <c r="P40" s="81"/>
      <c r="Q40" s="81"/>
    </row>
    <row r="41" spans="1:26" x14ac:dyDescent="0.25">
      <c r="A41" t="str">
        <f t="shared" si="0"/>
        <v/>
      </c>
      <c r="B41" t="str">
        <f>IF(Table610[[#This Row],[Fantasy Team]] = "", "", IF(ISBLANK(Table610[[#This Row],[Fantasy Team]]),"",COUNTIF(Proj[Fantasy Team], Table610[[#This Row],[Fantasy Team]])))</f>
        <v/>
      </c>
      <c r="C41" s="10" t="str">
        <f>IF('League Inputs'!$C$10 = "Yes",IFERROR(_xlfn.RANK.EQ(C6,'Team Strength'!$C$4:$C$34),""),"")</f>
        <v/>
      </c>
      <c r="D41" s="10" t="str">
        <f>IF('League Inputs'!$C$11 = "Yes",IFERROR(_xlfn.RANK.EQ(D6,'Team Strength'!$D$4:$D$34),""),"")</f>
        <v/>
      </c>
      <c r="E41" s="10" t="str">
        <f>IF('League Inputs'!$C$12 = "Yes",IFERROR(_xlfn.RANK.EQ(E6,'Team Strength'!$E$4:$E$34),""),"")</f>
        <v/>
      </c>
      <c r="F41" s="10" t="str">
        <f>IF('League Inputs'!$C$15 = "Yes",IFERROR(_xlfn.RANK.EQ(F6,'Team Strength'!$F$4:$F$34),""),"")</f>
        <v/>
      </c>
      <c r="G41" s="10" t="str">
        <f>IF('League Inputs'!$C$18 = "Yes",IFERROR(_xlfn.RANK.EQ(G6,'Team Strength'!$G$4:$G$34),""),"")</f>
        <v/>
      </c>
      <c r="H41" s="10" t="str">
        <f>IF('League Inputs'!$C$19 = "Yes",IFERROR(_xlfn.RANK.EQ(H6,'Team Strength'!$H$4:$H$34),""),"")</f>
        <v/>
      </c>
      <c r="I41" s="10" t="str">
        <f>IF('League Inputs'!$C$22 = "Yes",IFERROR(_xlfn.RANK.EQ(I6,'Team Strength'!$I$4:$I$34),""),"")</f>
        <v/>
      </c>
      <c r="J41" s="10" t="str">
        <f>IF('League Inputs'!$C$20 = "Yes",IFERROR(_xlfn.RANK.EQ(J6,'Team Strength'!$J$4:$J$34),""),"")</f>
        <v/>
      </c>
      <c r="K41" s="10" t="str">
        <f>IF('League Inputs'!$C$17 = "Yes", IFERROR(_xlfn.RANK.EQ(K6,'Team Strength'!$K$4:$K$34),""),"")</f>
        <v/>
      </c>
      <c r="L41" s="8" t="str">
        <f>IFERROR(AVERAGE(Table610[[#This Row],[Rank G]:[Rank SOG]]),"")</f>
        <v/>
      </c>
      <c r="N41" s="65"/>
      <c r="O41" s="81"/>
      <c r="P41" s="81"/>
      <c r="Q41" s="81"/>
    </row>
    <row r="42" spans="1:26" x14ac:dyDescent="0.25">
      <c r="A42" t="str">
        <f t="shared" si="0"/>
        <v/>
      </c>
      <c r="B42" t="str">
        <f>IF(Table610[[#This Row],[Fantasy Team]] = "", "", IF(ISBLANK(Table610[[#This Row],[Fantasy Team]]),"",COUNTIF(Proj[Fantasy Team], Table610[[#This Row],[Fantasy Team]])))</f>
        <v/>
      </c>
      <c r="C42" s="10" t="str">
        <f>IF('League Inputs'!$C$10 = "Yes",IFERROR(_xlfn.RANK.EQ(C7,'Team Strength'!$C$4:$C$34),""),"")</f>
        <v/>
      </c>
      <c r="D42" s="10" t="str">
        <f>IF('League Inputs'!$C$11 = "Yes",IFERROR(_xlfn.RANK.EQ(D7,'Team Strength'!$D$4:$D$34),""),"")</f>
        <v/>
      </c>
      <c r="E42" s="10" t="str">
        <f>IF('League Inputs'!$C$12 = "Yes",IFERROR(_xlfn.RANK.EQ(E7,'Team Strength'!$E$4:$E$34),""),"")</f>
        <v/>
      </c>
      <c r="F42" s="10" t="str">
        <f>IF('League Inputs'!$C$15 = "Yes",IFERROR(_xlfn.RANK.EQ(F7,'Team Strength'!$F$4:$F$34),""),"")</f>
        <v/>
      </c>
      <c r="G42" s="10" t="str">
        <f>IF('League Inputs'!$C$18 = "Yes",IFERROR(_xlfn.RANK.EQ(G7,'Team Strength'!$G$4:$G$34),""),"")</f>
        <v/>
      </c>
      <c r="H42" s="10" t="str">
        <f>IF('League Inputs'!$C$19 = "Yes",IFERROR(_xlfn.RANK.EQ(H7,'Team Strength'!$H$4:$H$34),""),"")</f>
        <v/>
      </c>
      <c r="I42" s="10" t="str">
        <f>IF('League Inputs'!$C$22 = "Yes",IFERROR(_xlfn.RANK.EQ(I7,'Team Strength'!$I$4:$I$34),""),"")</f>
        <v/>
      </c>
      <c r="J42" s="10" t="str">
        <f>IF('League Inputs'!$C$20 = "Yes",IFERROR(_xlfn.RANK.EQ(J7,'Team Strength'!$J$4:$J$34),""),"")</f>
        <v/>
      </c>
      <c r="K42" s="10" t="str">
        <f>IF('League Inputs'!$C$17 = "Yes", IFERROR(_xlfn.RANK.EQ(K7,'Team Strength'!$K$4:$K$34),""),"")</f>
        <v/>
      </c>
      <c r="L42" s="8" t="str">
        <f>IFERROR(AVERAGE(Table610[[#This Row],[Rank G]:[Rank SOG]]),"")</f>
        <v/>
      </c>
      <c r="N42" s="65"/>
      <c r="O42" s="81"/>
      <c r="P42" s="81"/>
      <c r="Q42" s="81"/>
    </row>
    <row r="43" spans="1:26" x14ac:dyDescent="0.25">
      <c r="A43" t="str">
        <f t="shared" si="0"/>
        <v/>
      </c>
      <c r="B43" t="str">
        <f>IF(Table610[[#This Row],[Fantasy Team]] = "", "", IF(ISBLANK(Table610[[#This Row],[Fantasy Team]]),"",COUNTIF(Proj[Fantasy Team], Table610[[#This Row],[Fantasy Team]])))</f>
        <v/>
      </c>
      <c r="C43" s="10" t="str">
        <f>IF('League Inputs'!$C$10 = "Yes",IFERROR(_xlfn.RANK.EQ(C8,'Team Strength'!$C$4:$C$34),""),"")</f>
        <v/>
      </c>
      <c r="D43" s="10" t="str">
        <f>IF('League Inputs'!$C$11 = "Yes",IFERROR(_xlfn.RANK.EQ(D8,'Team Strength'!$D$4:$D$34),""),"")</f>
        <v/>
      </c>
      <c r="E43" s="10" t="str">
        <f>IF('League Inputs'!$C$12 = "Yes",IFERROR(_xlfn.RANK.EQ(E8,'Team Strength'!$E$4:$E$34),""),"")</f>
        <v/>
      </c>
      <c r="F43" s="10" t="str">
        <f>IF('League Inputs'!$C$15 = "Yes",IFERROR(_xlfn.RANK.EQ(F8,'Team Strength'!$F$4:$F$34),""),"")</f>
        <v/>
      </c>
      <c r="G43" s="10" t="str">
        <f>IF('League Inputs'!$C$18 = "Yes",IFERROR(_xlfn.RANK.EQ(G8,'Team Strength'!$G$4:$G$34),""),"")</f>
        <v/>
      </c>
      <c r="H43" s="10" t="str">
        <f>IF('League Inputs'!$C$19 = "Yes",IFERROR(_xlfn.RANK.EQ(H8,'Team Strength'!$H$4:$H$34),""),"")</f>
        <v/>
      </c>
      <c r="I43" s="10" t="str">
        <f>IF('League Inputs'!$C$22 = "Yes",IFERROR(_xlfn.RANK.EQ(I8,'Team Strength'!$I$4:$I$34),""),"")</f>
        <v/>
      </c>
      <c r="J43" s="10" t="str">
        <f>IF('League Inputs'!$C$20 = "Yes",IFERROR(_xlfn.RANK.EQ(J8,'Team Strength'!$J$4:$J$34),""),"")</f>
        <v/>
      </c>
      <c r="K43" s="10" t="str">
        <f>IF('League Inputs'!$C$17 = "Yes", IFERROR(_xlfn.RANK.EQ(K8,'Team Strength'!$K$4:$K$34),""),"")</f>
        <v/>
      </c>
      <c r="L43" s="8" t="str">
        <f>IFERROR(AVERAGE(Table610[[#This Row],[Rank G]:[Rank SOG]]),"")</f>
        <v/>
      </c>
      <c r="N43" s="65"/>
      <c r="O43" s="81"/>
      <c r="P43" s="81"/>
      <c r="Q43" s="81"/>
    </row>
    <row r="44" spans="1:26" x14ac:dyDescent="0.25">
      <c r="A44" t="str">
        <f t="shared" si="0"/>
        <v/>
      </c>
      <c r="B44" t="str">
        <f>IF(Table610[[#This Row],[Fantasy Team]] = "", "", IF(ISBLANK(Table610[[#This Row],[Fantasy Team]]),"",COUNTIF(Proj[Fantasy Team], Table610[[#This Row],[Fantasy Team]])))</f>
        <v/>
      </c>
      <c r="C44" s="10" t="str">
        <f>IF('League Inputs'!$C$10 = "Yes",IFERROR(_xlfn.RANK.EQ(C9,'Team Strength'!$C$4:$C$34),""),"")</f>
        <v/>
      </c>
      <c r="D44" s="10" t="str">
        <f>IF('League Inputs'!$C$11 = "Yes",IFERROR(_xlfn.RANK.EQ(D9,'Team Strength'!$D$4:$D$34),""),"")</f>
        <v/>
      </c>
      <c r="E44" s="10" t="str">
        <f>IF('League Inputs'!$C$12 = "Yes",IFERROR(_xlfn.RANK.EQ(E9,'Team Strength'!$E$4:$E$34),""),"")</f>
        <v/>
      </c>
      <c r="F44" s="10" t="str">
        <f>IF('League Inputs'!$C$15 = "Yes",IFERROR(_xlfn.RANK.EQ(F9,'Team Strength'!$F$4:$F$34),""),"")</f>
        <v/>
      </c>
      <c r="G44" s="10" t="str">
        <f>IF('League Inputs'!$C$18 = "Yes",IFERROR(_xlfn.RANK.EQ(G9,'Team Strength'!$G$4:$G$34),""),"")</f>
        <v/>
      </c>
      <c r="H44" s="10" t="str">
        <f>IF('League Inputs'!$C$19 = "Yes",IFERROR(_xlfn.RANK.EQ(H9,'Team Strength'!$H$4:$H$34),""),"")</f>
        <v/>
      </c>
      <c r="I44" s="10" t="str">
        <f>IF('League Inputs'!$C$22 = "Yes",IFERROR(_xlfn.RANK.EQ(I9,'Team Strength'!$I$4:$I$34),""),"")</f>
        <v/>
      </c>
      <c r="J44" s="10" t="str">
        <f>IF('League Inputs'!$C$20 = "Yes",IFERROR(_xlfn.RANK.EQ(J9,'Team Strength'!$J$4:$J$34),""),"")</f>
        <v/>
      </c>
      <c r="K44" s="10" t="str">
        <f>IF('League Inputs'!$C$17 = "Yes", IFERROR(_xlfn.RANK.EQ(K9,'Team Strength'!$K$4:$K$34),""),"")</f>
        <v/>
      </c>
      <c r="L44" s="8" t="str">
        <f>IFERROR(AVERAGE(Table610[[#This Row],[Rank G]:[Rank SOG]]),"")</f>
        <v/>
      </c>
      <c r="N44" s="65"/>
      <c r="O44" s="81"/>
      <c r="P44" s="81"/>
      <c r="Q44" s="81"/>
    </row>
    <row r="45" spans="1:26" x14ac:dyDescent="0.25">
      <c r="A45" t="str">
        <f t="shared" si="0"/>
        <v/>
      </c>
      <c r="B45" t="str">
        <f>IF(Table610[[#This Row],[Fantasy Team]] = "", "", IF(ISBLANK(Table610[[#This Row],[Fantasy Team]]),"",COUNTIF(Proj[Fantasy Team], Table610[[#This Row],[Fantasy Team]])))</f>
        <v/>
      </c>
      <c r="C45" s="10" t="str">
        <f>IF('League Inputs'!$C$10 = "Yes",IFERROR(_xlfn.RANK.EQ(C10,'Team Strength'!$C$4:$C$34),""),"")</f>
        <v/>
      </c>
      <c r="D45" s="10" t="str">
        <f>IF('League Inputs'!$C$11 = "Yes",IFERROR(_xlfn.RANK.EQ(D10,'Team Strength'!$D$4:$D$34),""),"")</f>
        <v/>
      </c>
      <c r="E45" s="10" t="str">
        <f>IF('League Inputs'!$C$12 = "Yes",IFERROR(_xlfn.RANK.EQ(E10,'Team Strength'!$E$4:$E$34),""),"")</f>
        <v/>
      </c>
      <c r="F45" s="10" t="str">
        <f>IF('League Inputs'!$C$15 = "Yes",IFERROR(_xlfn.RANK.EQ(F10,'Team Strength'!$F$4:$F$34),""),"")</f>
        <v/>
      </c>
      <c r="G45" s="10" t="str">
        <f>IF('League Inputs'!$C$18 = "Yes",IFERROR(_xlfn.RANK.EQ(G10,'Team Strength'!$G$4:$G$34),""),"")</f>
        <v/>
      </c>
      <c r="H45" s="10" t="str">
        <f>IF('League Inputs'!$C$19 = "Yes",IFERROR(_xlfn.RANK.EQ(H10,'Team Strength'!$H$4:$H$34),""),"")</f>
        <v/>
      </c>
      <c r="I45" s="10" t="str">
        <f>IF('League Inputs'!$C$22 = "Yes",IFERROR(_xlfn.RANK.EQ(I10,'Team Strength'!$I$4:$I$34),""),"")</f>
        <v/>
      </c>
      <c r="J45" s="10" t="str">
        <f>IF('League Inputs'!$C$20 = "Yes",IFERROR(_xlfn.RANK.EQ(J10,'Team Strength'!$J$4:$J$34),""),"")</f>
        <v/>
      </c>
      <c r="K45" s="10" t="str">
        <f>IF('League Inputs'!$C$17 = "Yes", IFERROR(_xlfn.RANK.EQ(K10,'Team Strength'!$K$4:$K$34),""),"")</f>
        <v/>
      </c>
      <c r="L45" s="8" t="str">
        <f>IFERROR(AVERAGE(Table610[[#This Row],[Rank G]:[Rank SOG]]),"")</f>
        <v/>
      </c>
      <c r="N45" s="65"/>
      <c r="O45" s="81"/>
      <c r="P45" s="81"/>
      <c r="Q45" s="81"/>
    </row>
    <row r="46" spans="1:26" x14ac:dyDescent="0.25">
      <c r="A46" t="str">
        <f t="shared" si="0"/>
        <v/>
      </c>
      <c r="B46" t="str">
        <f>IF(Table610[[#This Row],[Fantasy Team]] = "", "", IF(ISBLANK(Table610[[#This Row],[Fantasy Team]]),"",COUNTIF(Proj[Fantasy Team], Table610[[#This Row],[Fantasy Team]])))</f>
        <v/>
      </c>
      <c r="C46" s="10" t="str">
        <f>IF('League Inputs'!$C$10 = "Yes",IFERROR(_xlfn.RANK.EQ(C11,'Team Strength'!$C$4:$C$34),""),"")</f>
        <v/>
      </c>
      <c r="D46" s="10" t="str">
        <f>IF('League Inputs'!$C$11 = "Yes",IFERROR(_xlfn.RANK.EQ(D11,'Team Strength'!$D$4:$D$34),""),"")</f>
        <v/>
      </c>
      <c r="E46" s="10" t="str">
        <f>IF('League Inputs'!$C$12 = "Yes",IFERROR(_xlfn.RANK.EQ(E11,'Team Strength'!$E$4:$E$34),""),"")</f>
        <v/>
      </c>
      <c r="F46" s="10" t="str">
        <f>IF('League Inputs'!$C$15 = "Yes",IFERROR(_xlfn.RANK.EQ(F11,'Team Strength'!$F$4:$F$34),""),"")</f>
        <v/>
      </c>
      <c r="G46" s="10" t="str">
        <f>IF('League Inputs'!$C$18 = "Yes",IFERROR(_xlfn.RANK.EQ(G11,'Team Strength'!$G$4:$G$34),""),"")</f>
        <v/>
      </c>
      <c r="H46" s="10" t="str">
        <f>IF('League Inputs'!$C$19 = "Yes",IFERROR(_xlfn.RANK.EQ(H11,'Team Strength'!$H$4:$H$34),""),"")</f>
        <v/>
      </c>
      <c r="I46" s="10" t="str">
        <f>IF('League Inputs'!$C$22 = "Yes",IFERROR(_xlfn.RANK.EQ(I11,'Team Strength'!$I$4:$I$34),""),"")</f>
        <v/>
      </c>
      <c r="J46" s="10" t="str">
        <f>IF('League Inputs'!$C$20 = "Yes",IFERROR(_xlfn.RANK.EQ(J11,'Team Strength'!$J$4:$J$34),""),"")</f>
        <v/>
      </c>
      <c r="K46" s="10" t="str">
        <f>IF('League Inputs'!$C$17 = "Yes", IFERROR(_xlfn.RANK.EQ(K11,'Team Strength'!$K$4:$K$34),""),"")</f>
        <v/>
      </c>
      <c r="L46" s="8" t="str">
        <f>IFERROR(AVERAGE(Table610[[#This Row],[Rank G]:[Rank SOG]]),"")</f>
        <v/>
      </c>
      <c r="N46" s="82"/>
      <c r="O46" s="83"/>
      <c r="P46" s="83"/>
      <c r="Q46" s="83"/>
    </row>
    <row r="47" spans="1:26" x14ac:dyDescent="0.25">
      <c r="A47" t="str">
        <f t="shared" si="0"/>
        <v/>
      </c>
      <c r="B47" t="str">
        <f>IF(Table610[[#This Row],[Fantasy Team]] = "", "", IF(ISBLANK(Table610[[#This Row],[Fantasy Team]]),"",COUNTIF(Proj[Fantasy Team], Table610[[#This Row],[Fantasy Team]])))</f>
        <v/>
      </c>
      <c r="C47" s="10" t="str">
        <f>IF('League Inputs'!$C$10 = "Yes",IFERROR(_xlfn.RANK.EQ(C12,'Team Strength'!$C$4:$C$34),""),"")</f>
        <v/>
      </c>
      <c r="D47" s="10" t="str">
        <f>IF('League Inputs'!$C$11 = "Yes",IFERROR(_xlfn.RANK.EQ(D12,'Team Strength'!$D$4:$D$34),""),"")</f>
        <v/>
      </c>
      <c r="E47" s="10" t="str">
        <f>IF('League Inputs'!$C$12 = "Yes",IFERROR(_xlfn.RANK.EQ(E12,'Team Strength'!$E$4:$E$34),""),"")</f>
        <v/>
      </c>
      <c r="F47" s="10" t="str">
        <f>IF('League Inputs'!$C$15 = "Yes",IFERROR(_xlfn.RANK.EQ(F12,'Team Strength'!$F$4:$F$34),""),"")</f>
        <v/>
      </c>
      <c r="G47" s="10" t="str">
        <f>IF('League Inputs'!$C$18 = "Yes",IFERROR(_xlfn.RANK.EQ(G12,'Team Strength'!$G$4:$G$34),""),"")</f>
        <v/>
      </c>
      <c r="H47" s="10" t="str">
        <f>IF('League Inputs'!$C$19 = "Yes",IFERROR(_xlfn.RANK.EQ(H12,'Team Strength'!$H$4:$H$34),""),"")</f>
        <v/>
      </c>
      <c r="I47" s="10" t="str">
        <f>IF('League Inputs'!$C$22 = "Yes",IFERROR(_xlfn.RANK.EQ(I12,'Team Strength'!$I$4:$I$34),""),"")</f>
        <v/>
      </c>
      <c r="J47" s="10" t="str">
        <f>IF('League Inputs'!$C$20 = "Yes",IFERROR(_xlfn.RANK.EQ(J12,'Team Strength'!$J$4:$J$34),""),"")</f>
        <v/>
      </c>
      <c r="K47" s="10" t="str">
        <f>IF('League Inputs'!$C$17 = "Yes", IFERROR(_xlfn.RANK.EQ(K12,'Team Strength'!$K$4:$K$34),""),"")</f>
        <v/>
      </c>
      <c r="L47" s="8" t="str">
        <f>IFERROR(AVERAGE(Table610[[#This Row],[Rank G]:[Rank SOG]]),"")</f>
        <v/>
      </c>
      <c r="N47" s="65"/>
      <c r="O47" s="81"/>
      <c r="P47" s="81"/>
      <c r="Q47" s="81"/>
    </row>
    <row r="48" spans="1:26" x14ac:dyDescent="0.25">
      <c r="A48" t="str">
        <f t="shared" si="0"/>
        <v/>
      </c>
      <c r="B48" t="str">
        <f>IF(Table610[[#This Row],[Fantasy Team]] = "", "", IF(ISBLANK(Table610[[#This Row],[Fantasy Team]]),"",COUNTIF(Proj[Fantasy Team], Table610[[#This Row],[Fantasy Team]])))</f>
        <v/>
      </c>
      <c r="C48" s="10" t="str">
        <f>IF('League Inputs'!$C$10 = "Yes",IFERROR(_xlfn.RANK.EQ(C13,'Team Strength'!$C$4:$C$34),""),"")</f>
        <v/>
      </c>
      <c r="D48" s="10" t="str">
        <f>IF('League Inputs'!$C$11 = "Yes",IFERROR(_xlfn.RANK.EQ(D13,'Team Strength'!$D$4:$D$34),""),"")</f>
        <v/>
      </c>
      <c r="E48" s="10" t="str">
        <f>IF('League Inputs'!$C$12 = "Yes",IFERROR(_xlfn.RANK.EQ(E13,'Team Strength'!$E$4:$E$34),""),"")</f>
        <v/>
      </c>
      <c r="F48" s="10" t="str">
        <f>IF('League Inputs'!$C$15 = "Yes",IFERROR(_xlfn.RANK.EQ(F13,'Team Strength'!$F$4:$F$34),""),"")</f>
        <v/>
      </c>
      <c r="G48" s="10" t="str">
        <f>IF('League Inputs'!$C$18 = "Yes",IFERROR(_xlfn.RANK.EQ(G13,'Team Strength'!$G$4:$G$34),""),"")</f>
        <v/>
      </c>
      <c r="H48" s="10" t="str">
        <f>IF('League Inputs'!$C$19 = "Yes",IFERROR(_xlfn.RANK.EQ(H13,'Team Strength'!$H$4:$H$34),""),"")</f>
        <v/>
      </c>
      <c r="I48" s="10" t="str">
        <f>IF('League Inputs'!$C$22 = "Yes",IFERROR(_xlfn.RANK.EQ(I13,'Team Strength'!$I$4:$I$34),""),"")</f>
        <v/>
      </c>
      <c r="J48" s="10" t="str">
        <f>IF('League Inputs'!$C$20 = "Yes",IFERROR(_xlfn.RANK.EQ(J13,'Team Strength'!$J$4:$J$34),""),"")</f>
        <v/>
      </c>
      <c r="K48" s="10" t="str">
        <f>IF('League Inputs'!$C$17 = "Yes", IFERROR(_xlfn.RANK.EQ(K13,'Team Strength'!$K$4:$K$34),""),"")</f>
        <v/>
      </c>
      <c r="L48" s="8" t="str">
        <f>IFERROR(AVERAGE(Table610[[#This Row],[Rank G]:[Rank SOG]]),"")</f>
        <v/>
      </c>
      <c r="N48" s="65"/>
      <c r="O48" s="81"/>
      <c r="P48" s="81"/>
      <c r="Q48" s="81"/>
    </row>
    <row r="49" spans="1:18" x14ac:dyDescent="0.25">
      <c r="A49" t="str">
        <f t="shared" si="0"/>
        <v/>
      </c>
      <c r="B49" t="str">
        <f>IF(Table610[[#This Row],[Fantasy Team]] = "", "", IF(ISBLANK(Table610[[#This Row],[Fantasy Team]]),"",COUNTIF(Proj[Fantasy Team], Table610[[#This Row],[Fantasy Team]])))</f>
        <v/>
      </c>
      <c r="C49" s="10" t="str">
        <f>IF('League Inputs'!$C$10 = "Yes",IFERROR(_xlfn.RANK.EQ(C14,'Team Strength'!$C$4:$C$34),""),"")</f>
        <v/>
      </c>
      <c r="D49" s="10" t="str">
        <f>IF('League Inputs'!$C$11 = "Yes",IFERROR(_xlfn.RANK.EQ(D14,'Team Strength'!$D$4:$D$34),""),"")</f>
        <v/>
      </c>
      <c r="E49" s="10" t="str">
        <f>IF('League Inputs'!$C$12 = "Yes",IFERROR(_xlfn.RANK.EQ(E14,'Team Strength'!$E$4:$E$34),""),"")</f>
        <v/>
      </c>
      <c r="F49" s="10" t="str">
        <f>IF('League Inputs'!$C$15 = "Yes",IFERROR(_xlfn.RANK.EQ(F14,'Team Strength'!$F$4:$F$34),""),"")</f>
        <v/>
      </c>
      <c r="G49" s="10" t="str">
        <f>IF('League Inputs'!$C$18 = "Yes",IFERROR(_xlfn.RANK.EQ(G14,'Team Strength'!$G$4:$G$34),""),"")</f>
        <v/>
      </c>
      <c r="H49" s="10" t="str">
        <f>IF('League Inputs'!$C$19 = "Yes",IFERROR(_xlfn.RANK.EQ(H14,'Team Strength'!$H$4:$H$34),""),"")</f>
        <v/>
      </c>
      <c r="I49" s="10" t="str">
        <f>IF('League Inputs'!$C$22 = "Yes",IFERROR(_xlfn.RANK.EQ(I14,'Team Strength'!$I$4:$I$34),""),"")</f>
        <v/>
      </c>
      <c r="J49" s="10" t="str">
        <f>IF('League Inputs'!$C$20 = "Yes",IFERROR(_xlfn.RANK.EQ(J14,'Team Strength'!$J$4:$J$34),""),"")</f>
        <v/>
      </c>
      <c r="K49" s="10" t="str">
        <f>IF('League Inputs'!$C$17 = "Yes", IFERROR(_xlfn.RANK.EQ(K14,'Team Strength'!$K$4:$K$34),""),"")</f>
        <v/>
      </c>
      <c r="L49" s="8" t="str">
        <f>IFERROR(AVERAGE(Table610[[#This Row],[Rank G]:[Rank SOG]]),"")</f>
        <v/>
      </c>
      <c r="N49" s="82"/>
      <c r="O49" s="81"/>
      <c r="P49" s="81"/>
      <c r="Q49" s="81"/>
    </row>
    <row r="50" spans="1:18" x14ac:dyDescent="0.25">
      <c r="A50" t="str">
        <f t="shared" si="0"/>
        <v/>
      </c>
      <c r="B50" t="str">
        <f>IF(Table610[[#This Row],[Fantasy Team]] = "", "", IF(ISBLANK(Table610[[#This Row],[Fantasy Team]]),"",COUNTIF(Proj[Fantasy Team], Table610[[#This Row],[Fantasy Team]])))</f>
        <v/>
      </c>
      <c r="C50" s="10" t="str">
        <f>IF('League Inputs'!$C$10 = "Yes",IFERROR(_xlfn.RANK.EQ(C15,'Team Strength'!$C$4:$C$34),""),"")</f>
        <v/>
      </c>
      <c r="D50" s="10" t="str">
        <f>IF('League Inputs'!$C$11 = "Yes",IFERROR(_xlfn.RANK.EQ(D15,'Team Strength'!$D$4:$D$34),""),"")</f>
        <v/>
      </c>
      <c r="E50" s="10" t="str">
        <f>IF('League Inputs'!$C$12 = "Yes",IFERROR(_xlfn.RANK.EQ(E15,'Team Strength'!$E$4:$E$34),""),"")</f>
        <v/>
      </c>
      <c r="F50" s="10" t="str">
        <f>IF('League Inputs'!$C$15 = "Yes",IFERROR(_xlfn.RANK.EQ(F15,'Team Strength'!$F$4:$F$34),""),"")</f>
        <v/>
      </c>
      <c r="G50" s="10" t="str">
        <f>IF('League Inputs'!$C$18 = "Yes",IFERROR(_xlfn.RANK.EQ(G15,'Team Strength'!$G$4:$G$34),""),"")</f>
        <v/>
      </c>
      <c r="H50" s="10" t="str">
        <f>IF('League Inputs'!$C$19 = "Yes",IFERROR(_xlfn.RANK.EQ(H15,'Team Strength'!$H$4:$H$34),""),"")</f>
        <v/>
      </c>
      <c r="I50" s="10" t="str">
        <f>IF('League Inputs'!$C$22 = "Yes",IFERROR(_xlfn.RANK.EQ(I15,'Team Strength'!$I$4:$I$34),""),"")</f>
        <v/>
      </c>
      <c r="J50" s="10" t="str">
        <f>IF('League Inputs'!$C$20 = "Yes",IFERROR(_xlfn.RANK.EQ(J15,'Team Strength'!$J$4:$J$34),""),"")</f>
        <v/>
      </c>
      <c r="K50" s="10" t="str">
        <f>IF('League Inputs'!$C$17 = "Yes", IFERROR(_xlfn.RANK.EQ(K15,'Team Strength'!$K$4:$K$34),""),"")</f>
        <v/>
      </c>
      <c r="L50" s="8" t="str">
        <f>IFERROR(AVERAGE(Table610[[#This Row],[Rank G]:[Rank SOG]]),"")</f>
        <v/>
      </c>
      <c r="N50" s="65"/>
      <c r="O50" s="83"/>
      <c r="P50" s="83"/>
      <c r="Q50" s="83"/>
    </row>
    <row r="51" spans="1:18" x14ac:dyDescent="0.25">
      <c r="A51" t="str">
        <f t="shared" si="0"/>
        <v/>
      </c>
      <c r="B51" t="str">
        <f>IF(Table610[[#This Row],[Fantasy Team]] = "", "", IF(ISBLANK(Table610[[#This Row],[Fantasy Team]]),"",COUNTIF(Proj[Fantasy Team], Table610[[#This Row],[Fantasy Team]])))</f>
        <v/>
      </c>
      <c r="C51" s="10" t="str">
        <f>IF('League Inputs'!$C$10 = "Yes",IFERROR(_xlfn.RANK.EQ(C16,'Team Strength'!$C$4:$C$34),""),"")</f>
        <v/>
      </c>
      <c r="D51" s="10" t="str">
        <f>IF('League Inputs'!$C$11 = "Yes",IFERROR(_xlfn.RANK.EQ(D16,'Team Strength'!$D$4:$D$34),""),"")</f>
        <v/>
      </c>
      <c r="E51" s="10" t="str">
        <f>IF('League Inputs'!$C$12 = "Yes",IFERROR(_xlfn.RANK.EQ(E16,'Team Strength'!$E$4:$E$34),""),"")</f>
        <v/>
      </c>
      <c r="F51" s="10" t="str">
        <f>IF('League Inputs'!$C$15 = "Yes",IFERROR(_xlfn.RANK.EQ(F16,'Team Strength'!$F$4:$F$34),""),"")</f>
        <v/>
      </c>
      <c r="G51" s="10" t="str">
        <f>IF('League Inputs'!$C$18 = "Yes",IFERROR(_xlfn.RANK.EQ(G16,'Team Strength'!$G$4:$G$34),""),"")</f>
        <v/>
      </c>
      <c r="H51" s="10" t="str">
        <f>IF('League Inputs'!$C$19 = "Yes",IFERROR(_xlfn.RANK.EQ(H16,'Team Strength'!$H$4:$H$34),""),"")</f>
        <v/>
      </c>
      <c r="I51" s="10" t="str">
        <f>IF('League Inputs'!$C$22 = "Yes",IFERROR(_xlfn.RANK.EQ(I16,'Team Strength'!$I$4:$I$34),""),"")</f>
        <v/>
      </c>
      <c r="J51" s="10" t="str">
        <f>IF('League Inputs'!$C$20 = "Yes",IFERROR(_xlfn.RANK.EQ(J16,'Team Strength'!$J$4:$J$34),""),"")</f>
        <v/>
      </c>
      <c r="K51" s="10" t="str">
        <f>IF('League Inputs'!$C$17 = "Yes", IFERROR(_xlfn.RANK.EQ(K16,'Team Strength'!$K$4:$K$34),""),"")</f>
        <v/>
      </c>
      <c r="L51" s="8" t="str">
        <f>IFERROR(AVERAGE(Table610[[#This Row],[Rank G]:[Rank SOG]]),"")</f>
        <v/>
      </c>
      <c r="N51" s="65"/>
      <c r="O51" s="81"/>
      <c r="P51" s="81"/>
      <c r="Q51" s="81"/>
    </row>
    <row r="52" spans="1:18" x14ac:dyDescent="0.25">
      <c r="A52" t="str">
        <f t="shared" si="0"/>
        <v/>
      </c>
      <c r="B52" t="str">
        <f>IF(Table610[[#This Row],[Fantasy Team]] = "", "", IF(ISBLANK(Table610[[#This Row],[Fantasy Team]]),"",COUNTIF(Proj[Fantasy Team], Table610[[#This Row],[Fantasy Team]])))</f>
        <v/>
      </c>
      <c r="C52" s="10" t="str">
        <f>IF('League Inputs'!$C$10 = "Yes",IFERROR(_xlfn.RANK.EQ(C17,'Team Strength'!$C$4:$C$34),""),"")</f>
        <v/>
      </c>
      <c r="D52" s="10" t="str">
        <f>IF('League Inputs'!$C$11 = "Yes",IFERROR(_xlfn.RANK.EQ(D17,'Team Strength'!$D$4:$D$34),""),"")</f>
        <v/>
      </c>
      <c r="E52" s="10" t="str">
        <f>IF('League Inputs'!$C$12 = "Yes",IFERROR(_xlfn.RANK.EQ(E17,'Team Strength'!$E$4:$E$34),""),"")</f>
        <v/>
      </c>
      <c r="F52" s="10" t="str">
        <f>IF('League Inputs'!$C$15 = "Yes",IFERROR(_xlfn.RANK.EQ(F17,'Team Strength'!$F$4:$F$34),""),"")</f>
        <v/>
      </c>
      <c r="G52" s="10" t="str">
        <f>IF('League Inputs'!$C$18 = "Yes",IFERROR(_xlfn.RANK.EQ(G17,'Team Strength'!$G$4:$G$34),""),"")</f>
        <v/>
      </c>
      <c r="H52" s="10" t="str">
        <f>IF('League Inputs'!$C$19 = "Yes",IFERROR(_xlfn.RANK.EQ(H17,'Team Strength'!$H$4:$H$34),""),"")</f>
        <v/>
      </c>
      <c r="I52" s="10" t="str">
        <f>IF('League Inputs'!$C$22 = "Yes",IFERROR(_xlfn.RANK.EQ(I17,'Team Strength'!$I$4:$I$34),""),"")</f>
        <v/>
      </c>
      <c r="J52" s="10" t="str">
        <f>IF('League Inputs'!$C$20 = "Yes",IFERROR(_xlfn.RANK.EQ(J17,'Team Strength'!$J$4:$J$34),""),"")</f>
        <v/>
      </c>
      <c r="K52" s="10" t="str">
        <f>IF('League Inputs'!$C$17 = "Yes", IFERROR(_xlfn.RANK.EQ(K17,'Team Strength'!$K$4:$K$34),""),"")</f>
        <v/>
      </c>
      <c r="L52" s="8" t="str">
        <f>IFERROR(AVERAGE(Table610[[#This Row],[Rank G]:[Rank SOG]]),"")</f>
        <v/>
      </c>
      <c r="N52" s="65"/>
      <c r="O52" s="81"/>
      <c r="P52" s="81"/>
      <c r="Q52" s="81"/>
    </row>
    <row r="53" spans="1:18" x14ac:dyDescent="0.25">
      <c r="A53" t="str">
        <f t="shared" si="0"/>
        <v/>
      </c>
      <c r="B53" t="str">
        <f>IF(Table610[[#This Row],[Fantasy Team]] = "", "", IF(ISBLANK(Table610[[#This Row],[Fantasy Team]]),"",COUNTIF(Proj[Fantasy Team], Table610[[#This Row],[Fantasy Team]])))</f>
        <v/>
      </c>
      <c r="C53" s="10" t="str">
        <f>IF('League Inputs'!$C$10 = "Yes",IFERROR(_xlfn.RANK.EQ(C18,'Team Strength'!$C$4:$C$34),""),"")</f>
        <v/>
      </c>
      <c r="D53" s="10" t="str">
        <f>IF('League Inputs'!$C$11 = "Yes",IFERROR(_xlfn.RANK.EQ(D18,'Team Strength'!$D$4:$D$34),""),"")</f>
        <v/>
      </c>
      <c r="E53" s="10" t="str">
        <f>IF('League Inputs'!$C$12 = "Yes",IFERROR(_xlfn.RANK.EQ(E18,'Team Strength'!$E$4:$E$34),""),"")</f>
        <v/>
      </c>
      <c r="F53" s="10" t="str">
        <f>IF('League Inputs'!$C$15 = "Yes",IFERROR(_xlfn.RANK.EQ(F18,'Team Strength'!$F$4:$F$34),""),"")</f>
        <v/>
      </c>
      <c r="G53" s="10" t="str">
        <f>IF('League Inputs'!$C$18 = "Yes",IFERROR(_xlfn.RANK.EQ(G18,'Team Strength'!$G$4:$G$34),""),"")</f>
        <v/>
      </c>
      <c r="H53" s="10" t="str">
        <f>IF('League Inputs'!$C$19 = "Yes",IFERROR(_xlfn.RANK.EQ(H18,'Team Strength'!$H$4:$H$34),""),"")</f>
        <v/>
      </c>
      <c r="I53" s="10" t="str">
        <f>IF('League Inputs'!$C$22 = "Yes",IFERROR(_xlfn.RANK.EQ(I18,'Team Strength'!$I$4:$I$34),""),"")</f>
        <v/>
      </c>
      <c r="J53" s="10" t="str">
        <f>IF('League Inputs'!$C$20 = "Yes",IFERROR(_xlfn.RANK.EQ(J18,'Team Strength'!$J$4:$J$34),""),"")</f>
        <v/>
      </c>
      <c r="K53" s="10" t="str">
        <f>IF('League Inputs'!$C$17 = "Yes", IFERROR(_xlfn.RANK.EQ(K18,'Team Strength'!$K$4:$K$34),""),"")</f>
        <v/>
      </c>
      <c r="L53" s="8" t="str">
        <f>IFERROR(AVERAGE(Table610[[#This Row],[Rank G]:[Rank SOG]]),"")</f>
        <v/>
      </c>
      <c r="N53" s="65"/>
      <c r="O53" s="83"/>
      <c r="P53" s="83"/>
      <c r="Q53" s="83"/>
    </row>
    <row r="54" spans="1:18" x14ac:dyDescent="0.25">
      <c r="A54" t="str">
        <f t="shared" si="0"/>
        <v/>
      </c>
      <c r="B54" t="str">
        <f>IF(Table610[[#This Row],[Fantasy Team]] = "", "", IF(ISBLANK(Table610[[#This Row],[Fantasy Team]]),"",COUNTIF(Proj[Fantasy Team], Table610[[#This Row],[Fantasy Team]])))</f>
        <v/>
      </c>
      <c r="C54" s="10" t="str">
        <f>IF('League Inputs'!$C$10 = "Yes",IFERROR(_xlfn.RANK.EQ(C19,'Team Strength'!$C$4:$C$34),""),"")</f>
        <v/>
      </c>
      <c r="D54" s="10" t="str">
        <f>IF('League Inputs'!$C$11 = "Yes",IFERROR(_xlfn.RANK.EQ(D19,'Team Strength'!$D$4:$D$34),""),"")</f>
        <v/>
      </c>
      <c r="E54" s="10" t="str">
        <f>IF('League Inputs'!$C$12 = "Yes",IFERROR(_xlfn.RANK.EQ(E19,'Team Strength'!$E$4:$E$34),""),"")</f>
        <v/>
      </c>
      <c r="F54" s="10" t="str">
        <f>IF('League Inputs'!$C$15 = "Yes",IFERROR(_xlfn.RANK.EQ(F19,'Team Strength'!$F$4:$F$34),""),"")</f>
        <v/>
      </c>
      <c r="G54" s="10" t="str">
        <f>IF('League Inputs'!$C$18 = "Yes",IFERROR(_xlfn.RANK.EQ(G19,'Team Strength'!$G$4:$G$34),""),"")</f>
        <v/>
      </c>
      <c r="H54" s="10" t="str">
        <f>IF('League Inputs'!$C$19 = "Yes",IFERROR(_xlfn.RANK.EQ(H19,'Team Strength'!$H$4:$H$34),""),"")</f>
        <v/>
      </c>
      <c r="I54" s="10" t="str">
        <f>IF('League Inputs'!$C$22 = "Yes",IFERROR(_xlfn.RANK.EQ(I19,'Team Strength'!$I$4:$I$34),""),"")</f>
        <v/>
      </c>
      <c r="J54" s="10" t="str">
        <f>IF('League Inputs'!$C$20 = "Yes",IFERROR(_xlfn.RANK.EQ(J19,'Team Strength'!$J$4:$J$34),""),"")</f>
        <v/>
      </c>
      <c r="K54" s="10" t="str">
        <f>IF('League Inputs'!$C$17 = "Yes", IFERROR(_xlfn.RANK.EQ(K19,'Team Strength'!$K$4:$K$34),""),"")</f>
        <v/>
      </c>
      <c r="L54" s="8" t="str">
        <f>IFERROR(AVERAGE(Table610[[#This Row],[Rank G]:[Rank SOG]]),"")</f>
        <v/>
      </c>
      <c r="N54" s="84"/>
      <c r="O54" s="83"/>
      <c r="P54" s="83"/>
      <c r="Q54" s="83"/>
    </row>
    <row r="55" spans="1:18" x14ac:dyDescent="0.25">
      <c r="A55" t="str">
        <f t="shared" si="0"/>
        <v/>
      </c>
      <c r="B55" t="str">
        <f>IF(Table610[[#This Row],[Fantasy Team]] = "", "", IF(ISBLANK(Table610[[#This Row],[Fantasy Team]]),"",COUNTIF(Proj[Fantasy Team], Table610[[#This Row],[Fantasy Team]])))</f>
        <v/>
      </c>
      <c r="C55" s="10" t="str">
        <f>IF('League Inputs'!$C$10 = "Yes",IFERROR(_xlfn.RANK.EQ(C20,'Team Strength'!$C$4:$C$34),""),"")</f>
        <v/>
      </c>
      <c r="D55" s="10" t="str">
        <f>IF('League Inputs'!$C$11 = "Yes",IFERROR(_xlfn.RANK.EQ(D20,'Team Strength'!$D$4:$D$34),""),"")</f>
        <v/>
      </c>
      <c r="E55" s="10" t="str">
        <f>IF('League Inputs'!$C$12 = "Yes",IFERROR(_xlfn.RANK.EQ(E20,'Team Strength'!$E$4:$E$34),""),"")</f>
        <v/>
      </c>
      <c r="F55" s="10" t="str">
        <f>IF('League Inputs'!$C$15 = "Yes",IFERROR(_xlfn.RANK.EQ(F20,'Team Strength'!$F$4:$F$34),""),"")</f>
        <v/>
      </c>
      <c r="G55" s="10" t="str">
        <f>IF('League Inputs'!$C$18 = "Yes",IFERROR(_xlfn.RANK.EQ(G20,'Team Strength'!$G$4:$G$34),""),"")</f>
        <v/>
      </c>
      <c r="H55" s="10" t="str">
        <f>IF('League Inputs'!$C$19 = "Yes",IFERROR(_xlfn.RANK.EQ(H20,'Team Strength'!$H$4:$H$34),""),"")</f>
        <v/>
      </c>
      <c r="I55" s="10" t="str">
        <f>IF('League Inputs'!$C$22 = "Yes",IFERROR(_xlfn.RANK.EQ(I20,'Team Strength'!$I$4:$I$34),""),"")</f>
        <v/>
      </c>
      <c r="J55" s="10" t="str">
        <f>IF('League Inputs'!$C$20 = "Yes",IFERROR(_xlfn.RANK.EQ(J20,'Team Strength'!$J$4:$J$34),""),"")</f>
        <v/>
      </c>
      <c r="K55" s="10" t="str">
        <f>IF('League Inputs'!$C$17 = "Yes", IFERROR(_xlfn.RANK.EQ(K20,'Team Strength'!$K$4:$K$34),""),"")</f>
        <v/>
      </c>
      <c r="L55" s="8" t="str">
        <f>IFERROR(AVERAGE(Table610[[#This Row],[Rank G]:[Rank SOG]]),"")</f>
        <v/>
      </c>
      <c r="N55" s="84"/>
      <c r="O55" s="83"/>
      <c r="P55" s="83"/>
      <c r="Q55" s="83"/>
    </row>
    <row r="56" spans="1:18" x14ac:dyDescent="0.25">
      <c r="A56" t="str">
        <f t="shared" si="0"/>
        <v/>
      </c>
      <c r="B56" t="str">
        <f>IF(Table610[[#This Row],[Fantasy Team]] = "", "", IF(ISBLANK(Table610[[#This Row],[Fantasy Team]]),"",COUNTIF(Proj[Fantasy Team], Table610[[#This Row],[Fantasy Team]])))</f>
        <v/>
      </c>
      <c r="C56" s="10" t="str">
        <f>IF('League Inputs'!$C$10 = "Yes",IFERROR(_xlfn.RANK.EQ(C21,'Team Strength'!$C$4:$C$34),""),"")</f>
        <v/>
      </c>
      <c r="D56" s="10" t="str">
        <f>IF('League Inputs'!$C$11 = "Yes",IFERROR(_xlfn.RANK.EQ(D21,'Team Strength'!$D$4:$D$34),""),"")</f>
        <v/>
      </c>
      <c r="E56" s="10" t="str">
        <f>IF('League Inputs'!$C$12 = "Yes",IFERROR(_xlfn.RANK.EQ(E21,'Team Strength'!$E$4:$E$34),""),"")</f>
        <v/>
      </c>
      <c r="F56" s="10" t="str">
        <f>IF('League Inputs'!$C$15 = "Yes",IFERROR(_xlfn.RANK.EQ(F21,'Team Strength'!$F$4:$F$34),""),"")</f>
        <v/>
      </c>
      <c r="G56" s="10" t="str">
        <f>IF('League Inputs'!$C$18 = "Yes",IFERROR(_xlfn.RANK.EQ(G21,'Team Strength'!$G$4:$G$34),""),"")</f>
        <v/>
      </c>
      <c r="H56" s="10" t="str">
        <f>IF('League Inputs'!$C$19 = "Yes",IFERROR(_xlfn.RANK.EQ(H21,'Team Strength'!$H$4:$H$34),""),"")</f>
        <v/>
      </c>
      <c r="I56" s="10" t="str">
        <f>IF('League Inputs'!$C$22 = "Yes",IFERROR(_xlfn.RANK.EQ(I21,'Team Strength'!$I$4:$I$34),""),"")</f>
        <v/>
      </c>
      <c r="J56" s="10" t="str">
        <f>IF('League Inputs'!$C$20 = "Yes",IFERROR(_xlfn.RANK.EQ(J21,'Team Strength'!$J$4:$J$34),""),"")</f>
        <v/>
      </c>
      <c r="K56" s="10" t="str">
        <f>IF('League Inputs'!$C$17 = "Yes", IFERROR(_xlfn.RANK.EQ(K21,'Team Strength'!$K$4:$K$34),""),"")</f>
        <v/>
      </c>
      <c r="L56" s="8" t="str">
        <f>IFERROR(AVERAGE(Table610[[#This Row],[Rank G]:[Rank SOG]]),"")</f>
        <v/>
      </c>
      <c r="N56" s="85"/>
      <c r="O56" s="83"/>
      <c r="P56" s="83"/>
      <c r="Q56" s="83"/>
    </row>
    <row r="57" spans="1:18" x14ac:dyDescent="0.25">
      <c r="A57" t="str">
        <f t="shared" si="0"/>
        <v/>
      </c>
      <c r="B57" t="str">
        <f>IF(Table610[[#This Row],[Fantasy Team]] = "", "", IF(ISBLANK(Table610[[#This Row],[Fantasy Team]]),"",COUNTIF(Proj[Fantasy Team], Table610[[#This Row],[Fantasy Team]])))</f>
        <v/>
      </c>
      <c r="C57" s="10" t="str">
        <f>IF('League Inputs'!$C$10 = "Yes",IFERROR(_xlfn.RANK.EQ(C22,'Team Strength'!$C$4:$C$34),""),"")</f>
        <v/>
      </c>
      <c r="D57" s="10" t="str">
        <f>IF('League Inputs'!$C$11 = "Yes",IFERROR(_xlfn.RANK.EQ(D22,'Team Strength'!$D$4:$D$34),""),"")</f>
        <v/>
      </c>
      <c r="E57" s="10" t="str">
        <f>IF('League Inputs'!$C$12 = "Yes",IFERROR(_xlfn.RANK.EQ(E22,'Team Strength'!$E$4:$E$34),""),"")</f>
        <v/>
      </c>
      <c r="F57" s="10" t="str">
        <f>IF('League Inputs'!$C$15 = "Yes",IFERROR(_xlfn.RANK.EQ(F22,'Team Strength'!$F$4:$F$34),""),"")</f>
        <v/>
      </c>
      <c r="G57" s="10" t="str">
        <f>IF('League Inputs'!$C$18 = "Yes",IFERROR(_xlfn.RANK.EQ(G22,'Team Strength'!$G$4:$G$34),""),"")</f>
        <v/>
      </c>
      <c r="H57" s="10" t="str">
        <f>IF('League Inputs'!$C$19 = "Yes",IFERROR(_xlfn.RANK.EQ(H22,'Team Strength'!$H$4:$H$34),""),"")</f>
        <v/>
      </c>
      <c r="I57" s="10" t="str">
        <f>IF('League Inputs'!$C$22 = "Yes",IFERROR(_xlfn.RANK.EQ(I22,'Team Strength'!$I$4:$I$34),""),"")</f>
        <v/>
      </c>
      <c r="J57" s="10" t="str">
        <f>IF('League Inputs'!$C$20 = "Yes",IFERROR(_xlfn.RANK.EQ(J22,'Team Strength'!$J$4:$J$34),""),"")</f>
        <v/>
      </c>
      <c r="K57" s="10" t="str">
        <f>IF('League Inputs'!$C$17 = "Yes", IFERROR(_xlfn.RANK.EQ(K22,'Team Strength'!$K$4:$K$34),""),"")</f>
        <v/>
      </c>
      <c r="L57" s="8" t="str">
        <f>IFERROR(AVERAGE(Table610[[#This Row],[Rank G]:[Rank SOG]]),"")</f>
        <v/>
      </c>
      <c r="N57" s="84"/>
      <c r="O57" s="83"/>
      <c r="P57" s="83"/>
      <c r="Q57" s="83"/>
    </row>
    <row r="58" spans="1:18" x14ac:dyDescent="0.25">
      <c r="A58" t="str">
        <f t="shared" si="0"/>
        <v/>
      </c>
      <c r="B58" t="str">
        <f>IF(Table610[[#This Row],[Fantasy Team]] = "", "", IF(ISBLANK(Table610[[#This Row],[Fantasy Team]]),"",COUNTIF(Proj[Fantasy Team], Table610[[#This Row],[Fantasy Team]])))</f>
        <v/>
      </c>
      <c r="C58" s="10" t="str">
        <f>IF('League Inputs'!$C$10 = "Yes",IFERROR(_xlfn.RANK.EQ(C23,'Team Strength'!$C$4:$C$34),""),"")</f>
        <v/>
      </c>
      <c r="D58" s="10" t="str">
        <f>IF('League Inputs'!$C$11 = "Yes",IFERROR(_xlfn.RANK.EQ(D23,'Team Strength'!$D$4:$D$34),""),"")</f>
        <v/>
      </c>
      <c r="E58" s="10" t="str">
        <f>IF('League Inputs'!$C$12 = "Yes",IFERROR(_xlfn.RANK.EQ(E23,'Team Strength'!$E$4:$E$34),""),"")</f>
        <v/>
      </c>
      <c r="F58" s="10" t="str">
        <f>IF('League Inputs'!$C$15 = "Yes",IFERROR(_xlfn.RANK.EQ(F23,'Team Strength'!$F$4:$F$34),""),"")</f>
        <v/>
      </c>
      <c r="G58" s="10" t="str">
        <f>IF('League Inputs'!$C$18 = "Yes",IFERROR(_xlfn.RANK.EQ(G23,'Team Strength'!$G$4:$G$34),""),"")</f>
        <v/>
      </c>
      <c r="H58" s="10" t="str">
        <f>IF('League Inputs'!$C$19 = "Yes",IFERROR(_xlfn.RANK.EQ(H23,'Team Strength'!$H$4:$H$34),""),"")</f>
        <v/>
      </c>
      <c r="I58" s="10" t="str">
        <f>IF('League Inputs'!$C$22 = "Yes",IFERROR(_xlfn.RANK.EQ(I23,'Team Strength'!$I$4:$I$34),""),"")</f>
        <v/>
      </c>
      <c r="J58" s="10" t="str">
        <f>IF('League Inputs'!$C$20 = "Yes",IFERROR(_xlfn.RANK.EQ(J23,'Team Strength'!$J$4:$J$34),""),"")</f>
        <v/>
      </c>
      <c r="K58" s="10" t="str">
        <f>IF('League Inputs'!$C$17 = "Yes", IFERROR(_xlfn.RANK.EQ(K23,'Team Strength'!$K$4:$K$34),""),"")</f>
        <v/>
      </c>
      <c r="L58" s="8" t="str">
        <f>IFERROR(AVERAGE(Table610[[#This Row],[Rank G]:[Rank SOG]]),"")</f>
        <v/>
      </c>
      <c r="N58" s="82"/>
      <c r="O58" s="83"/>
      <c r="P58" s="83"/>
      <c r="Q58" s="83"/>
    </row>
    <row r="59" spans="1:18" x14ac:dyDescent="0.25">
      <c r="A59" t="str">
        <f t="shared" si="0"/>
        <v/>
      </c>
      <c r="B59" t="str">
        <f>IF(Table610[[#This Row],[Fantasy Team]] = "", "", IF(ISBLANK(Table610[[#This Row],[Fantasy Team]]),"",COUNTIF(Proj[Fantasy Team], Table610[[#This Row],[Fantasy Team]])))</f>
        <v/>
      </c>
      <c r="C59" s="10" t="str">
        <f>IF('League Inputs'!$C$10 = "Yes",IFERROR(_xlfn.RANK.EQ(C24,'Team Strength'!$C$4:$C$34),""),"")</f>
        <v/>
      </c>
      <c r="D59" s="10" t="str">
        <f>IF('League Inputs'!$C$11 = "Yes",IFERROR(_xlfn.RANK.EQ(D24,'Team Strength'!$D$4:$D$34),""),"")</f>
        <v/>
      </c>
      <c r="E59" s="10" t="str">
        <f>IF('League Inputs'!$C$12 = "Yes",IFERROR(_xlfn.RANK.EQ(E24,'Team Strength'!$E$4:$E$34),""),"")</f>
        <v/>
      </c>
      <c r="F59" s="10" t="str">
        <f>IF('League Inputs'!$C$15 = "Yes",IFERROR(_xlfn.RANK.EQ(F24,'Team Strength'!$F$4:$F$34),""),"")</f>
        <v/>
      </c>
      <c r="G59" s="10" t="str">
        <f>IF('League Inputs'!$C$18 = "Yes",IFERROR(_xlfn.RANK.EQ(G24,'Team Strength'!$G$4:$G$34),""),"")</f>
        <v/>
      </c>
      <c r="H59" s="10" t="str">
        <f>IF('League Inputs'!$C$19 = "Yes",IFERROR(_xlfn.RANK.EQ(H24,'Team Strength'!$H$4:$H$34),""),"")</f>
        <v/>
      </c>
      <c r="I59" s="10" t="str">
        <f>IF('League Inputs'!$C$22 = "Yes",IFERROR(_xlfn.RANK.EQ(I24,'Team Strength'!$I$4:$I$34),""),"")</f>
        <v/>
      </c>
      <c r="J59" s="10" t="str">
        <f>IF('League Inputs'!$C$20 = "Yes",IFERROR(_xlfn.RANK.EQ(J24,'Team Strength'!$J$4:$J$34),""),"")</f>
        <v/>
      </c>
      <c r="K59" s="10" t="str">
        <f>IF('League Inputs'!$C$17 = "Yes", IFERROR(_xlfn.RANK.EQ(K24,'Team Strength'!$K$4:$K$34),""),"")</f>
        <v/>
      </c>
      <c r="L59" s="8" t="str">
        <f>IFERROR(AVERAGE(Table610[[#This Row],[Rank G]:[Rank SOG]]),"")</f>
        <v/>
      </c>
      <c r="P59" s="8"/>
    </row>
    <row r="60" spans="1:18" x14ac:dyDescent="0.25">
      <c r="C60" s="10"/>
      <c r="D60" s="10"/>
      <c r="E60" s="10"/>
      <c r="F60" s="10"/>
      <c r="G60" s="10"/>
      <c r="H60" s="10"/>
      <c r="I60" s="10"/>
      <c r="J60" s="10"/>
      <c r="K60" s="10"/>
      <c r="L60" s="8"/>
      <c r="M60" s="10"/>
      <c r="N60" s="10"/>
      <c r="R60" s="8"/>
    </row>
    <row r="61" spans="1:18" x14ac:dyDescent="0.25">
      <c r="C61" s="10"/>
      <c r="D61" s="10"/>
      <c r="E61" s="10"/>
      <c r="F61" s="10"/>
      <c r="G61" s="10"/>
      <c r="H61" s="10"/>
      <c r="I61" s="10"/>
      <c r="J61" s="10"/>
      <c r="K61" s="10"/>
      <c r="L61" s="8"/>
      <c r="M61" s="10"/>
      <c r="N61" s="10"/>
      <c r="P61" s="18"/>
      <c r="Q61" s="8"/>
      <c r="R61" s="8"/>
    </row>
    <row r="62" spans="1:18" x14ac:dyDescent="0.25">
      <c r="C62" s="10"/>
      <c r="D62" s="10"/>
      <c r="E62" s="10"/>
      <c r="F62" s="10"/>
      <c r="G62" s="10"/>
      <c r="H62" s="10"/>
      <c r="I62" s="10"/>
      <c r="J62" s="10"/>
      <c r="K62" s="10"/>
      <c r="L62" s="8"/>
      <c r="M62" s="10"/>
      <c r="N62" s="10"/>
      <c r="P62" s="18"/>
      <c r="Q62" s="8"/>
      <c r="R62" s="8"/>
    </row>
    <row r="63" spans="1:18" x14ac:dyDescent="0.25">
      <c r="C63" s="10"/>
      <c r="D63" s="10"/>
      <c r="E63" s="10"/>
      <c r="F63" s="10"/>
      <c r="G63" s="10"/>
      <c r="H63" s="10"/>
      <c r="I63" s="10"/>
      <c r="J63" s="10"/>
      <c r="K63" s="10"/>
      <c r="L63" s="8"/>
      <c r="M63" s="10"/>
      <c r="N63" s="10"/>
      <c r="P63" s="18"/>
      <c r="Q63" s="8"/>
      <c r="R63" s="8"/>
    </row>
    <row r="64" spans="1:18" x14ac:dyDescent="0.25">
      <c r="C64" s="10"/>
      <c r="D64" s="10"/>
      <c r="E64" s="10"/>
      <c r="F64" s="10"/>
      <c r="G64" s="10"/>
      <c r="H64" s="10"/>
      <c r="I64" s="10"/>
      <c r="J64" s="10"/>
      <c r="K64" s="10"/>
      <c r="L64" s="8"/>
      <c r="M64" s="10"/>
      <c r="N64" s="10"/>
      <c r="P64" s="18"/>
      <c r="Q64" s="8"/>
      <c r="R64" s="8"/>
    </row>
    <row r="65" spans="1:18" x14ac:dyDescent="0.25">
      <c r="C65" s="10"/>
      <c r="D65" s="10"/>
      <c r="E65" s="10"/>
      <c r="F65" s="10"/>
      <c r="G65" s="10"/>
      <c r="H65" s="10"/>
      <c r="I65" s="10"/>
      <c r="J65" s="10"/>
      <c r="K65" s="10"/>
      <c r="L65" s="8"/>
      <c r="M65" s="10"/>
      <c r="N65" s="10"/>
      <c r="P65" s="18"/>
      <c r="Q65" s="8"/>
      <c r="R65" s="8"/>
    </row>
    <row r="66" spans="1:18" x14ac:dyDescent="0.25">
      <c r="C66" s="10"/>
      <c r="D66" s="10"/>
      <c r="E66" s="10"/>
      <c r="F66" s="10"/>
      <c r="G66" s="10"/>
      <c r="H66" s="10"/>
      <c r="I66" s="10"/>
      <c r="J66" s="10"/>
      <c r="K66" s="10"/>
      <c r="L66" s="8"/>
      <c r="M66" s="10"/>
      <c r="N66" s="10"/>
      <c r="P66" s="18"/>
      <c r="Q66" s="8"/>
      <c r="R66" s="8"/>
    </row>
    <row r="67" spans="1:18" x14ac:dyDescent="0.25">
      <c r="C67" s="10"/>
      <c r="D67" s="10"/>
      <c r="E67" s="10"/>
      <c r="F67" s="10"/>
      <c r="G67" s="10"/>
      <c r="H67" s="10"/>
      <c r="I67" s="10"/>
      <c r="J67" s="10"/>
      <c r="K67" s="10"/>
      <c r="L67" s="8"/>
      <c r="M67" s="10"/>
      <c r="N67" s="10"/>
      <c r="P67" s="18"/>
      <c r="Q67" s="8"/>
      <c r="R67" s="8"/>
    </row>
    <row r="68" spans="1:18" x14ac:dyDescent="0.25">
      <c r="C68" s="10"/>
      <c r="D68" s="10"/>
      <c r="E68" s="10"/>
      <c r="F68" s="10"/>
      <c r="G68" s="10"/>
      <c r="H68" s="10"/>
      <c r="I68" s="10"/>
      <c r="J68" s="10"/>
      <c r="K68" s="10"/>
      <c r="L68" s="8"/>
      <c r="M68" s="10"/>
      <c r="N68" s="10"/>
      <c r="P68" s="18"/>
      <c r="Q68" s="8"/>
      <c r="R68" s="8"/>
    </row>
    <row r="69" spans="1:18" x14ac:dyDescent="0.25">
      <c r="C69" s="10"/>
      <c r="D69" s="10"/>
      <c r="E69" s="10"/>
      <c r="F69" s="10"/>
      <c r="G69" s="10"/>
      <c r="H69" s="10"/>
      <c r="I69" s="10"/>
      <c r="J69" s="10"/>
      <c r="K69" s="10"/>
      <c r="L69" s="8"/>
      <c r="M69" s="10"/>
      <c r="N69" s="10"/>
      <c r="P69" s="18"/>
      <c r="Q69" s="8"/>
      <c r="R69" s="8"/>
    </row>
    <row r="70" spans="1:18" x14ac:dyDescent="0.25">
      <c r="C70" s="10"/>
      <c r="D70" s="10"/>
      <c r="E70" s="10"/>
      <c r="F70" s="10"/>
      <c r="G70" s="10"/>
      <c r="H70" s="10"/>
      <c r="I70" s="10"/>
      <c r="J70" s="10"/>
      <c r="K70" s="10"/>
      <c r="L70" s="8"/>
      <c r="M70" s="10"/>
      <c r="N70" s="10"/>
      <c r="P70" s="77"/>
      <c r="Q70" s="8"/>
      <c r="R70" s="8"/>
    </row>
    <row r="71" spans="1:18" x14ac:dyDescent="0.25">
      <c r="C71" s="10"/>
      <c r="D71" s="10"/>
      <c r="E71" s="10"/>
      <c r="F71" s="10"/>
      <c r="G71" s="10"/>
      <c r="H71" s="10"/>
      <c r="I71" s="10"/>
      <c r="J71" s="10"/>
      <c r="K71" s="10"/>
      <c r="L71" s="8"/>
      <c r="M71" s="10"/>
      <c r="N71" s="10"/>
      <c r="P71" s="18"/>
      <c r="Q71" s="8"/>
      <c r="R71" s="8"/>
    </row>
    <row r="72" spans="1:18" x14ac:dyDescent="0.25">
      <c r="C72" s="10"/>
      <c r="D72" s="10"/>
      <c r="E72" s="10"/>
      <c r="F72" s="10"/>
      <c r="G72" s="10"/>
      <c r="H72" s="10"/>
      <c r="I72" s="10"/>
      <c r="J72" s="10"/>
      <c r="K72" s="10"/>
      <c r="L72" s="8"/>
      <c r="M72" s="10"/>
      <c r="N72" s="10"/>
      <c r="P72" s="77"/>
      <c r="Q72" s="8"/>
      <c r="R72" s="8"/>
    </row>
    <row r="73" spans="1:18" x14ac:dyDescent="0.25">
      <c r="C73" s="10"/>
      <c r="D73" s="10"/>
      <c r="E73" s="10"/>
      <c r="F73" s="10"/>
      <c r="G73" s="10"/>
      <c r="H73" s="10"/>
      <c r="I73" s="10"/>
      <c r="J73" s="10"/>
      <c r="K73" s="10"/>
      <c r="L73" s="8"/>
      <c r="M73" s="10"/>
      <c r="N73" s="10"/>
      <c r="P73" s="18"/>
      <c r="Q73" s="8"/>
      <c r="R73" s="8"/>
    </row>
    <row r="74" spans="1:18" x14ac:dyDescent="0.25">
      <c r="C74" s="10"/>
      <c r="D74" s="10"/>
      <c r="E74" s="10"/>
      <c r="F74" s="10" t="str">
        <f>IF('League Inputs'!$C$15 = "Yes",IFERROR(_xlfn.RANK.EQ(F33,'Team Strength'!$F$4:$F$34),""),"")</f>
        <v/>
      </c>
      <c r="G74" s="10" t="str">
        <f>IF('League Inputs'!$C$18 = "Yes",IFERROR(_xlfn.RANK.EQ(G33,'Team Strength'!$G$4:$G$34),""),"")</f>
        <v/>
      </c>
      <c r="H74" s="10" t="str">
        <f>IF('League Inputs'!$C$19 = "Yes",IFERROR(_xlfn.RANK.EQ(H33,'Team Strength'!$H$4:$H$34),""),"")</f>
        <v/>
      </c>
      <c r="I74" s="10" t="str">
        <f>IF('League Inputs'!$C$22 = "Yes",IFERROR(_xlfn.RANK.EQ(I33,'Team Strength'!$I$4:$I$34),""),"")</f>
        <v/>
      </c>
      <c r="J74" s="10" t="str">
        <f>IF('League Inputs'!$C$20 = "Yes",IFERROR(_xlfn.RANK.EQ(J33,'Team Strength'!$J$4:$J$34),""),"")</f>
        <v/>
      </c>
      <c r="K74" s="10" t="str">
        <f>IF('League Inputs'!$C$17 = "Yes", IFERROR(_xlfn.RANK.EQ(K33,'Team Strength'!$K$4:$K$34),""),"")</f>
        <v/>
      </c>
      <c r="L74" s="8" t="str">
        <f>IFERROR(AVERAGE(Table610[[#This Row],[Rank G]:[Rank SOG]]),"")</f>
        <v/>
      </c>
      <c r="M74" s="10"/>
      <c r="N74" s="10"/>
      <c r="P74" s="18"/>
      <c r="Q74" s="8"/>
      <c r="R74" s="8"/>
    </row>
    <row r="75" spans="1:18" x14ac:dyDescent="0.25">
      <c r="A75" t="str">
        <f>IF(A34 = "", "", A34)</f>
        <v/>
      </c>
      <c r="C75" s="10" t="str">
        <f>IF('League Inputs'!$C$10 = "Yes",IFERROR(_xlfn.RANK.EQ(C34,'Team Strength'!$C$4:$C$34),""),"")</f>
        <v/>
      </c>
      <c r="D75" s="10" t="str">
        <f>IF('League Inputs'!$C$11 = "Yes",IFERROR(_xlfn.RANK.EQ(D34,'Team Strength'!$D$4:$D$34),""),"")</f>
        <v/>
      </c>
      <c r="E75" s="10" t="str">
        <f>IF('League Inputs'!$C$12 = "Yes",IFERROR(_xlfn.RANK.EQ(E34,'Team Strength'!$E$4:$E$34),""),"")</f>
        <v/>
      </c>
      <c r="F75" s="10" t="str">
        <f>IF('League Inputs'!$C$15 = "Yes",IFERROR(_xlfn.RANK.EQ(F34,'Team Strength'!$F$4:$F$34),""),"")</f>
        <v/>
      </c>
      <c r="G75" s="10" t="str">
        <f>IF('League Inputs'!$C$18 = "Yes",IFERROR(_xlfn.RANK.EQ(G34,'Team Strength'!$G$4:$G$34),""),"")</f>
        <v/>
      </c>
      <c r="H75" s="10" t="str">
        <f>IF('League Inputs'!$C$19 = "Yes",IFERROR(_xlfn.RANK.EQ(H34,'Team Strength'!$H$4:$H$34),""),"")</f>
        <v/>
      </c>
      <c r="I75" s="10" t="str">
        <f>IF('League Inputs'!$C$22 = "Yes",IFERROR(_xlfn.RANK.EQ(I34,'Team Strength'!$I$4:$I$34),""),"")</f>
        <v/>
      </c>
      <c r="J75" s="10" t="str">
        <f>IF('League Inputs'!$C$20 = "Yes",IFERROR(_xlfn.RANK.EQ(J34,'Team Strength'!$J$4:$J$34),""),"")</f>
        <v/>
      </c>
      <c r="K75" s="10" t="str">
        <f>IF('League Inputs'!$C$17 = "Yes", IFERROR(_xlfn.RANK.EQ(K34,'Team Strength'!$K$4:$K$34),""),"")</f>
        <v/>
      </c>
      <c r="L75" s="8" t="str">
        <f>IFERROR(AVERAGE(Table610[[#This Row],[Rank G]:[Rank SOG]]),"")</f>
        <v/>
      </c>
      <c r="M75" s="10"/>
      <c r="N75" s="10"/>
      <c r="P75" s="18"/>
      <c r="Q75" s="8"/>
      <c r="R75" s="8"/>
    </row>
    <row r="76" spans="1:18" x14ac:dyDescent="0.25">
      <c r="P76" s="77"/>
      <c r="Q76" s="8"/>
      <c r="R76" s="8"/>
    </row>
    <row r="77" spans="1:18" x14ac:dyDescent="0.25">
      <c r="P77" s="77"/>
      <c r="Q77" s="8"/>
      <c r="R77" s="8"/>
    </row>
    <row r="78" spans="1:18" x14ac:dyDescent="0.25">
      <c r="P78" s="18"/>
      <c r="Q78" s="8"/>
      <c r="R78" s="8"/>
    </row>
    <row r="79" spans="1:18" x14ac:dyDescent="0.25">
      <c r="P79" s="77"/>
      <c r="Q79" s="8"/>
      <c r="R79" s="8"/>
    </row>
    <row r="80" spans="1:18" x14ac:dyDescent="0.25">
      <c r="P80" s="77"/>
      <c r="Q80" s="8"/>
      <c r="R80" s="8"/>
    </row>
  </sheetData>
  <mergeCells count="2">
    <mergeCell ref="B1:K1"/>
    <mergeCell ref="B36:K36"/>
  </mergeCells>
  <phoneticPr fontId="18" type="noConversion"/>
  <conditionalFormatting sqref="Q24:Q25">
    <cfRule type="colorScale" priority="24">
      <colorScale>
        <cfvo type="min"/>
        <cfvo type="percentile" val="50"/>
        <cfvo type="max"/>
        <color rgb="FFF8696B"/>
        <color rgb="FFFFEB84"/>
        <color rgb="FF63BE7B"/>
      </colorScale>
    </cfRule>
  </conditionalFormatting>
  <conditionalFormatting sqref="Q26:Q34 R4:R25">
    <cfRule type="colorScale" priority="22">
      <colorScale>
        <cfvo type="min"/>
        <cfvo type="percentile" val="50"/>
        <cfvo type="max"/>
        <color rgb="FFF8696B"/>
        <color rgb="FFFFEB84"/>
        <color rgb="FF63BE7B"/>
      </colorScale>
    </cfRule>
  </conditionalFormatting>
  <conditionalFormatting sqref="M4:M33">
    <cfRule type="colorScale" priority="17">
      <colorScale>
        <cfvo type="min"/>
        <cfvo type="percentile" val="50"/>
        <cfvo type="max"/>
        <color rgb="FFF8696B"/>
        <color rgb="FFFFEB84"/>
        <color rgb="FF63BE7B"/>
      </colorScale>
    </cfRule>
  </conditionalFormatting>
  <conditionalFormatting sqref="L60:N75 L39:L59">
    <cfRule type="colorScale" priority="171">
      <colorScale>
        <cfvo type="min"/>
        <cfvo type="percentile" val="50"/>
        <cfvo type="max"/>
        <color rgb="FF63BE7B"/>
        <color rgb="FFFFEB84"/>
        <color rgb="FFF8696B"/>
      </colorScale>
    </cfRule>
  </conditionalFormatting>
  <conditionalFormatting sqref="R60:R69 P55:P59">
    <cfRule type="colorScale" priority="175">
      <colorScale>
        <cfvo type="min"/>
        <cfvo type="percentile" val="50"/>
        <cfvo type="max"/>
        <color rgb="FF63BE7B"/>
        <color rgb="FFFFEB84"/>
        <color rgb="FFF8696B"/>
      </colorScale>
    </cfRule>
  </conditionalFormatting>
  <conditionalFormatting sqref="Q61:Q80">
    <cfRule type="colorScale" priority="5">
      <colorScale>
        <cfvo type="min"/>
        <cfvo type="percentile" val="50"/>
        <cfvo type="max"/>
        <color rgb="FF63BE7B"/>
        <color rgb="FFFFEB84"/>
        <color rgb="FFF8696B"/>
      </colorScale>
    </cfRule>
  </conditionalFormatting>
  <conditionalFormatting sqref="R61:R80">
    <cfRule type="colorScale" priority="4">
      <colorScale>
        <cfvo type="min"/>
        <cfvo type="percentile" val="50"/>
        <cfvo type="max"/>
        <color rgb="FF63BE7B"/>
        <color rgb="FFFFEB84"/>
        <color rgb="FFF8696B"/>
      </colorScale>
    </cfRule>
  </conditionalFormatting>
  <conditionalFormatting sqref="O39:Q58">
    <cfRule type="colorScale" priority="227">
      <colorScale>
        <cfvo type="min"/>
        <cfvo type="percentile" val="50"/>
        <cfvo type="max"/>
        <color rgb="FF63BE7B"/>
        <color rgb="FFFFEB84"/>
        <color rgb="FFF8696B"/>
      </colorScale>
    </cfRule>
  </conditionalFormatting>
  <conditionalFormatting sqref="Q4:Q23">
    <cfRule type="colorScale" priority="228">
      <colorScale>
        <cfvo type="min"/>
        <cfvo type="percentile" val="50"/>
        <cfvo type="max"/>
        <color rgb="FFF8696B"/>
        <color rgb="FFFFEB84"/>
        <color rgb="FF63BE7B"/>
      </colorScale>
    </cfRule>
  </conditionalFormatting>
  <conditionalFormatting sqref="M4:M33">
    <cfRule type="colorScale" priority="245">
      <colorScale>
        <cfvo type="min"/>
        <cfvo type="percentile" val="50"/>
        <cfvo type="max"/>
        <color rgb="FFF8696B"/>
        <color rgb="FFFFEB84"/>
        <color rgb="FF63BE7B"/>
      </colorScale>
    </cfRule>
  </conditionalFormatting>
  <conditionalFormatting sqref="Q3:Q23">
    <cfRule type="colorScale" priority="247">
      <colorScale>
        <cfvo type="min"/>
        <cfvo type="percentile" val="50"/>
        <cfvo type="max"/>
        <color rgb="FFF8696B"/>
        <color rgb="FFFFEB84"/>
        <color rgb="FF63BE7B"/>
      </colorScale>
    </cfRule>
  </conditionalFormatting>
  <conditionalFormatting sqref="L4:L33">
    <cfRule type="colorScale" priority="3">
      <colorScale>
        <cfvo type="min"/>
        <cfvo type="percentile" val="50"/>
        <cfvo type="max"/>
        <color rgb="FF63BE7B"/>
        <color rgb="FFFFEB84"/>
        <color rgb="FFF8696B"/>
      </colorScale>
    </cfRule>
  </conditionalFormatting>
  <conditionalFormatting sqref="P4:P3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Read Me</vt:lpstr>
      <vt:lpstr>League Inputs</vt:lpstr>
      <vt:lpstr>Per 60 PP</vt:lpstr>
      <vt:lpstr>Per 60 PK</vt:lpstr>
      <vt:lpstr>Per 60 ES</vt:lpstr>
      <vt:lpstr>Skater Projections</vt:lpstr>
      <vt:lpstr>LW</vt:lpstr>
      <vt:lpstr>RW</vt:lpstr>
      <vt:lpstr>F</vt:lpstr>
      <vt:lpstr>C</vt:lpstr>
      <vt:lpstr>D</vt:lpstr>
      <vt:lpstr>G Per GP</vt:lpstr>
      <vt:lpstr>G</vt:lpstr>
      <vt:lpstr>Std</vt:lpstr>
      <vt:lpstr>Goalie Projections</vt:lpstr>
      <vt:lpstr>Master Rank</vt:lpstr>
      <vt:lpstr>Player Comparison Tool</vt:lpstr>
      <vt:lpstr>Team Strength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2021-08-27T19:54:09Z</dcterms:created>
  <dcterms:modified xsi:type="dcterms:W3CDTF">2024-09-27T01:21:46Z</dcterms:modified>
</cp:coreProperties>
</file>